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drawings/drawing11.xml" ContentType="application/vnd.openxmlformats-officedocument.drawing+xml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customProperty36.bin" ContentType="application/vnd.openxmlformats-officedocument.spreadsheetml.customProperty"/>
  <Override PartName="/xl/drawings/drawing12.xml" ContentType="application/vnd.openxmlformats-officedocument.drawing+xml"/>
  <Override PartName="/xl/drawings/drawing13.xml" ContentType="application/vnd.openxmlformats-officedocument.drawing+xml"/>
  <Override PartName="/xl/customProperty37.bin" ContentType="application/vnd.openxmlformats-officedocument.spreadsheetml.customProperty"/>
  <Override PartName="/xl/customProperty38.bin" ContentType="application/vnd.openxmlformats-officedocument.spreadsheetml.customProperty"/>
  <Override PartName="/xl/customProperty39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essicabonquillo/Documents/Granite Mountain/UARs 20-21/"/>
    </mc:Choice>
  </mc:AlternateContent>
  <xr:revisionPtr revIDLastSave="0" documentId="8_{815B23C2-798A-6B45-A6B2-9B87144BCB41}" xr6:coauthVersionLast="46" xr6:coauthVersionMax="46" xr10:uidLastSave="{00000000-0000-0000-0000-000000000000}"/>
  <bookViews>
    <workbookView xWindow="0" yWindow="460" windowWidth="28800" windowHeight="16520" tabRatio="847" firstSheet="4" activeTab="5" xr2:uid="{00000000-000D-0000-FFFF-FFFF00000000}"/>
  </bookViews>
  <sheets>
    <sheet name="CLIENT REQUEST" sheetId="26" r:id="rId1"/>
    <sheet name="Petition Exhibits" sheetId="25" r:id="rId2"/>
    <sheet name="Multi-Year" sheetId="11" r:id="rId3"/>
    <sheet name="FY18-19" sheetId="18" r:id="rId4"/>
    <sheet name="PPT Widgets" sheetId="24" r:id="rId5"/>
    <sheet name="FY19-20" sheetId="5" r:id="rId6"/>
    <sheet name="Data" sheetId="27" r:id="rId7"/>
    <sheet name="FY20-21" sheetId="13" r:id="rId8"/>
    <sheet name="FY21-22" sheetId="14" r:id="rId9"/>
    <sheet name="FY22-23" sheetId="16" r:id="rId10"/>
    <sheet name="FY23-24" sheetId="17" r:id="rId11"/>
    <sheet name="Revenue Inputs" sheetId="6" r:id="rId12"/>
    <sheet name="LCFF" sheetId="10" r:id="rId13"/>
    <sheet name="Expense Details" sheetId="12" r:id="rId14"/>
    <sheet name="Payroll 19-20" sheetId="7" r:id="rId15"/>
    <sheet name="Payroll 20-21" sheetId="20" r:id="rId16"/>
    <sheet name="Payroll 21-22" sheetId="21" r:id="rId17"/>
    <sheet name="Payroll 22-23" sheetId="22" r:id="rId18"/>
    <sheet name="Payroll 23-24" sheetId="23" r:id="rId19"/>
    <sheet name="Original Budget" sheetId="15" r:id="rId20"/>
    <sheet name="Import" sheetId="9" r:id="rId21"/>
  </sheets>
  <externalReferences>
    <externalReference r:id="rId22"/>
    <externalReference r:id="rId23"/>
    <externalReference r:id="rId24"/>
  </externalReferences>
  <definedNames>
    <definedName name="_1_2005_06_RE_CERTIFICATIO" localSheetId="0">#REF!</definedName>
    <definedName name="_1_2005_06_RE_CERTIFICATIO">#REF!</definedName>
    <definedName name="_xlnm._FilterDatabase" localSheetId="6" hidden="1">Data!$A$1:$P$1</definedName>
    <definedName name="_xlnm._FilterDatabase" localSheetId="20" hidden="1">Import!$A$1:$H$1394</definedName>
    <definedName name="\e" localSheetId="0">#REF!</definedName>
    <definedName name="\e" localSheetId="6">#REF!</definedName>
    <definedName name="\e">#REF!</definedName>
    <definedName name="\p" localSheetId="0">#REF!</definedName>
    <definedName name="\p">#REF!</definedName>
    <definedName name="\s" localSheetId="0">#REF!</definedName>
    <definedName name="\s">#REF!</definedName>
    <definedName name="CharterInfoReport" localSheetId="0">#REF!</definedName>
    <definedName name="CharterInfoReport">#REF!</definedName>
    <definedName name="DistrictDetailExpanded" localSheetId="0">#REF!</definedName>
    <definedName name="DistrictDetailExpanded">#REF!</definedName>
    <definedName name="EL_Count_and_Criteria" localSheetId="0">'[1]137-MRPD-EL'!#REF!</definedName>
    <definedName name="EL_Count_and_Criteria">'[1]137-MRPD-EL'!#REF!</definedName>
    <definedName name="Merge_ELPD_Base_Data3" localSheetId="0">#REF!</definedName>
    <definedName name="Merge_ELPD_Base_Data3">#REF!</definedName>
    <definedName name="Merged_CBEDS_Charter_Data" localSheetId="0">#REF!</definedName>
    <definedName name="Merged_CBEDS_Charter_Data">#REF!</definedName>
    <definedName name="Open_ClosedSchools" localSheetId="0">#REF!</definedName>
    <definedName name="Open_ClosedSchools">#REF!</definedName>
    <definedName name="_xlnm.Print_Area" localSheetId="0">'CLIENT REQUEST'!$B$1:$O$23</definedName>
    <definedName name="_xlnm.Print_Area" localSheetId="13">'Expense Details'!$A$1:$J$208</definedName>
    <definedName name="_xlnm.Print_Area" localSheetId="3">'FY18-19'!$A$1:$T$171</definedName>
    <definedName name="_xlnm.Print_Area" localSheetId="5">'FY19-20'!$A$1:$V$173</definedName>
    <definedName name="_xlnm.Print_Area" localSheetId="7">'FY20-21'!$A$1:$V$173</definedName>
    <definedName name="_xlnm.Print_Area" localSheetId="8">'FY21-22'!$A$1:$V$173</definedName>
    <definedName name="_xlnm.Print_Area" localSheetId="9">'FY22-23'!$A$1:$V$173</definedName>
    <definedName name="_xlnm.Print_Area" localSheetId="10">'FY23-24'!$A$1:$V$173</definedName>
    <definedName name="_xlnm.Print_Area" localSheetId="12">LCFF!$A$1:$Q$49</definedName>
    <definedName name="_xlnm.Print_Area" localSheetId="2">'Multi-Year'!$A$1:$Q$177</definedName>
    <definedName name="_xlnm.Print_Area" localSheetId="19">'Original Budget'!$A$1:$S$191</definedName>
    <definedName name="_xlnm.Print_Area" localSheetId="14">'Payroll 19-20'!$B$1:$S$232</definedName>
    <definedName name="_xlnm.Print_Area" localSheetId="15">'Payroll 20-21'!$B$1:$S$232</definedName>
    <definedName name="_xlnm.Print_Area" localSheetId="16">'Payroll 21-22'!$B$1:$S$232</definedName>
    <definedName name="_xlnm.Print_Area" localSheetId="17">'Payroll 22-23'!$B$1:$S$232</definedName>
    <definedName name="_xlnm.Print_Area" localSheetId="18">'Payroll 23-24'!$B$1:$S$232</definedName>
    <definedName name="_xlnm.Print_Area" localSheetId="1">'Petition Exhibits'!$A$1:$M$307</definedName>
    <definedName name="_xlnm.Print_Area" localSheetId="11">'Revenue Inputs'!$A$1:$I$41</definedName>
    <definedName name="Print_Area_MI" localSheetId="0">#REF!</definedName>
    <definedName name="Print_Area_MI">#REF!</definedName>
    <definedName name="_xlnm.Print_Titles" localSheetId="13">'Expense Details'!$1:$5</definedName>
    <definedName name="_xlnm.Print_Titles" localSheetId="3">'FY18-19'!$A:$D,'FY18-19'!$1:$4</definedName>
    <definedName name="_xlnm.Print_Titles" localSheetId="5">'FY19-20'!$A:$D,'FY19-20'!$1:$4</definedName>
    <definedName name="_xlnm.Print_Titles" localSheetId="7">'FY20-21'!$A:$D,'FY20-21'!$1:$4</definedName>
    <definedName name="_xlnm.Print_Titles" localSheetId="8">'FY21-22'!$A:$D,'FY21-22'!$1:$4</definedName>
    <definedName name="_xlnm.Print_Titles" localSheetId="9">'FY22-23'!$A:$D,'FY22-23'!$1:$4</definedName>
    <definedName name="_xlnm.Print_Titles" localSheetId="10">'FY23-24'!$A:$D,'FY23-24'!$1:$4</definedName>
    <definedName name="_xlnm.Print_Titles" localSheetId="2">'Multi-Year'!$1:$5</definedName>
    <definedName name="_xlnm.Print_Titles" localSheetId="19">'Original Budget'!$A:$D,'Original Budget'!$1:$4</definedName>
    <definedName name="_xlnm.Print_Titles" localSheetId="14">'Payroll 19-20'!$1:$6</definedName>
    <definedName name="_xlnm.Print_Titles" localSheetId="15">'Payroll 20-21'!$1:$6</definedName>
    <definedName name="_xlnm.Print_Titles" localSheetId="16">'Payroll 21-22'!$1:$6</definedName>
    <definedName name="_xlnm.Print_Titles" localSheetId="17">'Payroll 22-23'!$1:$6</definedName>
    <definedName name="_xlnm.Print_Titles" localSheetId="18">'Payroll 23-24'!$1:$6</definedName>
    <definedName name="qry_08_09_AdjSchLvl___Dist___LFs" localSheetId="0">#REF!</definedName>
    <definedName name="qry_08_09_AdjSchLvl___Dist___LFs">#REF!</definedName>
    <definedName name="qry_aggr2007_Teacher_ct_to_LEA_level" localSheetId="0">#REF!</definedName>
    <definedName name="qry_aggr2007_Teacher_ct_to_LEA_level">#REF!</definedName>
    <definedName name="qry_aggre_2007_CBED_PAR_Sch_Level_to_dist_level" localSheetId="0">#REF!</definedName>
    <definedName name="qry_aggre_2007_CBED_PAR_Sch_Level_to_dist_level">#REF!</definedName>
    <definedName name="qry_may_7_master_IV_16_programs" localSheetId="0">#REF!</definedName>
    <definedName name="qry_may_7_master_IV_16_programs">#REF!</definedName>
    <definedName name="qry_Teacher_ct_PAR_File_Sch_Level_to_Dist_Level" localSheetId="0">#REF!</definedName>
    <definedName name="qry_Teacher_ct_PAR_File_Sch_Level_to_Dist_Level">#REF!</definedName>
    <definedName name="qry03_District_Level_Data_LEAs" localSheetId="0">#REF!</definedName>
    <definedName name="qry03_District_Level_Data_LEAs">#REF!</definedName>
    <definedName name="qry05_District_Level_Data_NFCS" localSheetId="0">#REF!</definedName>
    <definedName name="qry05_District_Level_Data_NFCS">#REF!</definedName>
    <definedName name="qryChartersActive" localSheetId="0">#REF!</definedName>
    <definedName name="qryChartersActive">#REF!</definedName>
    <definedName name="qryFed_File_District_Level_no_DFCS" localSheetId="0">#REF!</definedName>
    <definedName name="qryFed_File_District_Level_no_DFCS">#REF!</definedName>
    <definedName name="qryPubschls" localSheetId="0">#REF!</definedName>
    <definedName name="qryPubschls">#REF!</definedName>
    <definedName name="QryReorgedDistricts" localSheetId="0">#REF!</definedName>
    <definedName name="QryReorgedDistricts">#REF!</definedName>
    <definedName name="SchoolDetailExpanded" localSheetId="0">#REF!</definedName>
    <definedName name="SchoolDetailExpanded">#REF!</definedName>
    <definedName name="tblPubschlsDownload" localSheetId="0">#REF!</definedName>
    <definedName name="tblPubschlsDownload">#REF!</definedName>
    <definedName name="TEST">'[2]4a. Rvsd LEA Ent -No DFCS'!$A$1:$G$1030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9" i="27" l="1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P80" i="27"/>
  <c r="P81" i="27"/>
  <c r="P82" i="27"/>
  <c r="P83" i="27"/>
  <c r="P84" i="27"/>
  <c r="P85" i="27"/>
  <c r="P86" i="27"/>
  <c r="P87" i="27"/>
  <c r="P88" i="27"/>
  <c r="P89" i="27"/>
  <c r="P90" i="27"/>
  <c r="P91" i="27"/>
  <c r="P92" i="27"/>
  <c r="P93" i="27"/>
  <c r="P94" i="27"/>
  <c r="P95" i="27"/>
  <c r="P96" i="27"/>
  <c r="P97" i="27"/>
  <c r="P98" i="27"/>
  <c r="P99" i="27"/>
  <c r="P100" i="27"/>
  <c r="P101" i="27"/>
  <c r="P102" i="27"/>
  <c r="P103" i="27"/>
  <c r="P104" i="27"/>
  <c r="P105" i="27"/>
  <c r="P106" i="27"/>
  <c r="P107" i="27"/>
  <c r="P108" i="27"/>
  <c r="P109" i="27"/>
  <c r="P110" i="27"/>
  <c r="P111" i="27"/>
  <c r="P112" i="27"/>
  <c r="P113" i="27"/>
  <c r="P114" i="27"/>
  <c r="P115" i="27"/>
  <c r="P116" i="27"/>
  <c r="P117" i="27"/>
  <c r="P118" i="27"/>
  <c r="P119" i="27"/>
  <c r="P120" i="27"/>
  <c r="P121" i="27"/>
  <c r="P122" i="27"/>
  <c r="P123" i="27"/>
  <c r="P124" i="27"/>
  <c r="P125" i="27"/>
  <c r="P126" i="27"/>
  <c r="P127" i="27"/>
  <c r="P128" i="27"/>
  <c r="P130" i="27"/>
  <c r="P131" i="27"/>
  <c r="P132" i="27"/>
  <c r="P133" i="27"/>
  <c r="P134" i="27"/>
  <c r="P135" i="27"/>
  <c r="P136" i="27"/>
  <c r="P137" i="27"/>
  <c r="P138" i="27"/>
  <c r="P139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" i="27"/>
  <c r="P29" i="5"/>
  <c r="F26" i="24" l="1"/>
  <c r="F25" i="24"/>
  <c r="F24" i="24"/>
  <c r="F23" i="24"/>
  <c r="F22" i="24"/>
  <c r="F21" i="24"/>
  <c r="F20" i="24"/>
  <c r="F19" i="24"/>
  <c r="F18" i="24"/>
  <c r="F17" i="24"/>
  <c r="F9" i="24"/>
  <c r="F8" i="24"/>
  <c r="F7" i="24"/>
  <c r="F6" i="24"/>
  <c r="P115" i="5" l="1"/>
  <c r="P112" i="5"/>
  <c r="P103" i="5"/>
  <c r="P60" i="5"/>
  <c r="P120" i="5" l="1"/>
  <c r="P141" i="5"/>
  <c r="P138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13" i="5"/>
  <c r="P114" i="5"/>
  <c r="P116" i="5"/>
  <c r="P117" i="5"/>
  <c r="P101" i="5"/>
  <c r="P102" i="5"/>
  <c r="P104" i="5"/>
  <c r="P105" i="5"/>
  <c r="P106" i="5"/>
  <c r="P107" i="5"/>
  <c r="P108" i="5"/>
  <c r="P109" i="5"/>
  <c r="P93" i="5"/>
  <c r="P94" i="5"/>
  <c r="P95" i="5"/>
  <c r="P96" i="5"/>
  <c r="P97" i="5"/>
  <c r="P98" i="5"/>
  <c r="P83" i="5"/>
  <c r="P84" i="5"/>
  <c r="P85" i="5"/>
  <c r="P86" i="5"/>
  <c r="P87" i="5"/>
  <c r="P88" i="5"/>
  <c r="P89" i="5"/>
  <c r="P71" i="5"/>
  <c r="P72" i="5"/>
  <c r="P73" i="5"/>
  <c r="P74" i="5"/>
  <c r="P75" i="5"/>
  <c r="P76" i="5"/>
  <c r="P77" i="5"/>
  <c r="P64" i="5"/>
  <c r="P65" i="5"/>
  <c r="P66" i="5"/>
  <c r="P67" i="5"/>
  <c r="P68" i="5"/>
  <c r="P56" i="5"/>
  <c r="P57" i="5"/>
  <c r="P58" i="5"/>
  <c r="P59" i="5"/>
  <c r="O34" i="5"/>
  <c r="P34" i="5"/>
  <c r="O35" i="5"/>
  <c r="P35" i="5"/>
  <c r="O36" i="5"/>
  <c r="P36" i="5"/>
  <c r="O37" i="5"/>
  <c r="P37" i="5"/>
  <c r="P33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1" i="5"/>
  <c r="P15" i="5"/>
  <c r="O17" i="5"/>
  <c r="P17" i="5"/>
  <c r="O18" i="5"/>
  <c r="P18" i="5"/>
  <c r="P16" i="5"/>
  <c r="O164" i="5" l="1"/>
  <c r="O131" i="5" l="1"/>
  <c r="O130" i="5"/>
  <c r="O125" i="5"/>
  <c r="O115" i="5"/>
  <c r="O84" i="5"/>
  <c r="G67" i="5" l="1"/>
  <c r="H67" i="5"/>
  <c r="I67" i="5"/>
  <c r="J67" i="5"/>
  <c r="K67" i="5"/>
  <c r="F65" i="5"/>
  <c r="F66" i="5"/>
  <c r="F67" i="5"/>
  <c r="F68" i="5"/>
  <c r="M64" i="5"/>
  <c r="N64" i="5"/>
  <c r="O64" i="5"/>
  <c r="M65" i="5"/>
  <c r="N65" i="5"/>
  <c r="O65" i="5"/>
  <c r="M66" i="5"/>
  <c r="N66" i="5"/>
  <c r="O66" i="5"/>
  <c r="M67" i="5"/>
  <c r="N67" i="5"/>
  <c r="O67" i="5"/>
  <c r="M68" i="5"/>
  <c r="N68" i="5"/>
  <c r="O68" i="5"/>
  <c r="L65" i="5"/>
  <c r="L66" i="5"/>
  <c r="L67" i="5"/>
  <c r="L68" i="5"/>
  <c r="K65" i="5"/>
  <c r="K66" i="5"/>
  <c r="K68" i="5"/>
  <c r="O153" i="5"/>
  <c r="O141" i="5"/>
  <c r="O138" i="5"/>
  <c r="O120" i="5"/>
  <c r="O121" i="5"/>
  <c r="O122" i="5"/>
  <c r="O123" i="5"/>
  <c r="O124" i="5"/>
  <c r="O126" i="5"/>
  <c r="O127" i="5"/>
  <c r="O128" i="5"/>
  <c r="O129" i="5"/>
  <c r="O132" i="5"/>
  <c r="O133" i="5"/>
  <c r="O134" i="5"/>
  <c r="O112" i="5"/>
  <c r="O113" i="5"/>
  <c r="O114" i="5"/>
  <c r="O116" i="5"/>
  <c r="O117" i="5"/>
  <c r="O101" i="5"/>
  <c r="O102" i="5"/>
  <c r="O103" i="5"/>
  <c r="O104" i="5"/>
  <c r="O105" i="5"/>
  <c r="O106" i="5"/>
  <c r="O107" i="5"/>
  <c r="O108" i="5"/>
  <c r="O109" i="5"/>
  <c r="O93" i="5"/>
  <c r="O94" i="5"/>
  <c r="O95" i="5"/>
  <c r="O96" i="5"/>
  <c r="O97" i="5"/>
  <c r="O98" i="5"/>
  <c r="O83" i="5"/>
  <c r="O85" i="5"/>
  <c r="O86" i="5"/>
  <c r="O87" i="5"/>
  <c r="O88" i="5"/>
  <c r="O89" i="5"/>
  <c r="O71" i="5"/>
  <c r="O72" i="5"/>
  <c r="O73" i="5"/>
  <c r="O74" i="5"/>
  <c r="O75" i="5"/>
  <c r="O76" i="5"/>
  <c r="O77" i="5"/>
  <c r="O56" i="5"/>
  <c r="O57" i="5"/>
  <c r="O58" i="5"/>
  <c r="O59" i="5"/>
  <c r="O60" i="5"/>
  <c r="O33" i="5"/>
  <c r="O21" i="5"/>
  <c r="O16" i="5"/>
  <c r="X37" i="7" l="1"/>
  <c r="X28" i="7"/>
  <c r="X29" i="7"/>
  <c r="X30" i="7"/>
  <c r="X31" i="7"/>
  <c r="X32" i="7"/>
  <c r="X33" i="7"/>
  <c r="X34" i="7"/>
  <c r="X27" i="7"/>
  <c r="F34" i="7" l="1"/>
  <c r="F33" i="7"/>
  <c r="F31" i="7"/>
  <c r="F30" i="7"/>
  <c r="F29" i="7"/>
  <c r="F28" i="7"/>
  <c r="F27" i="7"/>
  <c r="I33" i="7"/>
  <c r="I34" i="7"/>
  <c r="I27" i="7" l="1"/>
  <c r="I28" i="7"/>
  <c r="I29" i="7"/>
  <c r="I30" i="7"/>
  <c r="I31" i="7"/>
  <c r="R8" i="10" l="1"/>
  <c r="R9" i="10"/>
  <c r="R10" i="10"/>
  <c r="I115" i="7" l="1"/>
  <c r="I79" i="7"/>
  <c r="I81" i="7"/>
  <c r="I83" i="7"/>
  <c r="N141" i="5" l="1"/>
  <c r="N138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12" i="5"/>
  <c r="N113" i="5"/>
  <c r="N114" i="5"/>
  <c r="N115" i="5"/>
  <c r="N116" i="5"/>
  <c r="N117" i="5"/>
  <c r="N101" i="5"/>
  <c r="N102" i="5"/>
  <c r="N103" i="5"/>
  <c r="N104" i="5"/>
  <c r="N105" i="5"/>
  <c r="N106" i="5"/>
  <c r="N107" i="5"/>
  <c r="N108" i="5"/>
  <c r="N109" i="5"/>
  <c r="N93" i="5"/>
  <c r="N94" i="5"/>
  <c r="N95" i="5"/>
  <c r="N96" i="5"/>
  <c r="N97" i="5"/>
  <c r="N98" i="5"/>
  <c r="N89" i="5"/>
  <c r="N83" i="5"/>
  <c r="N84" i="5"/>
  <c r="N85" i="5"/>
  <c r="N86" i="5"/>
  <c r="N87" i="5"/>
  <c r="N88" i="5"/>
  <c r="N71" i="5"/>
  <c r="N72" i="5"/>
  <c r="N73" i="5"/>
  <c r="N74" i="5"/>
  <c r="N75" i="5"/>
  <c r="N76" i="5"/>
  <c r="N77" i="5"/>
  <c r="N78" i="5"/>
  <c r="N56" i="5"/>
  <c r="N57" i="5"/>
  <c r="N58" i="5"/>
  <c r="N59" i="5"/>
  <c r="N60" i="5"/>
  <c r="N22" i="5"/>
  <c r="N23" i="5"/>
  <c r="N24" i="5"/>
  <c r="N25" i="5"/>
  <c r="N26" i="5"/>
  <c r="N27" i="5"/>
  <c r="N28" i="5"/>
  <c r="N29" i="5"/>
  <c r="N33" i="5"/>
  <c r="N21" i="5"/>
  <c r="N18" i="5"/>
  <c r="N16" i="5"/>
  <c r="N90" i="5" l="1"/>
  <c r="V7" i="6"/>
  <c r="X7" i="6"/>
  <c r="V8" i="6"/>
  <c r="X8" i="6"/>
  <c r="V9" i="6"/>
  <c r="X9" i="6"/>
  <c r="V10" i="6"/>
  <c r="X10" i="6"/>
  <c r="I216" i="7" l="1"/>
  <c r="I151" i="7"/>
  <c r="I150" i="7"/>
  <c r="I149" i="7"/>
  <c r="I148" i="7"/>
  <c r="I147" i="7"/>
  <c r="I146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22" i="7"/>
  <c r="I21" i="7"/>
  <c r="I20" i="7"/>
  <c r="I19" i="7"/>
  <c r="I18" i="7"/>
  <c r="I17" i="7"/>
  <c r="I14" i="7"/>
  <c r="I13" i="7"/>
  <c r="I12" i="7"/>
  <c r="F11" i="7"/>
  <c r="I11" i="7" s="1"/>
  <c r="F10" i="7"/>
  <c r="I10" i="7" s="1"/>
  <c r="F9" i="7"/>
  <c r="I9" i="7" s="1"/>
  <c r="I8" i="7"/>
  <c r="I7" i="7"/>
  <c r="L165" i="13" l="1"/>
  <c r="K165" i="13"/>
  <c r="J165" i="13"/>
  <c r="I165" i="13"/>
  <c r="E164" i="13"/>
  <c r="F165" i="13"/>
  <c r="M141" i="5" l="1"/>
  <c r="M138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12" i="5"/>
  <c r="M113" i="5"/>
  <c r="M114" i="5"/>
  <c r="M115" i="5"/>
  <c r="M116" i="5"/>
  <c r="M117" i="5"/>
  <c r="M101" i="5"/>
  <c r="M102" i="5"/>
  <c r="M103" i="5"/>
  <c r="M104" i="5"/>
  <c r="M105" i="5"/>
  <c r="M106" i="5"/>
  <c r="M107" i="5"/>
  <c r="M108" i="5"/>
  <c r="M109" i="5"/>
  <c r="M93" i="5"/>
  <c r="M94" i="5"/>
  <c r="M95" i="5"/>
  <c r="M96" i="5"/>
  <c r="M97" i="5"/>
  <c r="M98" i="5"/>
  <c r="M83" i="5"/>
  <c r="M84" i="5"/>
  <c r="M85" i="5"/>
  <c r="M86" i="5"/>
  <c r="M87" i="5"/>
  <c r="M88" i="5"/>
  <c r="M71" i="5"/>
  <c r="M72" i="5"/>
  <c r="M73" i="5"/>
  <c r="M74" i="5"/>
  <c r="M75" i="5"/>
  <c r="M76" i="5"/>
  <c r="M77" i="5"/>
  <c r="M78" i="5"/>
  <c r="M57" i="5"/>
  <c r="M58" i="5"/>
  <c r="M59" i="5"/>
  <c r="M60" i="5"/>
  <c r="M56" i="5"/>
  <c r="M34" i="5"/>
  <c r="M35" i="5"/>
  <c r="M36" i="5"/>
  <c r="M37" i="5"/>
  <c r="J33" i="5"/>
  <c r="K33" i="5"/>
  <c r="L33" i="5"/>
  <c r="M33" i="5"/>
  <c r="K21" i="5"/>
  <c r="L21" i="5"/>
  <c r="M21" i="5"/>
  <c r="M17" i="5"/>
  <c r="M18" i="5"/>
  <c r="L16" i="5"/>
  <c r="M16" i="5"/>
  <c r="M15" i="5"/>
  <c r="V11" i="6" l="1"/>
  <c r="W11" i="6"/>
  <c r="X11" i="6"/>
  <c r="U11" i="6"/>
  <c r="U18" i="6"/>
  <c r="V18" i="6"/>
  <c r="W18" i="6"/>
  <c r="X18" i="6"/>
  <c r="G68" i="5" l="1"/>
  <c r="H68" i="5"/>
  <c r="I68" i="5"/>
  <c r="J68" i="5"/>
  <c r="L153" i="5"/>
  <c r="L165" i="5" l="1"/>
  <c r="L141" i="5" l="1"/>
  <c r="L138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12" i="5"/>
  <c r="L113" i="5"/>
  <c r="L114" i="5"/>
  <c r="L115" i="5"/>
  <c r="L116" i="5"/>
  <c r="L117" i="5"/>
  <c r="L101" i="5"/>
  <c r="L102" i="5"/>
  <c r="L103" i="5"/>
  <c r="L104" i="5"/>
  <c r="L105" i="5"/>
  <c r="L106" i="5"/>
  <c r="L107" i="5"/>
  <c r="L108" i="5"/>
  <c r="L109" i="5"/>
  <c r="L93" i="5"/>
  <c r="L94" i="5"/>
  <c r="L95" i="5"/>
  <c r="L96" i="5"/>
  <c r="L97" i="5"/>
  <c r="L98" i="5"/>
  <c r="L83" i="5"/>
  <c r="L84" i="5"/>
  <c r="L85" i="5"/>
  <c r="L86" i="5"/>
  <c r="L87" i="5"/>
  <c r="L88" i="5"/>
  <c r="L71" i="5"/>
  <c r="L72" i="5"/>
  <c r="L73" i="5"/>
  <c r="L74" i="5"/>
  <c r="L75" i="5"/>
  <c r="L76" i="5"/>
  <c r="L77" i="5"/>
  <c r="L78" i="5"/>
  <c r="L64" i="5"/>
  <c r="L56" i="5"/>
  <c r="L57" i="5"/>
  <c r="L58" i="5"/>
  <c r="L59" i="5"/>
  <c r="L60" i="5"/>
  <c r="L14" i="5" l="1"/>
  <c r="Q18" i="24" l="1"/>
  <c r="J17" i="24" l="1"/>
  <c r="E15" i="20" l="1"/>
  <c r="E16" i="20"/>
  <c r="E17" i="20"/>
  <c r="E18" i="20"/>
  <c r="E19" i="20"/>
  <c r="E20" i="20"/>
  <c r="E21" i="20"/>
  <c r="E22" i="20"/>
  <c r="E8" i="20"/>
  <c r="I8" i="20" s="1"/>
  <c r="E9" i="20"/>
  <c r="E10" i="20"/>
  <c r="E11" i="20"/>
  <c r="E12" i="20"/>
  <c r="E13" i="20"/>
  <c r="E14" i="20"/>
  <c r="E7" i="20"/>
  <c r="I17" i="20"/>
  <c r="Q5" i="23" l="1"/>
  <c r="Q5" i="22"/>
  <c r="Q5" i="21"/>
  <c r="Q5" i="20"/>
  <c r="AB179" i="5"/>
  <c r="J153" i="5" l="1"/>
  <c r="F138" i="5"/>
  <c r="G138" i="5"/>
  <c r="H138" i="5"/>
  <c r="I138" i="5"/>
  <c r="J138" i="5"/>
  <c r="K138" i="5"/>
  <c r="K141" i="5"/>
  <c r="K121" i="5"/>
  <c r="K122" i="5"/>
  <c r="K123" i="5"/>
  <c r="K124" i="5"/>
  <c r="K129" i="5"/>
  <c r="K130" i="5"/>
  <c r="K131" i="5"/>
  <c r="K132" i="5"/>
  <c r="K133" i="5"/>
  <c r="K120" i="5"/>
  <c r="K113" i="5"/>
  <c r="K114" i="5"/>
  <c r="K115" i="5"/>
  <c r="K116" i="5"/>
  <c r="K117" i="5"/>
  <c r="K112" i="5"/>
  <c r="K102" i="5"/>
  <c r="K103" i="5"/>
  <c r="K104" i="5"/>
  <c r="K105" i="5"/>
  <c r="K106" i="5"/>
  <c r="K107" i="5"/>
  <c r="K108" i="5"/>
  <c r="K109" i="5"/>
  <c r="K101" i="5"/>
  <c r="K94" i="5"/>
  <c r="K95" i="5"/>
  <c r="K96" i="5"/>
  <c r="K97" i="5"/>
  <c r="K98" i="5"/>
  <c r="K93" i="5"/>
  <c r="K84" i="5"/>
  <c r="K88" i="5"/>
  <c r="K83" i="5"/>
  <c r="K72" i="5"/>
  <c r="K73" i="5"/>
  <c r="K74" i="5"/>
  <c r="K75" i="5"/>
  <c r="K76" i="5"/>
  <c r="K77" i="5"/>
  <c r="K78" i="5"/>
  <c r="K71" i="5"/>
  <c r="K64" i="5"/>
  <c r="K57" i="5"/>
  <c r="K58" i="5"/>
  <c r="K59" i="5"/>
  <c r="K60" i="5"/>
  <c r="K56" i="5"/>
  <c r="K17" i="5"/>
  <c r="K18" i="5"/>
  <c r="I16" i="5"/>
  <c r="J16" i="5"/>
  <c r="K16" i="5"/>
  <c r="I165" i="14" l="1"/>
  <c r="G153" i="5"/>
  <c r="F146" i="20"/>
  <c r="J141" i="5"/>
  <c r="H20" i="26" s="1"/>
  <c r="J120" i="5"/>
  <c r="J121" i="5"/>
  <c r="J122" i="5"/>
  <c r="J123" i="5"/>
  <c r="J124" i="5"/>
  <c r="J129" i="5"/>
  <c r="J130" i="5"/>
  <c r="J131" i="5"/>
  <c r="J132" i="5"/>
  <c r="J133" i="5"/>
  <c r="J112" i="5"/>
  <c r="J113" i="5"/>
  <c r="J114" i="5"/>
  <c r="J115" i="5"/>
  <c r="J116" i="5"/>
  <c r="J117" i="5"/>
  <c r="J102" i="5"/>
  <c r="J103" i="5"/>
  <c r="J104" i="5"/>
  <c r="J101" i="5"/>
  <c r="J105" i="5"/>
  <c r="J106" i="5"/>
  <c r="J107" i="5"/>
  <c r="J108" i="5"/>
  <c r="J109" i="5"/>
  <c r="J93" i="5"/>
  <c r="J94" i="5"/>
  <c r="J95" i="5"/>
  <c r="J96" i="5"/>
  <c r="J97" i="5"/>
  <c r="J98" i="5"/>
  <c r="J83" i="5"/>
  <c r="J84" i="5"/>
  <c r="J88" i="5"/>
  <c r="J65" i="5"/>
  <c r="J66" i="5"/>
  <c r="J71" i="5"/>
  <c r="E550" i="9" s="1"/>
  <c r="F550" i="9" s="1"/>
  <c r="J72" i="5"/>
  <c r="J73" i="5"/>
  <c r="J74" i="5"/>
  <c r="J75" i="5"/>
  <c r="J76" i="5"/>
  <c r="J77" i="5"/>
  <c r="J78" i="5"/>
  <c r="J64" i="5"/>
  <c r="J56" i="5"/>
  <c r="J57" i="5"/>
  <c r="J58" i="5"/>
  <c r="J59" i="5"/>
  <c r="J60" i="5"/>
  <c r="E631" i="9"/>
  <c r="F631" i="9" s="1"/>
  <c r="J34" i="5"/>
  <c r="J35" i="5"/>
  <c r="J36" i="5"/>
  <c r="J37" i="5"/>
  <c r="J21" i="5"/>
  <c r="J18" i="5"/>
  <c r="V36" i="10"/>
  <c r="V37" i="10"/>
  <c r="V38" i="10"/>
  <c r="C57" i="6"/>
  <c r="N18" i="6"/>
  <c r="O18" i="6"/>
  <c r="P18" i="6"/>
  <c r="Q18" i="6"/>
  <c r="N11" i="6"/>
  <c r="O11" i="6"/>
  <c r="P11" i="6"/>
  <c r="Q11" i="6"/>
  <c r="M18" i="6"/>
  <c r="M11" i="6"/>
  <c r="I165" i="5"/>
  <c r="I153" i="5"/>
  <c r="H141" i="5"/>
  <c r="F20" i="26" s="1"/>
  <c r="I141" i="5"/>
  <c r="I142" i="5" s="1"/>
  <c r="I102" i="5"/>
  <c r="I103" i="5"/>
  <c r="I104" i="5"/>
  <c r="I105" i="5"/>
  <c r="I106" i="5"/>
  <c r="I107" i="5"/>
  <c r="I108" i="5"/>
  <c r="I109" i="5"/>
  <c r="I101" i="5"/>
  <c r="I83" i="5"/>
  <c r="I84" i="5"/>
  <c r="E460" i="9" s="1"/>
  <c r="F460" i="9" s="1"/>
  <c r="I88" i="5"/>
  <c r="I72" i="5"/>
  <c r="E444" i="9" s="1"/>
  <c r="F444" i="9" s="1"/>
  <c r="I73" i="5"/>
  <c r="I74" i="5"/>
  <c r="I75" i="5"/>
  <c r="I76" i="5"/>
  <c r="I77" i="5"/>
  <c r="I78" i="5"/>
  <c r="I71" i="5"/>
  <c r="E443" i="9" s="1"/>
  <c r="F443" i="9" s="1"/>
  <c r="I57" i="5"/>
  <c r="I58" i="5"/>
  <c r="I59" i="5"/>
  <c r="E435" i="9" s="1"/>
  <c r="F435" i="9" s="1"/>
  <c r="I60" i="5"/>
  <c r="E436" i="9" s="1"/>
  <c r="F436" i="9" s="1"/>
  <c r="I61" i="5"/>
  <c r="I56" i="5"/>
  <c r="I121" i="5"/>
  <c r="I122" i="5"/>
  <c r="I123" i="5"/>
  <c r="I124" i="5"/>
  <c r="I129" i="5"/>
  <c r="I130" i="5"/>
  <c r="I131" i="5"/>
  <c r="I132" i="5"/>
  <c r="I133" i="5"/>
  <c r="I120" i="5"/>
  <c r="I113" i="5"/>
  <c r="I114" i="5"/>
  <c r="I115" i="5"/>
  <c r="I116" i="5"/>
  <c r="I117" i="5"/>
  <c r="I112" i="5"/>
  <c r="I94" i="5"/>
  <c r="E468" i="9" s="1"/>
  <c r="F468" i="9" s="1"/>
  <c r="I95" i="5"/>
  <c r="I96" i="5"/>
  <c r="I97" i="5"/>
  <c r="I98" i="5"/>
  <c r="I93" i="5"/>
  <c r="I65" i="5"/>
  <c r="I66" i="5"/>
  <c r="E441" i="9"/>
  <c r="F441" i="9" s="1"/>
  <c r="I64" i="5"/>
  <c r="I34" i="5"/>
  <c r="I35" i="5"/>
  <c r="I36" i="5"/>
  <c r="I37" i="5"/>
  <c r="I33" i="5"/>
  <c r="I21" i="5"/>
  <c r="E513" i="9" s="1"/>
  <c r="F513" i="9" s="1"/>
  <c r="Q27" i="7"/>
  <c r="O27" i="7"/>
  <c r="S27" i="7"/>
  <c r="R27" i="7"/>
  <c r="M27" i="7"/>
  <c r="P27" i="7"/>
  <c r="E155" i="20"/>
  <c r="R114" i="7"/>
  <c r="R23" i="7"/>
  <c r="R155" i="7"/>
  <c r="H131" i="5"/>
  <c r="H83" i="5"/>
  <c r="E352" i="9" s="1"/>
  <c r="F352" i="9" s="1"/>
  <c r="H75" i="5"/>
  <c r="F120" i="5"/>
  <c r="G120" i="5"/>
  <c r="H120" i="5"/>
  <c r="H121" i="5"/>
  <c r="H122" i="5"/>
  <c r="H123" i="5"/>
  <c r="H124" i="5"/>
  <c r="H129" i="5"/>
  <c r="H130" i="5"/>
  <c r="H132" i="5"/>
  <c r="H133" i="5"/>
  <c r="H112" i="5"/>
  <c r="H113" i="5"/>
  <c r="H114" i="5"/>
  <c r="H115" i="5"/>
  <c r="H116" i="5"/>
  <c r="H117" i="5"/>
  <c r="H101" i="5"/>
  <c r="H102" i="5"/>
  <c r="E369" i="9" s="1"/>
  <c r="F369" i="9" s="1"/>
  <c r="H103" i="5"/>
  <c r="H104" i="5"/>
  <c r="H105" i="5"/>
  <c r="H106" i="5"/>
  <c r="H107" i="5"/>
  <c r="H108" i="5"/>
  <c r="H109" i="5"/>
  <c r="H93" i="5"/>
  <c r="H94" i="5"/>
  <c r="H95" i="5"/>
  <c r="H96" i="5"/>
  <c r="E363" i="9" s="1"/>
  <c r="F363" i="9" s="1"/>
  <c r="H97" i="5"/>
  <c r="H98" i="5"/>
  <c r="H84" i="5"/>
  <c r="H88" i="5"/>
  <c r="H71" i="5"/>
  <c r="E336" i="9" s="1"/>
  <c r="F336" i="9" s="1"/>
  <c r="H72" i="5"/>
  <c r="H73" i="5"/>
  <c r="H74" i="5"/>
  <c r="H76" i="5"/>
  <c r="H77" i="5"/>
  <c r="H64" i="5"/>
  <c r="H65" i="5"/>
  <c r="H66" i="5"/>
  <c r="H56" i="5"/>
  <c r="E325" i="9" s="1"/>
  <c r="F325" i="9" s="1"/>
  <c r="H57" i="5"/>
  <c r="E326" i="9" s="1"/>
  <c r="F326" i="9" s="1"/>
  <c r="H58" i="5"/>
  <c r="H59" i="5"/>
  <c r="H60" i="5"/>
  <c r="H33" i="5"/>
  <c r="H34" i="5"/>
  <c r="H35" i="5"/>
  <c r="H36" i="5"/>
  <c r="H37" i="5"/>
  <c r="E421" i="9" s="1"/>
  <c r="F421" i="9" s="1"/>
  <c r="H21" i="5"/>
  <c r="H18" i="5"/>
  <c r="H16" i="5"/>
  <c r="E403" i="9" s="1"/>
  <c r="F403" i="9" s="1"/>
  <c r="G75" i="5"/>
  <c r="E235" i="9" s="1"/>
  <c r="F235" i="9" s="1"/>
  <c r="G76" i="5"/>
  <c r="E237" i="9" s="1"/>
  <c r="F237" i="9" s="1"/>
  <c r="G77" i="5"/>
  <c r="G58" i="5"/>
  <c r="F11" i="24"/>
  <c r="G141" i="5"/>
  <c r="E20" i="26" s="1"/>
  <c r="G121" i="5"/>
  <c r="G122" i="5"/>
  <c r="E277" i="9" s="1"/>
  <c r="F277" i="9" s="1"/>
  <c r="G123" i="5"/>
  <c r="G124" i="5"/>
  <c r="G129" i="5"/>
  <c r="G130" i="5"/>
  <c r="G131" i="5"/>
  <c r="G132" i="5"/>
  <c r="G133" i="5"/>
  <c r="G112" i="5"/>
  <c r="G113" i="5"/>
  <c r="G114" i="5"/>
  <c r="G115" i="5"/>
  <c r="G116" i="5"/>
  <c r="G117" i="5"/>
  <c r="G101" i="5"/>
  <c r="G102" i="5"/>
  <c r="G103" i="5"/>
  <c r="G104" i="5"/>
  <c r="G105" i="5"/>
  <c r="G106" i="5"/>
  <c r="E266" i="9" s="1"/>
  <c r="F266" i="9" s="1"/>
  <c r="G107" i="5"/>
  <c r="G108" i="5"/>
  <c r="G109" i="5"/>
  <c r="G93" i="5"/>
  <c r="G94" i="5"/>
  <c r="G95" i="5"/>
  <c r="G96" i="5"/>
  <c r="G97" i="5"/>
  <c r="G98" i="5"/>
  <c r="G83" i="5"/>
  <c r="G84" i="5"/>
  <c r="G88" i="5"/>
  <c r="G71" i="5"/>
  <c r="G72" i="5"/>
  <c r="G73" i="5"/>
  <c r="G74" i="5"/>
  <c r="G64" i="5"/>
  <c r="G65" i="5"/>
  <c r="G66" i="5"/>
  <c r="G56" i="5"/>
  <c r="E218" i="9" s="1"/>
  <c r="F218" i="9" s="1"/>
  <c r="G57" i="5"/>
  <c r="G59" i="5"/>
  <c r="G60" i="5"/>
  <c r="G34" i="5"/>
  <c r="G35" i="5"/>
  <c r="G36" i="5"/>
  <c r="G37" i="5"/>
  <c r="G38" i="5"/>
  <c r="G39" i="5"/>
  <c r="F33" i="5"/>
  <c r="F40" i="5" s="1"/>
  <c r="G33" i="5"/>
  <c r="E310" i="9" s="1"/>
  <c r="F310" i="9" s="1"/>
  <c r="F21" i="5"/>
  <c r="E192" i="9" s="1"/>
  <c r="F192" i="9" s="1"/>
  <c r="G21" i="5"/>
  <c r="F16" i="5"/>
  <c r="G16" i="5"/>
  <c r="F18" i="5"/>
  <c r="G18" i="5"/>
  <c r="R80" i="7"/>
  <c r="F141" i="5"/>
  <c r="D20" i="26" s="1"/>
  <c r="E121" i="5"/>
  <c r="F121" i="5"/>
  <c r="E122" i="5"/>
  <c r="F122" i="5"/>
  <c r="E123" i="5"/>
  <c r="F123" i="5"/>
  <c r="E124" i="5"/>
  <c r="F124" i="5"/>
  <c r="E129" i="5"/>
  <c r="F129" i="5"/>
  <c r="E130" i="5"/>
  <c r="F130" i="5"/>
  <c r="E131" i="5"/>
  <c r="F131" i="5"/>
  <c r="E132" i="5"/>
  <c r="F132" i="5"/>
  <c r="E133" i="5"/>
  <c r="F133" i="5"/>
  <c r="E113" i="5"/>
  <c r="F113" i="5"/>
  <c r="E114" i="5"/>
  <c r="F114" i="5"/>
  <c r="E115" i="5"/>
  <c r="F115" i="5"/>
  <c r="E116" i="5"/>
  <c r="F116" i="5"/>
  <c r="E117" i="5"/>
  <c r="F117" i="5"/>
  <c r="F112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F101" i="5"/>
  <c r="E94" i="5"/>
  <c r="F94" i="5"/>
  <c r="E95" i="5"/>
  <c r="F95" i="5"/>
  <c r="E96" i="5"/>
  <c r="F96" i="5"/>
  <c r="E97" i="5"/>
  <c r="F97" i="5"/>
  <c r="E98" i="5"/>
  <c r="F98" i="5"/>
  <c r="F93" i="5"/>
  <c r="E84" i="5"/>
  <c r="F84" i="5"/>
  <c r="E88" i="5"/>
  <c r="F88" i="5"/>
  <c r="F83" i="5"/>
  <c r="E138" i="9" s="1"/>
  <c r="F138" i="9" s="1"/>
  <c r="E72" i="5"/>
  <c r="F72" i="5"/>
  <c r="E73" i="5"/>
  <c r="F73" i="5"/>
  <c r="E74" i="5"/>
  <c r="F74" i="5"/>
  <c r="E75" i="5"/>
  <c r="F75" i="5"/>
  <c r="E76" i="5"/>
  <c r="F76" i="5"/>
  <c r="E77" i="5"/>
  <c r="E23" i="9" s="1"/>
  <c r="F23" i="9" s="1"/>
  <c r="F77" i="5"/>
  <c r="E132" i="9" s="1"/>
  <c r="F132" i="9" s="1"/>
  <c r="F71" i="5"/>
  <c r="F64" i="5"/>
  <c r="F57" i="5"/>
  <c r="F58" i="5"/>
  <c r="F59" i="5"/>
  <c r="F60" i="5"/>
  <c r="F56" i="5"/>
  <c r="E7" i="21"/>
  <c r="E7" i="22" s="1"/>
  <c r="P14" i="7"/>
  <c r="E141" i="5"/>
  <c r="C20" i="26" s="1"/>
  <c r="E138" i="5"/>
  <c r="C19" i="26" s="1"/>
  <c r="E42" i="5"/>
  <c r="E43" i="5"/>
  <c r="E44" i="5"/>
  <c r="E45" i="5"/>
  <c r="E46" i="5"/>
  <c r="E106" i="9" s="1"/>
  <c r="F106" i="9" s="1"/>
  <c r="E47" i="5"/>
  <c r="E48" i="5"/>
  <c r="E49" i="5"/>
  <c r="E56" i="5"/>
  <c r="E57" i="5"/>
  <c r="E58" i="5"/>
  <c r="E59" i="5"/>
  <c r="E60" i="5"/>
  <c r="E61" i="5"/>
  <c r="E64" i="5"/>
  <c r="E65" i="5"/>
  <c r="E66" i="5"/>
  <c r="E67" i="5"/>
  <c r="E11" i="9" s="1"/>
  <c r="F11" i="9" s="1"/>
  <c r="E68" i="5"/>
  <c r="E71" i="5"/>
  <c r="E78" i="5"/>
  <c r="E81" i="5"/>
  <c r="E82" i="5"/>
  <c r="E83" i="5"/>
  <c r="E89" i="5"/>
  <c r="E92" i="5"/>
  <c r="E93" i="5"/>
  <c r="E101" i="5"/>
  <c r="E112" i="5"/>
  <c r="E53" i="9" s="1"/>
  <c r="F53" i="9" s="1"/>
  <c r="E120" i="5"/>
  <c r="E22" i="5"/>
  <c r="S22" i="5" s="1"/>
  <c r="E23" i="5"/>
  <c r="E24" i="5"/>
  <c r="E25" i="5"/>
  <c r="E25" i="14" s="1"/>
  <c r="E26" i="5"/>
  <c r="E27" i="5"/>
  <c r="E28" i="5"/>
  <c r="E29" i="5"/>
  <c r="E33" i="5"/>
  <c r="E34" i="5"/>
  <c r="E35" i="5"/>
  <c r="E36" i="5"/>
  <c r="E97" i="9" s="1"/>
  <c r="F97" i="9" s="1"/>
  <c r="E37" i="5"/>
  <c r="E38" i="5"/>
  <c r="E39" i="5"/>
  <c r="E21" i="5"/>
  <c r="E16" i="5"/>
  <c r="E17" i="5"/>
  <c r="E18" i="5"/>
  <c r="J22" i="24"/>
  <c r="S108" i="15"/>
  <c r="J25" i="24"/>
  <c r="J21" i="24"/>
  <c r="J26" i="24"/>
  <c r="J24" i="24"/>
  <c r="J23" i="24"/>
  <c r="J20" i="24"/>
  <c r="J19" i="24"/>
  <c r="J18" i="24"/>
  <c r="J28" i="24"/>
  <c r="J34" i="24" s="1"/>
  <c r="J37" i="24" s="1"/>
  <c r="J38" i="24" s="1"/>
  <c r="D20" i="6"/>
  <c r="O165" i="17"/>
  <c r="L165" i="17"/>
  <c r="P165" i="17"/>
  <c r="K165" i="17"/>
  <c r="L165" i="16"/>
  <c r="O165" i="16"/>
  <c r="C25" i="26"/>
  <c r="S80" i="11"/>
  <c r="P178" i="5"/>
  <c r="P167" i="5" s="1"/>
  <c r="E178" i="5"/>
  <c r="E167" i="5" s="1"/>
  <c r="F166" i="5"/>
  <c r="G166" i="5"/>
  <c r="H166" i="5"/>
  <c r="I166" i="5"/>
  <c r="J166" i="5"/>
  <c r="K166" i="5"/>
  <c r="L166" i="5"/>
  <c r="M166" i="5"/>
  <c r="N166" i="5"/>
  <c r="O166" i="5"/>
  <c r="F167" i="5"/>
  <c r="G167" i="5"/>
  <c r="H167" i="5"/>
  <c r="I167" i="5"/>
  <c r="J167" i="5"/>
  <c r="K167" i="5"/>
  <c r="L167" i="5"/>
  <c r="M167" i="5"/>
  <c r="N167" i="5"/>
  <c r="O167" i="5"/>
  <c r="F166" i="13"/>
  <c r="G166" i="13"/>
  <c r="H166" i="13"/>
  <c r="I166" i="13"/>
  <c r="J166" i="13"/>
  <c r="K166" i="13"/>
  <c r="L166" i="13"/>
  <c r="M166" i="13"/>
  <c r="N166" i="13"/>
  <c r="O166" i="13"/>
  <c r="P166" i="13"/>
  <c r="F167" i="13"/>
  <c r="G167" i="13"/>
  <c r="H167" i="13"/>
  <c r="I167" i="13"/>
  <c r="J167" i="13"/>
  <c r="K167" i="13"/>
  <c r="L167" i="13"/>
  <c r="M167" i="13"/>
  <c r="N167" i="13"/>
  <c r="O167" i="13"/>
  <c r="F166" i="14"/>
  <c r="G166" i="14"/>
  <c r="H166" i="14"/>
  <c r="I166" i="14"/>
  <c r="J166" i="14"/>
  <c r="K166" i="14"/>
  <c r="L166" i="14"/>
  <c r="M166" i="14"/>
  <c r="N166" i="14"/>
  <c r="O166" i="14"/>
  <c r="P166" i="14"/>
  <c r="F167" i="14"/>
  <c r="G167" i="14"/>
  <c r="H167" i="14"/>
  <c r="I167" i="14"/>
  <c r="J167" i="14"/>
  <c r="K167" i="14"/>
  <c r="L167" i="14"/>
  <c r="M167" i="14"/>
  <c r="N167" i="14"/>
  <c r="O167" i="14"/>
  <c r="F166" i="16"/>
  <c r="G166" i="16"/>
  <c r="H166" i="16"/>
  <c r="I166" i="16"/>
  <c r="J166" i="16"/>
  <c r="K166" i="16"/>
  <c r="L166" i="16"/>
  <c r="M166" i="16"/>
  <c r="N166" i="16"/>
  <c r="O166" i="16"/>
  <c r="P166" i="16"/>
  <c r="F167" i="16"/>
  <c r="G167" i="16"/>
  <c r="H167" i="16"/>
  <c r="I167" i="16"/>
  <c r="J167" i="16"/>
  <c r="K167" i="16"/>
  <c r="L167" i="16"/>
  <c r="M167" i="16"/>
  <c r="N167" i="16"/>
  <c r="O167" i="16"/>
  <c r="F166" i="17"/>
  <c r="G166" i="17"/>
  <c r="H166" i="17"/>
  <c r="I166" i="17"/>
  <c r="J166" i="17"/>
  <c r="K166" i="17"/>
  <c r="L166" i="17"/>
  <c r="M166" i="17"/>
  <c r="N166" i="17"/>
  <c r="O166" i="17"/>
  <c r="P166" i="17"/>
  <c r="F167" i="17"/>
  <c r="G167" i="17"/>
  <c r="H167" i="17"/>
  <c r="I167" i="17"/>
  <c r="J167" i="17"/>
  <c r="K167" i="17"/>
  <c r="L167" i="17"/>
  <c r="M167" i="17"/>
  <c r="N167" i="17"/>
  <c r="O167" i="17"/>
  <c r="E166" i="5"/>
  <c r="E166" i="13"/>
  <c r="E166" i="14"/>
  <c r="E166" i="16"/>
  <c r="E166" i="17"/>
  <c r="C49" i="6"/>
  <c r="U4" i="11"/>
  <c r="T4" i="11"/>
  <c r="S4" i="11"/>
  <c r="P178" i="17"/>
  <c r="P167" i="17"/>
  <c r="P178" i="16"/>
  <c r="P167" i="16"/>
  <c r="P178" i="14"/>
  <c r="P167" i="14"/>
  <c r="P178" i="13"/>
  <c r="P167" i="13" s="1"/>
  <c r="I18" i="6"/>
  <c r="H108" i="12"/>
  <c r="I106" i="12"/>
  <c r="I99" i="12"/>
  <c r="AA28" i="12"/>
  <c r="P27" i="12"/>
  <c r="Q27" i="12"/>
  <c r="R27" i="12"/>
  <c r="S27" i="12"/>
  <c r="T27" i="12"/>
  <c r="U27" i="12"/>
  <c r="V27" i="12"/>
  <c r="W27" i="12"/>
  <c r="X27" i="12"/>
  <c r="Y27" i="12"/>
  <c r="Z27" i="12"/>
  <c r="E8" i="21"/>
  <c r="E8" i="22"/>
  <c r="E8" i="23" s="1"/>
  <c r="E227" i="20"/>
  <c r="E227" i="21"/>
  <c r="E227" i="22"/>
  <c r="E227" i="23"/>
  <c r="E226" i="20"/>
  <c r="E226" i="21"/>
  <c r="E226" i="22"/>
  <c r="E226" i="23"/>
  <c r="E225" i="20"/>
  <c r="E225" i="21"/>
  <c r="E225" i="22"/>
  <c r="E225" i="23"/>
  <c r="E224" i="20"/>
  <c r="E224" i="21"/>
  <c r="E224" i="22"/>
  <c r="E224" i="23"/>
  <c r="E223" i="20"/>
  <c r="E223" i="21"/>
  <c r="E223" i="22"/>
  <c r="E223" i="23"/>
  <c r="E222" i="20"/>
  <c r="E222" i="21"/>
  <c r="E222" i="22"/>
  <c r="E222" i="23"/>
  <c r="E221" i="20"/>
  <c r="E221" i="21"/>
  <c r="E221" i="22"/>
  <c r="E221" i="23"/>
  <c r="E220" i="20"/>
  <c r="E220" i="21"/>
  <c r="E220" i="22"/>
  <c r="E220" i="23"/>
  <c r="E219" i="20"/>
  <c r="E219" i="21"/>
  <c r="E219" i="22"/>
  <c r="E219" i="23"/>
  <c r="E218" i="20"/>
  <c r="E218" i="21"/>
  <c r="E218" i="22"/>
  <c r="E218" i="23"/>
  <c r="E217" i="20"/>
  <c r="E217" i="21"/>
  <c r="E217" i="22"/>
  <c r="E217" i="23"/>
  <c r="E216" i="20"/>
  <c r="E216" i="21" s="1"/>
  <c r="E212" i="20"/>
  <c r="E212" i="21"/>
  <c r="E212" i="22"/>
  <c r="E212" i="23"/>
  <c r="E211" i="20"/>
  <c r="E211" i="21"/>
  <c r="E211" i="22"/>
  <c r="E211" i="23"/>
  <c r="E210" i="20"/>
  <c r="E210" i="21"/>
  <c r="E210" i="22"/>
  <c r="E210" i="23"/>
  <c r="E209" i="20"/>
  <c r="E209" i="21"/>
  <c r="E209" i="22"/>
  <c r="E209" i="23"/>
  <c r="E208" i="20"/>
  <c r="E208" i="21"/>
  <c r="E208" i="22"/>
  <c r="E208" i="23"/>
  <c r="E207" i="20"/>
  <c r="E207" i="21"/>
  <c r="E207" i="22"/>
  <c r="E207" i="23"/>
  <c r="E206" i="20"/>
  <c r="E206" i="21"/>
  <c r="E206" i="22"/>
  <c r="E206" i="23"/>
  <c r="E205" i="20"/>
  <c r="E205" i="21"/>
  <c r="E205" i="22"/>
  <c r="E205" i="23"/>
  <c r="E204" i="20"/>
  <c r="E204" i="21"/>
  <c r="E204" i="22"/>
  <c r="E204" i="23"/>
  <c r="E203" i="20"/>
  <c r="E203" i="21" s="1"/>
  <c r="E202" i="20"/>
  <c r="E202" i="21" s="1"/>
  <c r="E198" i="20"/>
  <c r="E198" i="21"/>
  <c r="E198" i="22"/>
  <c r="E198" i="23"/>
  <c r="E197" i="20"/>
  <c r="E197" i="21"/>
  <c r="E197" i="22"/>
  <c r="E197" i="23"/>
  <c r="E196" i="20"/>
  <c r="E196" i="21"/>
  <c r="E196" i="22"/>
  <c r="E196" i="23"/>
  <c r="E195" i="20"/>
  <c r="E195" i="21"/>
  <c r="E195" i="22"/>
  <c r="E195" i="23"/>
  <c r="E194" i="20"/>
  <c r="E194" i="21"/>
  <c r="E194" i="22"/>
  <c r="E194" i="23"/>
  <c r="E193" i="20"/>
  <c r="E193" i="21"/>
  <c r="E193" i="22"/>
  <c r="E193" i="23"/>
  <c r="E192" i="20"/>
  <c r="E192" i="21"/>
  <c r="E192" i="22"/>
  <c r="E192" i="23"/>
  <c r="E191" i="20"/>
  <c r="E191" i="21"/>
  <c r="E191" i="22"/>
  <c r="E191" i="23"/>
  <c r="E190" i="20"/>
  <c r="E190" i="21"/>
  <c r="E190" i="22"/>
  <c r="E190" i="23"/>
  <c r="E186" i="20"/>
  <c r="E186" i="21"/>
  <c r="E186" i="22"/>
  <c r="E186" i="23"/>
  <c r="E185" i="20"/>
  <c r="E185" i="21"/>
  <c r="E185" i="22"/>
  <c r="E185" i="23"/>
  <c r="E184" i="20"/>
  <c r="E184" i="21"/>
  <c r="E184" i="22"/>
  <c r="E184" i="23"/>
  <c r="E183" i="20"/>
  <c r="E183" i="21"/>
  <c r="E183" i="22"/>
  <c r="E183" i="23"/>
  <c r="E182" i="20"/>
  <c r="E182" i="21"/>
  <c r="E182" i="22"/>
  <c r="E182" i="23"/>
  <c r="E181" i="20"/>
  <c r="E181" i="21"/>
  <c r="E181" i="22"/>
  <c r="E181" i="23"/>
  <c r="E180" i="20"/>
  <c r="E180" i="21"/>
  <c r="E180" i="22"/>
  <c r="E180" i="23"/>
  <c r="E179" i="20"/>
  <c r="E179" i="21"/>
  <c r="E179" i="22"/>
  <c r="E179" i="23"/>
  <c r="E178" i="20"/>
  <c r="E178" i="21"/>
  <c r="E178" i="22"/>
  <c r="E178" i="23"/>
  <c r="E177" i="20"/>
  <c r="E177" i="21"/>
  <c r="E177" i="22"/>
  <c r="E177" i="23"/>
  <c r="E176" i="20"/>
  <c r="E176" i="21"/>
  <c r="E176" i="22"/>
  <c r="E176" i="23"/>
  <c r="E175" i="20"/>
  <c r="E175" i="21"/>
  <c r="E175" i="22"/>
  <c r="E175" i="23"/>
  <c r="E174" i="20"/>
  <c r="E174" i="21"/>
  <c r="E174" i="22"/>
  <c r="E174" i="23"/>
  <c r="E173" i="20"/>
  <c r="E173" i="21"/>
  <c r="E173" i="22"/>
  <c r="E173" i="23"/>
  <c r="E172" i="20"/>
  <c r="E172" i="21"/>
  <c r="E172" i="22"/>
  <c r="E172" i="23"/>
  <c r="E171" i="20"/>
  <c r="E171" i="21"/>
  <c r="E171" i="22"/>
  <c r="E171" i="23"/>
  <c r="E170" i="20"/>
  <c r="E170" i="21"/>
  <c r="E170" i="22"/>
  <c r="E170" i="23"/>
  <c r="E169" i="20"/>
  <c r="E169" i="21"/>
  <c r="E169" i="22"/>
  <c r="E169" i="23"/>
  <c r="E168" i="20"/>
  <c r="E168" i="21"/>
  <c r="E168" i="22"/>
  <c r="E168" i="23"/>
  <c r="E164" i="20"/>
  <c r="E164" i="21"/>
  <c r="E164" i="22"/>
  <c r="E164" i="23"/>
  <c r="E163" i="20"/>
  <c r="E163" i="21"/>
  <c r="E163" i="22"/>
  <c r="E163" i="23"/>
  <c r="E162" i="20"/>
  <c r="E162" i="21"/>
  <c r="E162" i="22"/>
  <c r="E162" i="23"/>
  <c r="E161" i="20"/>
  <c r="E161" i="21"/>
  <c r="E161" i="22"/>
  <c r="E161" i="23"/>
  <c r="E160" i="20"/>
  <c r="E160" i="21"/>
  <c r="E160" i="22"/>
  <c r="E160" i="23"/>
  <c r="E159" i="20"/>
  <c r="E159" i="21"/>
  <c r="E159" i="22"/>
  <c r="E159" i="23"/>
  <c r="E158" i="20"/>
  <c r="E158" i="21"/>
  <c r="E158" i="22"/>
  <c r="E158" i="23"/>
  <c r="E157" i="20"/>
  <c r="E157" i="21"/>
  <c r="E157" i="22"/>
  <c r="E157" i="23"/>
  <c r="E156" i="20"/>
  <c r="E156" i="21" s="1"/>
  <c r="E156" i="22" s="1"/>
  <c r="E156" i="23" s="1"/>
  <c r="E155" i="21"/>
  <c r="E155" i="22" s="1"/>
  <c r="E155" i="23" s="1"/>
  <c r="E154" i="20"/>
  <c r="E154" i="21"/>
  <c r="E154" i="22" s="1"/>
  <c r="E153" i="20"/>
  <c r="E153" i="21"/>
  <c r="E153" i="22" s="1"/>
  <c r="E153" i="23" s="1"/>
  <c r="E152" i="20"/>
  <c r="E152" i="21" s="1"/>
  <c r="E151" i="20"/>
  <c r="E151" i="21" s="1"/>
  <c r="E150" i="20"/>
  <c r="E150" i="21" s="1"/>
  <c r="E149" i="20"/>
  <c r="E149" i="21" s="1"/>
  <c r="E148" i="20"/>
  <c r="E148" i="21" s="1"/>
  <c r="E147" i="20"/>
  <c r="E147" i="21" s="1"/>
  <c r="E146" i="20"/>
  <c r="E146" i="21" s="1"/>
  <c r="E142" i="20"/>
  <c r="E142" i="21"/>
  <c r="E142" i="22"/>
  <c r="E142" i="23"/>
  <c r="E141" i="20"/>
  <c r="E141" i="21"/>
  <c r="E141" i="22"/>
  <c r="E141" i="23"/>
  <c r="E140" i="20"/>
  <c r="E140" i="21"/>
  <c r="E140" i="22"/>
  <c r="E140" i="23"/>
  <c r="E139" i="20"/>
  <c r="E139" i="21"/>
  <c r="E139" i="22"/>
  <c r="E139" i="23"/>
  <c r="E138" i="20"/>
  <c r="E138" i="21"/>
  <c r="E138" i="22"/>
  <c r="E138" i="23"/>
  <c r="E137" i="20"/>
  <c r="E137" i="21"/>
  <c r="E137" i="22"/>
  <c r="E137" i="23"/>
  <c r="E136" i="20"/>
  <c r="E136" i="21"/>
  <c r="E136" i="22"/>
  <c r="E136" i="23"/>
  <c r="E135" i="20"/>
  <c r="E135" i="21"/>
  <c r="E135" i="22"/>
  <c r="E135" i="23"/>
  <c r="E134" i="20"/>
  <c r="E134" i="21"/>
  <c r="E134" i="22"/>
  <c r="E134" i="23"/>
  <c r="E133" i="20"/>
  <c r="E133" i="21"/>
  <c r="E133" i="22"/>
  <c r="E133" i="23"/>
  <c r="E132" i="20"/>
  <c r="E132" i="21"/>
  <c r="E132" i="22"/>
  <c r="E132" i="23"/>
  <c r="E131" i="20"/>
  <c r="E131" i="21"/>
  <c r="E131" i="22"/>
  <c r="E131" i="23"/>
  <c r="E130" i="20"/>
  <c r="E130" i="21"/>
  <c r="E130" i="22"/>
  <c r="E130" i="23"/>
  <c r="E129" i="20"/>
  <c r="E129" i="21"/>
  <c r="E129" i="22"/>
  <c r="E129" i="23"/>
  <c r="E128" i="20"/>
  <c r="E128" i="21"/>
  <c r="E128" i="22"/>
  <c r="E128" i="23"/>
  <c r="E127" i="20"/>
  <c r="E127" i="21"/>
  <c r="E127" i="22"/>
  <c r="E127" i="23"/>
  <c r="E126" i="20"/>
  <c r="E126" i="21"/>
  <c r="E126" i="22"/>
  <c r="E126" i="23"/>
  <c r="E125" i="20"/>
  <c r="E125" i="21"/>
  <c r="E125" i="22"/>
  <c r="E125" i="23"/>
  <c r="E124" i="20"/>
  <c r="E124" i="21"/>
  <c r="E124" i="22"/>
  <c r="E124" i="23"/>
  <c r="E120" i="20"/>
  <c r="E120" i="21"/>
  <c r="E120" i="22"/>
  <c r="E120" i="23"/>
  <c r="E119" i="20"/>
  <c r="E119" i="21"/>
  <c r="E119" i="22"/>
  <c r="E119" i="23"/>
  <c r="E118" i="20"/>
  <c r="E118" i="21"/>
  <c r="E118" i="22"/>
  <c r="E118" i="23"/>
  <c r="E117" i="20"/>
  <c r="E117" i="21" s="1"/>
  <c r="E117" i="22" s="1"/>
  <c r="E117" i="23" s="1"/>
  <c r="E116" i="20"/>
  <c r="E116" i="21" s="1"/>
  <c r="E116" i="22" s="1"/>
  <c r="E116" i="23" s="1"/>
  <c r="E115" i="20"/>
  <c r="E115" i="21" s="1"/>
  <c r="E115" i="22" s="1"/>
  <c r="E115" i="23" s="1"/>
  <c r="E114" i="20"/>
  <c r="E114" i="21" s="1"/>
  <c r="E114" i="22" s="1"/>
  <c r="E114" i="23" s="1"/>
  <c r="E113" i="20"/>
  <c r="E113" i="21" s="1"/>
  <c r="E113" i="22" s="1"/>
  <c r="E113" i="23" s="1"/>
  <c r="E112" i="20"/>
  <c r="E112" i="21" s="1"/>
  <c r="E111" i="20"/>
  <c r="E111" i="21" s="1"/>
  <c r="E110" i="20"/>
  <c r="E110" i="21" s="1"/>
  <c r="E109" i="20"/>
  <c r="E109" i="21" s="1"/>
  <c r="E108" i="20"/>
  <c r="E108" i="21" s="1"/>
  <c r="E107" i="20"/>
  <c r="E107" i="21" s="1"/>
  <c r="E106" i="20"/>
  <c r="E106" i="21" s="1"/>
  <c r="E105" i="20"/>
  <c r="E105" i="21" s="1"/>
  <c r="E104" i="20"/>
  <c r="E104" i="21"/>
  <c r="E104" i="22"/>
  <c r="E104" i="23" s="1"/>
  <c r="Q104" i="23" s="1"/>
  <c r="E103" i="20"/>
  <c r="E103" i="21" s="1"/>
  <c r="E102" i="20"/>
  <c r="E102" i="21" s="1"/>
  <c r="E98" i="20"/>
  <c r="E98" i="21"/>
  <c r="E98" i="22"/>
  <c r="E98" i="23"/>
  <c r="E97" i="20"/>
  <c r="E97" i="21"/>
  <c r="E97" i="22"/>
  <c r="E97" i="23"/>
  <c r="E96" i="20"/>
  <c r="E96" i="21"/>
  <c r="E96" i="22"/>
  <c r="E96" i="23"/>
  <c r="E95" i="20"/>
  <c r="E95" i="21"/>
  <c r="E95" i="22"/>
  <c r="E95" i="23"/>
  <c r="E94" i="20"/>
  <c r="E94" i="21"/>
  <c r="E94" i="22"/>
  <c r="E94" i="23"/>
  <c r="E93" i="20"/>
  <c r="E93" i="21"/>
  <c r="E93" i="22"/>
  <c r="E93" i="23"/>
  <c r="E92" i="20"/>
  <c r="E92" i="21"/>
  <c r="E92" i="22"/>
  <c r="E92" i="23"/>
  <c r="E91" i="20"/>
  <c r="E91" i="21"/>
  <c r="E91" i="22"/>
  <c r="E91" i="23"/>
  <c r="E90" i="20"/>
  <c r="E90" i="21"/>
  <c r="E90" i="22"/>
  <c r="E90" i="23"/>
  <c r="E89" i="20"/>
  <c r="E89" i="21"/>
  <c r="E89" i="22"/>
  <c r="E89" i="23"/>
  <c r="E88" i="20"/>
  <c r="E88" i="21"/>
  <c r="E88" i="22"/>
  <c r="E88" i="23"/>
  <c r="E87" i="20"/>
  <c r="E87" i="21"/>
  <c r="E87" i="22"/>
  <c r="E87" i="23"/>
  <c r="E86" i="20"/>
  <c r="E86" i="21"/>
  <c r="E86" i="22"/>
  <c r="E86" i="23"/>
  <c r="E85" i="20"/>
  <c r="E85" i="21"/>
  <c r="E85" i="22"/>
  <c r="E85" i="23"/>
  <c r="E84" i="20"/>
  <c r="E84" i="21"/>
  <c r="E84" i="22"/>
  <c r="E84" i="23"/>
  <c r="E83" i="20"/>
  <c r="E83" i="21" s="1"/>
  <c r="E82" i="20"/>
  <c r="E82" i="21" s="1"/>
  <c r="E81" i="20"/>
  <c r="E81" i="21" s="1"/>
  <c r="E80" i="20"/>
  <c r="E80" i="21" s="1"/>
  <c r="E79" i="20"/>
  <c r="E79" i="21" s="1"/>
  <c r="E78" i="20"/>
  <c r="E78" i="21"/>
  <c r="E78" i="22"/>
  <c r="E78" i="23" s="1"/>
  <c r="E74" i="20"/>
  <c r="E74" i="21"/>
  <c r="E74" i="22"/>
  <c r="E74" i="23"/>
  <c r="E73" i="20"/>
  <c r="E73" i="21"/>
  <c r="E73" i="22"/>
  <c r="E73" i="23"/>
  <c r="E72" i="20"/>
  <c r="E72" i="21"/>
  <c r="E72" i="22"/>
  <c r="E72" i="23"/>
  <c r="E71" i="20"/>
  <c r="E71" i="21"/>
  <c r="E71" i="22"/>
  <c r="E71" i="23"/>
  <c r="E70" i="20"/>
  <c r="E70" i="21"/>
  <c r="E70" i="22"/>
  <c r="E70" i="23"/>
  <c r="E69" i="20"/>
  <c r="E69" i="21"/>
  <c r="E69" i="22"/>
  <c r="E69" i="23"/>
  <c r="E68" i="20"/>
  <c r="E68" i="21"/>
  <c r="E68" i="22"/>
  <c r="E68" i="23"/>
  <c r="E59" i="20"/>
  <c r="E59" i="21"/>
  <c r="E59" i="22"/>
  <c r="E59" i="23"/>
  <c r="E58" i="20"/>
  <c r="E58" i="21"/>
  <c r="E58" i="22"/>
  <c r="E58" i="23"/>
  <c r="E57" i="20"/>
  <c r="E57" i="21"/>
  <c r="E57" i="22"/>
  <c r="E57" i="23"/>
  <c r="E56" i="20"/>
  <c r="E56" i="21"/>
  <c r="E56" i="22"/>
  <c r="E56" i="23"/>
  <c r="E55" i="20"/>
  <c r="E55" i="21"/>
  <c r="E55" i="22"/>
  <c r="E55" i="23"/>
  <c r="E54" i="20"/>
  <c r="E54" i="21"/>
  <c r="E54" i="22"/>
  <c r="E54" i="23"/>
  <c r="E53" i="20"/>
  <c r="E53" i="21"/>
  <c r="E53" i="22"/>
  <c r="E53" i="23"/>
  <c r="E52" i="20"/>
  <c r="E52" i="21"/>
  <c r="E52" i="22"/>
  <c r="E52" i="23"/>
  <c r="E51" i="20"/>
  <c r="E51" i="21"/>
  <c r="E51" i="22"/>
  <c r="E51" i="23"/>
  <c r="E50" i="20"/>
  <c r="E50" i="21"/>
  <c r="E50" i="22"/>
  <c r="E50" i="23"/>
  <c r="E49" i="20"/>
  <c r="E49" i="21"/>
  <c r="E49" i="22"/>
  <c r="E49" i="23"/>
  <c r="E48" i="20"/>
  <c r="E48" i="21"/>
  <c r="E48" i="22"/>
  <c r="E48" i="23"/>
  <c r="E47" i="20"/>
  <c r="E47" i="21"/>
  <c r="E47" i="22"/>
  <c r="E47" i="23"/>
  <c r="E46" i="20"/>
  <c r="E46" i="21"/>
  <c r="E46" i="22"/>
  <c r="E46" i="23"/>
  <c r="E45" i="20"/>
  <c r="E45" i="21"/>
  <c r="E45" i="22"/>
  <c r="E45" i="23"/>
  <c r="E44" i="20"/>
  <c r="E44" i="21"/>
  <c r="E44" i="22"/>
  <c r="E44" i="23"/>
  <c r="E43" i="20"/>
  <c r="E43" i="21"/>
  <c r="E43" i="22"/>
  <c r="E43" i="23"/>
  <c r="E42" i="20"/>
  <c r="E42" i="21"/>
  <c r="E42" i="22"/>
  <c r="E42" i="23"/>
  <c r="E41" i="20"/>
  <c r="E41" i="21"/>
  <c r="E41" i="22"/>
  <c r="E41" i="23"/>
  <c r="E40" i="20"/>
  <c r="E40" i="21"/>
  <c r="E40" i="22"/>
  <c r="E40" i="23"/>
  <c r="E39" i="20"/>
  <c r="E39" i="21"/>
  <c r="E39" i="22"/>
  <c r="E39" i="23"/>
  <c r="E38" i="20"/>
  <c r="E38" i="21"/>
  <c r="E38" i="22"/>
  <c r="E38" i="23"/>
  <c r="E37" i="20"/>
  <c r="E37" i="21"/>
  <c r="E37" i="22"/>
  <c r="E37" i="23"/>
  <c r="E36" i="20"/>
  <c r="E36" i="21"/>
  <c r="E36" i="22"/>
  <c r="E36" i="23"/>
  <c r="E35" i="20"/>
  <c r="E35" i="21"/>
  <c r="E35" i="22"/>
  <c r="E35" i="23"/>
  <c r="E34" i="20"/>
  <c r="E34" i="21"/>
  <c r="E34" i="22" s="1"/>
  <c r="E33" i="20"/>
  <c r="E33" i="21" s="1"/>
  <c r="E32" i="20"/>
  <c r="E32" i="21" s="1"/>
  <c r="E31" i="20"/>
  <c r="E31" i="21"/>
  <c r="E31" i="22" s="1"/>
  <c r="E30" i="20"/>
  <c r="E30" i="21" s="1"/>
  <c r="E29" i="20"/>
  <c r="E29" i="21" s="1"/>
  <c r="E29" i="22" s="1"/>
  <c r="E29" i="23" s="1"/>
  <c r="E28" i="20"/>
  <c r="E28" i="21" s="1"/>
  <c r="E28" i="22" s="1"/>
  <c r="E28" i="23" s="1"/>
  <c r="E27" i="20"/>
  <c r="E27" i="21" s="1"/>
  <c r="E27" i="22" s="1"/>
  <c r="E27" i="23" s="1"/>
  <c r="E26" i="20"/>
  <c r="E26" i="21" s="1"/>
  <c r="E25" i="20"/>
  <c r="E25" i="21" s="1"/>
  <c r="E24" i="20"/>
  <c r="E24" i="21" s="1"/>
  <c r="E24" i="22" s="1"/>
  <c r="E24" i="23" s="1"/>
  <c r="E23" i="20"/>
  <c r="E23" i="21" s="1"/>
  <c r="E23" i="22" s="1"/>
  <c r="E23" i="23" s="1"/>
  <c r="E22" i="21"/>
  <c r="E22" i="22" s="1"/>
  <c r="E22" i="23" s="1"/>
  <c r="E21" i="21"/>
  <c r="E21" i="22" s="1"/>
  <c r="E21" i="23" s="1"/>
  <c r="E20" i="21"/>
  <c r="E20" i="22" s="1"/>
  <c r="E20" i="23" s="1"/>
  <c r="E19" i="21"/>
  <c r="E19" i="22" s="1"/>
  <c r="E18" i="21"/>
  <c r="E17" i="21"/>
  <c r="E17" i="22" s="1"/>
  <c r="E16" i="21"/>
  <c r="E16" i="22" s="1"/>
  <c r="E15" i="21"/>
  <c r="E15" i="22" s="1"/>
  <c r="E14" i="21"/>
  <c r="E13" i="21"/>
  <c r="E12" i="21"/>
  <c r="E11" i="21"/>
  <c r="E11" i="22" s="1"/>
  <c r="E10" i="21"/>
  <c r="E63" i="20"/>
  <c r="E63" i="21"/>
  <c r="E63" i="22"/>
  <c r="E63" i="23"/>
  <c r="D227" i="21"/>
  <c r="D226" i="21"/>
  <c r="D225" i="21"/>
  <c r="D224" i="21"/>
  <c r="D223" i="21"/>
  <c r="D222" i="21"/>
  <c r="D221" i="21"/>
  <c r="D220" i="21"/>
  <c r="D219" i="21"/>
  <c r="D218" i="21"/>
  <c r="D217" i="21"/>
  <c r="D216" i="21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27" i="23"/>
  <c r="D226" i="23"/>
  <c r="D225" i="23"/>
  <c r="D224" i="23"/>
  <c r="D223" i="23"/>
  <c r="D222" i="23"/>
  <c r="D221" i="23"/>
  <c r="D220" i="23"/>
  <c r="D219" i="23"/>
  <c r="D218" i="23"/>
  <c r="D217" i="23"/>
  <c r="D216" i="23"/>
  <c r="D227" i="20"/>
  <c r="D226" i="20"/>
  <c r="D225" i="20"/>
  <c r="D224" i="20"/>
  <c r="D223" i="20"/>
  <c r="D222" i="20"/>
  <c r="D221" i="20"/>
  <c r="D220" i="20"/>
  <c r="D219" i="20"/>
  <c r="D218" i="20"/>
  <c r="D217" i="20"/>
  <c r="D216" i="20"/>
  <c r="D212" i="21"/>
  <c r="D211" i="21"/>
  <c r="D210" i="21"/>
  <c r="D209" i="21"/>
  <c r="D208" i="21"/>
  <c r="D207" i="21"/>
  <c r="D206" i="21"/>
  <c r="D205" i="21"/>
  <c r="D204" i="21"/>
  <c r="D203" i="21"/>
  <c r="D202" i="21"/>
  <c r="D212" i="22"/>
  <c r="D211" i="22"/>
  <c r="D210" i="22"/>
  <c r="D209" i="22"/>
  <c r="D208" i="22"/>
  <c r="D207" i="22"/>
  <c r="D206" i="22"/>
  <c r="D205" i="22"/>
  <c r="D204" i="22"/>
  <c r="D203" i="22"/>
  <c r="D202" i="22"/>
  <c r="D212" i="23"/>
  <c r="D211" i="23"/>
  <c r="D210" i="23"/>
  <c r="D209" i="23"/>
  <c r="D208" i="23"/>
  <c r="D207" i="23"/>
  <c r="D206" i="23"/>
  <c r="D205" i="23"/>
  <c r="D204" i="23"/>
  <c r="D203" i="23"/>
  <c r="D202" i="23"/>
  <c r="D212" i="20"/>
  <c r="D211" i="20"/>
  <c r="D210" i="20"/>
  <c r="D209" i="20"/>
  <c r="D208" i="20"/>
  <c r="D207" i="20"/>
  <c r="D206" i="20"/>
  <c r="D205" i="20"/>
  <c r="D204" i="20"/>
  <c r="D203" i="20"/>
  <c r="D202" i="20"/>
  <c r="D198" i="21"/>
  <c r="D197" i="21"/>
  <c r="D196" i="21"/>
  <c r="D195" i="21"/>
  <c r="D194" i="21"/>
  <c r="D193" i="21"/>
  <c r="D192" i="21"/>
  <c r="D191" i="21"/>
  <c r="D190" i="21"/>
  <c r="D198" i="22"/>
  <c r="D197" i="22"/>
  <c r="D196" i="22"/>
  <c r="D195" i="22"/>
  <c r="D194" i="22"/>
  <c r="D193" i="22"/>
  <c r="D192" i="22"/>
  <c r="D191" i="22"/>
  <c r="D190" i="22"/>
  <c r="D198" i="23"/>
  <c r="D197" i="23"/>
  <c r="D196" i="23"/>
  <c r="D195" i="23"/>
  <c r="D194" i="23"/>
  <c r="D193" i="23"/>
  <c r="D192" i="23"/>
  <c r="D191" i="23"/>
  <c r="D190" i="23"/>
  <c r="D198" i="20"/>
  <c r="D197" i="20"/>
  <c r="D196" i="20"/>
  <c r="D195" i="20"/>
  <c r="D194" i="20"/>
  <c r="D193" i="20"/>
  <c r="D192" i="20"/>
  <c r="D191" i="20"/>
  <c r="D190" i="20"/>
  <c r="D186" i="21"/>
  <c r="D185" i="21"/>
  <c r="D184" i="21"/>
  <c r="D183" i="21"/>
  <c r="D182" i="21"/>
  <c r="D181" i="21"/>
  <c r="D180" i="21"/>
  <c r="D179" i="21"/>
  <c r="D178" i="21"/>
  <c r="D177" i="21"/>
  <c r="D176" i="21"/>
  <c r="D175" i="21"/>
  <c r="D174" i="21"/>
  <c r="D173" i="21"/>
  <c r="D172" i="21"/>
  <c r="D171" i="21"/>
  <c r="D170" i="21"/>
  <c r="D169" i="21"/>
  <c r="D168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86" i="23"/>
  <c r="D185" i="23"/>
  <c r="D184" i="23"/>
  <c r="D183" i="23"/>
  <c r="D182" i="23"/>
  <c r="D181" i="23"/>
  <c r="D180" i="23"/>
  <c r="D179" i="23"/>
  <c r="D178" i="23"/>
  <c r="D177" i="23"/>
  <c r="D176" i="23"/>
  <c r="D175" i="23"/>
  <c r="D174" i="23"/>
  <c r="D173" i="23"/>
  <c r="D172" i="23"/>
  <c r="D171" i="23"/>
  <c r="D170" i="23"/>
  <c r="D169" i="23"/>
  <c r="D168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86" i="20"/>
  <c r="D185" i="20"/>
  <c r="D184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2" i="21"/>
  <c r="D141" i="21"/>
  <c r="D140" i="21"/>
  <c r="D139" i="21"/>
  <c r="D138" i="21"/>
  <c r="D137" i="21"/>
  <c r="D136" i="21"/>
  <c r="D135" i="21"/>
  <c r="D134" i="21"/>
  <c r="D133" i="21"/>
  <c r="D132" i="21"/>
  <c r="D131" i="21"/>
  <c r="D130" i="21"/>
  <c r="D129" i="21"/>
  <c r="D128" i="21"/>
  <c r="D127" i="21"/>
  <c r="D126" i="21"/>
  <c r="D125" i="21"/>
  <c r="D124" i="21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42" i="23"/>
  <c r="D141" i="23"/>
  <c r="D140" i="23"/>
  <c r="D139" i="23"/>
  <c r="D138" i="23"/>
  <c r="D137" i="23"/>
  <c r="D136" i="23"/>
  <c r="D135" i="23"/>
  <c r="D134" i="23"/>
  <c r="D133" i="23"/>
  <c r="D132" i="23"/>
  <c r="D131" i="23"/>
  <c r="D130" i="23"/>
  <c r="D129" i="23"/>
  <c r="D128" i="23"/>
  <c r="D127" i="23"/>
  <c r="D126" i="23"/>
  <c r="D125" i="23"/>
  <c r="D124" i="23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0" i="21"/>
  <c r="D119" i="21"/>
  <c r="D118" i="21"/>
  <c r="D117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20" i="23"/>
  <c r="D119" i="23"/>
  <c r="D118" i="23"/>
  <c r="D117" i="23"/>
  <c r="D116" i="23"/>
  <c r="D115" i="23"/>
  <c r="D114" i="23"/>
  <c r="D113" i="23"/>
  <c r="D112" i="23"/>
  <c r="D111" i="23"/>
  <c r="D110" i="23"/>
  <c r="D109" i="23"/>
  <c r="D108" i="23"/>
  <c r="D107" i="23"/>
  <c r="D106" i="23"/>
  <c r="D105" i="23"/>
  <c r="D104" i="23"/>
  <c r="D103" i="23"/>
  <c r="D102" i="23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4" i="21"/>
  <c r="D73" i="21"/>
  <c r="D72" i="21"/>
  <c r="D71" i="21"/>
  <c r="D70" i="21"/>
  <c r="D69" i="21"/>
  <c r="D68" i="21"/>
  <c r="D74" i="22"/>
  <c r="D73" i="22"/>
  <c r="D72" i="22"/>
  <c r="D71" i="22"/>
  <c r="D70" i="22"/>
  <c r="D69" i="22"/>
  <c r="D68" i="22"/>
  <c r="D74" i="23"/>
  <c r="D73" i="23"/>
  <c r="D72" i="23"/>
  <c r="D71" i="23"/>
  <c r="D70" i="23"/>
  <c r="D69" i="23"/>
  <c r="D68" i="23"/>
  <c r="D74" i="20"/>
  <c r="D73" i="20"/>
  <c r="D72" i="20"/>
  <c r="D71" i="20"/>
  <c r="D70" i="20"/>
  <c r="D69" i="20"/>
  <c r="D68" i="20"/>
  <c r="D63" i="21"/>
  <c r="D63" i="22"/>
  <c r="D63" i="23"/>
  <c r="D63" i="20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I122" i="7"/>
  <c r="R227" i="7"/>
  <c r="R226" i="7"/>
  <c r="R225" i="7"/>
  <c r="R224" i="7"/>
  <c r="R223" i="7"/>
  <c r="R222" i="7"/>
  <c r="R221" i="7"/>
  <c r="R220" i="7"/>
  <c r="R219" i="7"/>
  <c r="R218" i="7"/>
  <c r="R217" i="7"/>
  <c r="R216" i="7"/>
  <c r="R212" i="7"/>
  <c r="R211" i="7"/>
  <c r="R210" i="7"/>
  <c r="R209" i="7"/>
  <c r="R208" i="7"/>
  <c r="R207" i="7"/>
  <c r="R206" i="7"/>
  <c r="R205" i="7"/>
  <c r="R204" i="7"/>
  <c r="R203" i="7"/>
  <c r="R202" i="7"/>
  <c r="R198" i="7"/>
  <c r="R197" i="7"/>
  <c r="R196" i="7"/>
  <c r="R195" i="7"/>
  <c r="R194" i="7"/>
  <c r="R193" i="7"/>
  <c r="R192" i="7"/>
  <c r="R191" i="7"/>
  <c r="R190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4" i="7"/>
  <c r="R163" i="7"/>
  <c r="R162" i="7"/>
  <c r="R161" i="7"/>
  <c r="R160" i="7"/>
  <c r="R159" i="7"/>
  <c r="R158" i="7"/>
  <c r="R157" i="7"/>
  <c r="R156" i="7"/>
  <c r="R154" i="7"/>
  <c r="R153" i="7"/>
  <c r="R152" i="7"/>
  <c r="R151" i="7"/>
  <c r="R150" i="7"/>
  <c r="R149" i="7"/>
  <c r="R148" i="7"/>
  <c r="R147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0" i="7"/>
  <c r="R119" i="7"/>
  <c r="R118" i="7"/>
  <c r="R117" i="7"/>
  <c r="R116" i="7"/>
  <c r="R115" i="7"/>
  <c r="R113" i="7"/>
  <c r="R112" i="7"/>
  <c r="R111" i="7"/>
  <c r="R110" i="7"/>
  <c r="R109" i="7"/>
  <c r="R108" i="7"/>
  <c r="R107" i="7"/>
  <c r="R106" i="7"/>
  <c r="R105" i="7"/>
  <c r="R104" i="7"/>
  <c r="R103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79" i="7"/>
  <c r="R78" i="7"/>
  <c r="R74" i="7"/>
  <c r="R73" i="7"/>
  <c r="R72" i="7"/>
  <c r="R71" i="7"/>
  <c r="R70" i="7"/>
  <c r="R69" i="7"/>
  <c r="R63" i="7"/>
  <c r="R9" i="7"/>
  <c r="R10" i="7"/>
  <c r="R11" i="7"/>
  <c r="R12" i="7"/>
  <c r="R13" i="7"/>
  <c r="R15" i="7"/>
  <c r="R16" i="7"/>
  <c r="R17" i="7"/>
  <c r="R18" i="7"/>
  <c r="R19" i="7"/>
  <c r="R20" i="7"/>
  <c r="R21" i="7"/>
  <c r="R22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D8" i="21"/>
  <c r="D8" i="22"/>
  <c r="D8" i="23"/>
  <c r="D8" i="20"/>
  <c r="H8" i="20"/>
  <c r="H8" i="21" s="1"/>
  <c r="Q67" i="21"/>
  <c r="Q67" i="22"/>
  <c r="Q67" i="23"/>
  <c r="Q67" i="20"/>
  <c r="D7" i="21"/>
  <c r="D7" i="22"/>
  <c r="D7" i="23"/>
  <c r="D7" i="20"/>
  <c r="Q227" i="7"/>
  <c r="Q226" i="7"/>
  <c r="Q225" i="7"/>
  <c r="Q224" i="7"/>
  <c r="Q223" i="7"/>
  <c r="Q222" i="7"/>
  <c r="Q221" i="7"/>
  <c r="Q220" i="7"/>
  <c r="Q219" i="7"/>
  <c r="Q218" i="7"/>
  <c r="Q217" i="7"/>
  <c r="Q216" i="7"/>
  <c r="Q212" i="7"/>
  <c r="Q211" i="7"/>
  <c r="Q210" i="7"/>
  <c r="Q209" i="7"/>
  <c r="Q208" i="7"/>
  <c r="Q207" i="7"/>
  <c r="Q206" i="7"/>
  <c r="Q205" i="7"/>
  <c r="Q204" i="7"/>
  <c r="Q203" i="7"/>
  <c r="Q202" i="7"/>
  <c r="Q198" i="7"/>
  <c r="Q197" i="7"/>
  <c r="Q196" i="7"/>
  <c r="Q195" i="7"/>
  <c r="Q194" i="7"/>
  <c r="Q193" i="7"/>
  <c r="Q192" i="7"/>
  <c r="Q191" i="7"/>
  <c r="Q190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68" i="7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0" i="7"/>
  <c r="Q119" i="7"/>
  <c r="Q118" i="7"/>
  <c r="Q117" i="7"/>
  <c r="Q116" i="7"/>
  <c r="Q115" i="7"/>
  <c r="Q114" i="7"/>
  <c r="Q122" i="7" s="1"/>
  <c r="Q113" i="7"/>
  <c r="Q112" i="7"/>
  <c r="Q111" i="7"/>
  <c r="Q110" i="7"/>
  <c r="Q109" i="7"/>
  <c r="Q108" i="7"/>
  <c r="Q107" i="7"/>
  <c r="Q106" i="7"/>
  <c r="Q105" i="7"/>
  <c r="Q104" i="7"/>
  <c r="Q103" i="7"/>
  <c r="Q102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4" i="7"/>
  <c r="Q73" i="7"/>
  <c r="Q72" i="7"/>
  <c r="Q71" i="7"/>
  <c r="Q70" i="7"/>
  <c r="Q69" i="7"/>
  <c r="Q68" i="7"/>
  <c r="Q63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R102" i="7"/>
  <c r="R8" i="7"/>
  <c r="U29" i="12"/>
  <c r="Z29" i="12"/>
  <c r="Y29" i="12"/>
  <c r="X29" i="12"/>
  <c r="W29" i="12"/>
  <c r="V29" i="12"/>
  <c r="T29" i="12"/>
  <c r="S29" i="12"/>
  <c r="R29" i="12"/>
  <c r="Q29" i="12"/>
  <c r="P29" i="12"/>
  <c r="AB28" i="12"/>
  <c r="U39" i="10"/>
  <c r="T39" i="10"/>
  <c r="O29" i="12"/>
  <c r="V39" i="10"/>
  <c r="G25" i="25"/>
  <c r="H292" i="12"/>
  <c r="G292" i="12"/>
  <c r="I291" i="12"/>
  <c r="I290" i="12"/>
  <c r="I289" i="12"/>
  <c r="B263" i="25"/>
  <c r="B264" i="25"/>
  <c r="B265" i="25"/>
  <c r="B266" i="25"/>
  <c r="B267" i="25"/>
  <c r="B268" i="25"/>
  <c r="B269" i="25"/>
  <c r="B270" i="25"/>
  <c r="B262" i="25"/>
  <c r="C245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30" i="25"/>
  <c r="B186" i="25"/>
  <c r="B187" i="25"/>
  <c r="B188" i="25"/>
  <c r="B189" i="25"/>
  <c r="B190" i="25"/>
  <c r="B191" i="25"/>
  <c r="B185" i="25"/>
  <c r="C87" i="13"/>
  <c r="C87" i="14"/>
  <c r="C87" i="16"/>
  <c r="C87" i="17"/>
  <c r="C87" i="5"/>
  <c r="G87" i="5" s="1"/>
  <c r="I292" i="12"/>
  <c r="P135" i="5"/>
  <c r="C127" i="5"/>
  <c r="C128" i="5"/>
  <c r="C135" i="5"/>
  <c r="F135" i="5" s="1"/>
  <c r="E183" i="9" s="1"/>
  <c r="F183" i="9" s="1"/>
  <c r="C134" i="5"/>
  <c r="K134" i="5" s="1"/>
  <c r="C127" i="13"/>
  <c r="C128" i="13"/>
  <c r="C135" i="13"/>
  <c r="C134" i="13"/>
  <c r="C127" i="14"/>
  <c r="C128" i="14"/>
  <c r="C135" i="14"/>
  <c r="C134" i="14"/>
  <c r="C127" i="16"/>
  <c r="C128" i="16"/>
  <c r="C135" i="16"/>
  <c r="C134" i="16"/>
  <c r="C127" i="17"/>
  <c r="C128" i="17"/>
  <c r="C135" i="17"/>
  <c r="C134" i="17"/>
  <c r="C125" i="5"/>
  <c r="C125" i="13"/>
  <c r="C125" i="14"/>
  <c r="C125" i="16"/>
  <c r="C125" i="17"/>
  <c r="C126" i="5"/>
  <c r="C126" i="13"/>
  <c r="C126" i="14"/>
  <c r="C126" i="16"/>
  <c r="C126" i="17"/>
  <c r="C85" i="5"/>
  <c r="K85" i="5" s="1"/>
  <c r="C85" i="13"/>
  <c r="C85" i="14"/>
  <c r="C85" i="16"/>
  <c r="C85" i="17"/>
  <c r="C86" i="5"/>
  <c r="K86" i="5" s="1"/>
  <c r="C86" i="13"/>
  <c r="C86" i="14"/>
  <c r="C86" i="16"/>
  <c r="C86" i="17"/>
  <c r="I86" i="5"/>
  <c r="J86" i="5"/>
  <c r="J125" i="5"/>
  <c r="I134" i="5"/>
  <c r="J134" i="5"/>
  <c r="I126" i="5"/>
  <c r="J126" i="5"/>
  <c r="I128" i="5"/>
  <c r="H134" i="5"/>
  <c r="G134" i="5"/>
  <c r="E134" i="5"/>
  <c r="F134" i="5"/>
  <c r="G126" i="5"/>
  <c r="E126" i="5"/>
  <c r="F126" i="5"/>
  <c r="G128" i="5"/>
  <c r="E128" i="5"/>
  <c r="F128" i="5"/>
  <c r="E125" i="5"/>
  <c r="G127" i="5"/>
  <c r="H86" i="5"/>
  <c r="G86" i="5"/>
  <c r="E86" i="5"/>
  <c r="F86" i="5"/>
  <c r="E141" i="9" s="1"/>
  <c r="F141" i="9" s="1"/>
  <c r="E1325" i="9"/>
  <c r="F1325" i="9" s="1"/>
  <c r="E1278" i="9"/>
  <c r="F1278" i="9" s="1"/>
  <c r="E198" i="9"/>
  <c r="F198" i="9" s="1"/>
  <c r="E778" i="9"/>
  <c r="F778" i="9" s="1"/>
  <c r="E306" i="9"/>
  <c r="F306" i="9" s="1"/>
  <c r="E1152" i="9"/>
  <c r="F1152" i="9" s="1"/>
  <c r="E843" i="9"/>
  <c r="F843" i="9" s="1"/>
  <c r="E1165" i="9"/>
  <c r="F1165" i="9" s="1"/>
  <c r="E689" i="9"/>
  <c r="F689" i="9" s="1"/>
  <c r="E242" i="9"/>
  <c r="F242" i="9" s="1"/>
  <c r="E196" i="9"/>
  <c r="F196" i="9" s="1"/>
  <c r="E771" i="9"/>
  <c r="F771" i="9" s="1"/>
  <c r="E522" i="9"/>
  <c r="F522" i="9" s="1"/>
  <c r="E902" i="9"/>
  <c r="F902" i="9" s="1"/>
  <c r="E618" i="9"/>
  <c r="F618" i="9" s="1"/>
  <c r="E205" i="9"/>
  <c r="F205" i="9" s="1"/>
  <c r="E992" i="9"/>
  <c r="F992" i="9" s="1"/>
  <c r="E557" i="9"/>
  <c r="F557" i="9" s="1"/>
  <c r="E134" i="9"/>
  <c r="F134" i="9" s="1"/>
  <c r="E955" i="9"/>
  <c r="F955" i="9" s="1"/>
  <c r="Q110" i="5"/>
  <c r="C312" i="25"/>
  <c r="F15" i="10"/>
  <c r="F14" i="10"/>
  <c r="F13" i="10"/>
  <c r="F12" i="10"/>
  <c r="G6" i="25"/>
  <c r="I6" i="25"/>
  <c r="K6" i="25"/>
  <c r="M6" i="25"/>
  <c r="M123" i="25"/>
  <c r="G7" i="25"/>
  <c r="I7" i="25"/>
  <c r="K7" i="25"/>
  <c r="M7" i="25"/>
  <c r="M124" i="25"/>
  <c r="G9" i="25"/>
  <c r="I9" i="25"/>
  <c r="K9" i="25"/>
  <c r="M9" i="25"/>
  <c r="M126" i="25"/>
  <c r="E10" i="25"/>
  <c r="G10" i="25"/>
  <c r="I10" i="25"/>
  <c r="K10" i="25"/>
  <c r="M10" i="25"/>
  <c r="M127" i="25"/>
  <c r="E11" i="25"/>
  <c r="G11" i="25"/>
  <c r="I11" i="25"/>
  <c r="K11" i="25"/>
  <c r="M11" i="25"/>
  <c r="M128" i="25"/>
  <c r="E12" i="25"/>
  <c r="G12" i="25"/>
  <c r="I12" i="25"/>
  <c r="K12" i="25"/>
  <c r="M12" i="25"/>
  <c r="M129" i="25"/>
  <c r="E13" i="25"/>
  <c r="G13" i="25"/>
  <c r="I13" i="25"/>
  <c r="K13" i="25"/>
  <c r="M13" i="25"/>
  <c r="M130" i="25"/>
  <c r="E14" i="25"/>
  <c r="G14" i="25"/>
  <c r="I14" i="25"/>
  <c r="K14" i="25"/>
  <c r="M14" i="25"/>
  <c r="M131" i="25"/>
  <c r="E15" i="25"/>
  <c r="G15" i="25"/>
  <c r="I15" i="25"/>
  <c r="K15" i="25"/>
  <c r="M15" i="25"/>
  <c r="M132" i="25"/>
  <c r="E16" i="25"/>
  <c r="G16" i="25"/>
  <c r="I16" i="25"/>
  <c r="K16" i="25"/>
  <c r="M16" i="25"/>
  <c r="M133" i="25"/>
  <c r="E17" i="25"/>
  <c r="G17" i="25"/>
  <c r="I17" i="25"/>
  <c r="K17" i="25"/>
  <c r="M17" i="25"/>
  <c r="M134" i="25"/>
  <c r="E5" i="25"/>
  <c r="G5" i="25"/>
  <c r="G122" i="25"/>
  <c r="E213" i="25"/>
  <c r="G213" i="25"/>
  <c r="I213" i="25"/>
  <c r="K213" i="25"/>
  <c r="M213" i="25"/>
  <c r="P214" i="25"/>
  <c r="R214" i="25"/>
  <c r="T214" i="25"/>
  <c r="V214" i="25"/>
  <c r="X214" i="25"/>
  <c r="C214" i="25"/>
  <c r="E202" i="25"/>
  <c r="E206" i="25"/>
  <c r="K114" i="25"/>
  <c r="K113" i="25"/>
  <c r="I114" i="25"/>
  <c r="I113" i="25"/>
  <c r="G114" i="25"/>
  <c r="G113" i="25"/>
  <c r="E114" i="25"/>
  <c r="E113" i="25"/>
  <c r="C113" i="25"/>
  <c r="P103" i="25"/>
  <c r="R103" i="25"/>
  <c r="T103" i="25"/>
  <c r="V103" i="25"/>
  <c r="X103" i="25"/>
  <c r="Z103" i="25"/>
  <c r="G42" i="25"/>
  <c r="I42" i="25"/>
  <c r="K42" i="25"/>
  <c r="M42" i="25"/>
  <c r="G55" i="25"/>
  <c r="I55" i="25"/>
  <c r="K55" i="25"/>
  <c r="M55" i="25"/>
  <c r="M156" i="25"/>
  <c r="K156" i="25"/>
  <c r="I156" i="25"/>
  <c r="G156" i="25"/>
  <c r="E156" i="25"/>
  <c r="M149" i="25"/>
  <c r="K149" i="25"/>
  <c r="I149" i="25"/>
  <c r="G149" i="25"/>
  <c r="C149" i="25"/>
  <c r="K141" i="25"/>
  <c r="I141" i="25"/>
  <c r="G141" i="25"/>
  <c r="E136" i="25"/>
  <c r="C136" i="25"/>
  <c r="C112" i="25"/>
  <c r="B210" i="25"/>
  <c r="B211" i="25"/>
  <c r="B212" i="25"/>
  <c r="B213" i="25"/>
  <c r="B209" i="25"/>
  <c r="C197" i="25"/>
  <c r="C160" i="25"/>
  <c r="E21" i="25"/>
  <c r="M309" i="25"/>
  <c r="K309" i="25"/>
  <c r="I309" i="25"/>
  <c r="G309" i="25"/>
  <c r="E309" i="25"/>
  <c r="C309" i="25"/>
  <c r="M280" i="25"/>
  <c r="K280" i="25"/>
  <c r="I280" i="25"/>
  <c r="G280" i="25"/>
  <c r="E280" i="25"/>
  <c r="C280" i="25"/>
  <c r="M273" i="25"/>
  <c r="K273" i="25"/>
  <c r="I273" i="25"/>
  <c r="G273" i="25"/>
  <c r="E273" i="25"/>
  <c r="C273" i="25"/>
  <c r="M259" i="25"/>
  <c r="K259" i="25"/>
  <c r="I259" i="25"/>
  <c r="G259" i="25"/>
  <c r="E259" i="25"/>
  <c r="C259" i="25"/>
  <c r="M248" i="25"/>
  <c r="K248" i="25"/>
  <c r="I248" i="25"/>
  <c r="G248" i="25"/>
  <c r="E248" i="25"/>
  <c r="C248" i="25"/>
  <c r="M227" i="25"/>
  <c r="K227" i="25"/>
  <c r="I227" i="25"/>
  <c r="G227" i="25"/>
  <c r="E227" i="25"/>
  <c r="C227" i="25"/>
  <c r="M216" i="25"/>
  <c r="K216" i="25"/>
  <c r="I216" i="25"/>
  <c r="G216" i="25"/>
  <c r="E216" i="25"/>
  <c r="C216" i="25"/>
  <c r="M197" i="25"/>
  <c r="K197" i="25"/>
  <c r="I197" i="25"/>
  <c r="G197" i="25"/>
  <c r="E197" i="25"/>
  <c r="M182" i="25"/>
  <c r="K182" i="25"/>
  <c r="I182" i="25"/>
  <c r="G182" i="25"/>
  <c r="E182" i="25"/>
  <c r="C182" i="25"/>
  <c r="M169" i="25"/>
  <c r="K169" i="25"/>
  <c r="I169" i="25"/>
  <c r="G169" i="25"/>
  <c r="E169" i="25"/>
  <c r="C169" i="25"/>
  <c r="M160" i="25"/>
  <c r="K160" i="25"/>
  <c r="I160" i="25"/>
  <c r="G160" i="25"/>
  <c r="E160" i="25"/>
  <c r="C156" i="25"/>
  <c r="E149" i="25"/>
  <c r="E141" i="25"/>
  <c r="C141" i="25"/>
  <c r="M140" i="25"/>
  <c r="M114" i="25"/>
  <c r="M117" i="25"/>
  <c r="K117" i="25"/>
  <c r="I117" i="25"/>
  <c r="G117" i="25"/>
  <c r="E117" i="25"/>
  <c r="C117" i="25"/>
  <c r="C114" i="25"/>
  <c r="M107" i="25"/>
  <c r="K107" i="25"/>
  <c r="I107" i="25"/>
  <c r="G107" i="25"/>
  <c r="E107" i="25"/>
  <c r="C107" i="25"/>
  <c r="M86" i="25"/>
  <c r="K86" i="25"/>
  <c r="I86" i="25"/>
  <c r="G86" i="25"/>
  <c r="E86" i="25"/>
  <c r="C86" i="25"/>
  <c r="M73" i="25"/>
  <c r="K73" i="25"/>
  <c r="I73" i="25"/>
  <c r="G73" i="25"/>
  <c r="E73" i="25"/>
  <c r="C73" i="25"/>
  <c r="M61" i="25"/>
  <c r="K61" i="25"/>
  <c r="I61" i="25"/>
  <c r="G61" i="25"/>
  <c r="E61" i="25"/>
  <c r="C61" i="25"/>
  <c r="M46" i="25"/>
  <c r="K46" i="25"/>
  <c r="I46" i="25"/>
  <c r="G46" i="25"/>
  <c r="E46" i="25"/>
  <c r="C46" i="25"/>
  <c r="M37" i="25"/>
  <c r="K37" i="25"/>
  <c r="I37" i="25"/>
  <c r="G37" i="25"/>
  <c r="E37" i="25"/>
  <c r="C37" i="25"/>
  <c r="M25" i="25"/>
  <c r="K25" i="25"/>
  <c r="I25" i="25"/>
  <c r="E25" i="25"/>
  <c r="C25" i="25"/>
  <c r="C18" i="25"/>
  <c r="C110" i="25"/>
  <c r="G129" i="25"/>
  <c r="I129" i="25"/>
  <c r="K129" i="25"/>
  <c r="I126" i="25"/>
  <c r="G133" i="25"/>
  <c r="I133" i="25"/>
  <c r="K123" i="25"/>
  <c r="K127" i="25"/>
  <c r="I134" i="25"/>
  <c r="G21" i="25"/>
  <c r="I21" i="25"/>
  <c r="K21" i="25"/>
  <c r="M21" i="25"/>
  <c r="I128" i="25"/>
  <c r="G132" i="25"/>
  <c r="K124" i="25"/>
  <c r="I127" i="25"/>
  <c r="I130" i="25"/>
  <c r="G131" i="25"/>
  <c r="G123" i="25"/>
  <c r="I131" i="25"/>
  <c r="I123" i="25"/>
  <c r="K131" i="25"/>
  <c r="G124" i="25"/>
  <c r="I132" i="25"/>
  <c r="I124" i="25"/>
  <c r="G127" i="25"/>
  <c r="K132" i="25"/>
  <c r="K128" i="25"/>
  <c r="K130" i="25"/>
  <c r="K134" i="25"/>
  <c r="K126" i="25"/>
  <c r="K133" i="25"/>
  <c r="G126" i="25"/>
  <c r="G128" i="25"/>
  <c r="G130" i="25"/>
  <c r="G134" i="25"/>
  <c r="I5" i="25"/>
  <c r="C21" i="25"/>
  <c r="C116" i="25"/>
  <c r="E112" i="25"/>
  <c r="C143" i="25"/>
  <c r="C158" i="25"/>
  <c r="E143" i="25"/>
  <c r="E158" i="25"/>
  <c r="K5" i="25"/>
  <c r="I122" i="25"/>
  <c r="E115" i="25"/>
  <c r="M139" i="25"/>
  <c r="M113" i="25"/>
  <c r="I4" i="23"/>
  <c r="I4" i="22"/>
  <c r="I4" i="21"/>
  <c r="I4" i="20"/>
  <c r="F155" i="20"/>
  <c r="F226" i="20"/>
  <c r="F226" i="21"/>
  <c r="F226" i="22"/>
  <c r="F226" i="23"/>
  <c r="F218" i="20"/>
  <c r="F218" i="21"/>
  <c r="F218" i="22"/>
  <c r="F218" i="23"/>
  <c r="F210" i="20"/>
  <c r="F202" i="20"/>
  <c r="F194" i="20"/>
  <c r="F185" i="20"/>
  <c r="F177" i="20"/>
  <c r="F169" i="20"/>
  <c r="F164" i="20"/>
  <c r="F156" i="20"/>
  <c r="F156" i="21" s="1"/>
  <c r="F139" i="20"/>
  <c r="F131" i="20"/>
  <c r="F114" i="20"/>
  <c r="F114" i="21" s="1"/>
  <c r="F97" i="20"/>
  <c r="F89" i="20"/>
  <c r="F81" i="20"/>
  <c r="F81" i="21" s="1"/>
  <c r="F72" i="20"/>
  <c r="F72" i="21"/>
  <c r="F72" i="22"/>
  <c r="F72" i="23"/>
  <c r="F11" i="20"/>
  <c r="I11" i="20" s="1"/>
  <c r="F19" i="20"/>
  <c r="I19" i="20" s="1"/>
  <c r="F27" i="20"/>
  <c r="F35" i="20"/>
  <c r="F43" i="20"/>
  <c r="F51" i="20"/>
  <c r="F59" i="20"/>
  <c r="F41" i="20"/>
  <c r="F225" i="20"/>
  <c r="F225" i="21"/>
  <c r="F225" i="22"/>
  <c r="F225" i="23"/>
  <c r="F217" i="20"/>
  <c r="F217" i="21"/>
  <c r="F217" i="22"/>
  <c r="F217" i="23"/>
  <c r="F209" i="20"/>
  <c r="F193" i="20"/>
  <c r="F184" i="20"/>
  <c r="F176" i="20"/>
  <c r="F168" i="20"/>
  <c r="F163" i="20"/>
  <c r="F138" i="20"/>
  <c r="F130" i="20"/>
  <c r="F113" i="20"/>
  <c r="F105" i="20"/>
  <c r="F96" i="20"/>
  <c r="F88" i="20"/>
  <c r="F80" i="20"/>
  <c r="F71" i="20"/>
  <c r="F71" i="21"/>
  <c r="F71" i="22"/>
  <c r="F71" i="23"/>
  <c r="F12" i="20"/>
  <c r="I12" i="20" s="1"/>
  <c r="R12" i="20" s="1"/>
  <c r="F28" i="20"/>
  <c r="F28" i="21" s="1"/>
  <c r="F36" i="20"/>
  <c r="F44" i="20"/>
  <c r="F52" i="20"/>
  <c r="F220" i="20"/>
  <c r="F220" i="21"/>
  <c r="F220" i="22"/>
  <c r="F220" i="23"/>
  <c r="F204" i="20"/>
  <c r="F171" i="20"/>
  <c r="F158" i="20"/>
  <c r="F141" i="20"/>
  <c r="F116" i="20"/>
  <c r="F116" i="21" s="1"/>
  <c r="F91" i="20"/>
  <c r="F74" i="20"/>
  <c r="F74" i="21"/>
  <c r="F74" i="22"/>
  <c r="F74" i="23"/>
  <c r="F9" i="20"/>
  <c r="I9" i="20" s="1"/>
  <c r="F25" i="20"/>
  <c r="F49" i="20"/>
  <c r="F224" i="20"/>
  <c r="F224" i="21"/>
  <c r="F224" i="22"/>
  <c r="F224" i="23"/>
  <c r="F216" i="20"/>
  <c r="F216" i="21" s="1"/>
  <c r="F216" i="22" s="1"/>
  <c r="F216" i="23" s="1"/>
  <c r="F208" i="20"/>
  <c r="F192" i="20"/>
  <c r="F183" i="20"/>
  <c r="F175" i="20"/>
  <c r="F162" i="20"/>
  <c r="F154" i="20"/>
  <c r="I154" i="20" s="1"/>
  <c r="F137" i="20"/>
  <c r="F129" i="20"/>
  <c r="F120" i="20"/>
  <c r="F112" i="20"/>
  <c r="F112" i="21" s="1"/>
  <c r="F104" i="20"/>
  <c r="I104" i="20" s="1"/>
  <c r="F95" i="20"/>
  <c r="F87" i="20"/>
  <c r="F79" i="20"/>
  <c r="F70" i="20"/>
  <c r="F70" i="21"/>
  <c r="F70" i="22"/>
  <c r="F70" i="23"/>
  <c r="F13" i="20"/>
  <c r="I13" i="20" s="1"/>
  <c r="F21" i="22"/>
  <c r="F29" i="20"/>
  <c r="F37" i="20"/>
  <c r="F45" i="20"/>
  <c r="F53" i="20"/>
  <c r="F179" i="20"/>
  <c r="F223" i="20"/>
  <c r="F223" i="21"/>
  <c r="F223" i="22"/>
  <c r="F223" i="23"/>
  <c r="F207" i="20"/>
  <c r="F191" i="20"/>
  <c r="F182" i="20"/>
  <c r="F174" i="20"/>
  <c r="F161" i="20"/>
  <c r="F153" i="20"/>
  <c r="F153" i="21" s="1"/>
  <c r="F136" i="20"/>
  <c r="F128" i="20"/>
  <c r="F119" i="20"/>
  <c r="F103" i="20"/>
  <c r="F103" i="21" s="1"/>
  <c r="F103" i="22" s="1"/>
  <c r="F94" i="20"/>
  <c r="F86" i="20"/>
  <c r="F78" i="20"/>
  <c r="F69" i="20"/>
  <c r="F69" i="21"/>
  <c r="F69" i="22"/>
  <c r="F69" i="23"/>
  <c r="F14" i="20"/>
  <c r="F22" i="20"/>
  <c r="I22" i="20" s="1"/>
  <c r="F30" i="20"/>
  <c r="F38" i="20"/>
  <c r="F46" i="20"/>
  <c r="F54" i="20"/>
  <c r="F125" i="20"/>
  <c r="F222" i="20"/>
  <c r="F222" i="21"/>
  <c r="F222" i="22"/>
  <c r="F222" i="23"/>
  <c r="F206" i="20"/>
  <c r="F198" i="20"/>
  <c r="F190" i="20"/>
  <c r="F181" i="20"/>
  <c r="F173" i="20"/>
  <c r="F160" i="20"/>
  <c r="F152" i="20"/>
  <c r="F135" i="20"/>
  <c r="F127" i="20"/>
  <c r="F118" i="20"/>
  <c r="F110" i="20"/>
  <c r="I110" i="20" s="1"/>
  <c r="F102" i="20"/>
  <c r="F102" i="21" s="1"/>
  <c r="F93" i="20"/>
  <c r="F85" i="20"/>
  <c r="F68" i="20"/>
  <c r="F68" i="21"/>
  <c r="F68" i="22"/>
  <c r="F68" i="23"/>
  <c r="F15" i="20"/>
  <c r="F15" i="21" s="1"/>
  <c r="F23" i="20"/>
  <c r="F23" i="21" s="1"/>
  <c r="F31" i="20"/>
  <c r="F39" i="20"/>
  <c r="F47" i="20"/>
  <c r="F55" i="20"/>
  <c r="F7" i="20"/>
  <c r="I7" i="20" s="1"/>
  <c r="F221" i="20"/>
  <c r="F221" i="21"/>
  <c r="F221" i="22"/>
  <c r="F221" i="23"/>
  <c r="F205" i="20"/>
  <c r="F197" i="20"/>
  <c r="F180" i="20"/>
  <c r="F172" i="20"/>
  <c r="F159" i="20"/>
  <c r="F142" i="20"/>
  <c r="F134" i="20"/>
  <c r="F126" i="20"/>
  <c r="F117" i="20"/>
  <c r="F109" i="20"/>
  <c r="F109" i="21" s="1"/>
  <c r="F109" i="22" s="1"/>
  <c r="F109" i="23" s="1"/>
  <c r="F92" i="20"/>
  <c r="F84" i="20"/>
  <c r="F16" i="20"/>
  <c r="F24" i="20"/>
  <c r="F24" i="21" s="1"/>
  <c r="F32" i="20"/>
  <c r="I32" i="20" s="1"/>
  <c r="F40" i="20"/>
  <c r="F48" i="20"/>
  <c r="F56" i="20"/>
  <c r="F212" i="20"/>
  <c r="F196" i="20"/>
  <c r="F150" i="20"/>
  <c r="F150" i="21" s="1"/>
  <c r="F150" i="22" s="1"/>
  <c r="F150" i="23" s="1"/>
  <c r="F133" i="20"/>
  <c r="F108" i="20"/>
  <c r="F83" i="20"/>
  <c r="I83" i="20" s="1"/>
  <c r="F63" i="20"/>
  <c r="F33" i="20"/>
  <c r="F57" i="20"/>
  <c r="F227" i="20"/>
  <c r="F227" i="21"/>
  <c r="F227" i="22"/>
  <c r="F227" i="23"/>
  <c r="F219" i="20"/>
  <c r="F219" i="21"/>
  <c r="F219" i="22"/>
  <c r="F219" i="23"/>
  <c r="F211" i="20"/>
  <c r="F203" i="20"/>
  <c r="I203" i="20" s="1"/>
  <c r="F195" i="20"/>
  <c r="F186" i="20"/>
  <c r="F178" i="20"/>
  <c r="F170" i="20"/>
  <c r="F157" i="20"/>
  <c r="F140" i="20"/>
  <c r="F132" i="20"/>
  <c r="F124" i="20"/>
  <c r="F115" i="20"/>
  <c r="F115" i="21" s="1"/>
  <c r="F107" i="20"/>
  <c r="I107" i="20" s="1"/>
  <c r="F98" i="20"/>
  <c r="F90" i="20"/>
  <c r="F82" i="20"/>
  <c r="F73" i="20"/>
  <c r="F73" i="21"/>
  <c r="F73" i="22"/>
  <c r="F73" i="23"/>
  <c r="F10" i="20"/>
  <c r="I10" i="20" s="1"/>
  <c r="P10" i="20" s="1"/>
  <c r="F18" i="20"/>
  <c r="I18" i="20" s="1"/>
  <c r="F26" i="20"/>
  <c r="F34" i="20"/>
  <c r="F34" i="21" s="1"/>
  <c r="F34" i="22" s="1"/>
  <c r="F34" i="23" s="1"/>
  <c r="F42" i="20"/>
  <c r="F50" i="20"/>
  <c r="F58" i="20"/>
  <c r="M5" i="25"/>
  <c r="K122" i="25"/>
  <c r="M141" i="25"/>
  <c r="F83" i="21"/>
  <c r="F127" i="21"/>
  <c r="I127" i="20"/>
  <c r="R127" i="20"/>
  <c r="F128" i="21"/>
  <c r="I128" i="20"/>
  <c r="R128" i="20"/>
  <c r="F141" i="21"/>
  <c r="I141" i="20"/>
  <c r="R141" i="20"/>
  <c r="F97" i="21"/>
  <c r="I97" i="20"/>
  <c r="R97" i="20"/>
  <c r="F32" i="21"/>
  <c r="F32" i="22" s="1"/>
  <c r="F32" i="23" s="1"/>
  <c r="F135" i="21"/>
  <c r="I135" i="20"/>
  <c r="R135" i="20"/>
  <c r="F152" i="21"/>
  <c r="F125" i="21"/>
  <c r="I125" i="20"/>
  <c r="R125" i="20"/>
  <c r="I78" i="20"/>
  <c r="R78" i="20"/>
  <c r="I153" i="20"/>
  <c r="R153" i="20" s="1"/>
  <c r="F53" i="21"/>
  <c r="I53" i="20"/>
  <c r="R53" i="20"/>
  <c r="F87" i="21"/>
  <c r="I87" i="20"/>
  <c r="R87" i="20"/>
  <c r="F154" i="21"/>
  <c r="I154" i="21" s="1"/>
  <c r="F49" i="21"/>
  <c r="I49" i="20"/>
  <c r="R49" i="20"/>
  <c r="F171" i="21"/>
  <c r="I171" i="20"/>
  <c r="R171" i="20"/>
  <c r="F138" i="21"/>
  <c r="I138" i="20"/>
  <c r="R138" i="20"/>
  <c r="F209" i="21"/>
  <c r="I209" i="20"/>
  <c r="R209" i="20"/>
  <c r="F185" i="21"/>
  <c r="I185" i="20"/>
  <c r="R185" i="20"/>
  <c r="I23" i="20"/>
  <c r="R23" i="20"/>
  <c r="F113" i="21"/>
  <c r="F169" i="21"/>
  <c r="I169" i="20"/>
  <c r="R169" i="20"/>
  <c r="F140" i="21"/>
  <c r="I140" i="20"/>
  <c r="R140" i="20"/>
  <c r="F205" i="21"/>
  <c r="I205" i="20"/>
  <c r="R205" i="20"/>
  <c r="F179" i="21"/>
  <c r="I179" i="20"/>
  <c r="R179" i="20"/>
  <c r="I106" i="20"/>
  <c r="S106" i="20" s="1"/>
  <c r="F50" i="21"/>
  <c r="I50" i="20"/>
  <c r="R50" i="20"/>
  <c r="F90" i="21"/>
  <c r="I90" i="20"/>
  <c r="R90" i="20"/>
  <c r="F157" i="21"/>
  <c r="I157" i="20"/>
  <c r="R157" i="20"/>
  <c r="F16" i="21"/>
  <c r="F16" i="22" s="1"/>
  <c r="F16" i="23" s="1"/>
  <c r="I16" i="20"/>
  <c r="R16" i="20" s="1"/>
  <c r="F142" i="21"/>
  <c r="I142" i="20"/>
  <c r="R142" i="20"/>
  <c r="F7" i="21"/>
  <c r="F85" i="21"/>
  <c r="I85" i="20"/>
  <c r="R85" i="20"/>
  <c r="F160" i="21"/>
  <c r="I160" i="20"/>
  <c r="R160" i="20"/>
  <c r="I54" i="20"/>
  <c r="R54" i="20"/>
  <c r="F54" i="21"/>
  <c r="F86" i="21"/>
  <c r="I86" i="20"/>
  <c r="R86" i="20"/>
  <c r="F161" i="21"/>
  <c r="I161" i="20"/>
  <c r="R161" i="20"/>
  <c r="F45" i="21"/>
  <c r="I45" i="20"/>
  <c r="R45" i="20"/>
  <c r="F95" i="21"/>
  <c r="I95" i="20"/>
  <c r="R95" i="20"/>
  <c r="I162" i="20"/>
  <c r="R162" i="20"/>
  <c r="F162" i="21"/>
  <c r="F25" i="21"/>
  <c r="F25" i="22" s="1"/>
  <c r="I25" i="20"/>
  <c r="F204" i="21"/>
  <c r="I204" i="20"/>
  <c r="R204" i="20"/>
  <c r="F147" i="22"/>
  <c r="I147" i="20"/>
  <c r="R147" i="20" s="1"/>
  <c r="F131" i="21"/>
  <c r="I131" i="20"/>
  <c r="R131" i="20"/>
  <c r="F194" i="21"/>
  <c r="I194" i="20"/>
  <c r="R194" i="20"/>
  <c r="F203" i="21"/>
  <c r="F43" i="21"/>
  <c r="I43" i="20"/>
  <c r="R43" i="20"/>
  <c r="F108" i="21"/>
  <c r="I108" i="20"/>
  <c r="R108" i="20" s="1"/>
  <c r="F136" i="21"/>
  <c r="I136" i="20"/>
  <c r="R136" i="20"/>
  <c r="F79" i="21"/>
  <c r="F79" i="22" s="1"/>
  <c r="F158" i="21"/>
  <c r="I158" i="20"/>
  <c r="R158" i="20"/>
  <c r="F130" i="21"/>
  <c r="I130" i="20"/>
  <c r="R130" i="20"/>
  <c r="F193" i="21"/>
  <c r="I193" i="20"/>
  <c r="R193" i="20"/>
  <c r="F177" i="21"/>
  <c r="I177" i="20"/>
  <c r="R177" i="20"/>
  <c r="I58" i="20"/>
  <c r="R58" i="20"/>
  <c r="F58" i="21"/>
  <c r="I149" i="20"/>
  <c r="R149" i="20" s="1"/>
  <c r="F170" i="21"/>
  <c r="I170" i="20"/>
  <c r="R170" i="20"/>
  <c r="R8" i="20"/>
  <c r="F55" i="21"/>
  <c r="I55" i="20"/>
  <c r="R55" i="20"/>
  <c r="I93" i="20"/>
  <c r="R93" i="20"/>
  <c r="F93" i="21"/>
  <c r="F173" i="21"/>
  <c r="I173" i="20"/>
  <c r="R173" i="20"/>
  <c r="F46" i="21"/>
  <c r="I46" i="20"/>
  <c r="R46" i="20"/>
  <c r="F94" i="21"/>
  <c r="I94" i="20"/>
  <c r="R94" i="20"/>
  <c r="F174" i="21"/>
  <c r="I174" i="20"/>
  <c r="R174" i="20"/>
  <c r="F37" i="21"/>
  <c r="I37" i="20"/>
  <c r="R37" i="20"/>
  <c r="F175" i="21"/>
  <c r="I175" i="20"/>
  <c r="R175" i="20"/>
  <c r="F9" i="22"/>
  <c r="F80" i="21"/>
  <c r="I80" i="20"/>
  <c r="R80" i="20"/>
  <c r="F155" i="21"/>
  <c r="I155" i="20"/>
  <c r="R155" i="20" s="1"/>
  <c r="F11" i="21"/>
  <c r="F11" i="22" s="1"/>
  <c r="F11" i="23" s="1"/>
  <c r="R11" i="20"/>
  <c r="F139" i="21"/>
  <c r="I139" i="20"/>
  <c r="R139" i="20"/>
  <c r="I202" i="20"/>
  <c r="R202" i="20" s="1"/>
  <c r="F202" i="21"/>
  <c r="F40" i="21"/>
  <c r="I40" i="20"/>
  <c r="R40" i="20"/>
  <c r="I137" i="20"/>
  <c r="R137" i="20"/>
  <c r="F137" i="21"/>
  <c r="F184" i="21"/>
  <c r="I184" i="20"/>
  <c r="R184" i="20"/>
  <c r="F211" i="21"/>
  <c r="I211" i="20"/>
  <c r="R211" i="20"/>
  <c r="F126" i="21"/>
  <c r="I126" i="20"/>
  <c r="R126" i="20"/>
  <c r="I15" i="20"/>
  <c r="R15" i="20" s="1"/>
  <c r="F35" i="21"/>
  <c r="I35" i="20"/>
  <c r="R35" i="20"/>
  <c r="F82" i="21"/>
  <c r="F82" i="22" s="1"/>
  <c r="I82" i="20"/>
  <c r="R82" i="20" s="1"/>
  <c r="F133" i="21"/>
  <c r="I133" i="20"/>
  <c r="R133" i="20"/>
  <c r="F134" i="21"/>
  <c r="I134" i="20"/>
  <c r="R134" i="20"/>
  <c r="F42" i="21"/>
  <c r="I42" i="20"/>
  <c r="R42" i="20"/>
  <c r="F98" i="21"/>
  <c r="I98" i="20"/>
  <c r="R98" i="20"/>
  <c r="F57" i="21"/>
  <c r="I57" i="20"/>
  <c r="R57" i="20"/>
  <c r="F196" i="21"/>
  <c r="I196" i="20"/>
  <c r="R196" i="20"/>
  <c r="F151" i="22"/>
  <c r="F151" i="23" s="1"/>
  <c r="F107" i="21"/>
  <c r="F107" i="22" s="1"/>
  <c r="F178" i="21"/>
  <c r="I178" i="20"/>
  <c r="R178" i="20"/>
  <c r="F33" i="21"/>
  <c r="I33" i="20"/>
  <c r="R33" i="20" s="1"/>
  <c r="F212" i="21"/>
  <c r="I212" i="20"/>
  <c r="R212" i="20"/>
  <c r="F84" i="21"/>
  <c r="I84" i="20"/>
  <c r="R84" i="20"/>
  <c r="I159" i="20"/>
  <c r="R159" i="20"/>
  <c r="F159" i="21"/>
  <c r="F47" i="21"/>
  <c r="I47" i="20"/>
  <c r="R47" i="20"/>
  <c r="F181" i="21"/>
  <c r="I181" i="20"/>
  <c r="R181" i="20"/>
  <c r="F38" i="21"/>
  <c r="I38" i="20"/>
  <c r="R38" i="20"/>
  <c r="I182" i="20"/>
  <c r="R182" i="20"/>
  <c r="F182" i="21"/>
  <c r="I112" i="20"/>
  <c r="S112" i="20" s="1"/>
  <c r="F183" i="21"/>
  <c r="I183" i="20"/>
  <c r="R183" i="20"/>
  <c r="F52" i="21"/>
  <c r="I52" i="20"/>
  <c r="R52" i="20"/>
  <c r="F88" i="21"/>
  <c r="I88" i="20"/>
  <c r="R88" i="20"/>
  <c r="F163" i="21"/>
  <c r="I163" i="20"/>
  <c r="R163" i="20"/>
  <c r="F41" i="21"/>
  <c r="I41" i="20"/>
  <c r="R41" i="20"/>
  <c r="F148" i="22"/>
  <c r="I148" i="20"/>
  <c r="R148" i="20" s="1"/>
  <c r="I210" i="20"/>
  <c r="R210" i="20"/>
  <c r="F210" i="21"/>
  <c r="F117" i="21"/>
  <c r="F117" i="22" s="1"/>
  <c r="I117" i="20"/>
  <c r="R117" i="20"/>
  <c r="I206" i="20"/>
  <c r="R206" i="20"/>
  <c r="F206" i="21"/>
  <c r="F26" i="21"/>
  <c r="F26" i="22" s="1"/>
  <c r="I26" i="20"/>
  <c r="R26" i="20" s="1"/>
  <c r="F186" i="21"/>
  <c r="I186" i="20"/>
  <c r="R186" i="20"/>
  <c r="F56" i="21"/>
  <c r="I56" i="20"/>
  <c r="R56" i="20"/>
  <c r="F92" i="21"/>
  <c r="I92" i="20"/>
  <c r="R92" i="20"/>
  <c r="F172" i="21"/>
  <c r="I172" i="20"/>
  <c r="R172" i="20"/>
  <c r="F39" i="21"/>
  <c r="I39" i="20"/>
  <c r="R39" i="20"/>
  <c r="F110" i="21"/>
  <c r="F110" i="22" s="1"/>
  <c r="F110" i="23" s="1"/>
  <c r="F190" i="21"/>
  <c r="I190" i="20"/>
  <c r="R190" i="20"/>
  <c r="F30" i="21"/>
  <c r="F30" i="22" s="1"/>
  <c r="F30" i="23" s="1"/>
  <c r="I30" i="20"/>
  <c r="M30" i="20" s="1"/>
  <c r="F111" i="22"/>
  <c r="I111" i="20"/>
  <c r="S111" i="20" s="1"/>
  <c r="F191" i="21"/>
  <c r="I191" i="20"/>
  <c r="R191" i="20"/>
  <c r="I21" i="20"/>
  <c r="R21" i="20" s="1"/>
  <c r="F120" i="21"/>
  <c r="I120" i="20"/>
  <c r="R120" i="20"/>
  <c r="I192" i="20"/>
  <c r="R192" i="20"/>
  <c r="F192" i="21"/>
  <c r="F91" i="21"/>
  <c r="I91" i="20"/>
  <c r="R91" i="20"/>
  <c r="F44" i="21"/>
  <c r="I44" i="20"/>
  <c r="R44" i="20"/>
  <c r="F96" i="21"/>
  <c r="I96" i="20"/>
  <c r="R96" i="20"/>
  <c r="F168" i="21"/>
  <c r="I168" i="20"/>
  <c r="R168" i="20"/>
  <c r="F59" i="21"/>
  <c r="I59" i="20"/>
  <c r="R59" i="20"/>
  <c r="I156" i="20"/>
  <c r="R156" i="20" s="1"/>
  <c r="F132" i="21"/>
  <c r="I132" i="20"/>
  <c r="R132" i="20"/>
  <c r="F197" i="21"/>
  <c r="I197" i="20"/>
  <c r="R197" i="20"/>
  <c r="F18" i="22"/>
  <c r="F18" i="23" s="1"/>
  <c r="F124" i="21"/>
  <c r="I124" i="20"/>
  <c r="R124" i="20"/>
  <c r="F195" i="21"/>
  <c r="I195" i="20"/>
  <c r="R195" i="20"/>
  <c r="I63" i="20"/>
  <c r="R63" i="20"/>
  <c r="F63" i="21"/>
  <c r="F48" i="21"/>
  <c r="I48" i="20"/>
  <c r="R48" i="20"/>
  <c r="I109" i="20"/>
  <c r="S109" i="20" s="1"/>
  <c r="I180" i="20"/>
  <c r="R180" i="20"/>
  <c r="F180" i="21"/>
  <c r="F31" i="21"/>
  <c r="F31" i="22" s="1"/>
  <c r="F31" i="23" s="1"/>
  <c r="I31" i="20"/>
  <c r="R31" i="20" s="1"/>
  <c r="F118" i="21"/>
  <c r="I118" i="20"/>
  <c r="R118" i="20"/>
  <c r="F198" i="21"/>
  <c r="I198" i="20"/>
  <c r="R198" i="20"/>
  <c r="F119" i="21"/>
  <c r="I119" i="20"/>
  <c r="R119" i="20"/>
  <c r="F207" i="21"/>
  <c r="I207" i="20"/>
  <c r="R207" i="20"/>
  <c r="I129" i="20"/>
  <c r="R129" i="20"/>
  <c r="F129" i="21"/>
  <c r="F208" i="21"/>
  <c r="I208" i="20"/>
  <c r="R208" i="20"/>
  <c r="F36" i="21"/>
  <c r="I36" i="20"/>
  <c r="R36" i="20"/>
  <c r="F105" i="21"/>
  <c r="I105" i="20"/>
  <c r="R105" i="20" s="1"/>
  <c r="F176" i="21"/>
  <c r="I176" i="20"/>
  <c r="R176" i="20"/>
  <c r="F51" i="21"/>
  <c r="I51" i="20"/>
  <c r="R51" i="20"/>
  <c r="F89" i="21"/>
  <c r="I89" i="20"/>
  <c r="R89" i="20"/>
  <c r="F164" i="21"/>
  <c r="I164" i="20"/>
  <c r="R164" i="20"/>
  <c r="M122" i="25"/>
  <c r="E152" i="5"/>
  <c r="F152" i="5"/>
  <c r="F63" i="22"/>
  <c r="I63" i="21"/>
  <c r="R63" i="21"/>
  <c r="F137" i="22"/>
  <c r="I137" i="21"/>
  <c r="R137" i="21"/>
  <c r="F58" i="22"/>
  <c r="I58" i="21"/>
  <c r="R58" i="21"/>
  <c r="F190" i="22"/>
  <c r="I190" i="21"/>
  <c r="R190" i="21"/>
  <c r="F38" i="22"/>
  <c r="I38" i="21"/>
  <c r="R38" i="21"/>
  <c r="F134" i="22"/>
  <c r="I134" i="21"/>
  <c r="R134" i="21"/>
  <c r="F175" i="22"/>
  <c r="I175" i="21"/>
  <c r="R175" i="21"/>
  <c r="F43" i="22"/>
  <c r="I43" i="21"/>
  <c r="R43" i="21"/>
  <c r="F161" i="22"/>
  <c r="I161" i="21"/>
  <c r="R161" i="21"/>
  <c r="F129" i="22"/>
  <c r="I129" i="21"/>
  <c r="R129" i="21"/>
  <c r="F180" i="22"/>
  <c r="I180" i="21"/>
  <c r="R180" i="21"/>
  <c r="F210" i="22"/>
  <c r="I210" i="21"/>
  <c r="R210" i="21"/>
  <c r="F162" i="22"/>
  <c r="I162" i="21"/>
  <c r="R162" i="21"/>
  <c r="F119" i="22"/>
  <c r="I119" i="21"/>
  <c r="R119" i="21"/>
  <c r="F44" i="22"/>
  <c r="I44" i="21"/>
  <c r="R44" i="21"/>
  <c r="F163" i="22"/>
  <c r="I163" i="21"/>
  <c r="R163" i="21"/>
  <c r="F178" i="22"/>
  <c r="I178" i="21"/>
  <c r="R178" i="21"/>
  <c r="F94" i="22"/>
  <c r="I94" i="21"/>
  <c r="R94" i="21"/>
  <c r="F158" i="22"/>
  <c r="I158" i="21"/>
  <c r="R158" i="21"/>
  <c r="F205" i="22"/>
  <c r="I205" i="21"/>
  <c r="R205" i="21"/>
  <c r="F164" i="22"/>
  <c r="I164" i="21"/>
  <c r="R164" i="21"/>
  <c r="F105" i="22"/>
  <c r="F105" i="23" s="1"/>
  <c r="F195" i="22"/>
  <c r="I195" i="21"/>
  <c r="R195" i="21"/>
  <c r="F197" i="22"/>
  <c r="I197" i="21"/>
  <c r="R197" i="21"/>
  <c r="F59" i="22"/>
  <c r="I59" i="21"/>
  <c r="R59" i="21"/>
  <c r="F91" i="22"/>
  <c r="I91" i="21"/>
  <c r="R91" i="21"/>
  <c r="F191" i="22"/>
  <c r="I191" i="21"/>
  <c r="R191" i="21"/>
  <c r="I56" i="21"/>
  <c r="R56" i="21"/>
  <c r="F56" i="22"/>
  <c r="F88" i="22"/>
  <c r="I88" i="21"/>
  <c r="R88" i="21"/>
  <c r="F181" i="22"/>
  <c r="I181" i="21"/>
  <c r="R181" i="21"/>
  <c r="F84" i="22"/>
  <c r="I84" i="21"/>
  <c r="R84" i="21"/>
  <c r="F57" i="22"/>
  <c r="I57" i="21"/>
  <c r="R57" i="21"/>
  <c r="F133" i="22"/>
  <c r="I133" i="21"/>
  <c r="R133" i="21"/>
  <c r="F126" i="22"/>
  <c r="I126" i="21"/>
  <c r="R126" i="21"/>
  <c r="I40" i="21"/>
  <c r="R40" i="21"/>
  <c r="F40" i="22"/>
  <c r="F155" i="22"/>
  <c r="I155" i="22" s="1"/>
  <c r="I155" i="21"/>
  <c r="R155" i="21" s="1"/>
  <c r="F46" i="22"/>
  <c r="I46" i="21"/>
  <c r="R46" i="21"/>
  <c r="F8" i="22"/>
  <c r="F8" i="23" s="1"/>
  <c r="I8" i="21"/>
  <c r="R8" i="21" s="1"/>
  <c r="F177" i="22"/>
  <c r="I177" i="21"/>
  <c r="R177" i="21"/>
  <c r="F86" i="22"/>
  <c r="I86" i="21"/>
  <c r="R86" i="21"/>
  <c r="F7" i="22"/>
  <c r="I7" i="22" s="1"/>
  <c r="F157" i="22"/>
  <c r="I157" i="21"/>
  <c r="R157" i="21"/>
  <c r="F106" i="22"/>
  <c r="F140" i="22"/>
  <c r="I140" i="21"/>
  <c r="R140" i="21"/>
  <c r="F185" i="22"/>
  <c r="I185" i="21"/>
  <c r="R185" i="21"/>
  <c r="F138" i="22"/>
  <c r="I138" i="21"/>
  <c r="R138" i="21"/>
  <c r="F154" i="22"/>
  <c r="F78" i="22"/>
  <c r="I78" i="21"/>
  <c r="R78" i="21" s="1"/>
  <c r="F135" i="22"/>
  <c r="I135" i="21"/>
  <c r="R135" i="21"/>
  <c r="F128" i="22"/>
  <c r="I128" i="21"/>
  <c r="R128" i="21"/>
  <c r="F92" i="22"/>
  <c r="I92" i="21"/>
  <c r="R92" i="21"/>
  <c r="I11" i="21"/>
  <c r="R11" i="21" s="1"/>
  <c r="F131" i="22"/>
  <c r="I131" i="21"/>
  <c r="R131" i="21"/>
  <c r="F85" i="22"/>
  <c r="I85" i="21"/>
  <c r="R85" i="21"/>
  <c r="F141" i="22"/>
  <c r="I141" i="21"/>
  <c r="R141" i="21"/>
  <c r="F192" i="22"/>
  <c r="I192" i="21"/>
  <c r="R192" i="21"/>
  <c r="F206" i="22"/>
  <c r="I206" i="21"/>
  <c r="R206" i="21"/>
  <c r="F182" i="22"/>
  <c r="I182" i="21"/>
  <c r="R182" i="21"/>
  <c r="F202" i="22"/>
  <c r="F54" i="22"/>
  <c r="I54" i="21"/>
  <c r="R54" i="21"/>
  <c r="F159" i="22"/>
  <c r="I159" i="21"/>
  <c r="R159" i="21"/>
  <c r="F176" i="22"/>
  <c r="I176" i="21"/>
  <c r="R176" i="21"/>
  <c r="F196" i="22"/>
  <c r="I196" i="21"/>
  <c r="R196" i="21"/>
  <c r="F89" i="22"/>
  <c r="I89" i="21"/>
  <c r="R89" i="21"/>
  <c r="F198" i="22"/>
  <c r="I198" i="21"/>
  <c r="R198" i="21"/>
  <c r="F124" i="22"/>
  <c r="I124" i="21"/>
  <c r="R124" i="21"/>
  <c r="F132" i="22"/>
  <c r="I132" i="21"/>
  <c r="R132" i="21"/>
  <c r="F168" i="22"/>
  <c r="I168" i="21"/>
  <c r="R168" i="21"/>
  <c r="F39" i="22"/>
  <c r="I39" i="21"/>
  <c r="R39" i="21"/>
  <c r="F52" i="22"/>
  <c r="I52" i="21"/>
  <c r="R52" i="21"/>
  <c r="F212" i="22"/>
  <c r="I212" i="21"/>
  <c r="R212" i="21"/>
  <c r="F98" i="22"/>
  <c r="I98" i="21"/>
  <c r="R98" i="21"/>
  <c r="F211" i="22"/>
  <c r="I211" i="21"/>
  <c r="R211" i="21"/>
  <c r="F80" i="22"/>
  <c r="F80" i="23" s="1"/>
  <c r="F37" i="22"/>
  <c r="I37" i="21"/>
  <c r="R37" i="21"/>
  <c r="F173" i="22"/>
  <c r="I173" i="21"/>
  <c r="R173" i="21"/>
  <c r="F170" i="22"/>
  <c r="I170" i="21"/>
  <c r="R170" i="21"/>
  <c r="F193" i="22"/>
  <c r="I193" i="21"/>
  <c r="R193" i="21"/>
  <c r="F136" i="22"/>
  <c r="I136" i="21"/>
  <c r="R136" i="21"/>
  <c r="F203" i="22"/>
  <c r="F95" i="22"/>
  <c r="I95" i="21"/>
  <c r="R95" i="21"/>
  <c r="F142" i="22"/>
  <c r="I142" i="21"/>
  <c r="R142" i="21"/>
  <c r="F90" i="22"/>
  <c r="I90" i="21"/>
  <c r="R90" i="21"/>
  <c r="F169" i="22"/>
  <c r="I169" i="21"/>
  <c r="R169" i="21"/>
  <c r="F87" i="22"/>
  <c r="I87" i="21"/>
  <c r="R87" i="21"/>
  <c r="F125" i="22"/>
  <c r="I125" i="21"/>
  <c r="R125" i="21"/>
  <c r="F127" i="22"/>
  <c r="I127" i="21"/>
  <c r="R127" i="21"/>
  <c r="F208" i="22"/>
  <c r="I208" i="21"/>
  <c r="R208" i="21"/>
  <c r="F55" i="22"/>
  <c r="I55" i="21"/>
  <c r="R55" i="21"/>
  <c r="F209" i="22"/>
  <c r="I209" i="21"/>
  <c r="R209" i="21"/>
  <c r="F36" i="22"/>
  <c r="I36" i="21"/>
  <c r="R36" i="21"/>
  <c r="F93" i="22"/>
  <c r="I93" i="21"/>
  <c r="R93" i="21"/>
  <c r="F83" i="22"/>
  <c r="F83" i="23" s="1"/>
  <c r="F49" i="22"/>
  <c r="I49" i="21"/>
  <c r="R49" i="21"/>
  <c r="F51" i="22"/>
  <c r="I51" i="21"/>
  <c r="R51" i="21"/>
  <c r="F207" i="22"/>
  <c r="I207" i="21"/>
  <c r="R207" i="21"/>
  <c r="F118" i="22"/>
  <c r="I118" i="21"/>
  <c r="R118" i="21"/>
  <c r="F48" i="22"/>
  <c r="I48" i="21"/>
  <c r="R48" i="21"/>
  <c r="F96" i="22"/>
  <c r="I96" i="21"/>
  <c r="R96" i="21"/>
  <c r="F120" i="22"/>
  <c r="I120" i="21"/>
  <c r="R120" i="21"/>
  <c r="F172" i="22"/>
  <c r="I172" i="21"/>
  <c r="R172" i="21"/>
  <c r="F186" i="22"/>
  <c r="I186" i="21"/>
  <c r="R186" i="21"/>
  <c r="F41" i="22"/>
  <c r="I41" i="21"/>
  <c r="R41" i="21"/>
  <c r="F183" i="22"/>
  <c r="I183" i="21"/>
  <c r="R183" i="21"/>
  <c r="F47" i="22"/>
  <c r="I47" i="21"/>
  <c r="R47" i="21"/>
  <c r="F33" i="22"/>
  <c r="F33" i="23" s="1"/>
  <c r="F42" i="22"/>
  <c r="I42" i="21"/>
  <c r="R42" i="21"/>
  <c r="F35" i="22"/>
  <c r="I35" i="21"/>
  <c r="R35" i="21"/>
  <c r="F184" i="22"/>
  <c r="I184" i="21"/>
  <c r="R184" i="21"/>
  <c r="F139" i="22"/>
  <c r="I139" i="21"/>
  <c r="R139" i="21"/>
  <c r="F174" i="22"/>
  <c r="I174" i="21"/>
  <c r="R174" i="21"/>
  <c r="F149" i="22"/>
  <c r="F130" i="22"/>
  <c r="I130" i="21"/>
  <c r="R130" i="21"/>
  <c r="F108" i="22"/>
  <c r="F194" i="22"/>
  <c r="I194" i="21"/>
  <c r="R194" i="21"/>
  <c r="F204" i="22"/>
  <c r="I204" i="21"/>
  <c r="R204" i="21"/>
  <c r="F45" i="22"/>
  <c r="I45" i="21"/>
  <c r="R45" i="21"/>
  <c r="F160" i="22"/>
  <c r="I160" i="21"/>
  <c r="R160" i="21"/>
  <c r="I16" i="21"/>
  <c r="R16" i="21" s="1"/>
  <c r="F50" i="22"/>
  <c r="I50" i="21"/>
  <c r="R50" i="21"/>
  <c r="F179" i="22"/>
  <c r="I179" i="21"/>
  <c r="R179" i="21"/>
  <c r="F113" i="22"/>
  <c r="F113" i="23" s="1"/>
  <c r="F171" i="22"/>
  <c r="I171" i="21"/>
  <c r="R171" i="21"/>
  <c r="F53" i="22"/>
  <c r="I53" i="21"/>
  <c r="R53" i="21"/>
  <c r="F152" i="22"/>
  <c r="F152" i="23" s="1"/>
  <c r="F97" i="22"/>
  <c r="I97" i="21"/>
  <c r="R97" i="21"/>
  <c r="H7" i="11"/>
  <c r="J7" i="11"/>
  <c r="L7" i="11"/>
  <c r="N7" i="11"/>
  <c r="P7" i="11"/>
  <c r="F7" i="11"/>
  <c r="F56" i="23"/>
  <c r="I56" i="23"/>
  <c r="R56" i="23"/>
  <c r="I56" i="22"/>
  <c r="R56" i="22"/>
  <c r="F204" i="23"/>
  <c r="I204" i="23"/>
  <c r="R204" i="23"/>
  <c r="I204" i="22"/>
  <c r="R204" i="22"/>
  <c r="F176" i="23"/>
  <c r="I176" i="23"/>
  <c r="R176" i="23"/>
  <c r="I176" i="22"/>
  <c r="R176" i="22"/>
  <c r="F149" i="23"/>
  <c r="F209" i="23"/>
  <c r="I209" i="23"/>
  <c r="R209" i="23"/>
  <c r="I209" i="22"/>
  <c r="R209" i="22"/>
  <c r="F212" i="23"/>
  <c r="I212" i="23"/>
  <c r="R212" i="23"/>
  <c r="I212" i="22"/>
  <c r="R212" i="22"/>
  <c r="F182" i="23"/>
  <c r="I182" i="23"/>
  <c r="R182" i="23"/>
  <c r="I182" i="22"/>
  <c r="R182" i="22"/>
  <c r="F185" i="23"/>
  <c r="I185" i="23"/>
  <c r="R185" i="23"/>
  <c r="I185" i="22"/>
  <c r="R185" i="22"/>
  <c r="F190" i="23"/>
  <c r="I190" i="23"/>
  <c r="R190" i="23"/>
  <c r="I190" i="22"/>
  <c r="R190" i="22"/>
  <c r="F97" i="23"/>
  <c r="I97" i="23"/>
  <c r="R97" i="23"/>
  <c r="I97" i="22"/>
  <c r="R97" i="22"/>
  <c r="F194" i="23"/>
  <c r="I194" i="23"/>
  <c r="R194" i="23"/>
  <c r="I194" i="22"/>
  <c r="R194" i="22"/>
  <c r="F174" i="23"/>
  <c r="I174" i="23"/>
  <c r="R174" i="23"/>
  <c r="I174" i="22"/>
  <c r="R174" i="22"/>
  <c r="F35" i="23"/>
  <c r="I35" i="23"/>
  <c r="R35" i="23"/>
  <c r="I35" i="22"/>
  <c r="R35" i="22"/>
  <c r="F47" i="23"/>
  <c r="I47" i="23"/>
  <c r="R47" i="23"/>
  <c r="I47" i="22"/>
  <c r="R47" i="22"/>
  <c r="F120" i="23"/>
  <c r="I120" i="23"/>
  <c r="R120" i="23"/>
  <c r="I120" i="22"/>
  <c r="R120" i="22"/>
  <c r="F118" i="23"/>
  <c r="I118" i="23"/>
  <c r="R118" i="23"/>
  <c r="I118" i="22"/>
  <c r="R118" i="22"/>
  <c r="F93" i="23"/>
  <c r="I93" i="23"/>
  <c r="R93" i="23"/>
  <c r="I93" i="22"/>
  <c r="R93" i="22"/>
  <c r="F55" i="23"/>
  <c r="I55" i="23"/>
  <c r="R55" i="23"/>
  <c r="I55" i="22"/>
  <c r="R55" i="22"/>
  <c r="F127" i="23"/>
  <c r="I127" i="23"/>
  <c r="R127" i="23"/>
  <c r="I127" i="22"/>
  <c r="R127" i="22"/>
  <c r="F90" i="23"/>
  <c r="I90" i="23"/>
  <c r="R90" i="23"/>
  <c r="I90" i="22"/>
  <c r="R90" i="22"/>
  <c r="F203" i="23"/>
  <c r="F173" i="23"/>
  <c r="I173" i="23"/>
  <c r="R173" i="23"/>
  <c r="I173" i="22"/>
  <c r="R173" i="22"/>
  <c r="F39" i="23"/>
  <c r="I39" i="23"/>
  <c r="R39" i="23"/>
  <c r="I39" i="22"/>
  <c r="R39" i="22"/>
  <c r="F124" i="23"/>
  <c r="I124" i="23"/>
  <c r="R124" i="23"/>
  <c r="I124" i="22"/>
  <c r="R124" i="22"/>
  <c r="F159" i="23"/>
  <c r="I159" i="23"/>
  <c r="R159" i="23"/>
  <c r="I159" i="22"/>
  <c r="R159" i="22"/>
  <c r="F206" i="23"/>
  <c r="I206" i="23"/>
  <c r="R206" i="23"/>
  <c r="I206" i="22"/>
  <c r="R206" i="22"/>
  <c r="F85" i="23"/>
  <c r="I85" i="23"/>
  <c r="R85" i="23"/>
  <c r="I85" i="22"/>
  <c r="R85" i="22"/>
  <c r="F78" i="23"/>
  <c r="F140" i="23"/>
  <c r="I140" i="23"/>
  <c r="R140" i="23"/>
  <c r="I140" i="22"/>
  <c r="R140" i="22"/>
  <c r="F86" i="23"/>
  <c r="I86" i="23"/>
  <c r="R86" i="23"/>
  <c r="I86" i="22"/>
  <c r="R86" i="22"/>
  <c r="F177" i="23"/>
  <c r="I177" i="23"/>
  <c r="R177" i="23"/>
  <c r="I177" i="22"/>
  <c r="R177" i="22"/>
  <c r="F155" i="23"/>
  <c r="I155" i="23" s="1"/>
  <c r="F57" i="23"/>
  <c r="I57" i="23"/>
  <c r="R57" i="23"/>
  <c r="I57" i="22"/>
  <c r="R57" i="22"/>
  <c r="F197" i="23"/>
  <c r="I197" i="23"/>
  <c r="R197" i="23"/>
  <c r="I197" i="22"/>
  <c r="R197" i="22"/>
  <c r="F164" i="23"/>
  <c r="I164" i="23"/>
  <c r="R164" i="23"/>
  <c r="I164" i="22"/>
  <c r="R164" i="22"/>
  <c r="F178" i="23"/>
  <c r="I178" i="23"/>
  <c r="R178" i="23"/>
  <c r="I178" i="22"/>
  <c r="R178" i="22"/>
  <c r="F162" i="23"/>
  <c r="I162" i="23"/>
  <c r="R162" i="23"/>
  <c r="I162" i="22"/>
  <c r="R162" i="22"/>
  <c r="F134" i="23"/>
  <c r="I134" i="23"/>
  <c r="R134" i="23"/>
  <c r="I134" i="22"/>
  <c r="R134" i="22"/>
  <c r="F58" i="23"/>
  <c r="I58" i="23"/>
  <c r="R58" i="23"/>
  <c r="I58" i="22"/>
  <c r="R58" i="22"/>
  <c r="F184" i="23"/>
  <c r="I184" i="23"/>
  <c r="R184" i="23"/>
  <c r="I184" i="22"/>
  <c r="R184" i="22"/>
  <c r="F51" i="23"/>
  <c r="I51" i="23"/>
  <c r="R51" i="23"/>
  <c r="I51" i="22"/>
  <c r="R51" i="22"/>
  <c r="F87" i="23"/>
  <c r="I87" i="23"/>
  <c r="R87" i="23"/>
  <c r="I87" i="22"/>
  <c r="R87" i="22"/>
  <c r="F211" i="23"/>
  <c r="I211" i="23"/>
  <c r="R211" i="23"/>
  <c r="I211" i="22"/>
  <c r="R211" i="22"/>
  <c r="F89" i="23"/>
  <c r="I89" i="23"/>
  <c r="R89" i="23"/>
  <c r="I89" i="22"/>
  <c r="R89" i="22"/>
  <c r="F92" i="23"/>
  <c r="I92" i="23"/>
  <c r="R92" i="23"/>
  <c r="I92" i="22"/>
  <c r="R92" i="22"/>
  <c r="F133" i="23"/>
  <c r="I133" i="23"/>
  <c r="R133" i="23"/>
  <c r="I133" i="22"/>
  <c r="R133" i="22"/>
  <c r="F119" i="23"/>
  <c r="I119" i="23"/>
  <c r="R119" i="23"/>
  <c r="I119" i="22"/>
  <c r="R119" i="22"/>
  <c r="F40" i="23"/>
  <c r="I40" i="23"/>
  <c r="R40" i="23"/>
  <c r="I40" i="22"/>
  <c r="R40" i="22"/>
  <c r="F50" i="23"/>
  <c r="I50" i="23"/>
  <c r="R50" i="23"/>
  <c r="I50" i="22"/>
  <c r="R50" i="22"/>
  <c r="F208" i="23"/>
  <c r="I208" i="23"/>
  <c r="R208" i="23"/>
  <c r="I208" i="22"/>
  <c r="R208" i="22"/>
  <c r="F135" i="23"/>
  <c r="I135" i="23"/>
  <c r="R135" i="23"/>
  <c r="I135" i="22"/>
  <c r="R135" i="22"/>
  <c r="F181" i="23"/>
  <c r="I181" i="23"/>
  <c r="R181" i="23"/>
  <c r="I181" i="22"/>
  <c r="R181" i="22"/>
  <c r="F59" i="23"/>
  <c r="I59" i="23"/>
  <c r="R59" i="23"/>
  <c r="I59" i="22"/>
  <c r="R59" i="22"/>
  <c r="F160" i="23"/>
  <c r="I160" i="23"/>
  <c r="R160" i="23"/>
  <c r="I160" i="22"/>
  <c r="R160" i="22"/>
  <c r="F108" i="23"/>
  <c r="F42" i="23"/>
  <c r="I42" i="23"/>
  <c r="R42" i="23"/>
  <c r="I42" i="22"/>
  <c r="R42" i="22"/>
  <c r="F186" i="23"/>
  <c r="I186" i="23"/>
  <c r="R186" i="23"/>
  <c r="I186" i="22"/>
  <c r="R186" i="22"/>
  <c r="F96" i="23"/>
  <c r="I96" i="23"/>
  <c r="R96" i="23"/>
  <c r="I96" i="22"/>
  <c r="R96" i="22"/>
  <c r="F207" i="23"/>
  <c r="I207" i="23"/>
  <c r="R207" i="23"/>
  <c r="I207" i="22"/>
  <c r="R207" i="22"/>
  <c r="F49" i="23"/>
  <c r="I49" i="23"/>
  <c r="R49" i="23"/>
  <c r="I49" i="22"/>
  <c r="R49" i="22"/>
  <c r="F142" i="23"/>
  <c r="I142" i="23"/>
  <c r="R142" i="23"/>
  <c r="I142" i="22"/>
  <c r="R142" i="22"/>
  <c r="F136" i="23"/>
  <c r="I136" i="23"/>
  <c r="R136" i="23"/>
  <c r="I136" i="22"/>
  <c r="R136" i="22"/>
  <c r="F37" i="23"/>
  <c r="I37" i="23"/>
  <c r="R37" i="23"/>
  <c r="I37" i="22"/>
  <c r="R37" i="22"/>
  <c r="F98" i="23"/>
  <c r="I98" i="23"/>
  <c r="R98" i="23"/>
  <c r="I98" i="22"/>
  <c r="R98" i="22"/>
  <c r="F52" i="23"/>
  <c r="I52" i="23"/>
  <c r="R52" i="23"/>
  <c r="I52" i="22"/>
  <c r="R52" i="22"/>
  <c r="F196" i="23"/>
  <c r="I196" i="23"/>
  <c r="R196" i="23"/>
  <c r="I196" i="22"/>
  <c r="R196" i="22"/>
  <c r="F54" i="23"/>
  <c r="I54" i="23"/>
  <c r="R54" i="23"/>
  <c r="I54" i="22"/>
  <c r="R54" i="22"/>
  <c r="F192" i="23"/>
  <c r="I192" i="23"/>
  <c r="R192" i="23"/>
  <c r="I192" i="22"/>
  <c r="R192" i="22"/>
  <c r="F131" i="23"/>
  <c r="I131" i="23"/>
  <c r="R131" i="23"/>
  <c r="I131" i="22"/>
  <c r="R131" i="22"/>
  <c r="F154" i="23"/>
  <c r="F106" i="23"/>
  <c r="I8" i="22"/>
  <c r="R8" i="22" s="1"/>
  <c r="F88" i="23"/>
  <c r="I88" i="23"/>
  <c r="R88" i="23"/>
  <c r="I88" i="22"/>
  <c r="R88" i="22"/>
  <c r="F191" i="23"/>
  <c r="I191" i="23"/>
  <c r="R191" i="23"/>
  <c r="I191" i="22"/>
  <c r="R191" i="22"/>
  <c r="F195" i="23"/>
  <c r="I195" i="23"/>
  <c r="R195" i="23"/>
  <c r="I195" i="22"/>
  <c r="R195" i="22"/>
  <c r="F158" i="23"/>
  <c r="I158" i="23"/>
  <c r="R158" i="23"/>
  <c r="I158" i="22"/>
  <c r="R158" i="22"/>
  <c r="F163" i="23"/>
  <c r="I163" i="23"/>
  <c r="R163" i="23"/>
  <c r="I163" i="22"/>
  <c r="R163" i="22"/>
  <c r="F210" i="23"/>
  <c r="I210" i="23"/>
  <c r="R210" i="23"/>
  <c r="I210" i="22"/>
  <c r="R210" i="22"/>
  <c r="F161" i="23"/>
  <c r="I161" i="23"/>
  <c r="R161" i="23"/>
  <c r="I161" i="22"/>
  <c r="R161" i="22"/>
  <c r="F38" i="23"/>
  <c r="I38" i="23"/>
  <c r="R38" i="23"/>
  <c r="I38" i="22"/>
  <c r="R38" i="22"/>
  <c r="F137" i="23"/>
  <c r="I137" i="23"/>
  <c r="R137" i="23"/>
  <c r="I137" i="22"/>
  <c r="R137" i="22"/>
  <c r="F48" i="23"/>
  <c r="I48" i="23"/>
  <c r="R48" i="23"/>
  <c r="I48" i="22"/>
  <c r="R48" i="22"/>
  <c r="F132" i="23"/>
  <c r="I132" i="23"/>
  <c r="R132" i="23"/>
  <c r="I132" i="22"/>
  <c r="R132" i="22"/>
  <c r="F175" i="23"/>
  <c r="I175" i="23"/>
  <c r="R175" i="23"/>
  <c r="I175" i="22"/>
  <c r="R175" i="22"/>
  <c r="F171" i="23"/>
  <c r="I171" i="23"/>
  <c r="R171" i="23"/>
  <c r="I171" i="22"/>
  <c r="R171" i="22"/>
  <c r="F41" i="23"/>
  <c r="I41" i="23"/>
  <c r="R41" i="23"/>
  <c r="I41" i="22"/>
  <c r="R41" i="22"/>
  <c r="F170" i="23"/>
  <c r="I170" i="23"/>
  <c r="R170" i="23"/>
  <c r="I170" i="22"/>
  <c r="R170" i="22"/>
  <c r="F129" i="23"/>
  <c r="I129" i="23"/>
  <c r="R129" i="23"/>
  <c r="I129" i="22"/>
  <c r="R129" i="22"/>
  <c r="F53" i="23"/>
  <c r="I53" i="23"/>
  <c r="R53" i="23"/>
  <c r="I53" i="22"/>
  <c r="R53" i="22"/>
  <c r="F179" i="23"/>
  <c r="I179" i="23"/>
  <c r="R179" i="23"/>
  <c r="I179" i="22"/>
  <c r="R179" i="22"/>
  <c r="F45" i="23"/>
  <c r="I45" i="23"/>
  <c r="R45" i="23"/>
  <c r="I45" i="22"/>
  <c r="R45" i="22"/>
  <c r="F130" i="23"/>
  <c r="I130" i="23"/>
  <c r="R130" i="23"/>
  <c r="I130" i="22"/>
  <c r="R130" i="22"/>
  <c r="F139" i="23"/>
  <c r="I139" i="23"/>
  <c r="R139" i="23"/>
  <c r="I139" i="22"/>
  <c r="R139" i="22"/>
  <c r="F183" i="23"/>
  <c r="I183" i="23"/>
  <c r="R183" i="23"/>
  <c r="I183" i="22"/>
  <c r="R183" i="22"/>
  <c r="F172" i="23"/>
  <c r="I172" i="23"/>
  <c r="R172" i="23"/>
  <c r="I172" i="22"/>
  <c r="R172" i="22"/>
  <c r="F36" i="23"/>
  <c r="I36" i="23"/>
  <c r="R36" i="23"/>
  <c r="I36" i="22"/>
  <c r="R36" i="22"/>
  <c r="F125" i="23"/>
  <c r="I125" i="23"/>
  <c r="R125" i="23"/>
  <c r="I125" i="22"/>
  <c r="R125" i="22"/>
  <c r="F169" i="23"/>
  <c r="I169" i="23"/>
  <c r="R169" i="23"/>
  <c r="I169" i="22"/>
  <c r="R169" i="22"/>
  <c r="F95" i="23"/>
  <c r="I95" i="23"/>
  <c r="R95" i="23"/>
  <c r="I95" i="22"/>
  <c r="R95" i="22"/>
  <c r="F193" i="23"/>
  <c r="I193" i="23"/>
  <c r="R193" i="23"/>
  <c r="I193" i="22"/>
  <c r="R193" i="22"/>
  <c r="F168" i="23"/>
  <c r="I168" i="23"/>
  <c r="R168" i="23"/>
  <c r="I168" i="22"/>
  <c r="R168" i="22"/>
  <c r="F198" i="23"/>
  <c r="I198" i="23"/>
  <c r="R198" i="23"/>
  <c r="I198" i="22"/>
  <c r="R198" i="22"/>
  <c r="F202" i="23"/>
  <c r="F141" i="23"/>
  <c r="I141" i="23"/>
  <c r="R141" i="23"/>
  <c r="I141" i="22"/>
  <c r="R141" i="22"/>
  <c r="F128" i="23"/>
  <c r="I128" i="23"/>
  <c r="R128" i="23"/>
  <c r="I128" i="22"/>
  <c r="R128" i="22"/>
  <c r="F138" i="23"/>
  <c r="I138" i="23"/>
  <c r="R138" i="23"/>
  <c r="I138" i="22"/>
  <c r="R138" i="22"/>
  <c r="F157" i="23"/>
  <c r="I157" i="23"/>
  <c r="R157" i="23"/>
  <c r="I157" i="22"/>
  <c r="R157" i="22"/>
  <c r="F46" i="23"/>
  <c r="I46" i="23"/>
  <c r="R46" i="23"/>
  <c r="I46" i="22"/>
  <c r="R46" i="22"/>
  <c r="F126" i="23"/>
  <c r="I126" i="23"/>
  <c r="R126" i="23"/>
  <c r="I126" i="22"/>
  <c r="R126" i="22"/>
  <c r="F84" i="23"/>
  <c r="I84" i="23"/>
  <c r="R84" i="23"/>
  <c r="I84" i="22"/>
  <c r="R84" i="22"/>
  <c r="F91" i="23"/>
  <c r="I91" i="23"/>
  <c r="R91" i="23"/>
  <c r="I91" i="22"/>
  <c r="R91" i="22"/>
  <c r="F205" i="23"/>
  <c r="I205" i="23"/>
  <c r="R205" i="23"/>
  <c r="I205" i="22"/>
  <c r="R205" i="22"/>
  <c r="F94" i="23"/>
  <c r="I94" i="23"/>
  <c r="R94" i="23"/>
  <c r="I94" i="22"/>
  <c r="R94" i="22"/>
  <c r="F44" i="23"/>
  <c r="I44" i="23"/>
  <c r="R44" i="23"/>
  <c r="I44" i="22"/>
  <c r="R44" i="22"/>
  <c r="F180" i="23"/>
  <c r="I180" i="23"/>
  <c r="R180" i="23"/>
  <c r="I180" i="22"/>
  <c r="R180" i="22"/>
  <c r="F43" i="23"/>
  <c r="I43" i="23"/>
  <c r="R43" i="23"/>
  <c r="I43" i="22"/>
  <c r="R43" i="22"/>
  <c r="F63" i="23"/>
  <c r="I63" i="23"/>
  <c r="R63" i="23"/>
  <c r="I63" i="22"/>
  <c r="R63" i="22"/>
  <c r="J25" i="5"/>
  <c r="E624" i="9" s="1"/>
  <c r="F624" i="9" s="1"/>
  <c r="J24" i="5"/>
  <c r="F20" i="10"/>
  <c r="F21" i="10"/>
  <c r="F22" i="10"/>
  <c r="F19" i="10"/>
  <c r="H43" i="10"/>
  <c r="F16" i="10"/>
  <c r="O18" i="25"/>
  <c r="F29" i="10"/>
  <c r="F28" i="10"/>
  <c r="F44" i="10"/>
  <c r="F30" i="10"/>
  <c r="F23" i="10"/>
  <c r="F24" i="10"/>
  <c r="O22" i="25"/>
  <c r="F32" i="10"/>
  <c r="F33" i="10"/>
  <c r="F39" i="10"/>
  <c r="F40" i="10"/>
  <c r="F55" i="10"/>
  <c r="F57" i="10"/>
  <c r="F59" i="10"/>
  <c r="F60" i="10"/>
  <c r="F37" i="10"/>
  <c r="F36" i="10"/>
  <c r="F46" i="10"/>
  <c r="F53" i="10"/>
  <c r="F47" i="10"/>
  <c r="F61" i="10"/>
  <c r="F62" i="10"/>
  <c r="S21" i="24"/>
  <c r="R21" i="24"/>
  <c r="Q21" i="24"/>
  <c r="G28" i="6"/>
  <c r="G16" i="6"/>
  <c r="L38" i="10"/>
  <c r="N38" i="10" s="1"/>
  <c r="F175" i="11"/>
  <c r="C305" i="25"/>
  <c r="G216" i="20"/>
  <c r="G216" i="21" s="1"/>
  <c r="G216" i="22" s="1"/>
  <c r="G216" i="23" s="1"/>
  <c r="H216" i="20"/>
  <c r="H222" i="20"/>
  <c r="G222" i="20"/>
  <c r="G222" i="21"/>
  <c r="G222" i="22"/>
  <c r="G222" i="23"/>
  <c r="H221" i="20"/>
  <c r="G221" i="20"/>
  <c r="G221" i="21"/>
  <c r="G221" i="22"/>
  <c r="G221" i="23"/>
  <c r="H220" i="20"/>
  <c r="G220" i="20"/>
  <c r="G220" i="21"/>
  <c r="G220" i="22"/>
  <c r="G220" i="23"/>
  <c r="H219" i="20"/>
  <c r="G219" i="20"/>
  <c r="G219" i="21"/>
  <c r="G219" i="22"/>
  <c r="G219" i="23"/>
  <c r="H218" i="20"/>
  <c r="G218" i="20"/>
  <c r="G218" i="21"/>
  <c r="G218" i="22"/>
  <c r="G218" i="23"/>
  <c r="S222" i="7"/>
  <c r="P222" i="7"/>
  <c r="O222" i="7"/>
  <c r="N222" i="7"/>
  <c r="S221" i="7"/>
  <c r="P221" i="7"/>
  <c r="O221" i="7"/>
  <c r="N221" i="7"/>
  <c r="S220" i="7"/>
  <c r="P220" i="7"/>
  <c r="O220" i="7"/>
  <c r="N220" i="7"/>
  <c r="S219" i="7"/>
  <c r="P219" i="7"/>
  <c r="O219" i="7"/>
  <c r="N219" i="7"/>
  <c r="S218" i="7"/>
  <c r="P218" i="7"/>
  <c r="O218" i="7"/>
  <c r="N218" i="7"/>
  <c r="H207" i="20"/>
  <c r="Q207" i="20"/>
  <c r="G207" i="20"/>
  <c r="G207" i="21"/>
  <c r="G207" i="22"/>
  <c r="G207" i="23"/>
  <c r="H206" i="20"/>
  <c r="Q206" i="20"/>
  <c r="G206" i="20"/>
  <c r="G206" i="21"/>
  <c r="G206" i="22"/>
  <c r="G206" i="23"/>
  <c r="H205" i="20"/>
  <c r="Q205" i="20"/>
  <c r="G205" i="20"/>
  <c r="G205" i="21"/>
  <c r="G205" i="22"/>
  <c r="G205" i="23"/>
  <c r="H204" i="20"/>
  <c r="Q204" i="20"/>
  <c r="G204" i="20"/>
  <c r="G204" i="21"/>
  <c r="G204" i="22"/>
  <c r="G204" i="23"/>
  <c r="H203" i="20"/>
  <c r="Q203" i="20" s="1"/>
  <c r="Q214" i="20" s="1"/>
  <c r="G203" i="20"/>
  <c r="G203" i="21" s="1"/>
  <c r="G203" i="22" s="1"/>
  <c r="G203" i="23" s="1"/>
  <c r="S207" i="7"/>
  <c r="P207" i="7"/>
  <c r="O207" i="7"/>
  <c r="N207" i="7"/>
  <c r="S206" i="7"/>
  <c r="P206" i="7"/>
  <c r="O206" i="7"/>
  <c r="N206" i="7"/>
  <c r="S205" i="7"/>
  <c r="P205" i="7"/>
  <c r="O205" i="7"/>
  <c r="N205" i="7"/>
  <c r="S204" i="7"/>
  <c r="P204" i="7"/>
  <c r="O204" i="7"/>
  <c r="N204" i="7"/>
  <c r="S203" i="7"/>
  <c r="P203" i="7"/>
  <c r="O203" i="7"/>
  <c r="N203" i="7"/>
  <c r="J203" i="7" s="1"/>
  <c r="K203" i="7" s="1"/>
  <c r="H194" i="20"/>
  <c r="Q194" i="20"/>
  <c r="G194" i="20"/>
  <c r="G194" i="21"/>
  <c r="G194" i="22"/>
  <c r="G194" i="23"/>
  <c r="H193" i="20"/>
  <c r="Q193" i="20"/>
  <c r="G193" i="20"/>
  <c r="G193" i="21"/>
  <c r="G193" i="22"/>
  <c r="G193" i="23"/>
  <c r="H192" i="20"/>
  <c r="Q192" i="20"/>
  <c r="G192" i="20"/>
  <c r="G192" i="21"/>
  <c r="G192" i="22"/>
  <c r="G192" i="23"/>
  <c r="H191" i="20"/>
  <c r="Q191" i="20"/>
  <c r="G191" i="20"/>
  <c r="G191" i="21"/>
  <c r="G191" i="22"/>
  <c r="G191" i="23"/>
  <c r="S194" i="7"/>
  <c r="P194" i="7"/>
  <c r="O194" i="7"/>
  <c r="N194" i="7"/>
  <c r="S193" i="7"/>
  <c r="P193" i="7"/>
  <c r="O193" i="7"/>
  <c r="N193" i="7"/>
  <c r="S192" i="7"/>
  <c r="P192" i="7"/>
  <c r="O192" i="7"/>
  <c r="N192" i="7"/>
  <c r="S191" i="7"/>
  <c r="P191" i="7"/>
  <c r="O191" i="7"/>
  <c r="N191" i="7"/>
  <c r="H177" i="20"/>
  <c r="Q177" i="20"/>
  <c r="G177" i="20"/>
  <c r="G177" i="21"/>
  <c r="G177" i="22"/>
  <c r="G177" i="23"/>
  <c r="H176" i="20"/>
  <c r="Q176" i="20"/>
  <c r="G176" i="20"/>
  <c r="G176" i="21"/>
  <c r="G176" i="22"/>
  <c r="G176" i="23"/>
  <c r="H175" i="20"/>
  <c r="Q175" i="20"/>
  <c r="G175" i="20"/>
  <c r="G175" i="21"/>
  <c r="G175" i="22"/>
  <c r="G175" i="23"/>
  <c r="H174" i="20"/>
  <c r="Q174" i="20"/>
  <c r="G174" i="20"/>
  <c r="G174" i="21"/>
  <c r="G174" i="22"/>
  <c r="G174" i="23"/>
  <c r="H173" i="20"/>
  <c r="Q173" i="20"/>
  <c r="G173" i="20"/>
  <c r="G173" i="21"/>
  <c r="G173" i="22"/>
  <c r="G173" i="23"/>
  <c r="H172" i="20"/>
  <c r="Q172" i="20"/>
  <c r="G172" i="20"/>
  <c r="G172" i="21"/>
  <c r="G172" i="22"/>
  <c r="G172" i="23"/>
  <c r="H171" i="20"/>
  <c r="Q171" i="20"/>
  <c r="G171" i="20"/>
  <c r="G171" i="21"/>
  <c r="G171" i="22"/>
  <c r="G171" i="23"/>
  <c r="H170" i="20"/>
  <c r="Q170" i="20"/>
  <c r="G170" i="20"/>
  <c r="G170" i="21"/>
  <c r="G170" i="22"/>
  <c r="G170" i="23"/>
  <c r="H169" i="20"/>
  <c r="Q169" i="20"/>
  <c r="G169" i="20"/>
  <c r="G169" i="21"/>
  <c r="G169" i="22"/>
  <c r="G169" i="23"/>
  <c r="S177" i="7"/>
  <c r="P177" i="7"/>
  <c r="O177" i="7"/>
  <c r="N177" i="7"/>
  <c r="S176" i="7"/>
  <c r="P176" i="7"/>
  <c r="O176" i="7"/>
  <c r="N176" i="7"/>
  <c r="S175" i="7"/>
  <c r="P175" i="7"/>
  <c r="O175" i="7"/>
  <c r="N175" i="7"/>
  <c r="S174" i="7"/>
  <c r="P174" i="7"/>
  <c r="O174" i="7"/>
  <c r="N174" i="7"/>
  <c r="S173" i="7"/>
  <c r="P173" i="7"/>
  <c r="O173" i="7"/>
  <c r="N173" i="7"/>
  <c r="S172" i="7"/>
  <c r="P172" i="7"/>
  <c r="O172" i="7"/>
  <c r="N172" i="7"/>
  <c r="S171" i="7"/>
  <c r="P171" i="7"/>
  <c r="O171" i="7"/>
  <c r="N171" i="7"/>
  <c r="S170" i="7"/>
  <c r="P170" i="7"/>
  <c r="O170" i="7"/>
  <c r="N170" i="7"/>
  <c r="S169" i="7"/>
  <c r="P169" i="7"/>
  <c r="O169" i="7"/>
  <c r="N169" i="7"/>
  <c r="H155" i="20"/>
  <c r="H155" i="21" s="1"/>
  <c r="G155" i="20"/>
  <c r="G155" i="21" s="1"/>
  <c r="G155" i="22" s="1"/>
  <c r="G155" i="23" s="1"/>
  <c r="H154" i="20"/>
  <c r="G154" i="20"/>
  <c r="G154" i="21" s="1"/>
  <c r="G154" i="22" s="1"/>
  <c r="G154" i="23" s="1"/>
  <c r="H153" i="20"/>
  <c r="Q153" i="20" s="1"/>
  <c r="G153" i="20"/>
  <c r="G153" i="21" s="1"/>
  <c r="G153" i="22" s="1"/>
  <c r="G153" i="23" s="1"/>
  <c r="H152" i="20"/>
  <c r="Q152" i="20" s="1"/>
  <c r="G152" i="20"/>
  <c r="G152" i="21" s="1"/>
  <c r="G152" i="22" s="1"/>
  <c r="G152" i="23" s="1"/>
  <c r="H151" i="20"/>
  <c r="Q151" i="20" s="1"/>
  <c r="G151" i="20"/>
  <c r="G151" i="21" s="1"/>
  <c r="G151" i="22" s="1"/>
  <c r="G151" i="23" s="1"/>
  <c r="H150" i="20"/>
  <c r="Q150" i="20" s="1"/>
  <c r="G150" i="20"/>
  <c r="G150" i="21" s="1"/>
  <c r="G150" i="22" s="1"/>
  <c r="G150" i="23" s="1"/>
  <c r="H149" i="20"/>
  <c r="H149" i="21" s="1"/>
  <c r="H149" i="22" s="1"/>
  <c r="H149" i="23" s="1"/>
  <c r="G149" i="20"/>
  <c r="G149" i="21"/>
  <c r="G149" i="22" s="1"/>
  <c r="G149" i="23" s="1"/>
  <c r="H148" i="20"/>
  <c r="G148" i="20"/>
  <c r="G148" i="21" s="1"/>
  <c r="G148" i="22" s="1"/>
  <c r="G148" i="23" s="1"/>
  <c r="H147" i="20"/>
  <c r="G147" i="20"/>
  <c r="G147" i="21"/>
  <c r="G147" i="22" s="1"/>
  <c r="G147" i="23" s="1"/>
  <c r="S155" i="7"/>
  <c r="J155" i="7" s="1"/>
  <c r="K155" i="7" s="1"/>
  <c r="P155" i="7"/>
  <c r="O155" i="7"/>
  <c r="N155" i="7"/>
  <c r="S154" i="7"/>
  <c r="P154" i="7"/>
  <c r="O154" i="7"/>
  <c r="N154" i="7"/>
  <c r="S153" i="7"/>
  <c r="P153" i="7"/>
  <c r="O153" i="7"/>
  <c r="N153" i="7"/>
  <c r="S152" i="7"/>
  <c r="P152" i="7"/>
  <c r="O152" i="7"/>
  <c r="N152" i="7"/>
  <c r="S151" i="7"/>
  <c r="P151" i="7"/>
  <c r="O151" i="7"/>
  <c r="N151" i="7"/>
  <c r="S150" i="7"/>
  <c r="P150" i="7"/>
  <c r="O150" i="7"/>
  <c r="N150" i="7"/>
  <c r="S149" i="7"/>
  <c r="P149" i="7"/>
  <c r="O149" i="7"/>
  <c r="N149" i="7"/>
  <c r="S148" i="7"/>
  <c r="P148" i="7"/>
  <c r="O148" i="7"/>
  <c r="N148" i="7"/>
  <c r="S147" i="7"/>
  <c r="P147" i="7"/>
  <c r="O147" i="7"/>
  <c r="N147" i="7"/>
  <c r="O133" i="20"/>
  <c r="H133" i="20"/>
  <c r="Q133" i="20"/>
  <c r="G133" i="20"/>
  <c r="G133" i="21"/>
  <c r="G133" i="22"/>
  <c r="G133" i="23"/>
  <c r="O132" i="20"/>
  <c r="H132" i="20"/>
  <c r="Q132" i="20"/>
  <c r="G132" i="20"/>
  <c r="G132" i="21"/>
  <c r="G132" i="22"/>
  <c r="G132" i="23"/>
  <c r="O131" i="20"/>
  <c r="H131" i="20"/>
  <c r="Q131" i="20"/>
  <c r="G131" i="20"/>
  <c r="G131" i="21"/>
  <c r="G131" i="22"/>
  <c r="G131" i="23"/>
  <c r="O130" i="20"/>
  <c r="H130" i="20"/>
  <c r="Q130" i="20"/>
  <c r="G130" i="20"/>
  <c r="G130" i="21"/>
  <c r="G130" i="22"/>
  <c r="G130" i="23"/>
  <c r="O129" i="20"/>
  <c r="H129" i="20"/>
  <c r="Q129" i="20"/>
  <c r="G129" i="20"/>
  <c r="G129" i="21"/>
  <c r="G129" i="22"/>
  <c r="G129" i="23"/>
  <c r="O128" i="20"/>
  <c r="H128" i="20"/>
  <c r="Q128" i="20"/>
  <c r="J128" i="20" s="1"/>
  <c r="G128" i="20"/>
  <c r="G128" i="21"/>
  <c r="G128" i="22"/>
  <c r="G128" i="23"/>
  <c r="O127" i="20"/>
  <c r="H127" i="20"/>
  <c r="Q127" i="20"/>
  <c r="G127" i="20"/>
  <c r="G127" i="21"/>
  <c r="G127" i="22"/>
  <c r="G127" i="23"/>
  <c r="O126" i="20"/>
  <c r="H126" i="20"/>
  <c r="Q126" i="20"/>
  <c r="G126" i="20"/>
  <c r="G126" i="21"/>
  <c r="G126" i="22"/>
  <c r="G126" i="23"/>
  <c r="O125" i="20"/>
  <c r="H125" i="20"/>
  <c r="Q125" i="20"/>
  <c r="G125" i="20"/>
  <c r="G125" i="21"/>
  <c r="G125" i="22"/>
  <c r="G125" i="23"/>
  <c r="O133" i="21"/>
  <c r="O132" i="21"/>
  <c r="O131" i="21"/>
  <c r="O130" i="21"/>
  <c r="O129" i="21"/>
  <c r="O128" i="21"/>
  <c r="O127" i="21"/>
  <c r="O126" i="21"/>
  <c r="O125" i="21"/>
  <c r="O133" i="22"/>
  <c r="O132" i="22"/>
  <c r="O131" i="22"/>
  <c r="O130" i="22"/>
  <c r="O129" i="22"/>
  <c r="O128" i="22"/>
  <c r="O127" i="22"/>
  <c r="O126" i="22"/>
  <c r="O125" i="22"/>
  <c r="O133" i="23"/>
  <c r="O132" i="23"/>
  <c r="O131" i="23"/>
  <c r="O130" i="23"/>
  <c r="O129" i="23"/>
  <c r="O128" i="23"/>
  <c r="O127" i="23"/>
  <c r="O126" i="23"/>
  <c r="O125" i="23"/>
  <c r="S133" i="7"/>
  <c r="P133" i="7"/>
  <c r="O133" i="7"/>
  <c r="M133" i="7"/>
  <c r="S132" i="7"/>
  <c r="P132" i="7"/>
  <c r="O132" i="7"/>
  <c r="M132" i="7"/>
  <c r="S131" i="7"/>
  <c r="P131" i="7"/>
  <c r="O131" i="7"/>
  <c r="M131" i="7"/>
  <c r="S130" i="7"/>
  <c r="P130" i="7"/>
  <c r="O130" i="7"/>
  <c r="M130" i="7"/>
  <c r="S129" i="7"/>
  <c r="P129" i="7"/>
  <c r="O129" i="7"/>
  <c r="M129" i="7"/>
  <c r="S128" i="7"/>
  <c r="P128" i="7"/>
  <c r="O128" i="7"/>
  <c r="M128" i="7"/>
  <c r="S127" i="7"/>
  <c r="P127" i="7"/>
  <c r="O127" i="7"/>
  <c r="M127" i="7"/>
  <c r="S126" i="7"/>
  <c r="P126" i="7"/>
  <c r="O126" i="7"/>
  <c r="M126" i="7"/>
  <c r="S125" i="7"/>
  <c r="P125" i="7"/>
  <c r="O125" i="7"/>
  <c r="M125" i="7"/>
  <c r="O111" i="20"/>
  <c r="H111" i="20"/>
  <c r="Q111" i="20" s="1"/>
  <c r="G111" i="20"/>
  <c r="G111" i="21" s="1"/>
  <c r="G111" i="22" s="1"/>
  <c r="G111" i="23" s="1"/>
  <c r="O110" i="20"/>
  <c r="H110" i="20"/>
  <c r="Q110" i="20" s="1"/>
  <c r="G110" i="20"/>
  <c r="G110" i="21" s="1"/>
  <c r="G110" i="22" s="1"/>
  <c r="G110" i="23" s="1"/>
  <c r="O109" i="20"/>
  <c r="H109" i="20"/>
  <c r="Q109" i="20" s="1"/>
  <c r="G109" i="20"/>
  <c r="G109" i="21" s="1"/>
  <c r="G109" i="22" s="1"/>
  <c r="G109" i="23" s="1"/>
  <c r="O108" i="20"/>
  <c r="H108" i="20"/>
  <c r="G108" i="20"/>
  <c r="G108" i="21" s="1"/>
  <c r="G108" i="22" s="1"/>
  <c r="G108" i="23" s="1"/>
  <c r="O107" i="20"/>
  <c r="H107" i="20"/>
  <c r="G107" i="20"/>
  <c r="G107" i="21" s="1"/>
  <c r="G107" i="22" s="1"/>
  <c r="G107" i="23" s="1"/>
  <c r="O106" i="20"/>
  <c r="H106" i="20"/>
  <c r="G106" i="20"/>
  <c r="G106" i="21" s="1"/>
  <c r="G106" i="22" s="1"/>
  <c r="G106" i="23" s="1"/>
  <c r="O105" i="20"/>
  <c r="H105" i="20"/>
  <c r="G105" i="20"/>
  <c r="G105" i="21" s="1"/>
  <c r="G105" i="22" s="1"/>
  <c r="G105" i="23" s="1"/>
  <c r="O104" i="20"/>
  <c r="H104" i="20"/>
  <c r="G104" i="20"/>
  <c r="G104" i="21"/>
  <c r="G104" i="22" s="1"/>
  <c r="G104" i="23" s="1"/>
  <c r="O103" i="20"/>
  <c r="H103" i="20"/>
  <c r="G103" i="20"/>
  <c r="G103" i="21"/>
  <c r="G103" i="22"/>
  <c r="G103" i="23" s="1"/>
  <c r="O111" i="21"/>
  <c r="O110" i="21"/>
  <c r="O109" i="21"/>
  <c r="O108" i="21"/>
  <c r="O107" i="21"/>
  <c r="O106" i="21"/>
  <c r="O105" i="21"/>
  <c r="O104" i="21"/>
  <c r="O103" i="21"/>
  <c r="O111" i="22"/>
  <c r="O110" i="22"/>
  <c r="O109" i="22"/>
  <c r="O108" i="22"/>
  <c r="O107" i="22"/>
  <c r="O106" i="22"/>
  <c r="O105" i="22"/>
  <c r="O104" i="22"/>
  <c r="O103" i="22"/>
  <c r="O111" i="23"/>
  <c r="O110" i="23"/>
  <c r="O109" i="23"/>
  <c r="O108" i="23"/>
  <c r="O107" i="23"/>
  <c r="O106" i="23"/>
  <c r="O105" i="23"/>
  <c r="O104" i="23"/>
  <c r="O103" i="23"/>
  <c r="S111" i="7"/>
  <c r="P111" i="7"/>
  <c r="O111" i="7"/>
  <c r="M111" i="7"/>
  <c r="S110" i="7"/>
  <c r="P110" i="7"/>
  <c r="O110" i="7"/>
  <c r="J110" i="7" s="1"/>
  <c r="K110" i="7" s="1"/>
  <c r="M110" i="7"/>
  <c r="S109" i="7"/>
  <c r="P109" i="7"/>
  <c r="O109" i="7"/>
  <c r="M109" i="7"/>
  <c r="J109" i="7" s="1"/>
  <c r="K109" i="7" s="1"/>
  <c r="S108" i="7"/>
  <c r="P108" i="7"/>
  <c r="O108" i="7"/>
  <c r="M108" i="7"/>
  <c r="S107" i="7"/>
  <c r="P107" i="7"/>
  <c r="O107" i="7"/>
  <c r="M107" i="7"/>
  <c r="S106" i="7"/>
  <c r="P106" i="7"/>
  <c r="O106" i="7"/>
  <c r="M106" i="7"/>
  <c r="J106" i="7" s="1"/>
  <c r="K106" i="7" s="1"/>
  <c r="S105" i="7"/>
  <c r="P105" i="7"/>
  <c r="O105" i="7"/>
  <c r="M105" i="7"/>
  <c r="S104" i="7"/>
  <c r="P104" i="7"/>
  <c r="O104" i="7"/>
  <c r="M104" i="7"/>
  <c r="S103" i="7"/>
  <c r="P103" i="7"/>
  <c r="O103" i="7"/>
  <c r="M103" i="7"/>
  <c r="O88" i="20"/>
  <c r="H88" i="20"/>
  <c r="Q88" i="20"/>
  <c r="G88" i="20"/>
  <c r="G88" i="21"/>
  <c r="G88" i="22"/>
  <c r="G88" i="23"/>
  <c r="O87" i="20"/>
  <c r="H87" i="20"/>
  <c r="Q87" i="20"/>
  <c r="G87" i="20"/>
  <c r="G87" i="21"/>
  <c r="G87" i="22"/>
  <c r="G87" i="23"/>
  <c r="O86" i="20"/>
  <c r="H86" i="20"/>
  <c r="Q86" i="20"/>
  <c r="G86" i="20"/>
  <c r="G86" i="21"/>
  <c r="G86" i="22"/>
  <c r="G86" i="23"/>
  <c r="O85" i="20"/>
  <c r="H85" i="20"/>
  <c r="Q85" i="20"/>
  <c r="G85" i="20"/>
  <c r="G85" i="21"/>
  <c r="G85" i="22"/>
  <c r="G85" i="23"/>
  <c r="O84" i="20"/>
  <c r="H84" i="20"/>
  <c r="Q84" i="20"/>
  <c r="G84" i="20"/>
  <c r="G84" i="21"/>
  <c r="G84" i="22"/>
  <c r="G84" i="23"/>
  <c r="O83" i="20"/>
  <c r="H83" i="20"/>
  <c r="Q83" i="20"/>
  <c r="G83" i="20"/>
  <c r="G83" i="21" s="1"/>
  <c r="G83" i="22" s="1"/>
  <c r="G83" i="23" s="1"/>
  <c r="O82" i="20"/>
  <c r="H82" i="20"/>
  <c r="Q82" i="20" s="1"/>
  <c r="G82" i="20"/>
  <c r="G82" i="21" s="1"/>
  <c r="G82" i="22" s="1"/>
  <c r="G82" i="23" s="1"/>
  <c r="O81" i="20"/>
  <c r="H81" i="20"/>
  <c r="G81" i="20"/>
  <c r="G81" i="21"/>
  <c r="G81" i="22" s="1"/>
  <c r="G81" i="23" s="1"/>
  <c r="O80" i="20"/>
  <c r="H80" i="20"/>
  <c r="H80" i="21" s="1"/>
  <c r="G80" i="20"/>
  <c r="G80" i="21" s="1"/>
  <c r="G80" i="22" s="1"/>
  <c r="G80" i="23" s="1"/>
  <c r="O79" i="20"/>
  <c r="H79" i="20"/>
  <c r="H79" i="21" s="1"/>
  <c r="G79" i="20"/>
  <c r="G79" i="21" s="1"/>
  <c r="G79" i="22" s="1"/>
  <c r="G79" i="23" s="1"/>
  <c r="O88" i="21"/>
  <c r="O87" i="21"/>
  <c r="O86" i="21"/>
  <c r="O85" i="21"/>
  <c r="O84" i="21"/>
  <c r="O83" i="21"/>
  <c r="O82" i="21"/>
  <c r="O81" i="21"/>
  <c r="O80" i="21"/>
  <c r="O79" i="21"/>
  <c r="O88" i="22"/>
  <c r="O87" i="22"/>
  <c r="O86" i="22"/>
  <c r="O85" i="22"/>
  <c r="O84" i="22"/>
  <c r="O83" i="22"/>
  <c r="O82" i="22"/>
  <c r="O81" i="22"/>
  <c r="O80" i="22"/>
  <c r="O79" i="22"/>
  <c r="O88" i="23"/>
  <c r="O87" i="23"/>
  <c r="O86" i="23"/>
  <c r="O85" i="23"/>
  <c r="O84" i="23"/>
  <c r="O83" i="23"/>
  <c r="O82" i="23"/>
  <c r="O81" i="23"/>
  <c r="O80" i="23"/>
  <c r="O79" i="23"/>
  <c r="S88" i="7"/>
  <c r="P88" i="7"/>
  <c r="O88" i="7"/>
  <c r="M88" i="7"/>
  <c r="S87" i="7"/>
  <c r="P87" i="7"/>
  <c r="O87" i="7"/>
  <c r="M87" i="7"/>
  <c r="S86" i="7"/>
  <c r="P86" i="7"/>
  <c r="O86" i="7"/>
  <c r="M86" i="7"/>
  <c r="S85" i="7"/>
  <c r="P85" i="7"/>
  <c r="O85" i="7"/>
  <c r="M85" i="7"/>
  <c r="S84" i="7"/>
  <c r="P84" i="7"/>
  <c r="O84" i="7"/>
  <c r="M84" i="7"/>
  <c r="S83" i="7"/>
  <c r="P83" i="7"/>
  <c r="O83" i="7"/>
  <c r="M83" i="7"/>
  <c r="S82" i="7"/>
  <c r="P82" i="7"/>
  <c r="O82" i="7"/>
  <c r="J82" i="7" s="1"/>
  <c r="K82" i="7" s="1"/>
  <c r="M82" i="7"/>
  <c r="S81" i="7"/>
  <c r="P81" i="7"/>
  <c r="O81" i="7"/>
  <c r="M81" i="7"/>
  <c r="O80" i="7"/>
  <c r="M80" i="7"/>
  <c r="S79" i="7"/>
  <c r="P79" i="7"/>
  <c r="J79" i="7" s="1"/>
  <c r="K79" i="7" s="1"/>
  <c r="O79" i="7"/>
  <c r="M79" i="7"/>
  <c r="O42" i="20"/>
  <c r="H42" i="20"/>
  <c r="Q42" i="20"/>
  <c r="G42" i="20"/>
  <c r="G42" i="21"/>
  <c r="G42" i="22"/>
  <c r="G42" i="23"/>
  <c r="O41" i="20"/>
  <c r="H41" i="20"/>
  <c r="Q41" i="20"/>
  <c r="G41" i="20"/>
  <c r="G41" i="21"/>
  <c r="G41" i="22"/>
  <c r="G41" i="23"/>
  <c r="O40" i="20"/>
  <c r="H40" i="20"/>
  <c r="Q40" i="20"/>
  <c r="G40" i="20"/>
  <c r="G40" i="21"/>
  <c r="G40" i="22"/>
  <c r="G40" i="23"/>
  <c r="O39" i="20"/>
  <c r="H39" i="20"/>
  <c r="Q39" i="20"/>
  <c r="J39" i="20" s="1"/>
  <c r="K39" i="20" s="1"/>
  <c r="G39" i="20"/>
  <c r="G39" i="21"/>
  <c r="G39" i="22"/>
  <c r="G39" i="23"/>
  <c r="O38" i="20"/>
  <c r="H38" i="20"/>
  <c r="Q38" i="20"/>
  <c r="G38" i="20"/>
  <c r="G38" i="21"/>
  <c r="G38" i="22"/>
  <c r="G38" i="23"/>
  <c r="O37" i="20"/>
  <c r="H37" i="20"/>
  <c r="Q37" i="20"/>
  <c r="G37" i="20"/>
  <c r="G37" i="21"/>
  <c r="G37" i="22"/>
  <c r="G37" i="23"/>
  <c r="O36" i="20"/>
  <c r="H36" i="20"/>
  <c r="Q36" i="20"/>
  <c r="G36" i="20"/>
  <c r="G36" i="21"/>
  <c r="G36" i="22"/>
  <c r="G36" i="23"/>
  <c r="O35" i="20"/>
  <c r="H35" i="20"/>
  <c r="Q35" i="20"/>
  <c r="G35" i="20"/>
  <c r="G35" i="21"/>
  <c r="G35" i="22"/>
  <c r="G35" i="23"/>
  <c r="O34" i="20"/>
  <c r="H34" i="20"/>
  <c r="Q34" i="20" s="1"/>
  <c r="G34" i="20"/>
  <c r="G34" i="21"/>
  <c r="G34" i="22" s="1"/>
  <c r="G34" i="23" s="1"/>
  <c r="O33" i="20"/>
  <c r="H33" i="20"/>
  <c r="Q33" i="20" s="1"/>
  <c r="G33" i="20"/>
  <c r="G33" i="21"/>
  <c r="G33" i="22" s="1"/>
  <c r="G33" i="23" s="1"/>
  <c r="O32" i="20"/>
  <c r="H32" i="20"/>
  <c r="Q32" i="20" s="1"/>
  <c r="G32" i="20"/>
  <c r="G32" i="21" s="1"/>
  <c r="G32" i="22" s="1"/>
  <c r="G32" i="23" s="1"/>
  <c r="O31" i="20"/>
  <c r="H31" i="20"/>
  <c r="Q31" i="20" s="1"/>
  <c r="G31" i="20"/>
  <c r="G31" i="21"/>
  <c r="G31" i="22" s="1"/>
  <c r="G31" i="23" s="1"/>
  <c r="O30" i="20"/>
  <c r="H30" i="20"/>
  <c r="H30" i="21" s="1"/>
  <c r="G30" i="20"/>
  <c r="G30" i="21"/>
  <c r="G30" i="22" s="1"/>
  <c r="G30" i="23" s="1"/>
  <c r="O29" i="20"/>
  <c r="H29" i="20"/>
  <c r="H29" i="21" s="1"/>
  <c r="G29" i="20"/>
  <c r="G29" i="21"/>
  <c r="G29" i="22" s="1"/>
  <c r="G29" i="23" s="1"/>
  <c r="O28" i="20"/>
  <c r="H28" i="20"/>
  <c r="H28" i="21" s="1"/>
  <c r="H28" i="22" s="1"/>
  <c r="G28" i="20"/>
  <c r="G28" i="21" s="1"/>
  <c r="G28" i="22" s="1"/>
  <c r="G28" i="23" s="1"/>
  <c r="O27" i="20"/>
  <c r="H27" i="20"/>
  <c r="H27" i="21" s="1"/>
  <c r="G27" i="20"/>
  <c r="G27" i="21" s="1"/>
  <c r="G27" i="22" s="1"/>
  <c r="G27" i="23" s="1"/>
  <c r="O26" i="20"/>
  <c r="H26" i="20"/>
  <c r="Q26" i="20"/>
  <c r="G26" i="20"/>
  <c r="G26" i="21" s="1"/>
  <c r="G26" i="22" s="1"/>
  <c r="G26" i="23" s="1"/>
  <c r="O42" i="21"/>
  <c r="O41" i="21"/>
  <c r="O40" i="21"/>
  <c r="O39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42" i="22"/>
  <c r="O41" i="22"/>
  <c r="O40" i="22"/>
  <c r="O39" i="22"/>
  <c r="O38" i="22"/>
  <c r="O37" i="22"/>
  <c r="O36" i="22"/>
  <c r="O35" i="22"/>
  <c r="O34" i="22"/>
  <c r="O33" i="22"/>
  <c r="O32" i="22"/>
  <c r="O31" i="22"/>
  <c r="O30" i="22"/>
  <c r="O29" i="22"/>
  <c r="O28" i="22"/>
  <c r="O27" i="22"/>
  <c r="O26" i="22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S42" i="7"/>
  <c r="P42" i="7"/>
  <c r="O42" i="7"/>
  <c r="M42" i="7"/>
  <c r="S41" i="7"/>
  <c r="P41" i="7"/>
  <c r="O41" i="7"/>
  <c r="M41" i="7"/>
  <c r="S40" i="7"/>
  <c r="P40" i="7"/>
  <c r="O40" i="7"/>
  <c r="M40" i="7"/>
  <c r="S39" i="7"/>
  <c r="P39" i="7"/>
  <c r="O39" i="7"/>
  <c r="M39" i="7"/>
  <c r="S38" i="7"/>
  <c r="P38" i="7"/>
  <c r="O38" i="7"/>
  <c r="M38" i="7"/>
  <c r="S37" i="7"/>
  <c r="P37" i="7"/>
  <c r="O37" i="7"/>
  <c r="M37" i="7"/>
  <c r="S36" i="7"/>
  <c r="P36" i="7"/>
  <c r="O36" i="7"/>
  <c r="M36" i="7"/>
  <c r="S35" i="7"/>
  <c r="P35" i="7"/>
  <c r="O35" i="7"/>
  <c r="M35" i="7"/>
  <c r="S34" i="7"/>
  <c r="P34" i="7"/>
  <c r="O34" i="7"/>
  <c r="M34" i="7"/>
  <c r="S33" i="7"/>
  <c r="P33" i="7"/>
  <c r="O33" i="7"/>
  <c r="M33" i="7"/>
  <c r="S32" i="7"/>
  <c r="P32" i="7"/>
  <c r="O32" i="7"/>
  <c r="M32" i="7"/>
  <c r="S31" i="7"/>
  <c r="P31" i="7"/>
  <c r="O31" i="7"/>
  <c r="M31" i="7"/>
  <c r="S30" i="7"/>
  <c r="P30" i="7"/>
  <c r="O30" i="7"/>
  <c r="M30" i="7"/>
  <c r="S29" i="7"/>
  <c r="P29" i="7"/>
  <c r="O29" i="7"/>
  <c r="M29" i="7"/>
  <c r="S28" i="7"/>
  <c r="P28" i="7"/>
  <c r="O28" i="7"/>
  <c r="M28" i="7"/>
  <c r="S26" i="7"/>
  <c r="P26" i="7"/>
  <c r="O26" i="7"/>
  <c r="M26" i="7"/>
  <c r="H218" i="21"/>
  <c r="Q218" i="20"/>
  <c r="H219" i="21"/>
  <c r="Q219" i="20"/>
  <c r="H220" i="21"/>
  <c r="Q220" i="20"/>
  <c r="H221" i="21"/>
  <c r="Q221" i="20"/>
  <c r="H222" i="21"/>
  <c r="Q222" i="20"/>
  <c r="H216" i="21"/>
  <c r="J204" i="7"/>
  <c r="K204" i="7"/>
  <c r="J206" i="7"/>
  <c r="K206" i="7"/>
  <c r="J221" i="7"/>
  <c r="K221" i="7"/>
  <c r="H81" i="21"/>
  <c r="H82" i="21"/>
  <c r="H83" i="21"/>
  <c r="H83" i="22" s="1"/>
  <c r="H84" i="21"/>
  <c r="H85" i="21"/>
  <c r="Q85" i="21"/>
  <c r="H86" i="21"/>
  <c r="Q86" i="21"/>
  <c r="H87" i="21"/>
  <c r="Q87" i="21"/>
  <c r="H88" i="21"/>
  <c r="H125" i="21"/>
  <c r="H126" i="21"/>
  <c r="H127" i="21"/>
  <c r="H128" i="21"/>
  <c r="H129" i="21"/>
  <c r="H130" i="21"/>
  <c r="Q130" i="21"/>
  <c r="H131" i="21"/>
  <c r="Q131" i="21"/>
  <c r="H132" i="21"/>
  <c r="Q132" i="21"/>
  <c r="H133" i="21"/>
  <c r="H150" i="21"/>
  <c r="H154" i="21"/>
  <c r="H154" i="22" s="1"/>
  <c r="H170" i="21"/>
  <c r="H174" i="21"/>
  <c r="Q174" i="21"/>
  <c r="H192" i="21"/>
  <c r="Q192" i="21"/>
  <c r="H203" i="21"/>
  <c r="H207" i="21"/>
  <c r="H26" i="21"/>
  <c r="Q26" i="21" s="1"/>
  <c r="H33" i="21"/>
  <c r="H33" i="22" s="1"/>
  <c r="H34" i="21"/>
  <c r="H34" i="22" s="1"/>
  <c r="H35" i="21"/>
  <c r="H36" i="21"/>
  <c r="H37" i="21"/>
  <c r="H38" i="21"/>
  <c r="H39" i="21"/>
  <c r="H40" i="21"/>
  <c r="H41" i="21"/>
  <c r="H42" i="21"/>
  <c r="H153" i="21"/>
  <c r="Q153" i="21" s="1"/>
  <c r="H169" i="21"/>
  <c r="H173" i="21"/>
  <c r="H177" i="21"/>
  <c r="H191" i="21"/>
  <c r="Q191" i="21"/>
  <c r="H206" i="21"/>
  <c r="Q206" i="21"/>
  <c r="H103" i="21"/>
  <c r="H104" i="21"/>
  <c r="H105" i="21"/>
  <c r="H106" i="21"/>
  <c r="H107" i="21"/>
  <c r="H108" i="21"/>
  <c r="H109" i="21"/>
  <c r="H110" i="21"/>
  <c r="Q110" i="21" s="1"/>
  <c r="H111" i="21"/>
  <c r="H148" i="21"/>
  <c r="H172" i="21"/>
  <c r="H176" i="21"/>
  <c r="Q176" i="21"/>
  <c r="J176" i="21" s="1"/>
  <c r="K176" i="21" s="1"/>
  <c r="H194" i="21"/>
  <c r="H205" i="21"/>
  <c r="Q205" i="21"/>
  <c r="H147" i="21"/>
  <c r="H171" i="21"/>
  <c r="H175" i="21"/>
  <c r="Q175" i="21"/>
  <c r="H193" i="21"/>
  <c r="Q193" i="21"/>
  <c r="H204" i="21"/>
  <c r="Q204" i="21"/>
  <c r="J219" i="7"/>
  <c r="K219" i="7"/>
  <c r="J220" i="7"/>
  <c r="K220" i="7"/>
  <c r="J222" i="7"/>
  <c r="K222" i="7"/>
  <c r="J205" i="7"/>
  <c r="K205" i="7"/>
  <c r="J207" i="7"/>
  <c r="K207" i="7"/>
  <c r="J218" i="7"/>
  <c r="K218" i="7"/>
  <c r="J169" i="7"/>
  <c r="K169" i="7"/>
  <c r="J171" i="7"/>
  <c r="K171" i="7"/>
  <c r="J173" i="7"/>
  <c r="K173" i="7"/>
  <c r="J175" i="7"/>
  <c r="K175" i="7"/>
  <c r="J177" i="7"/>
  <c r="K177" i="7"/>
  <c r="J194" i="7"/>
  <c r="K194" i="7"/>
  <c r="J193" i="7"/>
  <c r="K193" i="7"/>
  <c r="J192" i="7"/>
  <c r="K192" i="7"/>
  <c r="J191" i="7"/>
  <c r="K191" i="7"/>
  <c r="J170" i="7"/>
  <c r="K170" i="7"/>
  <c r="J172" i="7"/>
  <c r="K172" i="7"/>
  <c r="J174" i="7"/>
  <c r="K174" i="7"/>
  <c r="J176" i="7"/>
  <c r="K176" i="7"/>
  <c r="J154" i="7"/>
  <c r="K154" i="7" s="1"/>
  <c r="J131" i="7"/>
  <c r="K131" i="7"/>
  <c r="J127" i="7"/>
  <c r="K127" i="7"/>
  <c r="J126" i="7"/>
  <c r="K126" i="7"/>
  <c r="J130" i="7"/>
  <c r="K130" i="7"/>
  <c r="J125" i="7"/>
  <c r="K125" i="7"/>
  <c r="J129" i="7"/>
  <c r="K129" i="7"/>
  <c r="J133" i="7"/>
  <c r="K133" i="7"/>
  <c r="J128" i="7"/>
  <c r="K128" i="7"/>
  <c r="J132" i="7"/>
  <c r="K132" i="7"/>
  <c r="J81" i="7"/>
  <c r="K81" i="7" s="1"/>
  <c r="J85" i="7"/>
  <c r="K85" i="7"/>
  <c r="J87" i="7"/>
  <c r="K87" i="7"/>
  <c r="J84" i="7"/>
  <c r="K84" i="7"/>
  <c r="J86" i="7"/>
  <c r="K86" i="7"/>
  <c r="J88" i="7"/>
  <c r="K88" i="7"/>
  <c r="J35" i="7"/>
  <c r="K35" i="7"/>
  <c r="J37" i="7"/>
  <c r="K37" i="7"/>
  <c r="J39" i="7"/>
  <c r="K39" i="7"/>
  <c r="J41" i="7"/>
  <c r="K41" i="7"/>
  <c r="J36" i="7"/>
  <c r="K36" i="7"/>
  <c r="J38" i="7"/>
  <c r="K38" i="7"/>
  <c r="J40" i="7"/>
  <c r="K40" i="7"/>
  <c r="J42" i="7"/>
  <c r="K42" i="7"/>
  <c r="H126" i="22"/>
  <c r="Q126" i="21"/>
  <c r="H111" i="22"/>
  <c r="H111" i="23" s="1"/>
  <c r="H173" i="22"/>
  <c r="Q173" i="21"/>
  <c r="Q34" i="21"/>
  <c r="H125" i="22"/>
  <c r="Q125" i="21"/>
  <c r="H221" i="22"/>
  <c r="Q221" i="21"/>
  <c r="H35" i="22"/>
  <c r="Q35" i="21"/>
  <c r="H170" i="22"/>
  <c r="Q170" i="21"/>
  <c r="H171" i="22"/>
  <c r="Q171" i="21"/>
  <c r="H220" i="22"/>
  <c r="Q220" i="21"/>
  <c r="H150" i="22"/>
  <c r="H150" i="23" s="1"/>
  <c r="H177" i="22"/>
  <c r="Q177" i="21"/>
  <c r="H42" i="22"/>
  <c r="Q42" i="21"/>
  <c r="H133" i="22"/>
  <c r="Q133" i="21"/>
  <c r="H88" i="22"/>
  <c r="Q88" i="21"/>
  <c r="H41" i="22"/>
  <c r="Q41" i="21"/>
  <c r="J41" i="21" s="1"/>
  <c r="K41" i="21" s="1"/>
  <c r="H84" i="22"/>
  <c r="Q84" i="21"/>
  <c r="H169" i="22"/>
  <c r="Q169" i="21"/>
  <c r="H40" i="22"/>
  <c r="Q40" i="21"/>
  <c r="H219" i="22"/>
  <c r="Q219" i="21"/>
  <c r="J219" i="21" s="1"/>
  <c r="H194" i="22"/>
  <c r="Q194" i="21"/>
  <c r="H39" i="22"/>
  <c r="Q39" i="21"/>
  <c r="H82" i="22"/>
  <c r="H38" i="22"/>
  <c r="Q38" i="21"/>
  <c r="H26" i="22"/>
  <c r="H26" i="23" s="1"/>
  <c r="Q26" i="23" s="1"/>
  <c r="H129" i="22"/>
  <c r="Q129" i="21"/>
  <c r="H172" i="22"/>
  <c r="Q172" i="21"/>
  <c r="J172" i="21" s="1"/>
  <c r="H37" i="22"/>
  <c r="Q37" i="21"/>
  <c r="H207" i="22"/>
  <c r="Q207" i="21"/>
  <c r="H128" i="22"/>
  <c r="Q128" i="21"/>
  <c r="H222" i="22"/>
  <c r="Q222" i="21"/>
  <c r="H36" i="22"/>
  <c r="Q36" i="21"/>
  <c r="H203" i="22"/>
  <c r="Q203" i="21"/>
  <c r="H127" i="22"/>
  <c r="Q127" i="21"/>
  <c r="H218" i="22"/>
  <c r="Q218" i="21"/>
  <c r="H216" i="22"/>
  <c r="H81" i="22"/>
  <c r="H81" i="23" s="1"/>
  <c r="H148" i="22"/>
  <c r="H107" i="22"/>
  <c r="H106" i="22"/>
  <c r="H147" i="22"/>
  <c r="H147" i="23" s="1"/>
  <c r="H105" i="22"/>
  <c r="H105" i="23" s="1"/>
  <c r="H104" i="22"/>
  <c r="H103" i="22"/>
  <c r="H132" i="22"/>
  <c r="Q132" i="22"/>
  <c r="H130" i="22"/>
  <c r="Q130" i="22"/>
  <c r="H193" i="22"/>
  <c r="Q193" i="22"/>
  <c r="H205" i="22"/>
  <c r="Q205" i="22"/>
  <c r="J205" i="22" s="1"/>
  <c r="H176" i="22"/>
  <c r="Q176" i="22"/>
  <c r="H109" i="22"/>
  <c r="H109" i="23" s="1"/>
  <c r="H191" i="22"/>
  <c r="Q191" i="22"/>
  <c r="H153" i="22"/>
  <c r="H153" i="23" s="1"/>
  <c r="Q153" i="23" s="1"/>
  <c r="H174" i="22"/>
  <c r="Q174" i="22"/>
  <c r="H131" i="22"/>
  <c r="Q131" i="22"/>
  <c r="J131" i="22" s="1"/>
  <c r="K131" i="22" s="1"/>
  <c r="H87" i="22"/>
  <c r="Q87" i="22"/>
  <c r="H85" i="22"/>
  <c r="Q85" i="22"/>
  <c r="H204" i="22"/>
  <c r="Q204" i="22"/>
  <c r="H175" i="22"/>
  <c r="Q175" i="22"/>
  <c r="H110" i="22"/>
  <c r="H108" i="22"/>
  <c r="H108" i="23" s="1"/>
  <c r="H206" i="22"/>
  <c r="Q206" i="22"/>
  <c r="J206" i="22" s="1"/>
  <c r="K206" i="22" s="1"/>
  <c r="H192" i="22"/>
  <c r="Q192" i="22"/>
  <c r="H86" i="22"/>
  <c r="Q86" i="22"/>
  <c r="S30" i="5"/>
  <c r="N30" i="13" s="1"/>
  <c r="S30" i="18"/>
  <c r="X30" i="5"/>
  <c r="Q31" i="18"/>
  <c r="F31" i="18"/>
  <c r="G31" i="18"/>
  <c r="H31" i="18"/>
  <c r="I31" i="18"/>
  <c r="J31" i="18"/>
  <c r="K31" i="18"/>
  <c r="L31" i="18"/>
  <c r="M31" i="18"/>
  <c r="N31" i="18"/>
  <c r="O31" i="18"/>
  <c r="P31" i="18"/>
  <c r="E31" i="18"/>
  <c r="H35" i="23"/>
  <c r="Q35" i="23"/>
  <c r="Q35" i="22"/>
  <c r="J35" i="22" s="1"/>
  <c r="K35" i="22" s="1"/>
  <c r="H126" i="23"/>
  <c r="Q126" i="23"/>
  <c r="Q126" i="22"/>
  <c r="H36" i="23"/>
  <c r="Q36" i="23"/>
  <c r="Q36" i="22"/>
  <c r="H129" i="23"/>
  <c r="Q129" i="23"/>
  <c r="Q129" i="22"/>
  <c r="H194" i="23"/>
  <c r="Q194" i="23"/>
  <c r="Q194" i="22"/>
  <c r="J194" i="22" s="1"/>
  <c r="K194" i="22" s="1"/>
  <c r="H84" i="23"/>
  <c r="Q84" i="23"/>
  <c r="Q84" i="22"/>
  <c r="H42" i="23"/>
  <c r="Q42" i="23"/>
  <c r="Q42" i="22"/>
  <c r="H125" i="23"/>
  <c r="Q125" i="23"/>
  <c r="Q125" i="22"/>
  <c r="H222" i="23"/>
  <c r="Q222" i="23"/>
  <c r="Q222" i="22"/>
  <c r="H128" i="23"/>
  <c r="Q128" i="23"/>
  <c r="Q128" i="22"/>
  <c r="H38" i="23"/>
  <c r="Q38" i="23"/>
  <c r="Q38" i="22"/>
  <c r="H41" i="23"/>
  <c r="Q41" i="23"/>
  <c r="Q41" i="22"/>
  <c r="H177" i="23"/>
  <c r="Q177" i="23"/>
  <c r="Q177" i="22"/>
  <c r="H220" i="23"/>
  <c r="Q220" i="23"/>
  <c r="Q220" i="22"/>
  <c r="H219" i="23"/>
  <c r="Q219" i="23"/>
  <c r="Q219" i="22"/>
  <c r="J219" i="22" s="1"/>
  <c r="H171" i="23"/>
  <c r="Q171" i="23"/>
  <c r="Q171" i="22"/>
  <c r="H207" i="23"/>
  <c r="Q207" i="23"/>
  <c r="Q207" i="22"/>
  <c r="H82" i="23"/>
  <c r="H88" i="23"/>
  <c r="Q88" i="23"/>
  <c r="Q88" i="22"/>
  <c r="H218" i="23"/>
  <c r="Q218" i="23"/>
  <c r="Q218" i="22"/>
  <c r="H170" i="23"/>
  <c r="Q170" i="23"/>
  <c r="Q170" i="22"/>
  <c r="H173" i="23"/>
  <c r="Q173" i="23"/>
  <c r="Q173" i="22"/>
  <c r="J173" i="22" s="1"/>
  <c r="K173" i="22" s="1"/>
  <c r="H221" i="23"/>
  <c r="Q221" i="23"/>
  <c r="Q221" i="22"/>
  <c r="H127" i="23"/>
  <c r="Q127" i="23"/>
  <c r="Q127" i="22"/>
  <c r="H37" i="23"/>
  <c r="Q37" i="23"/>
  <c r="Q37" i="22"/>
  <c r="H40" i="23"/>
  <c r="Q40" i="23"/>
  <c r="Q40" i="22"/>
  <c r="H133" i="23"/>
  <c r="Q133" i="23"/>
  <c r="Q133" i="22"/>
  <c r="J133" i="22" s="1"/>
  <c r="K133" i="22" s="1"/>
  <c r="H203" i="23"/>
  <c r="Q203" i="23" s="1"/>
  <c r="Q203" i="22"/>
  <c r="H172" i="23"/>
  <c r="Q172" i="23"/>
  <c r="Q172" i="22"/>
  <c r="H39" i="23"/>
  <c r="Q39" i="23"/>
  <c r="Q39" i="22"/>
  <c r="H169" i="23"/>
  <c r="Q169" i="23"/>
  <c r="Q169" i="22"/>
  <c r="J169" i="22" s="1"/>
  <c r="H216" i="23"/>
  <c r="H148" i="23"/>
  <c r="H106" i="23"/>
  <c r="H107" i="23"/>
  <c r="H104" i="23"/>
  <c r="H103" i="23"/>
  <c r="F30" i="11"/>
  <c r="C58" i="25"/>
  <c r="H192" i="23"/>
  <c r="Q192" i="23"/>
  <c r="H175" i="23"/>
  <c r="Q175" i="23"/>
  <c r="H85" i="23"/>
  <c r="Q85" i="23"/>
  <c r="H131" i="23"/>
  <c r="Q131" i="23"/>
  <c r="H174" i="23"/>
  <c r="Q174" i="23"/>
  <c r="H191" i="23"/>
  <c r="Q191" i="23"/>
  <c r="H205" i="23"/>
  <c r="Q205" i="23"/>
  <c r="H130" i="23"/>
  <c r="Q130" i="23"/>
  <c r="H86" i="23"/>
  <c r="Q86" i="23"/>
  <c r="J86" i="23" s="1"/>
  <c r="K86" i="23" s="1"/>
  <c r="H206" i="23"/>
  <c r="Q206" i="23"/>
  <c r="H110" i="23"/>
  <c r="H204" i="23"/>
  <c r="Q204" i="23"/>
  <c r="H87" i="23"/>
  <c r="Q87" i="23"/>
  <c r="H176" i="23"/>
  <c r="Q176" i="23"/>
  <c r="H193" i="23"/>
  <c r="Q193" i="23"/>
  <c r="H132" i="23"/>
  <c r="Q132" i="23"/>
  <c r="H152" i="5"/>
  <c r="Q141" i="17"/>
  <c r="Q142" i="17"/>
  <c r="H280" i="12"/>
  <c r="I279" i="12"/>
  <c r="I278" i="12"/>
  <c r="P7" i="5"/>
  <c r="E133" i="16"/>
  <c r="E133" i="14"/>
  <c r="E133" i="13"/>
  <c r="S165" i="18"/>
  <c r="S153" i="13"/>
  <c r="J157" i="11" s="1"/>
  <c r="S154" i="13"/>
  <c r="J158" i="11" s="1"/>
  <c r="S155" i="13"/>
  <c r="J159" i="11" s="1"/>
  <c r="S156" i="13"/>
  <c r="S158" i="13"/>
  <c r="S159" i="13"/>
  <c r="S161" i="13"/>
  <c r="S162" i="13"/>
  <c r="S153" i="14"/>
  <c r="S154" i="14"/>
  <c r="S155" i="14"/>
  <c r="S156" i="14"/>
  <c r="S158" i="14"/>
  <c r="S159" i="14"/>
  <c r="S161" i="14"/>
  <c r="S162" i="14"/>
  <c r="S166" i="14"/>
  <c r="S153" i="16"/>
  <c r="S154" i="16"/>
  <c r="S155" i="16"/>
  <c r="S156" i="16"/>
  <c r="S158" i="16"/>
  <c r="S159" i="16"/>
  <c r="S161" i="16"/>
  <c r="S162" i="16"/>
  <c r="S166" i="16"/>
  <c r="S153" i="17"/>
  <c r="S154" i="17"/>
  <c r="S155" i="17"/>
  <c r="S156" i="17"/>
  <c r="S158" i="17"/>
  <c r="S159" i="17"/>
  <c r="S161" i="17"/>
  <c r="S162" i="17"/>
  <c r="S166" i="17"/>
  <c r="S155" i="5"/>
  <c r="H159" i="11" s="1"/>
  <c r="S156" i="5"/>
  <c r="H160" i="11" s="1"/>
  <c r="S159" i="5"/>
  <c r="H163" i="11" s="1"/>
  <c r="S161" i="5"/>
  <c r="H165" i="11" s="1"/>
  <c r="S162" i="5"/>
  <c r="H166" i="11" s="1"/>
  <c r="S152" i="18"/>
  <c r="S153" i="18"/>
  <c r="S154" i="18"/>
  <c r="S155" i="18"/>
  <c r="S158" i="18"/>
  <c r="S160" i="18"/>
  <c r="S161" i="18"/>
  <c r="S163" i="18"/>
  <c r="S164" i="18"/>
  <c r="S137" i="18"/>
  <c r="X138" i="5"/>
  <c r="X139" i="5" s="1"/>
  <c r="S134" i="18"/>
  <c r="X108" i="5"/>
  <c r="S133" i="18"/>
  <c r="X107" i="5"/>
  <c r="S132" i="18"/>
  <c r="X87" i="5"/>
  <c r="S131" i="18"/>
  <c r="X106" i="5"/>
  <c r="S130" i="18"/>
  <c r="X134" i="5"/>
  <c r="S129" i="18"/>
  <c r="X126" i="5"/>
  <c r="S128" i="18"/>
  <c r="X128" i="5"/>
  <c r="S127" i="18"/>
  <c r="X127" i="5"/>
  <c r="S126" i="18"/>
  <c r="X109" i="5"/>
  <c r="S125" i="18"/>
  <c r="X85" i="5"/>
  <c r="S124" i="18"/>
  <c r="X105" i="5"/>
  <c r="S123" i="18"/>
  <c r="X104" i="5"/>
  <c r="S122" i="18"/>
  <c r="X103" i="5"/>
  <c r="S121" i="18"/>
  <c r="X102" i="5"/>
  <c r="S120" i="18"/>
  <c r="X86" i="5"/>
  <c r="S119" i="18"/>
  <c r="X101" i="5"/>
  <c r="S116" i="18"/>
  <c r="X117" i="5"/>
  <c r="S115" i="18"/>
  <c r="X116" i="5"/>
  <c r="S114" i="18"/>
  <c r="X115" i="5"/>
  <c r="S113" i="18"/>
  <c r="X114" i="5"/>
  <c r="S112" i="18"/>
  <c r="X113" i="5"/>
  <c r="S111" i="18"/>
  <c r="X112" i="5"/>
  <c r="S108" i="18"/>
  <c r="X133" i="5"/>
  <c r="S107" i="18"/>
  <c r="X132" i="5"/>
  <c r="S106" i="18"/>
  <c r="X131" i="5"/>
  <c r="S105" i="18"/>
  <c r="X130" i="5"/>
  <c r="S104" i="18"/>
  <c r="X129" i="5"/>
  <c r="S103" i="18"/>
  <c r="X124" i="5"/>
  <c r="S102" i="18"/>
  <c r="X123" i="5"/>
  <c r="S101" i="18"/>
  <c r="X122" i="5"/>
  <c r="S100" i="18"/>
  <c r="X121" i="5"/>
  <c r="S99" i="18"/>
  <c r="X120" i="5"/>
  <c r="S96" i="18"/>
  <c r="S95" i="18"/>
  <c r="S94" i="18"/>
  <c r="S93" i="18"/>
  <c r="S92" i="18"/>
  <c r="S91" i="18"/>
  <c r="S88" i="18"/>
  <c r="S87" i="18"/>
  <c r="S86" i="18"/>
  <c r="S85" i="18"/>
  <c r="S84" i="18"/>
  <c r="S83" i="18"/>
  <c r="S82" i="18"/>
  <c r="S81" i="18"/>
  <c r="S78" i="18"/>
  <c r="X78" i="5"/>
  <c r="S77" i="18"/>
  <c r="X77" i="5"/>
  <c r="S76" i="18"/>
  <c r="X76" i="5"/>
  <c r="S75" i="18"/>
  <c r="X75" i="5"/>
  <c r="S74" i="18"/>
  <c r="X74" i="5"/>
  <c r="S73" i="18"/>
  <c r="X73" i="5"/>
  <c r="S72" i="18"/>
  <c r="X72" i="5"/>
  <c r="S71" i="18"/>
  <c r="X71" i="5"/>
  <c r="S68" i="18"/>
  <c r="X68" i="5"/>
  <c r="S67" i="18"/>
  <c r="X67" i="5"/>
  <c r="S66" i="18"/>
  <c r="X66" i="5"/>
  <c r="S65" i="18"/>
  <c r="X65" i="5"/>
  <c r="S64" i="18"/>
  <c r="X64" i="5"/>
  <c r="S61" i="18"/>
  <c r="X61" i="5"/>
  <c r="S60" i="18"/>
  <c r="X60" i="5"/>
  <c r="S59" i="18"/>
  <c r="X59" i="5"/>
  <c r="S58" i="18"/>
  <c r="X58" i="5"/>
  <c r="S57" i="18"/>
  <c r="X57" i="5"/>
  <c r="S56" i="18"/>
  <c r="X56" i="5"/>
  <c r="S49" i="18"/>
  <c r="X49" i="5"/>
  <c r="S48" i="18"/>
  <c r="X48" i="5"/>
  <c r="S47" i="18"/>
  <c r="X47" i="5"/>
  <c r="S46" i="18"/>
  <c r="X46" i="5"/>
  <c r="S45" i="18"/>
  <c r="X45" i="5"/>
  <c r="S44" i="18"/>
  <c r="X44" i="5"/>
  <c r="S43" i="18"/>
  <c r="X43" i="5"/>
  <c r="S42" i="18"/>
  <c r="X42" i="5"/>
  <c r="S39" i="18"/>
  <c r="X39" i="5"/>
  <c r="S38" i="18"/>
  <c r="X38" i="5"/>
  <c r="S37" i="18"/>
  <c r="X37" i="5"/>
  <c r="S36" i="18"/>
  <c r="X36" i="5"/>
  <c r="S35" i="18"/>
  <c r="X35" i="5"/>
  <c r="S34" i="18"/>
  <c r="X34" i="5"/>
  <c r="S33" i="18"/>
  <c r="X33" i="5"/>
  <c r="S29" i="18"/>
  <c r="X29" i="5"/>
  <c r="S28" i="18"/>
  <c r="X28" i="5"/>
  <c r="S27" i="18"/>
  <c r="X27" i="5"/>
  <c r="S26" i="18"/>
  <c r="X26" i="5"/>
  <c r="S25" i="18"/>
  <c r="X25" i="5"/>
  <c r="S24" i="18"/>
  <c r="X24" i="5"/>
  <c r="S23" i="18"/>
  <c r="X23" i="5"/>
  <c r="S22" i="18"/>
  <c r="X22" i="5"/>
  <c r="S21" i="18"/>
  <c r="S16" i="18"/>
  <c r="S17" i="18"/>
  <c r="X17" i="5"/>
  <c r="S18" i="18"/>
  <c r="X18" i="5"/>
  <c r="S15" i="18"/>
  <c r="X15" i="5"/>
  <c r="X19" i="5" s="1"/>
  <c r="S14" i="18"/>
  <c r="X14" i="5"/>
  <c r="S13" i="18"/>
  <c r="X13" i="5"/>
  <c r="X93" i="5"/>
  <c r="X92" i="5"/>
  <c r="X94" i="5"/>
  <c r="X95" i="5"/>
  <c r="X88" i="5"/>
  <c r="X82" i="5"/>
  <c r="X89" i="5"/>
  <c r="X84" i="5"/>
  <c r="X81" i="5"/>
  <c r="X96" i="5"/>
  <c r="X97" i="5"/>
  <c r="X98" i="5"/>
  <c r="X125" i="5"/>
  <c r="X83" i="5"/>
  <c r="X21" i="5"/>
  <c r="S31" i="18"/>
  <c r="X16" i="5"/>
  <c r="F10" i="11"/>
  <c r="Q23" i="12"/>
  <c r="R19" i="12"/>
  <c r="R21" i="12"/>
  <c r="R22" i="12"/>
  <c r="R20" i="12"/>
  <c r="G217" i="20"/>
  <c r="G217" i="21"/>
  <c r="G217" i="22"/>
  <c r="G217" i="23"/>
  <c r="H217" i="20"/>
  <c r="G223" i="20"/>
  <c r="G223" i="21"/>
  <c r="G223" i="22"/>
  <c r="G223" i="23"/>
  <c r="H223" i="20"/>
  <c r="Q223" i="20"/>
  <c r="G224" i="20"/>
  <c r="G224" i="21"/>
  <c r="G224" i="22"/>
  <c r="G224" i="23"/>
  <c r="H224" i="20"/>
  <c r="Q224" i="20"/>
  <c r="G225" i="20"/>
  <c r="G225" i="21"/>
  <c r="G225" i="22"/>
  <c r="G225" i="23"/>
  <c r="H225" i="20"/>
  <c r="G226" i="20"/>
  <c r="G226" i="21"/>
  <c r="G226" i="22"/>
  <c r="G226" i="23"/>
  <c r="H226" i="20"/>
  <c r="G227" i="20"/>
  <c r="G227" i="21"/>
  <c r="G227" i="22"/>
  <c r="G227" i="23"/>
  <c r="H227" i="20"/>
  <c r="S224" i="7"/>
  <c r="P224" i="7"/>
  <c r="O224" i="7"/>
  <c r="N224" i="7"/>
  <c r="S223" i="7"/>
  <c r="P223" i="7"/>
  <c r="O223" i="7"/>
  <c r="N223" i="7"/>
  <c r="S217" i="7"/>
  <c r="P217" i="7"/>
  <c r="O217" i="7"/>
  <c r="N217" i="7"/>
  <c r="G208" i="20"/>
  <c r="G208" i="21"/>
  <c r="G208" i="22"/>
  <c r="G208" i="23"/>
  <c r="H208" i="20"/>
  <c r="G209" i="20"/>
  <c r="G209" i="21"/>
  <c r="G209" i="22"/>
  <c r="G209" i="23"/>
  <c r="H209" i="20"/>
  <c r="G210" i="20"/>
  <c r="G210" i="21"/>
  <c r="G210" i="22"/>
  <c r="G210" i="23"/>
  <c r="H210" i="20"/>
  <c r="G211" i="20"/>
  <c r="G211" i="21"/>
  <c r="G211" i="22"/>
  <c r="G211" i="23"/>
  <c r="H211" i="20"/>
  <c r="G212" i="20"/>
  <c r="G212" i="21"/>
  <c r="G212" i="22"/>
  <c r="G212" i="23"/>
  <c r="H212" i="20"/>
  <c r="G195" i="20"/>
  <c r="G195" i="21"/>
  <c r="G195" i="22"/>
  <c r="G195" i="23"/>
  <c r="H195" i="20"/>
  <c r="G196" i="20"/>
  <c r="G196" i="21"/>
  <c r="G196" i="22"/>
  <c r="G196" i="23"/>
  <c r="H196" i="20"/>
  <c r="G197" i="20"/>
  <c r="G197" i="21"/>
  <c r="G197" i="22"/>
  <c r="G197" i="23"/>
  <c r="H197" i="20"/>
  <c r="G198" i="20"/>
  <c r="G198" i="21"/>
  <c r="G198" i="22"/>
  <c r="G198" i="23"/>
  <c r="H198" i="20"/>
  <c r="G178" i="20"/>
  <c r="G178" i="21"/>
  <c r="G178" i="22"/>
  <c r="G178" i="23"/>
  <c r="H178" i="20"/>
  <c r="G179" i="20"/>
  <c r="G179" i="21"/>
  <c r="G179" i="22"/>
  <c r="G179" i="23"/>
  <c r="H179" i="20"/>
  <c r="G180" i="20"/>
  <c r="G180" i="21"/>
  <c r="G180" i="22"/>
  <c r="G180" i="23"/>
  <c r="H180" i="20"/>
  <c r="G181" i="20"/>
  <c r="G181" i="21"/>
  <c r="G181" i="22"/>
  <c r="G181" i="23"/>
  <c r="H181" i="20"/>
  <c r="G182" i="20"/>
  <c r="G182" i="21"/>
  <c r="G182" i="22"/>
  <c r="G182" i="23"/>
  <c r="H182" i="20"/>
  <c r="G183" i="20"/>
  <c r="G183" i="21"/>
  <c r="G183" i="22"/>
  <c r="G183" i="23"/>
  <c r="H183" i="20"/>
  <c r="G184" i="20"/>
  <c r="G184" i="21"/>
  <c r="G184" i="22"/>
  <c r="G184" i="23"/>
  <c r="H184" i="20"/>
  <c r="G185" i="20"/>
  <c r="G185" i="21"/>
  <c r="G185" i="22"/>
  <c r="G185" i="23"/>
  <c r="H185" i="20"/>
  <c r="G186" i="20"/>
  <c r="G186" i="21"/>
  <c r="G186" i="22"/>
  <c r="G186" i="23"/>
  <c r="H186" i="20"/>
  <c r="G156" i="20"/>
  <c r="G156" i="21" s="1"/>
  <c r="G156" i="22" s="1"/>
  <c r="G156" i="23" s="1"/>
  <c r="H156" i="20"/>
  <c r="H156" i="21" s="1"/>
  <c r="G157" i="20"/>
  <c r="G157" i="21"/>
  <c r="G157" i="22"/>
  <c r="G157" i="23"/>
  <c r="H157" i="20"/>
  <c r="G158" i="20"/>
  <c r="G158" i="21"/>
  <c r="G158" i="22"/>
  <c r="G158" i="23"/>
  <c r="H158" i="20"/>
  <c r="G159" i="20"/>
  <c r="G159" i="21"/>
  <c r="G159" i="22"/>
  <c r="G159" i="23"/>
  <c r="H159" i="20"/>
  <c r="G160" i="20"/>
  <c r="G160" i="21"/>
  <c r="G160" i="22"/>
  <c r="G160" i="23"/>
  <c r="H160" i="20"/>
  <c r="G161" i="20"/>
  <c r="G161" i="21"/>
  <c r="G161" i="22"/>
  <c r="G161" i="23"/>
  <c r="H161" i="20"/>
  <c r="G162" i="20"/>
  <c r="G162" i="21"/>
  <c r="G162" i="22"/>
  <c r="G162" i="23"/>
  <c r="H162" i="20"/>
  <c r="G163" i="20"/>
  <c r="G163" i="21"/>
  <c r="G163" i="22"/>
  <c r="G163" i="23"/>
  <c r="H163" i="20"/>
  <c r="G164" i="20"/>
  <c r="G164" i="21"/>
  <c r="G164" i="22"/>
  <c r="G164" i="23"/>
  <c r="H164" i="20"/>
  <c r="G134" i="20"/>
  <c r="G134" i="21"/>
  <c r="G134" i="22"/>
  <c r="G134" i="23"/>
  <c r="H134" i="20"/>
  <c r="G135" i="20"/>
  <c r="G135" i="21"/>
  <c r="G135" i="22"/>
  <c r="G135" i="23"/>
  <c r="H135" i="20"/>
  <c r="G136" i="20"/>
  <c r="G136" i="21"/>
  <c r="G136" i="22"/>
  <c r="G136" i="23"/>
  <c r="H136" i="20"/>
  <c r="G137" i="20"/>
  <c r="G137" i="21"/>
  <c r="G137" i="22"/>
  <c r="G137" i="23"/>
  <c r="H137" i="20"/>
  <c r="G138" i="20"/>
  <c r="G138" i="21"/>
  <c r="G138" i="22"/>
  <c r="G138" i="23"/>
  <c r="H138" i="20"/>
  <c r="G139" i="20"/>
  <c r="G139" i="21"/>
  <c r="G139" i="22"/>
  <c r="G139" i="23"/>
  <c r="H139" i="20"/>
  <c r="G140" i="20"/>
  <c r="G140" i="21"/>
  <c r="G140" i="22"/>
  <c r="G140" i="23"/>
  <c r="H140" i="20"/>
  <c r="G141" i="20"/>
  <c r="G141" i="21"/>
  <c r="G141" i="22"/>
  <c r="G141" i="23"/>
  <c r="H141" i="20"/>
  <c r="G142" i="20"/>
  <c r="G142" i="21"/>
  <c r="G142" i="22"/>
  <c r="G142" i="23"/>
  <c r="H142" i="20"/>
  <c r="G112" i="20"/>
  <c r="G112" i="21" s="1"/>
  <c r="G112" i="22" s="1"/>
  <c r="G112" i="23" s="1"/>
  <c r="H112" i="20"/>
  <c r="Q112" i="20" s="1"/>
  <c r="G113" i="20"/>
  <c r="G113" i="21" s="1"/>
  <c r="G113" i="22" s="1"/>
  <c r="G113" i="23" s="1"/>
  <c r="H113" i="20"/>
  <c r="G114" i="20"/>
  <c r="G114" i="21" s="1"/>
  <c r="G114" i="22" s="1"/>
  <c r="G114" i="23" s="1"/>
  <c r="H114" i="20"/>
  <c r="G115" i="20"/>
  <c r="G115" i="21" s="1"/>
  <c r="G115" i="22" s="1"/>
  <c r="G115" i="23" s="1"/>
  <c r="H115" i="20"/>
  <c r="G116" i="20"/>
  <c r="G116" i="21" s="1"/>
  <c r="G116" i="22" s="1"/>
  <c r="G116" i="23" s="1"/>
  <c r="H116" i="20"/>
  <c r="H116" i="21" s="1"/>
  <c r="G117" i="20"/>
  <c r="G117" i="21"/>
  <c r="G117" i="22"/>
  <c r="G117" i="23" s="1"/>
  <c r="H117" i="20"/>
  <c r="G118" i="20"/>
  <c r="G118" i="21"/>
  <c r="G118" i="22"/>
  <c r="G118" i="23"/>
  <c r="H118" i="20"/>
  <c r="G119" i="20"/>
  <c r="G119" i="21"/>
  <c r="G119" i="22"/>
  <c r="G119" i="23"/>
  <c r="H119" i="20"/>
  <c r="G120" i="20"/>
  <c r="G120" i="21"/>
  <c r="G120" i="22"/>
  <c r="G120" i="23"/>
  <c r="H120" i="20"/>
  <c r="G89" i="20"/>
  <c r="G89" i="21"/>
  <c r="G89" i="22"/>
  <c r="G89" i="23"/>
  <c r="H89" i="20"/>
  <c r="G90" i="20"/>
  <c r="G90" i="21"/>
  <c r="G90" i="22"/>
  <c r="G90" i="23"/>
  <c r="H90" i="20"/>
  <c r="G91" i="20"/>
  <c r="G91" i="21"/>
  <c r="G91" i="22"/>
  <c r="G91" i="23"/>
  <c r="H91" i="20"/>
  <c r="G92" i="20"/>
  <c r="G92" i="21"/>
  <c r="G92" i="22"/>
  <c r="G92" i="23"/>
  <c r="H92" i="20"/>
  <c r="G93" i="20"/>
  <c r="G93" i="21"/>
  <c r="G93" i="22"/>
  <c r="G93" i="23"/>
  <c r="H93" i="20"/>
  <c r="G94" i="20"/>
  <c r="G94" i="21"/>
  <c r="G94" i="22"/>
  <c r="G94" i="23"/>
  <c r="H94" i="20"/>
  <c r="G95" i="20"/>
  <c r="G95" i="21"/>
  <c r="G95" i="22"/>
  <c r="G95" i="23"/>
  <c r="H95" i="20"/>
  <c r="G96" i="20"/>
  <c r="G96" i="21"/>
  <c r="G96" i="22"/>
  <c r="G96" i="23"/>
  <c r="H96" i="20"/>
  <c r="G97" i="20"/>
  <c r="G97" i="21"/>
  <c r="G97" i="22"/>
  <c r="G97" i="23"/>
  <c r="H97" i="20"/>
  <c r="G98" i="20"/>
  <c r="G98" i="21"/>
  <c r="G98" i="22"/>
  <c r="G98" i="23"/>
  <c r="H98" i="20"/>
  <c r="G69" i="20"/>
  <c r="G69" i="21"/>
  <c r="G69" i="22"/>
  <c r="G69" i="23"/>
  <c r="H69" i="20"/>
  <c r="G70" i="20"/>
  <c r="G70" i="21"/>
  <c r="G70" i="22"/>
  <c r="G70" i="23"/>
  <c r="H70" i="20"/>
  <c r="G71" i="20"/>
  <c r="G71" i="21"/>
  <c r="G71" i="22"/>
  <c r="G71" i="23"/>
  <c r="H71" i="20"/>
  <c r="G72" i="20"/>
  <c r="G72" i="21"/>
  <c r="G72" i="22"/>
  <c r="G72" i="23"/>
  <c r="H72" i="20"/>
  <c r="G73" i="20"/>
  <c r="G73" i="21"/>
  <c r="G73" i="22"/>
  <c r="G73" i="23"/>
  <c r="H73" i="20"/>
  <c r="G74" i="20"/>
  <c r="G74" i="21"/>
  <c r="G74" i="22"/>
  <c r="G74" i="23"/>
  <c r="H74" i="20"/>
  <c r="G9" i="20"/>
  <c r="H9" i="20"/>
  <c r="G10" i="20"/>
  <c r="H10" i="20"/>
  <c r="G11" i="20"/>
  <c r="H11" i="20"/>
  <c r="Q11" i="20" s="1"/>
  <c r="G12" i="20"/>
  <c r="G12" i="21" s="1"/>
  <c r="G12" i="22" s="1"/>
  <c r="G12" i="23" s="1"/>
  <c r="H12" i="20"/>
  <c r="G13" i="20"/>
  <c r="H13" i="20"/>
  <c r="G14" i="20"/>
  <c r="H14" i="20"/>
  <c r="G15" i="20"/>
  <c r="H15" i="20"/>
  <c r="Q15" i="20" s="1"/>
  <c r="G16" i="20"/>
  <c r="H16" i="20"/>
  <c r="Q16" i="20" s="1"/>
  <c r="G17" i="20"/>
  <c r="G17" i="21" s="1"/>
  <c r="G17" i="22" s="1"/>
  <c r="G17" i="23" s="1"/>
  <c r="H17" i="20"/>
  <c r="Q17" i="20" s="1"/>
  <c r="G18" i="20"/>
  <c r="H18" i="20"/>
  <c r="Q18" i="20" s="1"/>
  <c r="G19" i="20"/>
  <c r="G19" i="21" s="1"/>
  <c r="G19" i="22" s="1"/>
  <c r="G19" i="23" s="1"/>
  <c r="H19" i="20"/>
  <c r="Q19" i="20" s="1"/>
  <c r="G20" i="20"/>
  <c r="G20" i="21" s="1"/>
  <c r="G20" i="22" s="1"/>
  <c r="G20" i="23" s="1"/>
  <c r="H20" i="20"/>
  <c r="G21" i="20"/>
  <c r="G21" i="21" s="1"/>
  <c r="G21" i="22" s="1"/>
  <c r="G21" i="23" s="1"/>
  <c r="H21" i="20"/>
  <c r="Q21" i="20" s="1"/>
  <c r="G22" i="20"/>
  <c r="G22" i="21" s="1"/>
  <c r="G22" i="22" s="1"/>
  <c r="G22" i="23" s="1"/>
  <c r="H22" i="20"/>
  <c r="H22" i="21" s="1"/>
  <c r="G23" i="20"/>
  <c r="G23" i="21" s="1"/>
  <c r="G23" i="22" s="1"/>
  <c r="G23" i="23" s="1"/>
  <c r="H23" i="20"/>
  <c r="H23" i="21" s="1"/>
  <c r="G24" i="20"/>
  <c r="G24" i="21" s="1"/>
  <c r="G24" i="22" s="1"/>
  <c r="G24" i="23" s="1"/>
  <c r="H24" i="20"/>
  <c r="G25" i="20"/>
  <c r="G25" i="21" s="1"/>
  <c r="G25" i="22" s="1"/>
  <c r="G25" i="23" s="1"/>
  <c r="H25" i="20"/>
  <c r="G43" i="20"/>
  <c r="G43" i="21"/>
  <c r="G43" i="22"/>
  <c r="G43" i="23"/>
  <c r="H43" i="20"/>
  <c r="G44" i="20"/>
  <c r="G44" i="21"/>
  <c r="G44" i="22"/>
  <c r="G44" i="23"/>
  <c r="H44" i="20"/>
  <c r="G45" i="20"/>
  <c r="G45" i="21"/>
  <c r="G45" i="22"/>
  <c r="G45" i="23"/>
  <c r="H45" i="20"/>
  <c r="G46" i="20"/>
  <c r="G46" i="21"/>
  <c r="G46" i="22"/>
  <c r="G46" i="23"/>
  <c r="H46" i="20"/>
  <c r="G47" i="20"/>
  <c r="G47" i="21"/>
  <c r="G47" i="22"/>
  <c r="G47" i="23"/>
  <c r="H47" i="20"/>
  <c r="G48" i="20"/>
  <c r="G48" i="21"/>
  <c r="G48" i="22"/>
  <c r="G48" i="23"/>
  <c r="H48" i="20"/>
  <c r="G49" i="20"/>
  <c r="G49" i="21"/>
  <c r="G49" i="22"/>
  <c r="G49" i="23"/>
  <c r="H49" i="20"/>
  <c r="G50" i="20"/>
  <c r="G50" i="21"/>
  <c r="G50" i="22"/>
  <c r="G50" i="23"/>
  <c r="H50" i="20"/>
  <c r="G51" i="20"/>
  <c r="G51" i="21"/>
  <c r="G51" i="22"/>
  <c r="G51" i="23"/>
  <c r="H51" i="20"/>
  <c r="G52" i="20"/>
  <c r="G52" i="21"/>
  <c r="G52" i="22"/>
  <c r="G52" i="23"/>
  <c r="H52" i="20"/>
  <c r="G53" i="20"/>
  <c r="G53" i="21"/>
  <c r="G53" i="22"/>
  <c r="G53" i="23"/>
  <c r="H53" i="20"/>
  <c r="G54" i="20"/>
  <c r="G54" i="21"/>
  <c r="G54" i="22"/>
  <c r="G54" i="23"/>
  <c r="H54" i="20"/>
  <c r="G55" i="20"/>
  <c r="G55" i="21"/>
  <c r="G55" i="22"/>
  <c r="G55" i="23"/>
  <c r="H55" i="20"/>
  <c r="G56" i="20"/>
  <c r="G56" i="21"/>
  <c r="G56" i="22"/>
  <c r="G56" i="23"/>
  <c r="H56" i="20"/>
  <c r="G57" i="20"/>
  <c r="G57" i="21"/>
  <c r="G57" i="22"/>
  <c r="G57" i="23"/>
  <c r="H57" i="20"/>
  <c r="G58" i="20"/>
  <c r="G58" i="21"/>
  <c r="G58" i="22"/>
  <c r="G58" i="23"/>
  <c r="H58" i="20"/>
  <c r="G59" i="20"/>
  <c r="G59" i="21"/>
  <c r="G59" i="22"/>
  <c r="G59" i="23"/>
  <c r="H59" i="20"/>
  <c r="G8" i="20"/>
  <c r="J62" i="18"/>
  <c r="K62" i="18"/>
  <c r="L62" i="18"/>
  <c r="M62" i="18"/>
  <c r="N62" i="18"/>
  <c r="O62" i="18"/>
  <c r="P62" i="18"/>
  <c r="J69" i="18"/>
  <c r="K69" i="18"/>
  <c r="L69" i="18"/>
  <c r="M69" i="18"/>
  <c r="N69" i="18"/>
  <c r="O69" i="18"/>
  <c r="P69" i="18"/>
  <c r="J79" i="18"/>
  <c r="K79" i="18"/>
  <c r="L79" i="18"/>
  <c r="M79" i="18"/>
  <c r="N79" i="18"/>
  <c r="O79" i="18"/>
  <c r="P79" i="18"/>
  <c r="J89" i="18"/>
  <c r="K89" i="18"/>
  <c r="L89" i="18"/>
  <c r="M89" i="18"/>
  <c r="N89" i="18"/>
  <c r="O89" i="18"/>
  <c r="P89" i="18"/>
  <c r="J97" i="18"/>
  <c r="K97" i="18"/>
  <c r="L97" i="18"/>
  <c r="M97" i="18"/>
  <c r="N97" i="18"/>
  <c r="O97" i="18"/>
  <c r="P97" i="18"/>
  <c r="J109" i="18"/>
  <c r="K109" i="18"/>
  <c r="L109" i="18"/>
  <c r="M109" i="18"/>
  <c r="N109" i="18"/>
  <c r="O109" i="18"/>
  <c r="P109" i="18"/>
  <c r="J117" i="18"/>
  <c r="K117" i="18"/>
  <c r="L117" i="18"/>
  <c r="M117" i="18"/>
  <c r="N117" i="18"/>
  <c r="O117" i="18"/>
  <c r="P117" i="18"/>
  <c r="J135" i="18"/>
  <c r="K135" i="18"/>
  <c r="L135" i="18"/>
  <c r="M135" i="18"/>
  <c r="N135" i="18"/>
  <c r="O135" i="18"/>
  <c r="P135" i="18"/>
  <c r="H44" i="21"/>
  <c r="Q44" i="20"/>
  <c r="H209" i="21"/>
  <c r="Q209" i="20"/>
  <c r="H57" i="21"/>
  <c r="Q57" i="20"/>
  <c r="H51" i="21"/>
  <c r="Q51" i="20"/>
  <c r="H45" i="21"/>
  <c r="Q45" i="20"/>
  <c r="H70" i="21"/>
  <c r="Q70" i="20"/>
  <c r="Q76" i="20" s="1"/>
  <c r="H94" i="21"/>
  <c r="Q94" i="20"/>
  <c r="H120" i="21"/>
  <c r="Q120" i="20"/>
  <c r="H114" i="21"/>
  <c r="H139" i="21"/>
  <c r="Q139" i="20"/>
  <c r="H164" i="21"/>
  <c r="Q164" i="20"/>
  <c r="H158" i="21"/>
  <c r="Q158" i="20"/>
  <c r="H183" i="21"/>
  <c r="Q183" i="20"/>
  <c r="H198" i="21"/>
  <c r="Q198" i="20"/>
  <c r="H210" i="21"/>
  <c r="Q210" i="20"/>
  <c r="H55" i="21"/>
  <c r="Q55" i="20"/>
  <c r="H49" i="21"/>
  <c r="Q49" i="20"/>
  <c r="H43" i="21"/>
  <c r="Q43" i="20"/>
  <c r="H74" i="21"/>
  <c r="Q74" i="20"/>
  <c r="H98" i="21"/>
  <c r="Q98" i="20"/>
  <c r="H92" i="21"/>
  <c r="Q92" i="20"/>
  <c r="H118" i="21"/>
  <c r="Q118" i="20"/>
  <c r="H112" i="21"/>
  <c r="H112" i="22" s="1"/>
  <c r="H137" i="21"/>
  <c r="Q137" i="20"/>
  <c r="H162" i="21"/>
  <c r="Q162" i="20"/>
  <c r="J162" i="20" s="1"/>
  <c r="K162" i="20" s="1"/>
  <c r="H181" i="21"/>
  <c r="Q181" i="20"/>
  <c r="H196" i="21"/>
  <c r="Q196" i="20"/>
  <c r="H208" i="21"/>
  <c r="Q208" i="20"/>
  <c r="H217" i="21"/>
  <c r="Q217" i="20"/>
  <c r="H50" i="21"/>
  <c r="Q50" i="20"/>
  <c r="H119" i="21"/>
  <c r="Q119" i="20"/>
  <c r="J119" i="20" s="1"/>
  <c r="K119" i="20" s="1"/>
  <c r="H113" i="21"/>
  <c r="H138" i="21"/>
  <c r="Q138" i="20"/>
  <c r="H69" i="21"/>
  <c r="Q69" i="20"/>
  <c r="H157" i="21"/>
  <c r="Q157" i="20"/>
  <c r="H54" i="21"/>
  <c r="Q54" i="20"/>
  <c r="H48" i="21"/>
  <c r="Q48" i="20"/>
  <c r="H25" i="21"/>
  <c r="H25" i="22" s="1"/>
  <c r="H25" i="23" s="1"/>
  <c r="Q25" i="23" s="1"/>
  <c r="Q25" i="20"/>
  <c r="H73" i="21"/>
  <c r="Q73" i="20"/>
  <c r="H97" i="21"/>
  <c r="Q97" i="20"/>
  <c r="H91" i="21"/>
  <c r="Q91" i="20"/>
  <c r="H117" i="21"/>
  <c r="Q117" i="20"/>
  <c r="H142" i="21"/>
  <c r="Q142" i="20"/>
  <c r="H136" i="21"/>
  <c r="Q136" i="20"/>
  <c r="H161" i="21"/>
  <c r="Q161" i="20"/>
  <c r="H186" i="21"/>
  <c r="Q186" i="20"/>
  <c r="H180" i="21"/>
  <c r="Q180" i="20"/>
  <c r="H195" i="21"/>
  <c r="Q195" i="20"/>
  <c r="H227" i="21"/>
  <c r="Q227" i="20"/>
  <c r="H56" i="21"/>
  <c r="Q56" i="20"/>
  <c r="H93" i="21"/>
  <c r="Q93" i="20"/>
  <c r="H163" i="21"/>
  <c r="Q163" i="20"/>
  <c r="H59" i="21"/>
  <c r="Q59" i="20"/>
  <c r="H53" i="21"/>
  <c r="Q53" i="20"/>
  <c r="H47" i="21"/>
  <c r="Q47" i="20"/>
  <c r="H24" i="21"/>
  <c r="Q24" i="20"/>
  <c r="H72" i="21"/>
  <c r="Q72" i="20"/>
  <c r="H96" i="21"/>
  <c r="Q96" i="20"/>
  <c r="H90" i="21"/>
  <c r="Q90" i="20"/>
  <c r="H141" i="21"/>
  <c r="Q141" i="20"/>
  <c r="H135" i="21"/>
  <c r="Q135" i="20"/>
  <c r="H160" i="21"/>
  <c r="Q160" i="20"/>
  <c r="H185" i="21"/>
  <c r="Q185" i="20"/>
  <c r="H179" i="21"/>
  <c r="Q179" i="20"/>
  <c r="H212" i="21"/>
  <c r="Q212" i="20"/>
  <c r="H226" i="21"/>
  <c r="Q226" i="20"/>
  <c r="H197" i="21"/>
  <c r="Q197" i="20"/>
  <c r="H58" i="21"/>
  <c r="Q58" i="20"/>
  <c r="H52" i="21"/>
  <c r="Q52" i="20"/>
  <c r="H46" i="21"/>
  <c r="Q46" i="20"/>
  <c r="H71" i="21"/>
  <c r="Q71" i="20"/>
  <c r="H95" i="21"/>
  <c r="Q95" i="20"/>
  <c r="H89" i="21"/>
  <c r="Q89" i="20"/>
  <c r="H115" i="21"/>
  <c r="Q115" i="20"/>
  <c r="H140" i="21"/>
  <c r="Q140" i="20"/>
  <c r="H134" i="21"/>
  <c r="Q134" i="20"/>
  <c r="H159" i="21"/>
  <c r="Q159" i="20"/>
  <c r="H184" i="21"/>
  <c r="Q184" i="20"/>
  <c r="H178" i="21"/>
  <c r="Q178" i="20"/>
  <c r="H211" i="21"/>
  <c r="Q211" i="20"/>
  <c r="H225" i="21"/>
  <c r="Q225" i="20"/>
  <c r="H182" i="21"/>
  <c r="Q182" i="20"/>
  <c r="R23" i="12"/>
  <c r="H223" i="21"/>
  <c r="H224" i="21"/>
  <c r="J223" i="7"/>
  <c r="K223" i="7"/>
  <c r="J217" i="7"/>
  <c r="K217" i="7"/>
  <c r="H14" i="21"/>
  <c r="H10" i="21"/>
  <c r="G9" i="21"/>
  <c r="H19" i="21"/>
  <c r="Q19" i="21" s="1"/>
  <c r="G18" i="21"/>
  <c r="G18" i="22" s="1"/>
  <c r="G18" i="23" s="1"/>
  <c r="G14" i="21"/>
  <c r="G10" i="21"/>
  <c r="G10" i="22" s="1"/>
  <c r="G10" i="23" s="1"/>
  <c r="G13" i="21"/>
  <c r="G13" i="22" s="1"/>
  <c r="G13" i="23" s="1"/>
  <c r="H16" i="21"/>
  <c r="Q16" i="21"/>
  <c r="G15" i="21"/>
  <c r="H12" i="21"/>
  <c r="G11" i="21"/>
  <c r="G16" i="21"/>
  <c r="H13" i="21"/>
  <c r="H9" i="21"/>
  <c r="H9" i="22" s="1"/>
  <c r="H9" i="23" s="1"/>
  <c r="J224" i="7"/>
  <c r="K224" i="7"/>
  <c r="I216" i="20"/>
  <c r="H202" i="20"/>
  <c r="G202" i="20"/>
  <c r="G202" i="21"/>
  <c r="G202" i="22" s="1"/>
  <c r="G202" i="23" s="1"/>
  <c r="H190" i="20"/>
  <c r="G190" i="20"/>
  <c r="G190" i="21"/>
  <c r="G190" i="22"/>
  <c r="G190" i="23"/>
  <c r="H168" i="20"/>
  <c r="G168" i="20"/>
  <c r="G168" i="21"/>
  <c r="G168" i="22"/>
  <c r="G168" i="23"/>
  <c r="H146" i="20"/>
  <c r="G146" i="20"/>
  <c r="G146" i="21" s="1"/>
  <c r="G146" i="22" s="1"/>
  <c r="G146" i="23" s="1"/>
  <c r="H124" i="20"/>
  <c r="G124" i="20"/>
  <c r="G124" i="21"/>
  <c r="G124" i="22"/>
  <c r="G124" i="23"/>
  <c r="H102" i="20"/>
  <c r="G102" i="20"/>
  <c r="G102" i="21" s="1"/>
  <c r="G102" i="22" s="1"/>
  <c r="G102" i="23" s="1"/>
  <c r="H78" i="20"/>
  <c r="G78" i="20"/>
  <c r="G78" i="21" s="1"/>
  <c r="G78" i="22" s="1"/>
  <c r="G78" i="23" s="1"/>
  <c r="H68" i="20"/>
  <c r="Q68" i="20"/>
  <c r="G68" i="20"/>
  <c r="G68" i="21"/>
  <c r="G68" i="22"/>
  <c r="G68" i="23"/>
  <c r="H63" i="20"/>
  <c r="Q63" i="20"/>
  <c r="G63" i="20"/>
  <c r="G63" i="21"/>
  <c r="G63" i="22"/>
  <c r="G63" i="23"/>
  <c r="G8" i="21"/>
  <c r="G8" i="22" s="1"/>
  <c r="G8" i="23" s="1"/>
  <c r="G7" i="20"/>
  <c r="G7" i="21"/>
  <c r="G7" i="22" s="1"/>
  <c r="G7" i="23" s="1"/>
  <c r="H7" i="20"/>
  <c r="M229" i="23"/>
  <c r="M214" i="23"/>
  <c r="M200" i="23"/>
  <c r="M188" i="23"/>
  <c r="M166" i="23"/>
  <c r="N144" i="23"/>
  <c r="O142" i="23"/>
  <c r="O141" i="23"/>
  <c r="O140" i="23"/>
  <c r="O139" i="23"/>
  <c r="O138" i="23"/>
  <c r="O137" i="23"/>
  <c r="O136" i="23"/>
  <c r="O135" i="23"/>
  <c r="O134" i="23"/>
  <c r="O124" i="23"/>
  <c r="N122" i="23"/>
  <c r="O120" i="23"/>
  <c r="O119" i="23"/>
  <c r="O118" i="23"/>
  <c r="O117" i="23"/>
  <c r="O116" i="23"/>
  <c r="O115" i="23"/>
  <c r="O114" i="23"/>
  <c r="O113" i="23"/>
  <c r="O112" i="23"/>
  <c r="O102" i="23"/>
  <c r="N100" i="23"/>
  <c r="O98" i="23"/>
  <c r="O97" i="23"/>
  <c r="O96" i="23"/>
  <c r="O95" i="23"/>
  <c r="O94" i="23"/>
  <c r="O93" i="23"/>
  <c r="O92" i="23"/>
  <c r="O91" i="23"/>
  <c r="O90" i="23"/>
  <c r="O89" i="23"/>
  <c r="O78" i="23"/>
  <c r="N76" i="23"/>
  <c r="O74" i="23"/>
  <c r="O73" i="23"/>
  <c r="O72" i="23"/>
  <c r="O71" i="23"/>
  <c r="O70" i="23"/>
  <c r="O69" i="23"/>
  <c r="O68" i="23"/>
  <c r="O76" i="23" s="1"/>
  <c r="N65" i="23"/>
  <c r="O63" i="23"/>
  <c r="O65" i="23"/>
  <c r="N61" i="23"/>
  <c r="O59" i="23"/>
  <c r="O58" i="23"/>
  <c r="O57" i="23"/>
  <c r="O56" i="23"/>
  <c r="O55" i="23"/>
  <c r="O54" i="23"/>
  <c r="O53" i="23"/>
  <c r="O52" i="23"/>
  <c r="O51" i="23"/>
  <c r="O50" i="23"/>
  <c r="O49" i="23"/>
  <c r="O48" i="23"/>
  <c r="O47" i="23"/>
  <c r="O46" i="23"/>
  <c r="O45" i="23"/>
  <c r="O44" i="23"/>
  <c r="O43" i="23"/>
  <c r="O25" i="23"/>
  <c r="O24" i="23"/>
  <c r="O23" i="23"/>
  <c r="O22" i="23"/>
  <c r="O21" i="23"/>
  <c r="O20" i="23"/>
  <c r="O19" i="23"/>
  <c r="O18" i="23"/>
  <c r="O17" i="23"/>
  <c r="O16" i="23"/>
  <c r="O15" i="23"/>
  <c r="O14" i="23"/>
  <c r="O13" i="23"/>
  <c r="O12" i="23"/>
  <c r="O11" i="23"/>
  <c r="O10" i="23"/>
  <c r="O9" i="23"/>
  <c r="O8" i="23"/>
  <c r="O7" i="23"/>
  <c r="B3" i="23"/>
  <c r="M229" i="22"/>
  <c r="M214" i="22"/>
  <c r="M200" i="22"/>
  <c r="M188" i="22"/>
  <c r="M166" i="22"/>
  <c r="N144" i="22"/>
  <c r="O142" i="22"/>
  <c r="O141" i="22"/>
  <c r="O140" i="22"/>
  <c r="O139" i="22"/>
  <c r="O138" i="22"/>
  <c r="O137" i="22"/>
  <c r="O136" i="22"/>
  <c r="O135" i="22"/>
  <c r="O134" i="22"/>
  <c r="O124" i="22"/>
  <c r="N122" i="22"/>
  <c r="O120" i="22"/>
  <c r="O119" i="22"/>
  <c r="O118" i="22"/>
  <c r="O117" i="22"/>
  <c r="O116" i="22"/>
  <c r="O115" i="22"/>
  <c r="O114" i="22"/>
  <c r="O113" i="22"/>
  <c r="O112" i="22"/>
  <c r="O102" i="22"/>
  <c r="N100" i="22"/>
  <c r="O98" i="22"/>
  <c r="O97" i="22"/>
  <c r="O95" i="22"/>
  <c r="O96" i="22"/>
  <c r="O94" i="22"/>
  <c r="O93" i="22"/>
  <c r="O92" i="22"/>
  <c r="O91" i="22"/>
  <c r="O90" i="22"/>
  <c r="O89" i="22"/>
  <c r="O78" i="22"/>
  <c r="N76" i="22"/>
  <c r="O74" i="22"/>
  <c r="O73" i="22"/>
  <c r="O72" i="22"/>
  <c r="O71" i="22"/>
  <c r="O70" i="22"/>
  <c r="O69" i="22"/>
  <c r="O68" i="22"/>
  <c r="O76" i="22" s="1"/>
  <c r="N65" i="22"/>
  <c r="O63" i="22"/>
  <c r="O65" i="22"/>
  <c r="N61" i="22"/>
  <c r="O59" i="22"/>
  <c r="O58" i="22"/>
  <c r="O57" i="22"/>
  <c r="O56" i="22"/>
  <c r="O55" i="22"/>
  <c r="O54" i="22"/>
  <c r="O53" i="22"/>
  <c r="O52" i="22"/>
  <c r="O51" i="22"/>
  <c r="O50" i="22"/>
  <c r="O49" i="22"/>
  <c r="O48" i="22"/>
  <c r="O47" i="22"/>
  <c r="O46" i="22"/>
  <c r="O45" i="22"/>
  <c r="O44" i="22"/>
  <c r="O43" i="22"/>
  <c r="O25" i="22"/>
  <c r="O24" i="22"/>
  <c r="O23" i="22"/>
  <c r="O22" i="22"/>
  <c r="O21" i="22"/>
  <c r="O20" i="22"/>
  <c r="O19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B3" i="22"/>
  <c r="M229" i="21"/>
  <c r="M214" i="21"/>
  <c r="M200" i="21"/>
  <c r="M188" i="21"/>
  <c r="M166" i="21"/>
  <c r="N144" i="21"/>
  <c r="O142" i="21"/>
  <c r="O141" i="21"/>
  <c r="O140" i="21"/>
  <c r="O139" i="21"/>
  <c r="O138" i="21"/>
  <c r="O137" i="21"/>
  <c r="O136" i="21"/>
  <c r="O135" i="21"/>
  <c r="O134" i="21"/>
  <c r="O124" i="21"/>
  <c r="N122" i="21"/>
  <c r="O120" i="21"/>
  <c r="O119" i="21"/>
  <c r="O118" i="21"/>
  <c r="O117" i="21"/>
  <c r="O116" i="21"/>
  <c r="O115" i="21"/>
  <c r="O114" i="21"/>
  <c r="O113" i="21"/>
  <c r="O112" i="21"/>
  <c r="O102" i="21"/>
  <c r="N100" i="21"/>
  <c r="O98" i="21"/>
  <c r="O97" i="21"/>
  <c r="O96" i="21"/>
  <c r="O95" i="21"/>
  <c r="O89" i="21"/>
  <c r="O94" i="21"/>
  <c r="O91" i="21"/>
  <c r="O93" i="21"/>
  <c r="O92" i="21"/>
  <c r="O90" i="21"/>
  <c r="O78" i="21"/>
  <c r="N76" i="21"/>
  <c r="O74" i="21"/>
  <c r="O73" i="21"/>
  <c r="O72" i="21"/>
  <c r="O71" i="21"/>
  <c r="O70" i="21"/>
  <c r="O69" i="21"/>
  <c r="O68" i="21"/>
  <c r="O76" i="21" s="1"/>
  <c r="N65" i="21"/>
  <c r="O63" i="21"/>
  <c r="O65" i="21"/>
  <c r="N61" i="21"/>
  <c r="O59" i="21"/>
  <c r="O58" i="21"/>
  <c r="O57" i="21"/>
  <c r="O56" i="21"/>
  <c r="O55" i="21"/>
  <c r="O54" i="21"/>
  <c r="O53" i="21"/>
  <c r="O52" i="21"/>
  <c r="O51" i="21"/>
  <c r="O50" i="21"/>
  <c r="O49" i="21"/>
  <c r="O48" i="21"/>
  <c r="O47" i="21"/>
  <c r="O46" i="21"/>
  <c r="O45" i="21"/>
  <c r="O44" i="21"/>
  <c r="O43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B3" i="21"/>
  <c r="M229" i="20"/>
  <c r="M214" i="20"/>
  <c r="M200" i="20"/>
  <c r="M188" i="20"/>
  <c r="M166" i="20"/>
  <c r="N144" i="20"/>
  <c r="O142" i="20"/>
  <c r="O141" i="20"/>
  <c r="O140" i="20"/>
  <c r="O139" i="20"/>
  <c r="O138" i="20"/>
  <c r="O137" i="20"/>
  <c r="O136" i="20"/>
  <c r="O135" i="20"/>
  <c r="O134" i="20"/>
  <c r="O124" i="20"/>
  <c r="N122" i="20"/>
  <c r="O120" i="20"/>
  <c r="O119" i="20"/>
  <c r="O118" i="20"/>
  <c r="O117" i="20"/>
  <c r="O116" i="20"/>
  <c r="O115" i="20"/>
  <c r="O114" i="20"/>
  <c r="O113" i="20"/>
  <c r="O112" i="20"/>
  <c r="O102" i="20"/>
  <c r="N100" i="20"/>
  <c r="O98" i="20"/>
  <c r="O97" i="20"/>
  <c r="O96" i="20"/>
  <c r="O95" i="20"/>
  <c r="O94" i="20"/>
  <c r="O93" i="20"/>
  <c r="O92" i="20"/>
  <c r="O91" i="20"/>
  <c r="O90" i="20"/>
  <c r="O89" i="20"/>
  <c r="O78" i="20"/>
  <c r="N76" i="20"/>
  <c r="O74" i="20"/>
  <c r="O73" i="20"/>
  <c r="O72" i="20"/>
  <c r="O71" i="20"/>
  <c r="O70" i="20"/>
  <c r="O69" i="20"/>
  <c r="O68" i="20"/>
  <c r="O76" i="20" s="1"/>
  <c r="N65" i="20"/>
  <c r="O63" i="20"/>
  <c r="O65" i="20"/>
  <c r="N61" i="20"/>
  <c r="O59" i="20"/>
  <c r="O58" i="20"/>
  <c r="O57" i="20"/>
  <c r="O56" i="20"/>
  <c r="O55" i="20"/>
  <c r="O54" i="20"/>
  <c r="O53" i="20"/>
  <c r="O52" i="20"/>
  <c r="O51" i="20"/>
  <c r="O50" i="20"/>
  <c r="O49" i="20"/>
  <c r="O48" i="20"/>
  <c r="O47" i="20"/>
  <c r="O46" i="20"/>
  <c r="O45" i="20"/>
  <c r="O44" i="20"/>
  <c r="O43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O13" i="20"/>
  <c r="O12" i="20"/>
  <c r="O11" i="20"/>
  <c r="O10" i="20"/>
  <c r="O9" i="20"/>
  <c r="O8" i="20"/>
  <c r="O7" i="20"/>
  <c r="B3" i="20"/>
  <c r="S225" i="7"/>
  <c r="P225" i="7"/>
  <c r="O225" i="7"/>
  <c r="N225" i="7"/>
  <c r="H95" i="22"/>
  <c r="Q95" i="21"/>
  <c r="H73" i="22"/>
  <c r="Q73" i="21"/>
  <c r="J73" i="21" s="1"/>
  <c r="K73" i="21" s="1"/>
  <c r="H58" i="22"/>
  <c r="Q58" i="21"/>
  <c r="H163" i="22"/>
  <c r="Q163" i="21"/>
  <c r="H186" i="22"/>
  <c r="Q186" i="21"/>
  <c r="H97" i="22"/>
  <c r="Q97" i="21"/>
  <c r="H43" i="22"/>
  <c r="Q43" i="21"/>
  <c r="H158" i="22"/>
  <c r="Q158" i="21"/>
  <c r="J158" i="21" s="1"/>
  <c r="K158" i="21" s="1"/>
  <c r="H70" i="22"/>
  <c r="Q70" i="21"/>
  <c r="H72" i="22"/>
  <c r="Q72" i="21"/>
  <c r="H159" i="22"/>
  <c r="Q159" i="21"/>
  <c r="H71" i="22"/>
  <c r="Q71" i="21"/>
  <c r="H135" i="22"/>
  <c r="Q135" i="21"/>
  <c r="H138" i="22"/>
  <c r="Q138" i="21"/>
  <c r="Q144" i="21" s="1"/>
  <c r="H196" i="22"/>
  <c r="Q196" i="21"/>
  <c r="H118" i="22"/>
  <c r="Q118" i="21"/>
  <c r="H45" i="22"/>
  <c r="Q45" i="21"/>
  <c r="H161" i="22"/>
  <c r="Q161" i="21"/>
  <c r="H182" i="22"/>
  <c r="Q182" i="21"/>
  <c r="H24" i="22"/>
  <c r="Q24" i="22" s="1"/>
  <c r="Q24" i="21"/>
  <c r="H56" i="22"/>
  <c r="Q56" i="21"/>
  <c r="H136" i="22"/>
  <c r="Q136" i="21"/>
  <c r="H55" i="22"/>
  <c r="Q55" i="21"/>
  <c r="H139" i="22"/>
  <c r="Q139" i="21"/>
  <c r="H69" i="22"/>
  <c r="Q69" i="21"/>
  <c r="H124" i="21"/>
  <c r="Q124" i="20"/>
  <c r="H134" i="22"/>
  <c r="Q134" i="21"/>
  <c r="H226" i="22"/>
  <c r="Q226" i="21"/>
  <c r="H141" i="22"/>
  <c r="Q141" i="21"/>
  <c r="H113" i="22"/>
  <c r="H181" i="22"/>
  <c r="Q181" i="21"/>
  <c r="H92" i="22"/>
  <c r="Q92" i="21"/>
  <c r="J92" i="21" s="1"/>
  <c r="K92" i="21" s="1"/>
  <c r="H51" i="22"/>
  <c r="Q51" i="21"/>
  <c r="H47" i="22"/>
  <c r="Q47" i="21"/>
  <c r="H227" i="22"/>
  <c r="Q227" i="21"/>
  <c r="H142" i="22"/>
  <c r="Q142" i="21"/>
  <c r="H210" i="22"/>
  <c r="Q210" i="21"/>
  <c r="H114" i="22"/>
  <c r="H114" i="23" s="1"/>
  <c r="Q114" i="23" s="1"/>
  <c r="H208" i="22"/>
  <c r="Q208" i="21"/>
  <c r="J208" i="21" s="1"/>
  <c r="K208" i="21" s="1"/>
  <c r="H197" i="22"/>
  <c r="Q197" i="21"/>
  <c r="H225" i="22"/>
  <c r="Q225" i="21"/>
  <c r="H140" i="22"/>
  <c r="Q140" i="21"/>
  <c r="H212" i="22"/>
  <c r="Q212" i="21"/>
  <c r="H48" i="22"/>
  <c r="Q48" i="21"/>
  <c r="H119" i="22"/>
  <c r="Q119" i="21"/>
  <c r="J119" i="21" s="1"/>
  <c r="K119" i="21" s="1"/>
  <c r="H98" i="22"/>
  <c r="Q98" i="21"/>
  <c r="H57" i="22"/>
  <c r="Q57" i="21"/>
  <c r="H184" i="22"/>
  <c r="Q184" i="21"/>
  <c r="H49" i="22"/>
  <c r="Q49" i="21"/>
  <c r="H46" i="22"/>
  <c r="Q46" i="21"/>
  <c r="J46" i="21" s="1"/>
  <c r="K46" i="21" s="1"/>
  <c r="H53" i="22"/>
  <c r="Q53" i="21"/>
  <c r="H195" i="22"/>
  <c r="Q195" i="21"/>
  <c r="H117" i="22"/>
  <c r="Q117" i="21"/>
  <c r="H198" i="22"/>
  <c r="Q198" i="21"/>
  <c r="H120" i="22"/>
  <c r="Q120" i="21"/>
  <c r="H211" i="22"/>
  <c r="Q211" i="21"/>
  <c r="J211" i="21" s="1"/>
  <c r="K211" i="21" s="1"/>
  <c r="H115" i="22"/>
  <c r="Q115" i="21"/>
  <c r="H179" i="22"/>
  <c r="Q179" i="21"/>
  <c r="H90" i="22"/>
  <c r="Q90" i="21"/>
  <c r="H54" i="22"/>
  <c r="Q54" i="21"/>
  <c r="H50" i="22"/>
  <c r="Q50" i="21"/>
  <c r="H162" i="22"/>
  <c r="Q162" i="21"/>
  <c r="J162" i="21" s="1"/>
  <c r="K162" i="21" s="1"/>
  <c r="H74" i="22"/>
  <c r="Q74" i="21"/>
  <c r="H209" i="22"/>
  <c r="Q209" i="21"/>
  <c r="H160" i="22"/>
  <c r="Q160" i="21"/>
  <c r="H164" i="22"/>
  <c r="Q164" i="21"/>
  <c r="H224" i="22"/>
  <c r="Q224" i="21"/>
  <c r="H52" i="22"/>
  <c r="Q52" i="21"/>
  <c r="J52" i="21" s="1"/>
  <c r="K52" i="21" s="1"/>
  <c r="H59" i="22"/>
  <c r="Q59" i="21"/>
  <c r="H180" i="22"/>
  <c r="Q180" i="21"/>
  <c r="H91" i="22"/>
  <c r="Q91" i="21"/>
  <c r="H183" i="22"/>
  <c r="Q183" i="21"/>
  <c r="H94" i="22"/>
  <c r="Q94" i="21"/>
  <c r="H93" i="22"/>
  <c r="Q93" i="21"/>
  <c r="J93" i="21" s="1"/>
  <c r="K93" i="21" s="1"/>
  <c r="H190" i="21"/>
  <c r="Q190" i="20"/>
  <c r="H223" i="22"/>
  <c r="Q223" i="21"/>
  <c r="H178" i="22"/>
  <c r="Q178" i="21"/>
  <c r="H89" i="22"/>
  <c r="Q89" i="21"/>
  <c r="H185" i="22"/>
  <c r="Q185" i="21"/>
  <c r="H96" i="22"/>
  <c r="Q96" i="21"/>
  <c r="H157" i="22"/>
  <c r="Q157" i="21"/>
  <c r="H217" i="22"/>
  <c r="Q217" i="21"/>
  <c r="H137" i="22"/>
  <c r="Q137" i="21"/>
  <c r="H44" i="22"/>
  <c r="Q44" i="21"/>
  <c r="H202" i="21"/>
  <c r="Q202" i="20"/>
  <c r="H168" i="21"/>
  <c r="Q168" i="20"/>
  <c r="Q188" i="20" s="1"/>
  <c r="H146" i="21"/>
  <c r="H78" i="21"/>
  <c r="I216" i="21"/>
  <c r="I216" i="22" s="1"/>
  <c r="R216" i="20"/>
  <c r="R229" i="20" s="1"/>
  <c r="H102" i="21"/>
  <c r="H7" i="21"/>
  <c r="H7" i="22" s="1"/>
  <c r="H7" i="23" s="1"/>
  <c r="H68" i="21"/>
  <c r="Q65" i="20"/>
  <c r="H63" i="21"/>
  <c r="I222" i="20"/>
  <c r="I221" i="20"/>
  <c r="I220" i="20"/>
  <c r="I219" i="20"/>
  <c r="I218" i="20"/>
  <c r="Q27" i="20"/>
  <c r="H13" i="22"/>
  <c r="H13" i="23" s="1"/>
  <c r="G16" i="22"/>
  <c r="H12" i="22"/>
  <c r="G15" i="22"/>
  <c r="G14" i="22"/>
  <c r="H19" i="22"/>
  <c r="H19" i="23" s="1"/>
  <c r="H10" i="22"/>
  <c r="G11" i="22"/>
  <c r="H16" i="22"/>
  <c r="Q16" i="22" s="1"/>
  <c r="G9" i="22"/>
  <c r="H14" i="22"/>
  <c r="I217" i="20"/>
  <c r="I223" i="20"/>
  <c r="I224" i="20"/>
  <c r="I225" i="20"/>
  <c r="I226" i="20"/>
  <c r="I227" i="20"/>
  <c r="J225" i="7"/>
  <c r="K225" i="7"/>
  <c r="P212" i="20"/>
  <c r="I69" i="20"/>
  <c r="I71" i="20"/>
  <c r="I73" i="20"/>
  <c r="I70" i="20"/>
  <c r="I72" i="20"/>
  <c r="I74" i="20"/>
  <c r="O144" i="21"/>
  <c r="O144" i="23"/>
  <c r="O144" i="22"/>
  <c r="O144" i="20"/>
  <c r="Q154" i="20"/>
  <c r="Q22" i="20"/>
  <c r="Q23" i="20"/>
  <c r="Q114" i="20"/>
  <c r="H217" i="23"/>
  <c r="Q217" i="23"/>
  <c r="Q217" i="22"/>
  <c r="H223" i="23"/>
  <c r="Q223" i="23"/>
  <c r="J223" i="23" s="1"/>
  <c r="K223" i="23" s="1"/>
  <c r="Q223" i="22"/>
  <c r="H117" i="23"/>
  <c r="Q117" i="23" s="1"/>
  <c r="Q117" i="22"/>
  <c r="H184" i="23"/>
  <c r="Q184" i="23"/>
  <c r="Q184" i="22"/>
  <c r="H141" i="23"/>
  <c r="Q141" i="23"/>
  <c r="Q141" i="22"/>
  <c r="H71" i="23"/>
  <c r="Q71" i="23"/>
  <c r="J71" i="23" s="1"/>
  <c r="K71" i="23" s="1"/>
  <c r="Q71" i="22"/>
  <c r="J71" i="22" s="1"/>
  <c r="K71" i="22" s="1"/>
  <c r="H74" i="23"/>
  <c r="Q74" i="23"/>
  <c r="Q74" i="22"/>
  <c r="H115" i="23"/>
  <c r="Q115" i="23" s="1"/>
  <c r="Q115" i="22"/>
  <c r="H210" i="23"/>
  <c r="Q210" i="23"/>
  <c r="Q210" i="22"/>
  <c r="H136" i="23"/>
  <c r="Q136" i="23"/>
  <c r="J136" i="23" s="1"/>
  <c r="K136" i="23" s="1"/>
  <c r="Q136" i="22"/>
  <c r="J136" i="22" s="1"/>
  <c r="K136" i="22" s="1"/>
  <c r="H45" i="23"/>
  <c r="Q45" i="23"/>
  <c r="Q45" i="22"/>
  <c r="H159" i="23"/>
  <c r="Q159" i="23"/>
  <c r="Q159" i="22"/>
  <c r="H186" i="23"/>
  <c r="Q186" i="23"/>
  <c r="Q186" i="22"/>
  <c r="H97" i="23"/>
  <c r="Q97" i="23"/>
  <c r="J97" i="23" s="1"/>
  <c r="K97" i="23" s="1"/>
  <c r="Q97" i="22"/>
  <c r="J97" i="22" s="1"/>
  <c r="K97" i="22" s="1"/>
  <c r="H53" i="23"/>
  <c r="Q53" i="23"/>
  <c r="Q53" i="22"/>
  <c r="H98" i="23"/>
  <c r="Q98" i="23"/>
  <c r="Q98" i="22"/>
  <c r="H140" i="23"/>
  <c r="Q140" i="23"/>
  <c r="Q140" i="22"/>
  <c r="H92" i="23"/>
  <c r="Q92" i="23"/>
  <c r="J92" i="23" s="1"/>
  <c r="K92" i="23" s="1"/>
  <c r="Q92" i="22"/>
  <c r="J92" i="22" s="1"/>
  <c r="K92" i="22" s="1"/>
  <c r="H134" i="23"/>
  <c r="Q134" i="23"/>
  <c r="Q134" i="22"/>
  <c r="H93" i="23"/>
  <c r="Q93" i="23"/>
  <c r="Q93" i="22"/>
  <c r="H52" i="23"/>
  <c r="Q52" i="23"/>
  <c r="Q52" i="22"/>
  <c r="H162" i="23"/>
  <c r="Q162" i="23"/>
  <c r="J162" i="23" s="1"/>
  <c r="K162" i="23" s="1"/>
  <c r="Q162" i="22"/>
  <c r="J162" i="22" s="1"/>
  <c r="K162" i="22" s="1"/>
  <c r="H211" i="23"/>
  <c r="Q211" i="23"/>
  <c r="Q211" i="22"/>
  <c r="H142" i="23"/>
  <c r="Q142" i="23"/>
  <c r="Q142" i="22"/>
  <c r="H56" i="23"/>
  <c r="Q56" i="23"/>
  <c r="Q56" i="22"/>
  <c r="H118" i="23"/>
  <c r="Q118" i="23"/>
  <c r="J118" i="23" s="1"/>
  <c r="K118" i="23" s="1"/>
  <c r="Q118" i="22"/>
  <c r="J118" i="22" s="1"/>
  <c r="K118" i="22" s="1"/>
  <c r="H72" i="23"/>
  <c r="Q72" i="23"/>
  <c r="Q72" i="22"/>
  <c r="H163" i="23"/>
  <c r="Q163" i="23"/>
  <c r="Q163" i="22"/>
  <c r="H63" i="22"/>
  <c r="Q63" i="21"/>
  <c r="Q65" i="21" s="1"/>
  <c r="H57" i="23"/>
  <c r="Q57" i="23"/>
  <c r="J57" i="23" s="1"/>
  <c r="K57" i="23" s="1"/>
  <c r="Q57" i="22"/>
  <c r="H212" i="23"/>
  <c r="Q212" i="23"/>
  <c r="Q212" i="22"/>
  <c r="H51" i="23"/>
  <c r="Q51" i="23"/>
  <c r="Q51" i="22"/>
  <c r="H59" i="23"/>
  <c r="Q59" i="23"/>
  <c r="Q59" i="22"/>
  <c r="H185" i="23"/>
  <c r="Q185" i="23"/>
  <c r="J185" i="23" s="1"/>
  <c r="K185" i="23" s="1"/>
  <c r="Q185" i="22"/>
  <c r="H46" i="23"/>
  <c r="Q46" i="23"/>
  <c r="Q46" i="22"/>
  <c r="H225" i="23"/>
  <c r="Q225" i="23"/>
  <c r="Q225" i="22"/>
  <c r="H181" i="23"/>
  <c r="Q181" i="23"/>
  <c r="Q181" i="22"/>
  <c r="H180" i="23"/>
  <c r="Q180" i="23"/>
  <c r="J180" i="23" s="1"/>
  <c r="K180" i="23" s="1"/>
  <c r="Q180" i="22"/>
  <c r="Q107" i="20"/>
  <c r="Q149" i="20"/>
  <c r="Q81" i="20"/>
  <c r="Q106" i="20"/>
  <c r="Q147" i="20"/>
  <c r="Q108" i="20"/>
  <c r="Q216" i="20"/>
  <c r="Q229" i="20" s="1"/>
  <c r="Q148" i="20"/>
  <c r="Q14" i="20"/>
  <c r="Q10" i="20"/>
  <c r="Q13" i="20"/>
  <c r="Q12" i="20"/>
  <c r="H94" i="23"/>
  <c r="Q94" i="23"/>
  <c r="Q94" i="22"/>
  <c r="H224" i="23"/>
  <c r="Q224" i="23"/>
  <c r="Q224" i="22"/>
  <c r="J224" i="22" s="1"/>
  <c r="K224" i="22" s="1"/>
  <c r="H50" i="23"/>
  <c r="Q50" i="23"/>
  <c r="J50" i="23" s="1"/>
  <c r="K50" i="23" s="1"/>
  <c r="Q50" i="22"/>
  <c r="J50" i="22" s="1"/>
  <c r="K50" i="22" s="1"/>
  <c r="H227" i="23"/>
  <c r="Q227" i="23"/>
  <c r="Q227" i="22"/>
  <c r="H124" i="22"/>
  <c r="Q124" i="21"/>
  <c r="H24" i="23"/>
  <c r="Q24" i="23" s="1"/>
  <c r="H196" i="23"/>
  <c r="Q196" i="23"/>
  <c r="Q196" i="22"/>
  <c r="J196" i="22" s="1"/>
  <c r="K196" i="22" s="1"/>
  <c r="H70" i="23"/>
  <c r="Q70" i="23"/>
  <c r="Q70" i="22"/>
  <c r="J70" i="22" s="1"/>
  <c r="K70" i="22" s="1"/>
  <c r="H58" i="23"/>
  <c r="Q58" i="23"/>
  <c r="Q58" i="22"/>
  <c r="H209" i="23"/>
  <c r="Q209" i="23"/>
  <c r="Q209" i="22"/>
  <c r="H195" i="23"/>
  <c r="Q195" i="23"/>
  <c r="Q195" i="22"/>
  <c r="J195" i="22" s="1"/>
  <c r="K195" i="22" s="1"/>
  <c r="H190" i="22"/>
  <c r="Q190" i="21"/>
  <c r="Q200" i="21"/>
  <c r="H44" i="23"/>
  <c r="Q44" i="23"/>
  <c r="Q44" i="22"/>
  <c r="H89" i="23"/>
  <c r="Q89" i="23"/>
  <c r="Q89" i="22"/>
  <c r="H120" i="23"/>
  <c r="Q120" i="23"/>
  <c r="Q120" i="22"/>
  <c r="J120" i="22" s="1"/>
  <c r="K120" i="22" s="1"/>
  <c r="H49" i="23"/>
  <c r="Q49" i="23"/>
  <c r="Q49" i="22"/>
  <c r="J49" i="22" s="1"/>
  <c r="K49" i="22" s="1"/>
  <c r="H119" i="23"/>
  <c r="Q119" i="23"/>
  <c r="Q119" i="22"/>
  <c r="H197" i="23"/>
  <c r="Q197" i="23"/>
  <c r="Q197" i="22"/>
  <c r="H113" i="23"/>
  <c r="H68" i="22"/>
  <c r="Q68" i="21"/>
  <c r="Q78" i="20"/>
  <c r="H183" i="23"/>
  <c r="Q183" i="23"/>
  <c r="J183" i="23" s="1"/>
  <c r="K183" i="23" s="1"/>
  <c r="Q183" i="22"/>
  <c r="H164" i="23"/>
  <c r="Q164" i="23"/>
  <c r="Q164" i="22"/>
  <c r="H54" i="23"/>
  <c r="Q54" i="23"/>
  <c r="Q54" i="22"/>
  <c r="H47" i="23"/>
  <c r="Q47" i="23"/>
  <c r="J47" i="23" s="1"/>
  <c r="K47" i="23" s="1"/>
  <c r="Q47" i="22"/>
  <c r="H69" i="23"/>
  <c r="Q69" i="23"/>
  <c r="J69" i="23" s="1"/>
  <c r="K69" i="23" s="1"/>
  <c r="Q69" i="22"/>
  <c r="H182" i="23"/>
  <c r="Q182" i="23"/>
  <c r="Q182" i="22"/>
  <c r="H138" i="23"/>
  <c r="Q138" i="23"/>
  <c r="Q138" i="22"/>
  <c r="H158" i="23"/>
  <c r="Q158" i="23"/>
  <c r="J158" i="23" s="1"/>
  <c r="K158" i="23" s="1"/>
  <c r="Q158" i="22"/>
  <c r="H73" i="23"/>
  <c r="Q73" i="23"/>
  <c r="J73" i="23" s="1"/>
  <c r="K73" i="23" s="1"/>
  <c r="Q73" i="22"/>
  <c r="H179" i="23"/>
  <c r="Q179" i="23"/>
  <c r="Q179" i="22"/>
  <c r="H161" i="23"/>
  <c r="Q161" i="23"/>
  <c r="Q161" i="22"/>
  <c r="H137" i="23"/>
  <c r="Q137" i="23"/>
  <c r="J137" i="23" s="1"/>
  <c r="K137" i="23" s="1"/>
  <c r="Q137" i="22"/>
  <c r="H178" i="23"/>
  <c r="Q178" i="23"/>
  <c r="J178" i="23" s="1"/>
  <c r="K178" i="23" s="1"/>
  <c r="Q178" i="22"/>
  <c r="H198" i="23"/>
  <c r="Q198" i="23"/>
  <c r="Q198" i="22"/>
  <c r="H48" i="23"/>
  <c r="Q48" i="23"/>
  <c r="Q48" i="22"/>
  <c r="Q25" i="22"/>
  <c r="H55" i="23"/>
  <c r="Q55" i="23"/>
  <c r="Q55" i="22"/>
  <c r="H157" i="23"/>
  <c r="Q157" i="23"/>
  <c r="Q157" i="22"/>
  <c r="H226" i="23"/>
  <c r="Q226" i="23"/>
  <c r="Q226" i="22"/>
  <c r="H96" i="23"/>
  <c r="Q96" i="23"/>
  <c r="Q96" i="22"/>
  <c r="Q146" i="20"/>
  <c r="H91" i="23"/>
  <c r="Q91" i="23"/>
  <c r="J91" i="23" s="1"/>
  <c r="K91" i="23" s="1"/>
  <c r="Q91" i="22"/>
  <c r="J91" i="22" s="1"/>
  <c r="K91" i="22" s="1"/>
  <c r="H160" i="23"/>
  <c r="Q160" i="23"/>
  <c r="Q160" i="22"/>
  <c r="H90" i="23"/>
  <c r="Q90" i="23"/>
  <c r="Q90" i="22"/>
  <c r="H208" i="23"/>
  <c r="Q208" i="23"/>
  <c r="Q208" i="22"/>
  <c r="J208" i="22" s="1"/>
  <c r="K208" i="22" s="1"/>
  <c r="H139" i="23"/>
  <c r="Q139" i="23"/>
  <c r="J139" i="23" s="1"/>
  <c r="K139" i="23" s="1"/>
  <c r="Q139" i="22"/>
  <c r="J139" i="22" s="1"/>
  <c r="K139" i="22" s="1"/>
  <c r="H135" i="23"/>
  <c r="Q135" i="23"/>
  <c r="Q135" i="22"/>
  <c r="H43" i="23"/>
  <c r="Q43" i="23"/>
  <c r="Q43" i="22"/>
  <c r="H95" i="23"/>
  <c r="Q95" i="23"/>
  <c r="Q95" i="22"/>
  <c r="J95" i="22" s="1"/>
  <c r="K95" i="22" s="1"/>
  <c r="Q102" i="20"/>
  <c r="Q105" i="20"/>
  <c r="Q104" i="20"/>
  <c r="H202" i="22"/>
  <c r="Q202" i="21"/>
  <c r="H168" i="22"/>
  <c r="Q168" i="21"/>
  <c r="H146" i="22"/>
  <c r="H78" i="22"/>
  <c r="I217" i="21"/>
  <c r="R217" i="20"/>
  <c r="I219" i="21"/>
  <c r="R219" i="20"/>
  <c r="I221" i="21"/>
  <c r="S221" i="21"/>
  <c r="R221" i="20"/>
  <c r="I220" i="21"/>
  <c r="S220" i="21"/>
  <c r="R220" i="20"/>
  <c r="I74" i="21"/>
  <c r="R74" i="20"/>
  <c r="I72" i="21"/>
  <c r="R72" i="20"/>
  <c r="I227" i="21"/>
  <c r="N227" i="21"/>
  <c r="R227" i="20"/>
  <c r="I222" i="21"/>
  <c r="R222" i="20"/>
  <c r="I70" i="21"/>
  <c r="R70" i="20"/>
  <c r="I226" i="21"/>
  <c r="R226" i="20"/>
  <c r="I225" i="21"/>
  <c r="R225" i="20"/>
  <c r="I73" i="21"/>
  <c r="R73" i="20"/>
  <c r="I71" i="21"/>
  <c r="R71" i="20"/>
  <c r="I224" i="21"/>
  <c r="R224" i="20"/>
  <c r="Q8" i="20"/>
  <c r="Q103" i="20"/>
  <c r="I69" i="21"/>
  <c r="R69" i="20"/>
  <c r="I223" i="21"/>
  <c r="P223" i="21"/>
  <c r="R223" i="20"/>
  <c r="I218" i="21"/>
  <c r="N218" i="21"/>
  <c r="R218" i="20"/>
  <c r="H102" i="22"/>
  <c r="O157" i="20"/>
  <c r="O227" i="20"/>
  <c r="Q150" i="21"/>
  <c r="P180" i="20"/>
  <c r="P58" i="20"/>
  <c r="M90" i="20"/>
  <c r="P134" i="20"/>
  <c r="S227" i="20"/>
  <c r="M134" i="20"/>
  <c r="N186" i="20"/>
  <c r="S89" i="20"/>
  <c r="N212" i="20"/>
  <c r="P53" i="20"/>
  <c r="M8" i="21"/>
  <c r="S221" i="20"/>
  <c r="O221" i="20"/>
  <c r="N221" i="20"/>
  <c r="P221" i="20"/>
  <c r="O218" i="21"/>
  <c r="S218" i="20"/>
  <c r="O218" i="20"/>
  <c r="N218" i="20"/>
  <c r="P218" i="20"/>
  <c r="S222" i="20"/>
  <c r="O222" i="20"/>
  <c r="N222" i="20"/>
  <c r="P222" i="20"/>
  <c r="S219" i="20"/>
  <c r="O219" i="20"/>
  <c r="N219" i="20"/>
  <c r="P219" i="20"/>
  <c r="S220" i="20"/>
  <c r="O220" i="20"/>
  <c r="N220" i="20"/>
  <c r="P220" i="20"/>
  <c r="S206" i="23"/>
  <c r="O206" i="23"/>
  <c r="N206" i="23"/>
  <c r="P206" i="23"/>
  <c r="S204" i="20"/>
  <c r="O204" i="20"/>
  <c r="N204" i="20"/>
  <c r="P204" i="20"/>
  <c r="S204" i="21"/>
  <c r="O204" i="21"/>
  <c r="N204" i="21"/>
  <c r="P204" i="21"/>
  <c r="S204" i="22"/>
  <c r="O204" i="22"/>
  <c r="N204" i="22"/>
  <c r="P204" i="22"/>
  <c r="S205" i="20"/>
  <c r="O205" i="20"/>
  <c r="N205" i="20"/>
  <c r="P205" i="20"/>
  <c r="S207" i="21"/>
  <c r="O207" i="21"/>
  <c r="N207" i="21"/>
  <c r="P207" i="21"/>
  <c r="S206" i="21"/>
  <c r="O206" i="21"/>
  <c r="N206" i="21"/>
  <c r="P206" i="21"/>
  <c r="S206" i="22"/>
  <c r="O206" i="22"/>
  <c r="N206" i="22"/>
  <c r="P206" i="22"/>
  <c r="S206" i="20"/>
  <c r="O206" i="20"/>
  <c r="N206" i="20"/>
  <c r="P206" i="20"/>
  <c r="S204" i="23"/>
  <c r="O204" i="23"/>
  <c r="N204" i="23"/>
  <c r="P204" i="23"/>
  <c r="S207" i="20"/>
  <c r="O207" i="20"/>
  <c r="N207" i="20"/>
  <c r="P207" i="20"/>
  <c r="S191" i="23"/>
  <c r="O191" i="23"/>
  <c r="N191" i="23"/>
  <c r="P191" i="23"/>
  <c r="S191" i="20"/>
  <c r="O191" i="20"/>
  <c r="N191" i="20"/>
  <c r="P191" i="20"/>
  <c r="S193" i="23"/>
  <c r="O193" i="23"/>
  <c r="N193" i="23"/>
  <c r="P193" i="23"/>
  <c r="S193" i="21"/>
  <c r="O193" i="21"/>
  <c r="N193" i="21"/>
  <c r="P193" i="21"/>
  <c r="S192" i="20"/>
  <c r="O192" i="20"/>
  <c r="N192" i="20"/>
  <c r="P192" i="20"/>
  <c r="S191" i="21"/>
  <c r="O191" i="21"/>
  <c r="N191" i="21"/>
  <c r="P191" i="21"/>
  <c r="S194" i="21"/>
  <c r="O194" i="21"/>
  <c r="N194" i="21"/>
  <c r="P194" i="21"/>
  <c r="M70" i="20"/>
  <c r="S193" i="20"/>
  <c r="O193" i="20"/>
  <c r="N193" i="20"/>
  <c r="P193" i="20"/>
  <c r="S191" i="22"/>
  <c r="O191" i="22"/>
  <c r="N191" i="22"/>
  <c r="P191" i="22"/>
  <c r="S194" i="20"/>
  <c r="O194" i="20"/>
  <c r="N194" i="20"/>
  <c r="P194" i="20"/>
  <c r="S193" i="22"/>
  <c r="O193" i="22"/>
  <c r="N193" i="22"/>
  <c r="P193" i="22"/>
  <c r="S177" i="21"/>
  <c r="O177" i="21"/>
  <c r="N177" i="21"/>
  <c r="P177" i="21"/>
  <c r="N174" i="23"/>
  <c r="P174" i="23"/>
  <c r="O174" i="23"/>
  <c r="S174" i="23"/>
  <c r="S169" i="20"/>
  <c r="O169" i="20"/>
  <c r="N169" i="20"/>
  <c r="P169" i="20"/>
  <c r="S177" i="20"/>
  <c r="O177" i="20"/>
  <c r="N177" i="20"/>
  <c r="P177" i="20"/>
  <c r="P54" i="20"/>
  <c r="S176" i="23"/>
  <c r="N176" i="23"/>
  <c r="P176" i="23"/>
  <c r="O176" i="23"/>
  <c r="S170" i="20"/>
  <c r="O170" i="20"/>
  <c r="N170" i="20"/>
  <c r="P170" i="20"/>
  <c r="S174" i="20"/>
  <c r="O174" i="20"/>
  <c r="N174" i="20"/>
  <c r="P174" i="20"/>
  <c r="S173" i="20"/>
  <c r="O173" i="20"/>
  <c r="N173" i="20"/>
  <c r="P173" i="20"/>
  <c r="S176" i="22"/>
  <c r="O176" i="22"/>
  <c r="N176" i="22"/>
  <c r="P176" i="22"/>
  <c r="P161" i="20"/>
  <c r="S171" i="20"/>
  <c r="O171" i="20"/>
  <c r="N171" i="20"/>
  <c r="P171" i="20"/>
  <c r="S175" i="20"/>
  <c r="O175" i="20"/>
  <c r="N175" i="20"/>
  <c r="P175" i="20"/>
  <c r="S176" i="21"/>
  <c r="O176" i="21"/>
  <c r="N176" i="21"/>
  <c r="P176" i="21"/>
  <c r="S212" i="20"/>
  <c r="S163" i="20"/>
  <c r="O162" i="21"/>
  <c r="S172" i="20"/>
  <c r="O172" i="20"/>
  <c r="N172" i="20"/>
  <c r="P172" i="20"/>
  <c r="S176" i="20"/>
  <c r="O176" i="20"/>
  <c r="N176" i="20"/>
  <c r="P176" i="20"/>
  <c r="S174" i="21"/>
  <c r="O174" i="21"/>
  <c r="N174" i="21"/>
  <c r="P174" i="21"/>
  <c r="S174" i="22"/>
  <c r="O174" i="22"/>
  <c r="N174" i="22"/>
  <c r="P174" i="22"/>
  <c r="S148" i="20"/>
  <c r="O148" i="20"/>
  <c r="P148" i="20"/>
  <c r="N148" i="20"/>
  <c r="P183" i="20"/>
  <c r="P197" i="20"/>
  <c r="S149" i="20"/>
  <c r="N149" i="20"/>
  <c r="S153" i="20"/>
  <c r="O153" i="20"/>
  <c r="P153" i="20"/>
  <c r="N153" i="20"/>
  <c r="M139" i="21"/>
  <c r="S92" i="20"/>
  <c r="M53" i="20"/>
  <c r="O147" i="20"/>
  <c r="S155" i="20"/>
  <c r="O155" i="20"/>
  <c r="P155" i="20"/>
  <c r="N155" i="20"/>
  <c r="S128" i="20"/>
  <c r="M128" i="20"/>
  <c r="P128" i="20"/>
  <c r="M130" i="22"/>
  <c r="S130" i="22"/>
  <c r="P130" i="22"/>
  <c r="M130" i="21"/>
  <c r="S130" i="21"/>
  <c r="P130" i="21"/>
  <c r="S125" i="20"/>
  <c r="M125" i="20"/>
  <c r="P125" i="20"/>
  <c r="S133" i="20"/>
  <c r="M133" i="20"/>
  <c r="P133" i="20"/>
  <c r="M132" i="22"/>
  <c r="S132" i="22"/>
  <c r="P132" i="22"/>
  <c r="N209" i="20"/>
  <c r="S132" i="21"/>
  <c r="M132" i="21"/>
  <c r="P132" i="21"/>
  <c r="M130" i="23"/>
  <c r="S130" i="23"/>
  <c r="P130" i="23"/>
  <c r="S126" i="20"/>
  <c r="M126" i="20"/>
  <c r="P126" i="20"/>
  <c r="S130" i="20"/>
  <c r="M130" i="20"/>
  <c r="P130" i="20"/>
  <c r="S132" i="20"/>
  <c r="M132" i="20"/>
  <c r="P132" i="20"/>
  <c r="M132" i="23"/>
  <c r="S132" i="23"/>
  <c r="P132" i="23"/>
  <c r="S129" i="20"/>
  <c r="M129" i="20"/>
  <c r="P129" i="20"/>
  <c r="M58" i="20"/>
  <c r="S133" i="21"/>
  <c r="M133" i="21"/>
  <c r="P133" i="21"/>
  <c r="S178" i="20"/>
  <c r="P185" i="21"/>
  <c r="S118" i="20"/>
  <c r="S127" i="20"/>
  <c r="M127" i="20"/>
  <c r="P127" i="20"/>
  <c r="S131" i="20"/>
  <c r="M131" i="20"/>
  <c r="P131" i="20"/>
  <c r="M108" i="20"/>
  <c r="P108" i="20"/>
  <c r="M89" i="20"/>
  <c r="M94" i="20"/>
  <c r="S105" i="20"/>
  <c r="M105" i="20"/>
  <c r="P105" i="20"/>
  <c r="S85" i="22"/>
  <c r="M85" i="22"/>
  <c r="P85" i="22"/>
  <c r="M92" i="20"/>
  <c r="N210" i="20"/>
  <c r="S87" i="22"/>
  <c r="M87" i="22"/>
  <c r="P87" i="22"/>
  <c r="S82" i="20"/>
  <c r="P82" i="20"/>
  <c r="M82" i="20"/>
  <c r="S86" i="20"/>
  <c r="P86" i="20"/>
  <c r="M86" i="20"/>
  <c r="S85" i="20"/>
  <c r="M85" i="20"/>
  <c r="P85" i="20"/>
  <c r="N159" i="20"/>
  <c r="N197" i="20"/>
  <c r="S85" i="23"/>
  <c r="M85" i="23"/>
  <c r="P85" i="23"/>
  <c r="S87" i="20"/>
  <c r="M87" i="20"/>
  <c r="P87" i="20"/>
  <c r="S85" i="21"/>
  <c r="M85" i="21"/>
  <c r="P85" i="21"/>
  <c r="P95" i="20"/>
  <c r="P78" i="20"/>
  <c r="O197" i="20"/>
  <c r="S53" i="20"/>
  <c r="M95" i="20"/>
  <c r="S95" i="20"/>
  <c r="N158" i="20"/>
  <c r="S197" i="20"/>
  <c r="P70" i="20"/>
  <c r="S158" i="20"/>
  <c r="S72" i="21"/>
  <c r="S87" i="23"/>
  <c r="M87" i="23"/>
  <c r="P87" i="23"/>
  <c r="S80" i="20"/>
  <c r="P80" i="20"/>
  <c r="M80" i="20"/>
  <c r="S84" i="20"/>
  <c r="P84" i="20"/>
  <c r="M84" i="20"/>
  <c r="S88" i="20"/>
  <c r="P88" i="20"/>
  <c r="M88" i="20"/>
  <c r="S87" i="21"/>
  <c r="M87" i="21"/>
  <c r="P87" i="21"/>
  <c r="M36" i="20"/>
  <c r="S36" i="20"/>
  <c r="P36" i="20"/>
  <c r="M37" i="20"/>
  <c r="P37" i="20"/>
  <c r="S37" i="20"/>
  <c r="O162" i="20"/>
  <c r="G9" i="23"/>
  <c r="H16" i="23"/>
  <c r="Q16" i="23" s="1"/>
  <c r="G11" i="23"/>
  <c r="G14" i="23"/>
  <c r="G15" i="23"/>
  <c r="G16" i="23"/>
  <c r="S42" i="20"/>
  <c r="M42" i="20"/>
  <c r="P42" i="20"/>
  <c r="M31" i="20"/>
  <c r="P31" i="20"/>
  <c r="S31" i="20"/>
  <c r="M39" i="20"/>
  <c r="P39" i="20"/>
  <c r="S39" i="20"/>
  <c r="M38" i="20"/>
  <c r="S38" i="20"/>
  <c r="P38" i="20"/>
  <c r="M33" i="20"/>
  <c r="P33" i="20"/>
  <c r="S33" i="20"/>
  <c r="M41" i="20"/>
  <c r="P41" i="20"/>
  <c r="S41" i="20"/>
  <c r="P162" i="20"/>
  <c r="P11" i="21"/>
  <c r="H14" i="23"/>
  <c r="H10" i="23"/>
  <c r="H12" i="23"/>
  <c r="M26" i="20"/>
  <c r="S26" i="20"/>
  <c r="P26" i="20"/>
  <c r="M40" i="20"/>
  <c r="S40" i="20"/>
  <c r="P40" i="20"/>
  <c r="M35" i="20"/>
  <c r="P35" i="20"/>
  <c r="S35" i="20"/>
  <c r="P139" i="20"/>
  <c r="N162" i="20"/>
  <c r="S139" i="20"/>
  <c r="N196" i="20"/>
  <c r="M139" i="20"/>
  <c r="P184" i="20"/>
  <c r="S162" i="20"/>
  <c r="P157" i="20"/>
  <c r="S157" i="20"/>
  <c r="S195" i="20"/>
  <c r="S134" i="20"/>
  <c r="P48" i="20"/>
  <c r="P96" i="20"/>
  <c r="N157" i="20"/>
  <c r="O195" i="20"/>
  <c r="P181" i="20"/>
  <c r="S157" i="21"/>
  <c r="N198" i="20"/>
  <c r="M48" i="20"/>
  <c r="M118" i="20"/>
  <c r="N195" i="20"/>
  <c r="M91" i="20"/>
  <c r="P8" i="20"/>
  <c r="P141" i="20"/>
  <c r="P198" i="20"/>
  <c r="S224" i="20"/>
  <c r="O224" i="20"/>
  <c r="N224" i="20"/>
  <c r="P224" i="20"/>
  <c r="P51" i="20"/>
  <c r="S47" i="20"/>
  <c r="S51" i="20"/>
  <c r="S141" i="20"/>
  <c r="Q200" i="20"/>
  <c r="S135" i="20"/>
  <c r="M46" i="20"/>
  <c r="S46" i="20"/>
  <c r="M47" i="20"/>
  <c r="M59" i="20"/>
  <c r="S117" i="20"/>
  <c r="S209" i="20"/>
  <c r="N216" i="20"/>
  <c r="P119" i="20"/>
  <c r="S55" i="20"/>
  <c r="P163" i="20"/>
  <c r="P72" i="20"/>
  <c r="O210" i="20"/>
  <c r="S94" i="20"/>
  <c r="S70" i="20"/>
  <c r="M57" i="21"/>
  <c r="P57" i="20"/>
  <c r="S57" i="20"/>
  <c r="M57" i="20"/>
  <c r="P227" i="20"/>
  <c r="N227" i="20"/>
  <c r="S210" i="20"/>
  <c r="O163" i="20"/>
  <c r="P186" i="20"/>
  <c r="S186" i="20"/>
  <c r="O186" i="20"/>
  <c r="S223" i="20"/>
  <c r="O223" i="20"/>
  <c r="P223" i="20"/>
  <c r="N223" i="20"/>
  <c r="N163" i="20"/>
  <c r="S58" i="20"/>
  <c r="M51" i="20"/>
  <c r="P46" i="20"/>
  <c r="P89" i="20"/>
  <c r="M117" i="20"/>
  <c r="P117" i="20"/>
  <c r="M135" i="20"/>
  <c r="N161" i="20"/>
  <c r="O209" i="20"/>
  <c r="M141" i="20"/>
  <c r="P47" i="20"/>
  <c r="P210" i="20"/>
  <c r="P94" i="20"/>
  <c r="O185" i="20"/>
  <c r="S198" i="20"/>
  <c r="O198" i="20"/>
  <c r="P90" i="20"/>
  <c r="S90" i="20"/>
  <c r="P118" i="20"/>
  <c r="S8" i="20"/>
  <c r="M8" i="20"/>
  <c r="O181" i="20"/>
  <c r="S181" i="20"/>
  <c r="N181" i="20"/>
  <c r="O212" i="20"/>
  <c r="S217" i="20"/>
  <c r="O217" i="20"/>
  <c r="P217" i="20"/>
  <c r="N217" i="20"/>
  <c r="O158" i="20"/>
  <c r="O216" i="20"/>
  <c r="O229" i="20" s="1"/>
  <c r="P15" i="20"/>
  <c r="P178" i="20"/>
  <c r="O182" i="21"/>
  <c r="O161" i="20"/>
  <c r="P180" i="21"/>
  <c r="P185" i="20"/>
  <c r="P158" i="20"/>
  <c r="N185" i="20"/>
  <c r="N178" i="20"/>
  <c r="I229" i="20"/>
  <c r="J68" i="11" s="1"/>
  <c r="S72" i="20"/>
  <c r="O178" i="20"/>
  <c r="P135" i="20"/>
  <c r="P11" i="20"/>
  <c r="S11" i="20"/>
  <c r="M11" i="20"/>
  <c r="N184" i="20"/>
  <c r="M72" i="20"/>
  <c r="S185" i="20"/>
  <c r="O184" i="20"/>
  <c r="I144" i="20"/>
  <c r="P91" i="20"/>
  <c r="S91" i="20"/>
  <c r="O183" i="20"/>
  <c r="N183" i="20"/>
  <c r="M93" i="20"/>
  <c r="P93" i="20"/>
  <c r="S93" i="20"/>
  <c r="N190" i="20"/>
  <c r="P190" i="20"/>
  <c r="O190" i="20"/>
  <c r="S190" i="20"/>
  <c r="I200" i="20"/>
  <c r="P97" i="20"/>
  <c r="M97" i="20"/>
  <c r="S97" i="20"/>
  <c r="S50" i="20"/>
  <c r="M50" i="20"/>
  <c r="S180" i="20"/>
  <c r="O180" i="20"/>
  <c r="N180" i="20"/>
  <c r="O198" i="21"/>
  <c r="P50" i="20"/>
  <c r="S183" i="20"/>
  <c r="S138" i="20"/>
  <c r="M138" i="20"/>
  <c r="P138" i="20"/>
  <c r="P16" i="20"/>
  <c r="S16" i="20"/>
  <c r="M16" i="20"/>
  <c r="S54" i="20"/>
  <c r="M54" i="20"/>
  <c r="P142" i="20"/>
  <c r="S142" i="20"/>
  <c r="M142" i="20"/>
  <c r="M52" i="20"/>
  <c r="S71" i="20"/>
  <c r="P71" i="20"/>
  <c r="M71" i="20"/>
  <c r="P140" i="20"/>
  <c r="S140" i="20"/>
  <c r="M140" i="20"/>
  <c r="N211" i="20"/>
  <c r="O211" i="20"/>
  <c r="S211" i="20"/>
  <c r="P211" i="20"/>
  <c r="S158" i="21"/>
  <c r="N158" i="21"/>
  <c r="P158" i="21"/>
  <c r="O158" i="21"/>
  <c r="O157" i="21"/>
  <c r="P157" i="21"/>
  <c r="P52" i="20"/>
  <c r="S52" i="20"/>
  <c r="N157" i="21"/>
  <c r="P179" i="20"/>
  <c r="S179" i="20"/>
  <c r="N179" i="20"/>
  <c r="O179" i="20"/>
  <c r="P74" i="20"/>
  <c r="S74" i="20"/>
  <c r="M74" i="20"/>
  <c r="P59" i="20"/>
  <c r="S137" i="20"/>
  <c r="P137" i="20"/>
  <c r="M137" i="20"/>
  <c r="S78" i="20"/>
  <c r="N156" i="20"/>
  <c r="P156" i="20"/>
  <c r="O156" i="20"/>
  <c r="S156" i="20"/>
  <c r="N226" i="20"/>
  <c r="P226" i="20"/>
  <c r="O226" i="20"/>
  <c r="S226" i="20"/>
  <c r="S197" i="21"/>
  <c r="O197" i="21"/>
  <c r="N197" i="21"/>
  <c r="P197" i="21"/>
  <c r="S59" i="20"/>
  <c r="S48" i="20"/>
  <c r="S118" i="21"/>
  <c r="P209" i="20"/>
  <c r="S161" i="20"/>
  <c r="S69" i="20"/>
  <c r="M69" i="20"/>
  <c r="P69" i="20"/>
  <c r="S216" i="20"/>
  <c r="P216" i="20"/>
  <c r="P229" i="20" s="1"/>
  <c r="N168" i="20"/>
  <c r="O168" i="20"/>
  <c r="S168" i="20"/>
  <c r="P168" i="20"/>
  <c r="S119" i="20"/>
  <c r="M119" i="20"/>
  <c r="S73" i="20"/>
  <c r="P73" i="20"/>
  <c r="M73" i="20"/>
  <c r="P92" i="20"/>
  <c r="S120" i="20"/>
  <c r="M120" i="20"/>
  <c r="P120" i="20"/>
  <c r="N160" i="20"/>
  <c r="P160" i="20"/>
  <c r="O160" i="20"/>
  <c r="S160" i="20"/>
  <c r="P195" i="20"/>
  <c r="S225" i="20"/>
  <c r="O225" i="20"/>
  <c r="N225" i="20"/>
  <c r="P225" i="20"/>
  <c r="M124" i="20"/>
  <c r="P124" i="20"/>
  <c r="S124" i="20"/>
  <c r="P182" i="20"/>
  <c r="S182" i="20"/>
  <c r="N182" i="20"/>
  <c r="O182" i="20"/>
  <c r="P55" i="20"/>
  <c r="S184" i="20"/>
  <c r="P92" i="21"/>
  <c r="S92" i="21"/>
  <c r="M92" i="21"/>
  <c r="M55" i="20"/>
  <c r="M78" i="20"/>
  <c r="I188" i="20"/>
  <c r="P196" i="20"/>
  <c r="O196" i="20"/>
  <c r="S196" i="20"/>
  <c r="S98" i="20"/>
  <c r="P98" i="20"/>
  <c r="M98" i="20"/>
  <c r="P49" i="20"/>
  <c r="S49" i="20"/>
  <c r="M49" i="20"/>
  <c r="P208" i="20"/>
  <c r="S208" i="20"/>
  <c r="O208" i="20"/>
  <c r="N208" i="20"/>
  <c r="S159" i="20"/>
  <c r="P159" i="20"/>
  <c r="O159" i="20"/>
  <c r="M45" i="20"/>
  <c r="S45" i="20"/>
  <c r="P45" i="20"/>
  <c r="P56" i="20"/>
  <c r="M56" i="20"/>
  <c r="S56" i="20"/>
  <c r="I65" i="20"/>
  <c r="J57" i="11"/>
  <c r="P63" i="20"/>
  <c r="P65" i="20"/>
  <c r="S63" i="20"/>
  <c r="S65" i="20"/>
  <c r="M63" i="20"/>
  <c r="R65" i="20"/>
  <c r="S96" i="20"/>
  <c r="M96" i="20"/>
  <c r="P136" i="20"/>
  <c r="M136" i="20"/>
  <c r="S136" i="20"/>
  <c r="P164" i="20"/>
  <c r="S164" i="20"/>
  <c r="O164" i="20"/>
  <c r="N164" i="20"/>
  <c r="S202" i="20"/>
  <c r="N202" i="20"/>
  <c r="P202" i="20"/>
  <c r="O202" i="20"/>
  <c r="N210" i="21"/>
  <c r="P210" i="21"/>
  <c r="O210" i="21"/>
  <c r="S210" i="21"/>
  <c r="O185" i="21"/>
  <c r="S185" i="21"/>
  <c r="N185" i="21"/>
  <c r="M58" i="21"/>
  <c r="P58" i="21"/>
  <c r="S58" i="21"/>
  <c r="S218" i="21"/>
  <c r="Q154" i="21"/>
  <c r="Q114" i="21"/>
  <c r="O223" i="21"/>
  <c r="N223" i="21"/>
  <c r="S223" i="21"/>
  <c r="H190" i="23"/>
  <c r="Q190" i="23"/>
  <c r="Q190" i="22"/>
  <c r="J190" i="22" s="1"/>
  <c r="H124" i="23"/>
  <c r="Q124" i="23"/>
  <c r="Q124" i="22"/>
  <c r="H68" i="23"/>
  <c r="Q68" i="23"/>
  <c r="Q68" i="22"/>
  <c r="H63" i="23"/>
  <c r="Q63" i="23"/>
  <c r="J63" i="23" s="1"/>
  <c r="Q63" i="22"/>
  <c r="J63" i="22" s="1"/>
  <c r="Q105" i="21"/>
  <c r="Q104" i="21"/>
  <c r="Q78" i="21"/>
  <c r="H202" i="23"/>
  <c r="Q202" i="23" s="1"/>
  <c r="Q202" i="22"/>
  <c r="H168" i="23"/>
  <c r="Q168" i="23"/>
  <c r="Q168" i="22"/>
  <c r="J168" i="22" s="1"/>
  <c r="K168" i="22" s="1"/>
  <c r="H146" i="23"/>
  <c r="H78" i="23"/>
  <c r="O220" i="21"/>
  <c r="P227" i="21"/>
  <c r="S227" i="21"/>
  <c r="N221" i="21"/>
  <c r="O221" i="21"/>
  <c r="P218" i="21"/>
  <c r="O227" i="21"/>
  <c r="I73" i="22"/>
  <c r="R73" i="21"/>
  <c r="I220" i="22"/>
  <c r="R220" i="21"/>
  <c r="I222" i="22"/>
  <c r="R222" i="21"/>
  <c r="I225" i="22"/>
  <c r="R225" i="21"/>
  <c r="I227" i="22"/>
  <c r="R227" i="21"/>
  <c r="I221" i="22"/>
  <c r="P221" i="22"/>
  <c r="R221" i="21"/>
  <c r="I218" i="22"/>
  <c r="R218" i="21"/>
  <c r="I224" i="22"/>
  <c r="R224" i="21"/>
  <c r="I226" i="22"/>
  <c r="R226" i="21"/>
  <c r="I72" i="22"/>
  <c r="M72" i="22"/>
  <c r="R72" i="21"/>
  <c r="I219" i="22"/>
  <c r="R219" i="21"/>
  <c r="I69" i="22"/>
  <c r="R69" i="21"/>
  <c r="P221" i="21"/>
  <c r="P220" i="21"/>
  <c r="I223" i="22"/>
  <c r="R223" i="21"/>
  <c r="N220" i="21"/>
  <c r="I71" i="22"/>
  <c r="R71" i="21"/>
  <c r="I70" i="22"/>
  <c r="R70" i="21"/>
  <c r="I74" i="22"/>
  <c r="R74" i="21"/>
  <c r="I217" i="22"/>
  <c r="R217" i="21"/>
  <c r="H102" i="23"/>
  <c r="O186" i="21"/>
  <c r="P8" i="21"/>
  <c r="S8" i="21"/>
  <c r="J205" i="20"/>
  <c r="K205" i="20" s="1"/>
  <c r="J220" i="20"/>
  <c r="P162" i="21"/>
  <c r="J212" i="20"/>
  <c r="K212" i="20" s="1"/>
  <c r="J219" i="20"/>
  <c r="K219" i="20"/>
  <c r="J218" i="20"/>
  <c r="K218" i="20" s="1"/>
  <c r="J139" i="20"/>
  <c r="K139" i="20" s="1"/>
  <c r="S222" i="21"/>
  <c r="O222" i="21"/>
  <c r="N222" i="21"/>
  <c r="P222" i="21"/>
  <c r="J207" i="20"/>
  <c r="K207" i="20"/>
  <c r="J204" i="22"/>
  <c r="K204" i="22" s="1"/>
  <c r="J222" i="20"/>
  <c r="K222" i="20" s="1"/>
  <c r="J221" i="20"/>
  <c r="K221" i="20"/>
  <c r="S219" i="21"/>
  <c r="O219" i="21"/>
  <c r="N219" i="21"/>
  <c r="P219" i="21"/>
  <c r="J127" i="20"/>
  <c r="K127" i="20"/>
  <c r="J132" i="20"/>
  <c r="K132" i="20" s="1"/>
  <c r="J204" i="23"/>
  <c r="K204" i="23" s="1"/>
  <c r="J204" i="20"/>
  <c r="K204" i="20"/>
  <c r="S207" i="22"/>
  <c r="O207" i="22"/>
  <c r="N207" i="22"/>
  <c r="P207" i="22"/>
  <c r="J207" i="21"/>
  <c r="K207" i="21" s="1"/>
  <c r="J132" i="21"/>
  <c r="K132" i="21" s="1"/>
  <c r="J171" i="20"/>
  <c r="K171" i="20" s="1"/>
  <c r="J193" i="22"/>
  <c r="K193" i="22" s="1"/>
  <c r="J206" i="20"/>
  <c r="K206" i="20" s="1"/>
  <c r="J206" i="21"/>
  <c r="K206" i="21" s="1"/>
  <c r="J204" i="21"/>
  <c r="K204" i="21"/>
  <c r="J66" i="11"/>
  <c r="J192" i="20"/>
  <c r="K192" i="20" s="1"/>
  <c r="J206" i="23"/>
  <c r="K206" i="23" s="1"/>
  <c r="J191" i="22"/>
  <c r="K191" i="22" s="1"/>
  <c r="J65" i="11"/>
  <c r="P139" i="21"/>
  <c r="M72" i="21"/>
  <c r="J174" i="20"/>
  <c r="K174" i="20"/>
  <c r="J169" i="20"/>
  <c r="K169" i="20"/>
  <c r="J191" i="20"/>
  <c r="K191" i="20" s="1"/>
  <c r="J193" i="20"/>
  <c r="K193" i="20" s="1"/>
  <c r="J194" i="21"/>
  <c r="K194" i="21" s="1"/>
  <c r="J193" i="21"/>
  <c r="K193" i="21" s="1"/>
  <c r="S194" i="22"/>
  <c r="O194" i="22"/>
  <c r="N194" i="22"/>
  <c r="P194" i="22"/>
  <c r="J177" i="21"/>
  <c r="K177" i="21" s="1"/>
  <c r="J194" i="20"/>
  <c r="K194" i="20"/>
  <c r="J191" i="21"/>
  <c r="K191" i="21" s="1"/>
  <c r="J191" i="23"/>
  <c r="K191" i="23" s="1"/>
  <c r="S173" i="21"/>
  <c r="O173" i="21"/>
  <c r="N173" i="21"/>
  <c r="P173" i="21"/>
  <c r="J174" i="23"/>
  <c r="K174" i="23" s="1"/>
  <c r="S170" i="21"/>
  <c r="O170" i="21"/>
  <c r="N170" i="21"/>
  <c r="P170" i="21"/>
  <c r="J53" i="20"/>
  <c r="K53" i="20"/>
  <c r="J174" i="21"/>
  <c r="K174" i="21" s="1"/>
  <c r="J172" i="20"/>
  <c r="K172" i="20" s="1"/>
  <c r="S171" i="21"/>
  <c r="O171" i="21"/>
  <c r="N171" i="21"/>
  <c r="P171" i="21"/>
  <c r="S139" i="21"/>
  <c r="J134" i="20"/>
  <c r="K134" i="20" s="1"/>
  <c r="J175" i="20"/>
  <c r="K175" i="20" s="1"/>
  <c r="J176" i="22"/>
  <c r="K176" i="22" s="1"/>
  <c r="J173" i="20"/>
  <c r="K173" i="20" s="1"/>
  <c r="J170" i="20"/>
  <c r="K170" i="20"/>
  <c r="J177" i="20"/>
  <c r="K177" i="20" s="1"/>
  <c r="S169" i="21"/>
  <c r="O169" i="21"/>
  <c r="N169" i="21"/>
  <c r="P169" i="21"/>
  <c r="I188" i="21"/>
  <c r="S162" i="21"/>
  <c r="N162" i="21"/>
  <c r="S177" i="22"/>
  <c r="O177" i="22"/>
  <c r="N177" i="22"/>
  <c r="P177" i="22"/>
  <c r="J89" i="20"/>
  <c r="K89" i="20"/>
  <c r="N163" i="21"/>
  <c r="J174" i="22"/>
  <c r="K174" i="22" s="1"/>
  <c r="J176" i="20"/>
  <c r="K176" i="20" s="1"/>
  <c r="S172" i="21"/>
  <c r="O172" i="21"/>
  <c r="N172" i="21"/>
  <c r="P172" i="21"/>
  <c r="J176" i="23"/>
  <c r="K176" i="23" s="1"/>
  <c r="S140" i="22"/>
  <c r="P186" i="21"/>
  <c r="P72" i="21"/>
  <c r="J61" i="11"/>
  <c r="J130" i="23"/>
  <c r="K130" i="23" s="1"/>
  <c r="J125" i="20"/>
  <c r="K125" i="20"/>
  <c r="J35" i="20"/>
  <c r="K35" i="20" s="1"/>
  <c r="J87" i="21"/>
  <c r="K87" i="21" s="1"/>
  <c r="J129" i="20"/>
  <c r="K129" i="20"/>
  <c r="S155" i="21"/>
  <c r="O155" i="21"/>
  <c r="N155" i="21"/>
  <c r="P155" i="21"/>
  <c r="P139" i="22"/>
  <c r="S141" i="22"/>
  <c r="M141" i="21"/>
  <c r="J70" i="20"/>
  <c r="K70" i="20" s="1"/>
  <c r="M125" i="21"/>
  <c r="P125" i="21"/>
  <c r="S125" i="21"/>
  <c r="J130" i="20"/>
  <c r="K130" i="20" s="1"/>
  <c r="J132" i="22"/>
  <c r="K132" i="22" s="1"/>
  <c r="J133" i="21"/>
  <c r="K133" i="21" s="1"/>
  <c r="J132" i="23"/>
  <c r="K132" i="23" s="1"/>
  <c r="J126" i="20"/>
  <c r="K126" i="20"/>
  <c r="J130" i="21"/>
  <c r="K130" i="21"/>
  <c r="M126" i="21"/>
  <c r="P126" i="21"/>
  <c r="S126" i="21"/>
  <c r="M118" i="22"/>
  <c r="M127" i="21"/>
  <c r="S127" i="21"/>
  <c r="P127" i="21"/>
  <c r="M133" i="22"/>
  <c r="S133" i="22"/>
  <c r="P133" i="22"/>
  <c r="P134" i="21"/>
  <c r="I144" i="21"/>
  <c r="M128" i="21"/>
  <c r="S128" i="21"/>
  <c r="P128" i="21"/>
  <c r="M129" i="21"/>
  <c r="P129" i="21"/>
  <c r="S129" i="21"/>
  <c r="S57" i="21"/>
  <c r="J118" i="20"/>
  <c r="K118" i="20"/>
  <c r="J131" i="20"/>
  <c r="K131" i="20" s="1"/>
  <c r="J133" i="20"/>
  <c r="K133" i="20" s="1"/>
  <c r="J130" i="22"/>
  <c r="K130" i="22" s="1"/>
  <c r="J58" i="20"/>
  <c r="K58" i="20" s="1"/>
  <c r="J87" i="23"/>
  <c r="K87" i="23" s="1"/>
  <c r="J197" i="20"/>
  <c r="K197" i="20" s="1"/>
  <c r="J95" i="20"/>
  <c r="K95" i="20" s="1"/>
  <c r="J85" i="21"/>
  <c r="K85" i="21" s="1"/>
  <c r="J85" i="23"/>
  <c r="K85" i="23" s="1"/>
  <c r="J40" i="20"/>
  <c r="K40" i="20" s="1"/>
  <c r="J84" i="20"/>
  <c r="K84" i="20"/>
  <c r="J87" i="20"/>
  <c r="K87" i="20"/>
  <c r="J86" i="20"/>
  <c r="K86" i="20"/>
  <c r="J87" i="22"/>
  <c r="K87" i="22" s="1"/>
  <c r="S88" i="21"/>
  <c r="P88" i="21"/>
  <c r="M88" i="21"/>
  <c r="P198" i="21"/>
  <c r="M78" i="21"/>
  <c r="P163" i="21"/>
  <c r="S163" i="21"/>
  <c r="J210" i="20"/>
  <c r="K210" i="20" s="1"/>
  <c r="P70" i="21"/>
  <c r="M134" i="21"/>
  <c r="J88" i="20"/>
  <c r="K88" i="20" s="1"/>
  <c r="S84" i="21"/>
  <c r="P84" i="21"/>
  <c r="M84" i="21"/>
  <c r="J85" i="20"/>
  <c r="K85" i="20"/>
  <c r="J85" i="22"/>
  <c r="K85" i="22" s="1"/>
  <c r="N181" i="21"/>
  <c r="J181" i="20"/>
  <c r="K181" i="20" s="1"/>
  <c r="J94" i="20"/>
  <c r="K94" i="20" s="1"/>
  <c r="J163" i="20"/>
  <c r="K163" i="20"/>
  <c r="J51" i="20"/>
  <c r="K51" i="20" s="1"/>
  <c r="M40" i="21"/>
  <c r="S40" i="21"/>
  <c r="P40" i="21"/>
  <c r="J38" i="20"/>
  <c r="K38" i="20"/>
  <c r="M41" i="21"/>
  <c r="S41" i="21"/>
  <c r="P41" i="21"/>
  <c r="M42" i="21"/>
  <c r="P42" i="21"/>
  <c r="S42" i="21"/>
  <c r="J36" i="20"/>
  <c r="K36" i="20"/>
  <c r="M39" i="21"/>
  <c r="P39" i="21"/>
  <c r="S39" i="21"/>
  <c r="M36" i="21"/>
  <c r="S36" i="21"/>
  <c r="P36" i="21"/>
  <c r="J41" i="20"/>
  <c r="K41" i="20"/>
  <c r="M37" i="21"/>
  <c r="S37" i="21"/>
  <c r="P37" i="21"/>
  <c r="M35" i="21"/>
  <c r="P35" i="21"/>
  <c r="S35" i="21"/>
  <c r="J42" i="20"/>
  <c r="K42" i="20"/>
  <c r="M38" i="21"/>
  <c r="P38" i="21"/>
  <c r="S38" i="21"/>
  <c r="J37" i="20"/>
  <c r="K37" i="20"/>
  <c r="J227" i="20"/>
  <c r="K227" i="20"/>
  <c r="J90" i="20"/>
  <c r="K90" i="20" s="1"/>
  <c r="J46" i="20"/>
  <c r="K46" i="20" s="1"/>
  <c r="J157" i="20"/>
  <c r="K157" i="20" s="1"/>
  <c r="J195" i="20"/>
  <c r="K195" i="20"/>
  <c r="J198" i="20"/>
  <c r="K198" i="20" s="1"/>
  <c r="O212" i="21"/>
  <c r="S141" i="21"/>
  <c r="J78" i="20"/>
  <c r="K78" i="20" s="1"/>
  <c r="S90" i="21"/>
  <c r="N212" i="21"/>
  <c r="S212" i="21"/>
  <c r="J117" i="20"/>
  <c r="K117" i="20"/>
  <c r="P141" i="21"/>
  <c r="J48" i="20"/>
  <c r="K48" i="20" s="1"/>
  <c r="P212" i="21"/>
  <c r="P90" i="21"/>
  <c r="J186" i="20"/>
  <c r="K186" i="20"/>
  <c r="J141" i="20"/>
  <c r="K141" i="20"/>
  <c r="J47" i="20"/>
  <c r="K47" i="20" s="1"/>
  <c r="J217" i="20"/>
  <c r="K217" i="20"/>
  <c r="J224" i="20"/>
  <c r="K224" i="20" s="1"/>
  <c r="J223" i="20"/>
  <c r="K223" i="20"/>
  <c r="S186" i="21"/>
  <c r="N198" i="21"/>
  <c r="J57" i="20"/>
  <c r="K57" i="20"/>
  <c r="P57" i="21"/>
  <c r="M70" i="21"/>
  <c r="M90" i="21"/>
  <c r="S70" i="21"/>
  <c r="P118" i="21"/>
  <c r="S134" i="21"/>
  <c r="S198" i="21"/>
  <c r="M118" i="21"/>
  <c r="N186" i="21"/>
  <c r="O163" i="21"/>
  <c r="S224" i="21"/>
  <c r="O224" i="21"/>
  <c r="P224" i="21"/>
  <c r="N224" i="21"/>
  <c r="J178" i="20"/>
  <c r="K178" i="20"/>
  <c r="J158" i="20"/>
  <c r="K158" i="20" s="1"/>
  <c r="J135" i="20"/>
  <c r="K135" i="20"/>
  <c r="N182" i="21"/>
  <c r="P182" i="21"/>
  <c r="S182" i="21"/>
  <c r="N180" i="21"/>
  <c r="S180" i="21"/>
  <c r="J185" i="20"/>
  <c r="K185" i="20" s="1"/>
  <c r="J161" i="20"/>
  <c r="K161" i="20" s="1"/>
  <c r="O195" i="21"/>
  <c r="P195" i="21"/>
  <c r="S158" i="22"/>
  <c r="M93" i="21"/>
  <c r="M140" i="21"/>
  <c r="P183" i="21"/>
  <c r="N158" i="22"/>
  <c r="J183" i="20"/>
  <c r="K183" i="20" s="1"/>
  <c r="S184" i="21"/>
  <c r="N184" i="21"/>
  <c r="O183" i="21"/>
  <c r="O196" i="21"/>
  <c r="P135" i="21"/>
  <c r="J185" i="21"/>
  <c r="K185" i="21" s="1"/>
  <c r="S135" i="21"/>
  <c r="N196" i="21"/>
  <c r="J184" i="20"/>
  <c r="K184" i="20" s="1"/>
  <c r="J72" i="20"/>
  <c r="K72" i="20"/>
  <c r="N157" i="22"/>
  <c r="S196" i="21"/>
  <c r="M135" i="21"/>
  <c r="S179" i="22"/>
  <c r="J159" i="20"/>
  <c r="K159" i="20"/>
  <c r="J197" i="21"/>
  <c r="K197" i="21" s="1"/>
  <c r="J140" i="20"/>
  <c r="K140" i="20" s="1"/>
  <c r="O180" i="21"/>
  <c r="J209" i="20"/>
  <c r="K209" i="20"/>
  <c r="J92" i="20"/>
  <c r="K92" i="20"/>
  <c r="P93" i="21"/>
  <c r="J91" i="20"/>
  <c r="K91" i="20" s="1"/>
  <c r="S93" i="21"/>
  <c r="M59" i="21"/>
  <c r="J59" i="20"/>
  <c r="K59" i="20" s="1"/>
  <c r="M56" i="21"/>
  <c r="J52" i="20"/>
  <c r="K52" i="20"/>
  <c r="P55" i="21"/>
  <c r="S59" i="21"/>
  <c r="J45" i="20"/>
  <c r="K45" i="20"/>
  <c r="S200" i="20"/>
  <c r="P200" i="20"/>
  <c r="P196" i="21"/>
  <c r="J196" i="20"/>
  <c r="K196" i="20" s="1"/>
  <c r="J210" i="21"/>
  <c r="K210" i="21" s="1"/>
  <c r="O181" i="21"/>
  <c r="S181" i="21"/>
  <c r="P158" i="22"/>
  <c r="J157" i="21"/>
  <c r="K157" i="21" s="1"/>
  <c r="O158" i="22"/>
  <c r="P136" i="21"/>
  <c r="P140" i="21"/>
  <c r="J124" i="20"/>
  <c r="K124" i="20"/>
  <c r="S140" i="21"/>
  <c r="J96" i="20"/>
  <c r="K96" i="20" s="1"/>
  <c r="J93" i="20"/>
  <c r="K93" i="20"/>
  <c r="S71" i="21"/>
  <c r="J74" i="20"/>
  <c r="K74" i="20"/>
  <c r="P59" i="21"/>
  <c r="J54" i="20"/>
  <c r="K54" i="20"/>
  <c r="J55" i="20"/>
  <c r="K55" i="20" s="1"/>
  <c r="N185" i="22"/>
  <c r="P185" i="22"/>
  <c r="O185" i="22"/>
  <c r="S185" i="22"/>
  <c r="S98" i="21"/>
  <c r="M98" i="21"/>
  <c r="P98" i="21"/>
  <c r="O225" i="21"/>
  <c r="N225" i="21"/>
  <c r="S225" i="21"/>
  <c r="P225" i="21"/>
  <c r="S134" i="22"/>
  <c r="P134" i="22"/>
  <c r="M134" i="22"/>
  <c r="S74" i="21"/>
  <c r="P74" i="21"/>
  <c r="M74" i="21"/>
  <c r="P142" i="21"/>
  <c r="S142" i="21"/>
  <c r="M142" i="21"/>
  <c r="O164" i="21"/>
  <c r="N164" i="21"/>
  <c r="P164" i="21"/>
  <c r="S164" i="21"/>
  <c r="S159" i="21"/>
  <c r="O159" i="21"/>
  <c r="N159" i="21"/>
  <c r="P159" i="21"/>
  <c r="N179" i="21"/>
  <c r="P179" i="21"/>
  <c r="O179" i="21"/>
  <c r="S179" i="21"/>
  <c r="N229" i="20"/>
  <c r="J225" i="20"/>
  <c r="K225" i="20" s="1"/>
  <c r="M120" i="21"/>
  <c r="S120" i="21"/>
  <c r="P120" i="21"/>
  <c r="N188" i="20"/>
  <c r="J137" i="20"/>
  <c r="K137" i="20" s="1"/>
  <c r="J211" i="20"/>
  <c r="K211" i="20"/>
  <c r="S16" i="21"/>
  <c r="N198" i="22"/>
  <c r="O198" i="22"/>
  <c r="P198" i="22"/>
  <c r="S198" i="22"/>
  <c r="J50" i="20"/>
  <c r="K50" i="20" s="1"/>
  <c r="J97" i="20"/>
  <c r="K97" i="20"/>
  <c r="J190" i="20"/>
  <c r="M55" i="21"/>
  <c r="P56" i="21"/>
  <c r="P71" i="21"/>
  <c r="J71" i="20"/>
  <c r="K71" i="20" s="1"/>
  <c r="S78" i="21"/>
  <c r="M136" i="21"/>
  <c r="O157" i="22"/>
  <c r="P181" i="21"/>
  <c r="N183" i="21"/>
  <c r="O184" i="21"/>
  <c r="N200" i="20"/>
  <c r="S195" i="21"/>
  <c r="O210" i="22"/>
  <c r="N210" i="22"/>
  <c r="P210" i="22"/>
  <c r="S210" i="22"/>
  <c r="M141" i="22"/>
  <c r="P141" i="22"/>
  <c r="N179" i="22"/>
  <c r="J49" i="20"/>
  <c r="K49" i="20" s="1"/>
  <c r="J98" i="20"/>
  <c r="K98" i="20"/>
  <c r="J182" i="20"/>
  <c r="K182" i="20" s="1"/>
  <c r="S144" i="20"/>
  <c r="S124" i="21"/>
  <c r="P124" i="21"/>
  <c r="M124" i="21"/>
  <c r="J160" i="20"/>
  <c r="K160" i="20"/>
  <c r="J120" i="20"/>
  <c r="K120" i="20" s="1"/>
  <c r="J73" i="20"/>
  <c r="K73" i="20"/>
  <c r="P188" i="20"/>
  <c r="R188" i="20"/>
  <c r="S229" i="20"/>
  <c r="P209" i="21"/>
  <c r="N209" i="21"/>
  <c r="S209" i="21"/>
  <c r="O209" i="21"/>
  <c r="N178" i="21"/>
  <c r="P178" i="21"/>
  <c r="S178" i="21"/>
  <c r="O178" i="21"/>
  <c r="S138" i="21"/>
  <c r="P138" i="21"/>
  <c r="M138" i="21"/>
  <c r="J180" i="20"/>
  <c r="K180" i="20" s="1"/>
  <c r="R200" i="20"/>
  <c r="M65" i="20"/>
  <c r="J63" i="20"/>
  <c r="J65" i="20" s="1"/>
  <c r="P208" i="21"/>
  <c r="O208" i="21"/>
  <c r="N208" i="21"/>
  <c r="S208" i="21"/>
  <c r="S160" i="21"/>
  <c r="N160" i="21"/>
  <c r="O160" i="21"/>
  <c r="P160" i="21"/>
  <c r="P73" i="21"/>
  <c r="S73" i="21"/>
  <c r="M73" i="21"/>
  <c r="O188" i="20"/>
  <c r="P226" i="21"/>
  <c r="O226" i="21"/>
  <c r="N226" i="21"/>
  <c r="S226" i="21"/>
  <c r="M54" i="21"/>
  <c r="S54" i="21"/>
  <c r="P54" i="21"/>
  <c r="M144" i="20"/>
  <c r="J164" i="20"/>
  <c r="K164" i="20" s="1"/>
  <c r="S63" i="21"/>
  <c r="S65" i="21"/>
  <c r="R65" i="21"/>
  <c r="M63" i="21"/>
  <c r="I65" i="21"/>
  <c r="L57" i="11"/>
  <c r="P63" i="21"/>
  <c r="P65" i="21"/>
  <c r="R144" i="20"/>
  <c r="S227" i="22"/>
  <c r="P227" i="22"/>
  <c r="O227" i="22"/>
  <c r="N227" i="22"/>
  <c r="P69" i="21"/>
  <c r="M69" i="21"/>
  <c r="S69" i="21"/>
  <c r="S137" i="21"/>
  <c r="P137" i="21"/>
  <c r="M137" i="21"/>
  <c r="J142" i="20"/>
  <c r="K142" i="20"/>
  <c r="S55" i="21"/>
  <c r="S56" i="21"/>
  <c r="M71" i="21"/>
  <c r="P78" i="21"/>
  <c r="S136" i="21"/>
  <c r="P157" i="22"/>
  <c r="S157" i="22"/>
  <c r="S183" i="21"/>
  <c r="P184" i="21"/>
  <c r="N195" i="21"/>
  <c r="I200" i="21"/>
  <c r="J136" i="20"/>
  <c r="K136" i="20" s="1"/>
  <c r="J56" i="20"/>
  <c r="K56" i="20" s="1"/>
  <c r="J208" i="20"/>
  <c r="P90" i="22"/>
  <c r="M90" i="22"/>
  <c r="S90" i="22"/>
  <c r="P144" i="20"/>
  <c r="S91" i="21"/>
  <c r="M91" i="21"/>
  <c r="P91" i="21"/>
  <c r="M119" i="21"/>
  <c r="S119" i="21"/>
  <c r="P119" i="21"/>
  <c r="P168" i="21"/>
  <c r="N168" i="21"/>
  <c r="S168" i="21"/>
  <c r="O168" i="21"/>
  <c r="J69" i="20"/>
  <c r="K69" i="20" s="1"/>
  <c r="O161" i="21"/>
  <c r="N161" i="21"/>
  <c r="S161" i="21"/>
  <c r="P161" i="21"/>
  <c r="O197" i="22"/>
  <c r="P197" i="22"/>
  <c r="S197" i="22"/>
  <c r="N197" i="22"/>
  <c r="J226" i="20"/>
  <c r="K226" i="20" s="1"/>
  <c r="J179" i="20"/>
  <c r="K179" i="20" s="1"/>
  <c r="S211" i="21"/>
  <c r="O211" i="21"/>
  <c r="P211" i="21"/>
  <c r="N211" i="21"/>
  <c r="J138" i="20"/>
  <c r="K138" i="20"/>
  <c r="S188" i="20"/>
  <c r="S72" i="22"/>
  <c r="P212" i="22"/>
  <c r="O212" i="22"/>
  <c r="N212" i="22"/>
  <c r="S212" i="22"/>
  <c r="O200" i="20"/>
  <c r="S190" i="21"/>
  <c r="O190" i="21"/>
  <c r="P190" i="21"/>
  <c r="N190" i="21"/>
  <c r="J58" i="21"/>
  <c r="K58" i="21"/>
  <c r="N195" i="22"/>
  <c r="S195" i="22"/>
  <c r="P195" i="22"/>
  <c r="O195" i="22"/>
  <c r="P196" i="22"/>
  <c r="N196" i="22"/>
  <c r="S196" i="22"/>
  <c r="O196" i="22"/>
  <c r="P180" i="22"/>
  <c r="O180" i="22"/>
  <c r="S180" i="22"/>
  <c r="N180" i="22"/>
  <c r="P184" i="22"/>
  <c r="O184" i="22"/>
  <c r="S184" i="22"/>
  <c r="N184" i="22"/>
  <c r="S183" i="22"/>
  <c r="O183" i="22"/>
  <c r="N183" i="22"/>
  <c r="P183" i="22"/>
  <c r="S157" i="23"/>
  <c r="O157" i="23"/>
  <c r="N157" i="23"/>
  <c r="P157" i="23"/>
  <c r="P158" i="23"/>
  <c r="O158" i="23"/>
  <c r="S158" i="23"/>
  <c r="N158" i="23"/>
  <c r="M140" i="22"/>
  <c r="S136" i="22"/>
  <c r="P136" i="22"/>
  <c r="M136" i="22"/>
  <c r="S139" i="22"/>
  <c r="M135" i="22"/>
  <c r="P135" i="22"/>
  <c r="S135" i="22"/>
  <c r="S71" i="22"/>
  <c r="M71" i="22"/>
  <c r="P71" i="22"/>
  <c r="P59" i="22"/>
  <c r="S59" i="22"/>
  <c r="M59" i="22"/>
  <c r="J223" i="21"/>
  <c r="K223" i="21" s="1"/>
  <c r="J218" i="21"/>
  <c r="K218" i="21" s="1"/>
  <c r="J227" i="21"/>
  <c r="K227" i="21" s="1"/>
  <c r="N221" i="22"/>
  <c r="J220" i="21"/>
  <c r="K220" i="21" s="1"/>
  <c r="Q104" i="22"/>
  <c r="J221" i="21"/>
  <c r="K221" i="21" s="1"/>
  <c r="S221" i="22"/>
  <c r="O221" i="22"/>
  <c r="I223" i="23"/>
  <c r="R223" i="22"/>
  <c r="S223" i="22"/>
  <c r="N223" i="22"/>
  <c r="O223" i="22"/>
  <c r="P223" i="22"/>
  <c r="I72" i="23"/>
  <c r="R72" i="23"/>
  <c r="R72" i="22"/>
  <c r="I221" i="23"/>
  <c r="R221" i="23"/>
  <c r="R221" i="22"/>
  <c r="I226" i="23"/>
  <c r="R226" i="23"/>
  <c r="R226" i="22"/>
  <c r="I227" i="23"/>
  <c r="R227" i="23"/>
  <c r="R227" i="22"/>
  <c r="J227" i="22"/>
  <c r="K227" i="22" s="1"/>
  <c r="I70" i="23"/>
  <c r="R70" i="23"/>
  <c r="R70" i="22"/>
  <c r="I74" i="23"/>
  <c r="R74" i="23"/>
  <c r="R74" i="22"/>
  <c r="I69" i="23"/>
  <c r="R69" i="23"/>
  <c r="R69" i="22"/>
  <c r="I224" i="23"/>
  <c r="R224" i="23"/>
  <c r="R224" i="22"/>
  <c r="I225" i="23"/>
  <c r="R225" i="23"/>
  <c r="R225" i="22"/>
  <c r="I71" i="23"/>
  <c r="R71" i="23"/>
  <c r="R71" i="22"/>
  <c r="I220" i="23"/>
  <c r="R220" i="22"/>
  <c r="N220" i="22"/>
  <c r="P220" i="22"/>
  <c r="S220" i="22"/>
  <c r="O220" i="22"/>
  <c r="I219" i="23"/>
  <c r="R219" i="23"/>
  <c r="R219" i="22"/>
  <c r="I218" i="23"/>
  <c r="R218" i="22"/>
  <c r="S218" i="22"/>
  <c r="O218" i="22"/>
  <c r="N218" i="22"/>
  <c r="P218" i="22"/>
  <c r="I222" i="23"/>
  <c r="R222" i="23"/>
  <c r="R222" i="22"/>
  <c r="I217" i="23"/>
  <c r="R217" i="23"/>
  <c r="R217" i="22"/>
  <c r="I73" i="23"/>
  <c r="R73" i="23"/>
  <c r="R73" i="22"/>
  <c r="P8" i="22"/>
  <c r="S8" i="22"/>
  <c r="M8" i="22"/>
  <c r="J222" i="21"/>
  <c r="K222" i="21" s="1"/>
  <c r="J139" i="21"/>
  <c r="K139" i="21" s="1"/>
  <c r="J118" i="21"/>
  <c r="K118" i="21" s="1"/>
  <c r="J207" i="22"/>
  <c r="K207" i="22" s="1"/>
  <c r="S219" i="22"/>
  <c r="O219" i="22"/>
  <c r="N219" i="22"/>
  <c r="P219" i="22"/>
  <c r="S222" i="22"/>
  <c r="O222" i="22"/>
  <c r="N222" i="22"/>
  <c r="P222" i="22"/>
  <c r="S207" i="23"/>
  <c r="O207" i="23"/>
  <c r="N207" i="23"/>
  <c r="P207" i="23"/>
  <c r="S205" i="21"/>
  <c r="O205" i="21"/>
  <c r="N205" i="21"/>
  <c r="P205" i="21"/>
  <c r="L66" i="11"/>
  <c r="L65" i="11"/>
  <c r="I200" i="22"/>
  <c r="J173" i="21"/>
  <c r="K173" i="21"/>
  <c r="S192" i="21"/>
  <c r="S200" i="21"/>
  <c r="O192" i="21"/>
  <c r="O200" i="21"/>
  <c r="R200" i="21"/>
  <c r="N192" i="21"/>
  <c r="N200" i="21"/>
  <c r="P192" i="21"/>
  <c r="P200" i="21"/>
  <c r="J72" i="21"/>
  <c r="K72" i="21" s="1"/>
  <c r="I188" i="22"/>
  <c r="P162" i="22"/>
  <c r="S162" i="22"/>
  <c r="N162" i="22"/>
  <c r="O162" i="22"/>
  <c r="J170" i="21"/>
  <c r="K170" i="21"/>
  <c r="P140" i="22"/>
  <c r="J140" i="22"/>
  <c r="K140" i="22" s="1"/>
  <c r="P118" i="22"/>
  <c r="S172" i="22"/>
  <c r="O172" i="22"/>
  <c r="N172" i="22"/>
  <c r="P172" i="22"/>
  <c r="S175" i="21"/>
  <c r="S188" i="21"/>
  <c r="O175" i="21"/>
  <c r="O188" i="21"/>
  <c r="R188" i="21"/>
  <c r="N175" i="21"/>
  <c r="N188" i="21"/>
  <c r="P175" i="21"/>
  <c r="P188" i="21"/>
  <c r="J169" i="21"/>
  <c r="K169" i="21" s="1"/>
  <c r="J171" i="21"/>
  <c r="K171" i="21" s="1"/>
  <c r="S171" i="22"/>
  <c r="O171" i="22"/>
  <c r="N171" i="22"/>
  <c r="P171" i="22"/>
  <c r="S177" i="23"/>
  <c r="O177" i="23"/>
  <c r="N177" i="23"/>
  <c r="P177" i="23"/>
  <c r="S169" i="22"/>
  <c r="O169" i="22"/>
  <c r="N169" i="22"/>
  <c r="P169" i="22"/>
  <c r="J177" i="22"/>
  <c r="K177" i="22" s="1"/>
  <c r="S170" i="22"/>
  <c r="O170" i="22"/>
  <c r="N170" i="22"/>
  <c r="P170" i="22"/>
  <c r="S173" i="22"/>
  <c r="O173" i="22"/>
  <c r="N173" i="22"/>
  <c r="P173" i="22"/>
  <c r="P72" i="22"/>
  <c r="J90" i="21"/>
  <c r="K90" i="21" s="1"/>
  <c r="J127" i="21"/>
  <c r="K127" i="21"/>
  <c r="M139" i="23"/>
  <c r="M139" i="22"/>
  <c r="J141" i="22"/>
  <c r="K141" i="22" s="1"/>
  <c r="L61" i="11"/>
  <c r="S118" i="22"/>
  <c r="S140" i="23"/>
  <c r="J128" i="21"/>
  <c r="K128" i="21"/>
  <c r="I144" i="22"/>
  <c r="M133" i="23"/>
  <c r="S133" i="23"/>
  <c r="P133" i="23"/>
  <c r="M128" i="22"/>
  <c r="S128" i="22"/>
  <c r="P128" i="22"/>
  <c r="O163" i="23"/>
  <c r="M126" i="22"/>
  <c r="P126" i="22"/>
  <c r="S126" i="22"/>
  <c r="M127" i="22"/>
  <c r="S127" i="22"/>
  <c r="P127" i="22"/>
  <c r="M129" i="22"/>
  <c r="P129" i="22"/>
  <c r="S129" i="22"/>
  <c r="M125" i="22"/>
  <c r="P125" i="22"/>
  <c r="S125" i="22"/>
  <c r="J125" i="21"/>
  <c r="J129" i="21"/>
  <c r="K129" i="21" s="1"/>
  <c r="R144" i="21"/>
  <c r="M131" i="21"/>
  <c r="M144" i="21"/>
  <c r="P131" i="21"/>
  <c r="P144" i="21"/>
  <c r="S131" i="21"/>
  <c r="S144" i="21"/>
  <c r="J126" i="21"/>
  <c r="K126" i="21" s="1"/>
  <c r="J141" i="21"/>
  <c r="K141" i="21" s="1"/>
  <c r="J42" i="21"/>
  <c r="K42" i="21" s="1"/>
  <c r="P95" i="23"/>
  <c r="S84" i="22"/>
  <c r="P84" i="22"/>
  <c r="M84" i="22"/>
  <c r="S86" i="21"/>
  <c r="P86" i="21"/>
  <c r="M86" i="21"/>
  <c r="S88" i="22"/>
  <c r="P88" i="22"/>
  <c r="M88" i="22"/>
  <c r="J57" i="21"/>
  <c r="K57" i="21"/>
  <c r="J163" i="21"/>
  <c r="K163" i="21" s="1"/>
  <c r="J39" i="21"/>
  <c r="K39" i="21" s="1"/>
  <c r="J84" i="21"/>
  <c r="K84" i="21" s="1"/>
  <c r="J88" i="21"/>
  <c r="K88" i="21" s="1"/>
  <c r="P71" i="23"/>
  <c r="S39" i="22"/>
  <c r="M39" i="22"/>
  <c r="P39" i="22"/>
  <c r="J37" i="21"/>
  <c r="K37" i="21" s="1"/>
  <c r="S40" i="22"/>
  <c r="M40" i="22"/>
  <c r="P40" i="22"/>
  <c r="J36" i="21"/>
  <c r="K36" i="21" s="1"/>
  <c r="S42" i="22"/>
  <c r="M42" i="22"/>
  <c r="P42" i="22"/>
  <c r="S41" i="22"/>
  <c r="M41" i="22"/>
  <c r="P41" i="22"/>
  <c r="J40" i="21"/>
  <c r="K40" i="21"/>
  <c r="S37" i="22"/>
  <c r="M37" i="22"/>
  <c r="P37" i="22"/>
  <c r="S70" i="22"/>
  <c r="J38" i="21"/>
  <c r="K38" i="21" s="1"/>
  <c r="J35" i="21"/>
  <c r="K35" i="21" s="1"/>
  <c r="S35" i="22"/>
  <c r="M35" i="22"/>
  <c r="P35" i="22"/>
  <c r="S36" i="22"/>
  <c r="M36" i="22"/>
  <c r="P36" i="22"/>
  <c r="S38" i="22"/>
  <c r="M38" i="22"/>
  <c r="P38" i="22"/>
  <c r="J134" i="21"/>
  <c r="K134" i="21" s="1"/>
  <c r="J212" i="21"/>
  <c r="K212" i="21" s="1"/>
  <c r="S163" i="22"/>
  <c r="J186" i="21"/>
  <c r="K186" i="21"/>
  <c r="J198" i="21"/>
  <c r="K198" i="21" s="1"/>
  <c r="J70" i="21"/>
  <c r="K70" i="21" s="1"/>
  <c r="S186" i="22"/>
  <c r="M70" i="22"/>
  <c r="O186" i="22"/>
  <c r="P186" i="22"/>
  <c r="P163" i="22"/>
  <c r="S224" i="22"/>
  <c r="O224" i="22"/>
  <c r="N224" i="22"/>
  <c r="P224" i="22"/>
  <c r="S217" i="21"/>
  <c r="O217" i="21"/>
  <c r="P217" i="21"/>
  <c r="N217" i="21"/>
  <c r="N186" i="22"/>
  <c r="P70" i="22"/>
  <c r="O163" i="22"/>
  <c r="N163" i="22"/>
  <c r="J224" i="21"/>
  <c r="K224" i="21" s="1"/>
  <c r="M95" i="21"/>
  <c r="P95" i="21"/>
  <c r="S95" i="21"/>
  <c r="J182" i="21"/>
  <c r="K182" i="21" s="1"/>
  <c r="M94" i="21"/>
  <c r="P94" i="21"/>
  <c r="S94" i="21"/>
  <c r="O181" i="22"/>
  <c r="P181" i="22"/>
  <c r="S181" i="22"/>
  <c r="N181" i="22"/>
  <c r="J180" i="21"/>
  <c r="K180" i="21" s="1"/>
  <c r="J195" i="21"/>
  <c r="K195" i="21" s="1"/>
  <c r="P179" i="22"/>
  <c r="O179" i="22"/>
  <c r="O179" i="23"/>
  <c r="J158" i="22"/>
  <c r="K158" i="22" s="1"/>
  <c r="M91" i="22"/>
  <c r="J196" i="21"/>
  <c r="K196" i="21" s="1"/>
  <c r="S91" i="22"/>
  <c r="S89" i="21"/>
  <c r="M89" i="21"/>
  <c r="P89" i="21"/>
  <c r="P91" i="22"/>
  <c r="J135" i="21"/>
  <c r="K135" i="21"/>
  <c r="J71" i="21"/>
  <c r="K71" i="21" s="1"/>
  <c r="J55" i="21"/>
  <c r="K55" i="21" s="1"/>
  <c r="J225" i="21"/>
  <c r="K225" i="21" s="1"/>
  <c r="J183" i="21"/>
  <c r="K183" i="21" s="1"/>
  <c r="J140" i="21"/>
  <c r="K140" i="21" s="1"/>
  <c r="J180" i="22"/>
  <c r="K180" i="22" s="1"/>
  <c r="P21" i="20"/>
  <c r="S21" i="20"/>
  <c r="M21" i="20"/>
  <c r="J56" i="21"/>
  <c r="K56" i="21" s="1"/>
  <c r="J59" i="21"/>
  <c r="K59" i="21" s="1"/>
  <c r="S44" i="20"/>
  <c r="M44" i="20"/>
  <c r="P44" i="20"/>
  <c r="J212" i="22"/>
  <c r="K212" i="22"/>
  <c r="J226" i="21"/>
  <c r="K226" i="21" s="1"/>
  <c r="J184" i="21"/>
  <c r="K184" i="21" s="1"/>
  <c r="J181" i="21"/>
  <c r="K181" i="21" s="1"/>
  <c r="J161" i="21"/>
  <c r="K161" i="21"/>
  <c r="J157" i="22"/>
  <c r="K157" i="22" s="1"/>
  <c r="J136" i="21"/>
  <c r="K136" i="21"/>
  <c r="J124" i="21"/>
  <c r="K124" i="21" s="1"/>
  <c r="J91" i="21"/>
  <c r="K91" i="21"/>
  <c r="J54" i="21"/>
  <c r="K54" i="21" s="1"/>
  <c r="P137" i="22"/>
  <c r="S137" i="22"/>
  <c r="M137" i="22"/>
  <c r="S227" i="23"/>
  <c r="N227" i="23"/>
  <c r="O227" i="23"/>
  <c r="P227" i="23"/>
  <c r="P226" i="22"/>
  <c r="N226" i="22"/>
  <c r="S226" i="22"/>
  <c r="O226" i="22"/>
  <c r="K190" i="20"/>
  <c r="P142" i="22"/>
  <c r="M142" i="22"/>
  <c r="S142" i="22"/>
  <c r="P98" i="22"/>
  <c r="M98" i="22"/>
  <c r="S98" i="22"/>
  <c r="O212" i="23"/>
  <c r="S212" i="23"/>
  <c r="P212" i="23"/>
  <c r="N212" i="23"/>
  <c r="S119" i="22"/>
  <c r="P119" i="22"/>
  <c r="M119" i="22"/>
  <c r="S63" i="22"/>
  <c r="S65" i="22"/>
  <c r="I65" i="22"/>
  <c r="N57" i="11"/>
  <c r="P63" i="22"/>
  <c r="P65" i="22"/>
  <c r="R65" i="22"/>
  <c r="M63" i="22"/>
  <c r="O160" i="22"/>
  <c r="N160" i="22"/>
  <c r="S160" i="22"/>
  <c r="P160" i="22"/>
  <c r="S124" i="22"/>
  <c r="M124" i="22"/>
  <c r="P124" i="22"/>
  <c r="S164" i="22"/>
  <c r="P164" i="22"/>
  <c r="O164" i="22"/>
  <c r="N164" i="22"/>
  <c r="P93" i="22"/>
  <c r="S93" i="22"/>
  <c r="M93" i="22"/>
  <c r="J134" i="22"/>
  <c r="K134" i="22" s="1"/>
  <c r="J98" i="21"/>
  <c r="K98" i="21" s="1"/>
  <c r="J190" i="21"/>
  <c r="K190" i="21"/>
  <c r="K200" i="21" s="1"/>
  <c r="N190" i="22"/>
  <c r="O190" i="22"/>
  <c r="P190" i="22"/>
  <c r="S190" i="22"/>
  <c r="J197" i="22"/>
  <c r="K197" i="22" s="1"/>
  <c r="P197" i="23"/>
  <c r="N197" i="23"/>
  <c r="S197" i="23"/>
  <c r="O197" i="23"/>
  <c r="N161" i="22"/>
  <c r="S161" i="22"/>
  <c r="P161" i="22"/>
  <c r="O161" i="22"/>
  <c r="P92" i="22"/>
  <c r="M92" i="22"/>
  <c r="S92" i="22"/>
  <c r="S90" i="23"/>
  <c r="P90" i="23"/>
  <c r="M90" i="23"/>
  <c r="J137" i="21"/>
  <c r="K137" i="21"/>
  <c r="P69" i="22"/>
  <c r="S69" i="22"/>
  <c r="M69" i="22"/>
  <c r="M65" i="21"/>
  <c r="J63" i="21"/>
  <c r="J65" i="21" s="1"/>
  <c r="P73" i="22"/>
  <c r="M73" i="22"/>
  <c r="S73" i="22"/>
  <c r="J160" i="21"/>
  <c r="K160" i="21" s="1"/>
  <c r="J178" i="21"/>
  <c r="K178" i="21" s="1"/>
  <c r="J210" i="22"/>
  <c r="K210" i="22"/>
  <c r="J159" i="21"/>
  <c r="K159" i="21" s="1"/>
  <c r="P159" i="22"/>
  <c r="N159" i="22"/>
  <c r="S159" i="22"/>
  <c r="O159" i="22"/>
  <c r="J164" i="21"/>
  <c r="K164" i="21" s="1"/>
  <c r="J142" i="21"/>
  <c r="K142" i="21"/>
  <c r="P185" i="23"/>
  <c r="N185" i="23"/>
  <c r="S185" i="23"/>
  <c r="O185" i="23"/>
  <c r="J179" i="21"/>
  <c r="K179" i="21" s="1"/>
  <c r="S168" i="22"/>
  <c r="O168" i="22"/>
  <c r="P168" i="22"/>
  <c r="N168" i="22"/>
  <c r="O186" i="23"/>
  <c r="N186" i="23"/>
  <c r="S186" i="23"/>
  <c r="P186" i="23"/>
  <c r="P138" i="22"/>
  <c r="S138" i="22"/>
  <c r="M138" i="22"/>
  <c r="J209" i="21"/>
  <c r="K209" i="21" s="1"/>
  <c r="J198" i="22"/>
  <c r="K198" i="22" s="1"/>
  <c r="J120" i="21"/>
  <c r="K120" i="21" s="1"/>
  <c r="J185" i="22"/>
  <c r="K185" i="22"/>
  <c r="O211" i="22"/>
  <c r="S211" i="22"/>
  <c r="N211" i="22"/>
  <c r="P211" i="22"/>
  <c r="J168" i="21"/>
  <c r="K168" i="21"/>
  <c r="J90" i="22"/>
  <c r="K90" i="22" s="1"/>
  <c r="K208" i="20"/>
  <c r="J69" i="21"/>
  <c r="K69" i="21" s="1"/>
  <c r="S208" i="22"/>
  <c r="O208" i="22"/>
  <c r="P208" i="22"/>
  <c r="N208" i="22"/>
  <c r="N178" i="22"/>
  <c r="O178" i="22"/>
  <c r="P178" i="22"/>
  <c r="S178" i="22"/>
  <c r="P209" i="22"/>
  <c r="O209" i="22"/>
  <c r="S209" i="22"/>
  <c r="N209" i="22"/>
  <c r="N210" i="23"/>
  <c r="P210" i="23"/>
  <c r="S210" i="23"/>
  <c r="O210" i="23"/>
  <c r="P198" i="23"/>
  <c r="N198" i="23"/>
  <c r="S198" i="23"/>
  <c r="O198" i="23"/>
  <c r="P120" i="22"/>
  <c r="M120" i="22"/>
  <c r="S120" i="22"/>
  <c r="O182" i="22"/>
  <c r="S182" i="22"/>
  <c r="N182" i="22"/>
  <c r="P182" i="22"/>
  <c r="P95" i="22"/>
  <c r="S95" i="22"/>
  <c r="M95" i="22"/>
  <c r="J74" i="21"/>
  <c r="K74" i="21" s="1"/>
  <c r="M74" i="22"/>
  <c r="S74" i="22"/>
  <c r="P74" i="22"/>
  <c r="P134" i="23"/>
  <c r="S134" i="23"/>
  <c r="M134" i="23"/>
  <c r="S225" i="22"/>
  <c r="P225" i="22"/>
  <c r="N225" i="22"/>
  <c r="O225" i="22"/>
  <c r="O196" i="23"/>
  <c r="N196" i="23"/>
  <c r="P196" i="23"/>
  <c r="S196" i="23"/>
  <c r="S195" i="23"/>
  <c r="O195" i="23"/>
  <c r="N195" i="23"/>
  <c r="P195" i="23"/>
  <c r="P183" i="23"/>
  <c r="S183" i="23"/>
  <c r="O183" i="23"/>
  <c r="N183" i="23"/>
  <c r="J184" i="22"/>
  <c r="K184" i="22" s="1"/>
  <c r="N180" i="23"/>
  <c r="P180" i="23"/>
  <c r="O180" i="23"/>
  <c r="S180" i="23"/>
  <c r="J183" i="22"/>
  <c r="K183" i="22" s="1"/>
  <c r="N184" i="23"/>
  <c r="S184" i="23"/>
  <c r="P184" i="23"/>
  <c r="O184" i="23"/>
  <c r="J157" i="23"/>
  <c r="K157" i="23" s="1"/>
  <c r="S136" i="23"/>
  <c r="P136" i="23"/>
  <c r="M136" i="23"/>
  <c r="M140" i="23"/>
  <c r="J135" i="22"/>
  <c r="M135" i="23"/>
  <c r="P135" i="23"/>
  <c r="S135" i="23"/>
  <c r="S139" i="23"/>
  <c r="M91" i="23"/>
  <c r="S91" i="23"/>
  <c r="P91" i="23"/>
  <c r="M95" i="23"/>
  <c r="J59" i="22"/>
  <c r="K59" i="22" s="1"/>
  <c r="M59" i="23"/>
  <c r="S59" i="23"/>
  <c r="P59" i="23"/>
  <c r="I170" i="12"/>
  <c r="H169" i="12"/>
  <c r="I168" i="12"/>
  <c r="I167" i="12"/>
  <c r="I158" i="12"/>
  <c r="H157" i="12"/>
  <c r="I156" i="12"/>
  <c r="I155" i="12"/>
  <c r="H151" i="12"/>
  <c r="I150" i="12"/>
  <c r="I149" i="12"/>
  <c r="H49" i="12"/>
  <c r="I48" i="12"/>
  <c r="I47" i="12"/>
  <c r="H145" i="12"/>
  <c r="I144" i="12"/>
  <c r="I143" i="12"/>
  <c r="H286" i="12"/>
  <c r="I285" i="12"/>
  <c r="I284" i="12"/>
  <c r="H250" i="12"/>
  <c r="I249" i="12"/>
  <c r="I248" i="12"/>
  <c r="H262" i="12"/>
  <c r="I261" i="12"/>
  <c r="I260" i="12"/>
  <c r="H256" i="12"/>
  <c r="I255" i="12"/>
  <c r="I254" i="12"/>
  <c r="H163" i="12"/>
  <c r="I162" i="12"/>
  <c r="I161" i="12"/>
  <c r="H37" i="12"/>
  <c r="I36" i="12"/>
  <c r="I35" i="12"/>
  <c r="H139" i="12"/>
  <c r="I138" i="12"/>
  <c r="I137" i="12"/>
  <c r="H133" i="12"/>
  <c r="I132" i="12"/>
  <c r="I131" i="12"/>
  <c r="H127" i="12"/>
  <c r="I126" i="12"/>
  <c r="I125" i="12"/>
  <c r="H121" i="12"/>
  <c r="I120" i="12"/>
  <c r="I119" i="12"/>
  <c r="H43" i="12"/>
  <c r="I42" i="12"/>
  <c r="I41" i="12"/>
  <c r="H115" i="12"/>
  <c r="I114" i="12"/>
  <c r="I113" i="12"/>
  <c r="H207" i="12"/>
  <c r="I206" i="12"/>
  <c r="I205" i="12"/>
  <c r="H201" i="12"/>
  <c r="I200" i="12"/>
  <c r="I199" i="12"/>
  <c r="H195" i="12"/>
  <c r="I194" i="12"/>
  <c r="I193" i="12"/>
  <c r="H189" i="12"/>
  <c r="I188" i="12"/>
  <c r="I187" i="12"/>
  <c r="H183" i="12"/>
  <c r="I182" i="12"/>
  <c r="I181" i="12"/>
  <c r="H177" i="12"/>
  <c r="I176" i="12"/>
  <c r="I175" i="12"/>
  <c r="H274" i="12"/>
  <c r="I273" i="12"/>
  <c r="I272" i="12"/>
  <c r="H268" i="12"/>
  <c r="I267" i="12"/>
  <c r="I266" i="12"/>
  <c r="H238" i="12"/>
  <c r="I237" i="12"/>
  <c r="I236" i="12"/>
  <c r="H232" i="12"/>
  <c r="I231" i="12"/>
  <c r="I230" i="12"/>
  <c r="H226" i="12"/>
  <c r="I225" i="12"/>
  <c r="I224" i="12"/>
  <c r="H220" i="12"/>
  <c r="I219" i="12"/>
  <c r="I218" i="12"/>
  <c r="H214" i="12"/>
  <c r="I213" i="12"/>
  <c r="I212" i="12"/>
  <c r="H102" i="12"/>
  <c r="I100" i="12"/>
  <c r="H95" i="12"/>
  <c r="I94" i="12"/>
  <c r="I93" i="12"/>
  <c r="H89" i="12"/>
  <c r="I88" i="12"/>
  <c r="I87" i="12"/>
  <c r="H83" i="12"/>
  <c r="I82" i="12"/>
  <c r="I81" i="12"/>
  <c r="H77" i="12"/>
  <c r="I76" i="12"/>
  <c r="I75" i="12"/>
  <c r="H71" i="12"/>
  <c r="I70" i="12"/>
  <c r="I69" i="12"/>
  <c r="H64" i="12"/>
  <c r="I63" i="12"/>
  <c r="I62" i="12"/>
  <c r="H58" i="12"/>
  <c r="I57" i="12"/>
  <c r="I56" i="12"/>
  <c r="I55" i="12"/>
  <c r="I54" i="12"/>
  <c r="I53" i="12"/>
  <c r="H31" i="12"/>
  <c r="I30" i="12"/>
  <c r="I29" i="12"/>
  <c r="H244" i="12"/>
  <c r="I243" i="12"/>
  <c r="I242" i="12"/>
  <c r="H24" i="12"/>
  <c r="I23" i="12"/>
  <c r="I22" i="12"/>
  <c r="H18" i="12"/>
  <c r="I17" i="12"/>
  <c r="I16" i="12"/>
  <c r="H12" i="12"/>
  <c r="I11" i="12"/>
  <c r="I10" i="12"/>
  <c r="J221" i="22"/>
  <c r="K221" i="22" s="1"/>
  <c r="S70" i="23"/>
  <c r="R218" i="23"/>
  <c r="S218" i="23"/>
  <c r="O218" i="23"/>
  <c r="N218" i="23"/>
  <c r="P218" i="23"/>
  <c r="R220" i="23"/>
  <c r="S220" i="23"/>
  <c r="O220" i="23"/>
  <c r="N220" i="23"/>
  <c r="P220" i="23"/>
  <c r="J218" i="22"/>
  <c r="K218" i="22" s="1"/>
  <c r="J223" i="22"/>
  <c r="K223" i="22" s="1"/>
  <c r="J220" i="22"/>
  <c r="K220" i="22" s="1"/>
  <c r="R223" i="23"/>
  <c r="N223" i="23"/>
  <c r="O223" i="23"/>
  <c r="S223" i="23"/>
  <c r="P223" i="23"/>
  <c r="J72" i="22"/>
  <c r="K72" i="22" s="1"/>
  <c r="P140" i="23"/>
  <c r="P70" i="23"/>
  <c r="P163" i="23"/>
  <c r="S163" i="23"/>
  <c r="S141" i="23"/>
  <c r="N163" i="23"/>
  <c r="P72" i="23"/>
  <c r="J207" i="23"/>
  <c r="K207" i="23"/>
  <c r="S219" i="23"/>
  <c r="O219" i="23"/>
  <c r="N219" i="23"/>
  <c r="P219" i="23"/>
  <c r="S221" i="23"/>
  <c r="O221" i="23"/>
  <c r="N221" i="23"/>
  <c r="P221" i="23"/>
  <c r="S222" i="23"/>
  <c r="O222" i="23"/>
  <c r="N222" i="23"/>
  <c r="P222" i="23"/>
  <c r="J222" i="22"/>
  <c r="K222" i="22" s="1"/>
  <c r="N66" i="11"/>
  <c r="S205" i="22"/>
  <c r="O205" i="22"/>
  <c r="N205" i="22"/>
  <c r="P205" i="22"/>
  <c r="J205" i="21"/>
  <c r="K205" i="21" s="1"/>
  <c r="N65" i="11"/>
  <c r="S192" i="22"/>
  <c r="S200" i="22"/>
  <c r="O192" i="22"/>
  <c r="O200" i="22"/>
  <c r="R200" i="22"/>
  <c r="N192" i="22"/>
  <c r="P192" i="22"/>
  <c r="P200" i="22"/>
  <c r="P139" i="23"/>
  <c r="J170" i="22"/>
  <c r="K170" i="22" s="1"/>
  <c r="I200" i="23"/>
  <c r="P66" i="11"/>
  <c r="J192" i="21"/>
  <c r="K192" i="21" s="1"/>
  <c r="S194" i="23"/>
  <c r="O194" i="23"/>
  <c r="N194" i="23"/>
  <c r="P194" i="23"/>
  <c r="I188" i="23"/>
  <c r="P65" i="11"/>
  <c r="J177" i="23"/>
  <c r="K177" i="23" s="1"/>
  <c r="S170" i="23"/>
  <c r="O170" i="23"/>
  <c r="N170" i="23"/>
  <c r="P170" i="23"/>
  <c r="J171" i="22"/>
  <c r="K171" i="22" s="1"/>
  <c r="J175" i="21"/>
  <c r="K175" i="21"/>
  <c r="O172" i="23"/>
  <c r="S172" i="23"/>
  <c r="N172" i="23"/>
  <c r="P172" i="23"/>
  <c r="S171" i="23"/>
  <c r="O171" i="23"/>
  <c r="N171" i="23"/>
  <c r="P171" i="23"/>
  <c r="N173" i="23"/>
  <c r="S173" i="23"/>
  <c r="P173" i="23"/>
  <c r="O173" i="23"/>
  <c r="S175" i="22"/>
  <c r="S188" i="22"/>
  <c r="O175" i="22"/>
  <c r="O188" i="22"/>
  <c r="R188" i="22"/>
  <c r="N175" i="22"/>
  <c r="N188" i="22"/>
  <c r="P175" i="22"/>
  <c r="P188" i="22"/>
  <c r="S169" i="23"/>
  <c r="O169" i="23"/>
  <c r="N169" i="23"/>
  <c r="P169" i="23"/>
  <c r="J172" i="22"/>
  <c r="K172" i="22" s="1"/>
  <c r="P162" i="23"/>
  <c r="O162" i="23"/>
  <c r="S162" i="23"/>
  <c r="N162" i="23"/>
  <c r="S95" i="23"/>
  <c r="M141" i="23"/>
  <c r="M72" i="23"/>
  <c r="N61" i="11"/>
  <c r="M70" i="23"/>
  <c r="P141" i="23"/>
  <c r="S72" i="23"/>
  <c r="J129" i="22"/>
  <c r="K129" i="22" s="1"/>
  <c r="J133" i="23"/>
  <c r="K133" i="23" s="1"/>
  <c r="P125" i="23"/>
  <c r="S125" i="23"/>
  <c r="M125" i="23"/>
  <c r="J127" i="22"/>
  <c r="K127" i="22"/>
  <c r="M71" i="23"/>
  <c r="M127" i="23"/>
  <c r="S127" i="23"/>
  <c r="P127" i="23"/>
  <c r="P126" i="23"/>
  <c r="S126" i="23"/>
  <c r="M126" i="23"/>
  <c r="R144" i="22"/>
  <c r="M131" i="22"/>
  <c r="P131" i="22"/>
  <c r="P144" i="22"/>
  <c r="S131" i="22"/>
  <c r="S144" i="22"/>
  <c r="S71" i="23"/>
  <c r="M129" i="23"/>
  <c r="P129" i="23"/>
  <c r="S129" i="23"/>
  <c r="P118" i="23"/>
  <c r="M118" i="23"/>
  <c r="S118" i="23"/>
  <c r="J131" i="21"/>
  <c r="K131" i="21" s="1"/>
  <c r="M128" i="23"/>
  <c r="S128" i="23"/>
  <c r="P128" i="23"/>
  <c r="J126" i="22"/>
  <c r="K126" i="22" s="1"/>
  <c r="J128" i="22"/>
  <c r="K128" i="22" s="1"/>
  <c r="J84" i="22"/>
  <c r="K84" i="22" s="1"/>
  <c r="J88" i="22"/>
  <c r="K88" i="22" s="1"/>
  <c r="S86" i="22"/>
  <c r="P86" i="22"/>
  <c r="M86" i="22"/>
  <c r="S88" i="23"/>
  <c r="P88" i="23"/>
  <c r="M88" i="23"/>
  <c r="S84" i="23"/>
  <c r="P84" i="23"/>
  <c r="M84" i="23"/>
  <c r="J86" i="21"/>
  <c r="K86" i="21" s="1"/>
  <c r="M37" i="23"/>
  <c r="P37" i="23"/>
  <c r="S37" i="23"/>
  <c r="S39" i="23"/>
  <c r="M39" i="23"/>
  <c r="P39" i="23"/>
  <c r="S42" i="23"/>
  <c r="M42" i="23"/>
  <c r="P42" i="23"/>
  <c r="J36" i="22"/>
  <c r="K36" i="22" s="1"/>
  <c r="J42" i="22"/>
  <c r="K42" i="22" s="1"/>
  <c r="J39" i="22"/>
  <c r="K39" i="22"/>
  <c r="S41" i="23"/>
  <c r="M41" i="23"/>
  <c r="P41" i="23"/>
  <c r="M36" i="23"/>
  <c r="S36" i="23"/>
  <c r="P36" i="23"/>
  <c r="J37" i="22"/>
  <c r="K37" i="22" s="1"/>
  <c r="M35" i="23"/>
  <c r="S35" i="23"/>
  <c r="P35" i="23"/>
  <c r="J38" i="22"/>
  <c r="K38" i="22"/>
  <c r="M38" i="23"/>
  <c r="P38" i="23"/>
  <c r="S38" i="23"/>
  <c r="S40" i="23"/>
  <c r="M40" i="23"/>
  <c r="P40" i="23"/>
  <c r="J41" i="22"/>
  <c r="K41" i="22" s="1"/>
  <c r="J40" i="22"/>
  <c r="K40" i="22" s="1"/>
  <c r="J163" i="22"/>
  <c r="K163" i="22" s="1"/>
  <c r="J186" i="22"/>
  <c r="K186" i="22" s="1"/>
  <c r="J94" i="21"/>
  <c r="K94" i="21" s="1"/>
  <c r="S224" i="23"/>
  <c r="O224" i="23"/>
  <c r="P224" i="23"/>
  <c r="N224" i="23"/>
  <c r="J217" i="21"/>
  <c r="K217" i="21"/>
  <c r="S217" i="22"/>
  <c r="O217" i="22"/>
  <c r="N217" i="22"/>
  <c r="P217" i="22"/>
  <c r="J95" i="21"/>
  <c r="K95" i="21" s="1"/>
  <c r="S96" i="21"/>
  <c r="P96" i="21"/>
  <c r="M96" i="21"/>
  <c r="J179" i="22"/>
  <c r="K179" i="22" s="1"/>
  <c r="J181" i="22"/>
  <c r="K181" i="22"/>
  <c r="N181" i="23"/>
  <c r="S181" i="23"/>
  <c r="P181" i="23"/>
  <c r="O181" i="23"/>
  <c r="P89" i="22"/>
  <c r="M89" i="22"/>
  <c r="S89" i="22"/>
  <c r="N179" i="23"/>
  <c r="P179" i="23"/>
  <c r="S179" i="23"/>
  <c r="J89" i="21"/>
  <c r="K89" i="21"/>
  <c r="P94" i="22"/>
  <c r="M94" i="22"/>
  <c r="S94" i="22"/>
  <c r="J119" i="22"/>
  <c r="K119" i="22" s="1"/>
  <c r="J90" i="23"/>
  <c r="K90" i="23" s="1"/>
  <c r="J210" i="23"/>
  <c r="K210" i="23" s="1"/>
  <c r="J198" i="23"/>
  <c r="K198" i="23" s="1"/>
  <c r="J226" i="22"/>
  <c r="K226" i="22"/>
  <c r="J227" i="23"/>
  <c r="K227" i="23" s="1"/>
  <c r="J186" i="23"/>
  <c r="K186" i="23" s="1"/>
  <c r="J134" i="23"/>
  <c r="K134" i="23" s="1"/>
  <c r="J124" i="22"/>
  <c r="K124" i="22"/>
  <c r="J69" i="22"/>
  <c r="K69" i="22"/>
  <c r="J74" i="22"/>
  <c r="K74" i="22" s="1"/>
  <c r="S182" i="23"/>
  <c r="P182" i="23"/>
  <c r="N182" i="23"/>
  <c r="O182" i="23"/>
  <c r="M138" i="23"/>
  <c r="P138" i="23"/>
  <c r="S138" i="23"/>
  <c r="S209" i="23"/>
  <c r="P209" i="23"/>
  <c r="N209" i="23"/>
  <c r="O209" i="23"/>
  <c r="J159" i="22"/>
  <c r="K159" i="22" s="1"/>
  <c r="J161" i="22"/>
  <c r="K161" i="22" s="1"/>
  <c r="O190" i="23"/>
  <c r="S190" i="23"/>
  <c r="N190" i="23"/>
  <c r="P190" i="23"/>
  <c r="J98" i="22"/>
  <c r="K98" i="22" s="1"/>
  <c r="J142" i="22"/>
  <c r="K142" i="22"/>
  <c r="J178" i="22"/>
  <c r="K178" i="22" s="1"/>
  <c r="P208" i="23"/>
  <c r="N208" i="23"/>
  <c r="S208" i="23"/>
  <c r="O208" i="23"/>
  <c r="J138" i="22"/>
  <c r="K138" i="22"/>
  <c r="M69" i="23"/>
  <c r="P69" i="23"/>
  <c r="S69" i="23"/>
  <c r="P161" i="23"/>
  <c r="N161" i="23"/>
  <c r="S161" i="23"/>
  <c r="O161" i="23"/>
  <c r="J197" i="23"/>
  <c r="K197" i="23" s="1"/>
  <c r="J93" i="22"/>
  <c r="K93" i="22" s="1"/>
  <c r="J164" i="22"/>
  <c r="K164" i="22" s="1"/>
  <c r="M65" i="22"/>
  <c r="M142" i="23"/>
  <c r="S142" i="23"/>
  <c r="P142" i="23"/>
  <c r="N226" i="23"/>
  <c r="S226" i="23"/>
  <c r="O226" i="23"/>
  <c r="P226" i="23"/>
  <c r="P137" i="23"/>
  <c r="M137" i="23"/>
  <c r="S137" i="23"/>
  <c r="S120" i="23"/>
  <c r="P120" i="23"/>
  <c r="M120" i="23"/>
  <c r="P92" i="23"/>
  <c r="M92" i="23"/>
  <c r="S92" i="23"/>
  <c r="S124" i="23"/>
  <c r="M124" i="23"/>
  <c r="P124" i="23"/>
  <c r="M119" i="23"/>
  <c r="P119" i="23"/>
  <c r="S119" i="23"/>
  <c r="J209" i="22"/>
  <c r="K209" i="22" s="1"/>
  <c r="J73" i="22"/>
  <c r="K73" i="22" s="1"/>
  <c r="M93" i="23"/>
  <c r="S93" i="23"/>
  <c r="P93" i="23"/>
  <c r="S160" i="23"/>
  <c r="N160" i="23"/>
  <c r="O160" i="23"/>
  <c r="P160" i="23"/>
  <c r="J212" i="23"/>
  <c r="K212" i="23" s="1"/>
  <c r="J225" i="22"/>
  <c r="K225" i="22" s="1"/>
  <c r="N225" i="23"/>
  <c r="S225" i="23"/>
  <c r="P225" i="23"/>
  <c r="O225" i="23"/>
  <c r="M74" i="23"/>
  <c r="P74" i="23"/>
  <c r="S74" i="23"/>
  <c r="J182" i="22"/>
  <c r="K182" i="22"/>
  <c r="O178" i="23"/>
  <c r="N178" i="23"/>
  <c r="P178" i="23"/>
  <c r="S178" i="23"/>
  <c r="J211" i="22"/>
  <c r="K211" i="22" s="1"/>
  <c r="O211" i="23"/>
  <c r="N211" i="23"/>
  <c r="S211" i="23"/>
  <c r="P211" i="23"/>
  <c r="N168" i="23"/>
  <c r="O168" i="23"/>
  <c r="P168" i="23"/>
  <c r="S168" i="23"/>
  <c r="S159" i="23"/>
  <c r="P159" i="23"/>
  <c r="N159" i="23"/>
  <c r="O159" i="23"/>
  <c r="S73" i="23"/>
  <c r="M73" i="23"/>
  <c r="P73" i="23"/>
  <c r="O164" i="23"/>
  <c r="P164" i="23"/>
  <c r="S164" i="23"/>
  <c r="N164" i="23"/>
  <c r="J160" i="22"/>
  <c r="K160" i="22" s="1"/>
  <c r="P63" i="23"/>
  <c r="P65" i="23"/>
  <c r="M63" i="23"/>
  <c r="S63" i="23"/>
  <c r="S65" i="23"/>
  <c r="I65" i="23"/>
  <c r="P57" i="11"/>
  <c r="R65" i="23"/>
  <c r="P98" i="23"/>
  <c r="S98" i="23"/>
  <c r="M98" i="23"/>
  <c r="J137" i="22"/>
  <c r="K137" i="22" s="1"/>
  <c r="J184" i="23"/>
  <c r="K184" i="23" s="1"/>
  <c r="J195" i="23"/>
  <c r="J196" i="23"/>
  <c r="K196" i="23" s="1"/>
  <c r="J135" i="23"/>
  <c r="K135" i="22"/>
  <c r="J59" i="23"/>
  <c r="K59" i="23" s="1"/>
  <c r="J218" i="23"/>
  <c r="K218" i="23" s="1"/>
  <c r="J220" i="23"/>
  <c r="K220" i="23" s="1"/>
  <c r="J140" i="23"/>
  <c r="K140" i="23" s="1"/>
  <c r="J70" i="23"/>
  <c r="K70" i="23" s="1"/>
  <c r="J163" i="23"/>
  <c r="K163" i="23" s="1"/>
  <c r="J141" i="23"/>
  <c r="K141" i="23" s="1"/>
  <c r="J221" i="23"/>
  <c r="K221" i="23" s="1"/>
  <c r="J222" i="23"/>
  <c r="K222" i="23" s="1"/>
  <c r="J219" i="23"/>
  <c r="K219" i="23" s="1"/>
  <c r="S205" i="23"/>
  <c r="O205" i="23"/>
  <c r="N205" i="23"/>
  <c r="P205" i="23"/>
  <c r="J200" i="21"/>
  <c r="J170" i="23"/>
  <c r="K170" i="23" s="1"/>
  <c r="J192" i="22"/>
  <c r="K192" i="22"/>
  <c r="J72" i="23"/>
  <c r="K72" i="23" s="1"/>
  <c r="J95" i="23"/>
  <c r="K95" i="23" s="1"/>
  <c r="J194" i="23"/>
  <c r="K194" i="23" s="1"/>
  <c r="N200" i="22"/>
  <c r="S192" i="23"/>
  <c r="S200" i="23"/>
  <c r="O192" i="23"/>
  <c r="O200" i="23"/>
  <c r="R200" i="23"/>
  <c r="N192" i="23"/>
  <c r="N200" i="23"/>
  <c r="P192" i="23"/>
  <c r="P200" i="23"/>
  <c r="J175" i="22"/>
  <c r="K175" i="22" s="1"/>
  <c r="J173" i="23"/>
  <c r="K173" i="23" s="1"/>
  <c r="J171" i="23"/>
  <c r="K171" i="23" s="1"/>
  <c r="J172" i="23"/>
  <c r="K172" i="23" s="1"/>
  <c r="R188" i="23"/>
  <c r="N175" i="23"/>
  <c r="N188" i="23"/>
  <c r="S175" i="23"/>
  <c r="S188" i="23"/>
  <c r="P175" i="23"/>
  <c r="P188" i="23"/>
  <c r="O175" i="23"/>
  <c r="O188" i="23"/>
  <c r="J169" i="23"/>
  <c r="J88" i="23"/>
  <c r="K88" i="23" s="1"/>
  <c r="J125" i="23"/>
  <c r="K125" i="23" s="1"/>
  <c r="M144" i="22"/>
  <c r="J128" i="23"/>
  <c r="K128" i="23" s="1"/>
  <c r="J126" i="23"/>
  <c r="K126" i="23" s="1"/>
  <c r="J127" i="23"/>
  <c r="K127" i="23" s="1"/>
  <c r="J129" i="23"/>
  <c r="K129" i="23" s="1"/>
  <c r="J42" i="23"/>
  <c r="K42" i="23" s="1"/>
  <c r="J39" i="23"/>
  <c r="K39" i="23" s="1"/>
  <c r="J36" i="23"/>
  <c r="K36" i="23" s="1"/>
  <c r="J41" i="23"/>
  <c r="K41" i="23" s="1"/>
  <c r="S86" i="23"/>
  <c r="P86" i="23"/>
  <c r="M86" i="23"/>
  <c r="J84" i="23"/>
  <c r="K84" i="23" s="1"/>
  <c r="J86" i="22"/>
  <c r="K86" i="22" s="1"/>
  <c r="J38" i="23"/>
  <c r="K38" i="23" s="1"/>
  <c r="J35" i="23"/>
  <c r="K35" i="23" s="1"/>
  <c r="J40" i="23"/>
  <c r="K40" i="23" s="1"/>
  <c r="J37" i="23"/>
  <c r="K37" i="23" s="1"/>
  <c r="J217" i="22"/>
  <c r="K217" i="22" s="1"/>
  <c r="S217" i="23"/>
  <c r="O217" i="23"/>
  <c r="P217" i="23"/>
  <c r="N217" i="23"/>
  <c r="J224" i="23"/>
  <c r="K224" i="23" s="1"/>
  <c r="J96" i="21"/>
  <c r="K96" i="21" s="1"/>
  <c r="S96" i="22"/>
  <c r="M96" i="22"/>
  <c r="P96" i="22"/>
  <c r="S97" i="21"/>
  <c r="M97" i="21"/>
  <c r="P97" i="21"/>
  <c r="J181" i="23"/>
  <c r="K181" i="23" s="1"/>
  <c r="J179" i="23"/>
  <c r="K179" i="23" s="1"/>
  <c r="J89" i="22"/>
  <c r="K89" i="22" s="1"/>
  <c r="S89" i="23"/>
  <c r="M89" i="23"/>
  <c r="P89" i="23"/>
  <c r="S94" i="23"/>
  <c r="P94" i="23"/>
  <c r="M94" i="23"/>
  <c r="J94" i="22"/>
  <c r="K94" i="22" s="1"/>
  <c r="P23" i="20"/>
  <c r="M23" i="20"/>
  <c r="S23" i="20"/>
  <c r="J190" i="23"/>
  <c r="K190" i="23" s="1"/>
  <c r="J159" i="23"/>
  <c r="K159" i="23" s="1"/>
  <c r="J93" i="23"/>
  <c r="K93" i="23" s="1"/>
  <c r="J225" i="23"/>
  <c r="K225" i="23" s="1"/>
  <c r="J124" i="23"/>
  <c r="K124" i="23" s="1"/>
  <c r="J161" i="23"/>
  <c r="K161" i="23" s="1"/>
  <c r="J168" i="23"/>
  <c r="K168" i="23" s="1"/>
  <c r="J211" i="23"/>
  <c r="K211" i="23" s="1"/>
  <c r="J119" i="23"/>
  <c r="K119" i="23" s="1"/>
  <c r="J226" i="23"/>
  <c r="K226" i="23" s="1"/>
  <c r="J142" i="23"/>
  <c r="K142" i="23" s="1"/>
  <c r="J208" i="23"/>
  <c r="K208" i="23" s="1"/>
  <c r="J209" i="23"/>
  <c r="K209" i="23" s="1"/>
  <c r="J120" i="23"/>
  <c r="K120" i="23" s="1"/>
  <c r="J182" i="23"/>
  <c r="K182" i="23" s="1"/>
  <c r="J98" i="23"/>
  <c r="K98" i="23" s="1"/>
  <c r="M65" i="23"/>
  <c r="J164" i="23"/>
  <c r="K164" i="23" s="1"/>
  <c r="J74" i="23"/>
  <c r="K74" i="23" s="1"/>
  <c r="J160" i="23"/>
  <c r="K160" i="23" s="1"/>
  <c r="J138" i="23"/>
  <c r="K138" i="23" s="1"/>
  <c r="K195" i="23"/>
  <c r="K135" i="23"/>
  <c r="J205" i="23"/>
  <c r="K205" i="23" s="1"/>
  <c r="J192" i="23"/>
  <c r="J175" i="23"/>
  <c r="K175" i="23" s="1"/>
  <c r="J217" i="23"/>
  <c r="K217" i="23" s="1"/>
  <c r="J97" i="21"/>
  <c r="K97" i="21" s="1"/>
  <c r="S96" i="23"/>
  <c r="M96" i="23"/>
  <c r="P96" i="23"/>
  <c r="P97" i="22"/>
  <c r="S97" i="22"/>
  <c r="M97" i="22"/>
  <c r="J96" i="22"/>
  <c r="K96" i="22" s="1"/>
  <c r="J89" i="23"/>
  <c r="K89" i="23" s="1"/>
  <c r="J94" i="23"/>
  <c r="K94" i="23" s="1"/>
  <c r="P97" i="23"/>
  <c r="S97" i="23"/>
  <c r="M97" i="23"/>
  <c r="J96" i="23"/>
  <c r="K96" i="23" s="1"/>
  <c r="S25" i="20"/>
  <c r="S43" i="20"/>
  <c r="P43" i="20"/>
  <c r="M43" i="20"/>
  <c r="F11" i="11"/>
  <c r="R144" i="23"/>
  <c r="M131" i="23"/>
  <c r="P131" i="23"/>
  <c r="P144" i="23"/>
  <c r="S131" i="23"/>
  <c r="S144" i="23"/>
  <c r="I144" i="23"/>
  <c r="P61" i="11"/>
  <c r="S44" i="21"/>
  <c r="M44" i="21"/>
  <c r="P44" i="21"/>
  <c r="S43" i="21"/>
  <c r="P43" i="21"/>
  <c r="M43" i="21"/>
  <c r="J43" i="20"/>
  <c r="K43" i="20" s="1"/>
  <c r="G200" i="25"/>
  <c r="J44" i="20"/>
  <c r="K44" i="20" s="1"/>
  <c r="M144" i="23"/>
  <c r="M45" i="21"/>
  <c r="S45" i="21"/>
  <c r="P45" i="21"/>
  <c r="S44" i="22"/>
  <c r="M44" i="22"/>
  <c r="P44" i="22"/>
  <c r="J43" i="21"/>
  <c r="K43" i="21" s="1"/>
  <c r="S43" i="22"/>
  <c r="P43" i="22"/>
  <c r="M43" i="22"/>
  <c r="J44" i="21"/>
  <c r="H56" i="10"/>
  <c r="P46" i="21"/>
  <c r="S46" i="21"/>
  <c r="M46" i="21"/>
  <c r="M44" i="23"/>
  <c r="S44" i="23"/>
  <c r="P44" i="23"/>
  <c r="P45" i="22"/>
  <c r="S45" i="22"/>
  <c r="M45" i="22"/>
  <c r="J45" i="21"/>
  <c r="K45" i="21" s="1"/>
  <c r="S43" i="23"/>
  <c r="P43" i="23"/>
  <c r="M43" i="23"/>
  <c r="J43" i="22"/>
  <c r="K43" i="22" s="1"/>
  <c r="K44" i="21"/>
  <c r="J44" i="22"/>
  <c r="K44" i="22" s="1"/>
  <c r="M47" i="21"/>
  <c r="S47" i="21"/>
  <c r="P47" i="21"/>
  <c r="P45" i="23"/>
  <c r="S45" i="23"/>
  <c r="M45" i="23"/>
  <c r="J44" i="23"/>
  <c r="K44" i="23" s="1"/>
  <c r="J45" i="22"/>
  <c r="K45" i="22" s="1"/>
  <c r="M46" i="22"/>
  <c r="S46" i="22"/>
  <c r="P46" i="22"/>
  <c r="J43" i="23"/>
  <c r="K43" i="23" s="1"/>
  <c r="S47" i="22"/>
  <c r="P47" i="22"/>
  <c r="M47" i="22"/>
  <c r="S46" i="23"/>
  <c r="P46" i="23"/>
  <c r="M46" i="23"/>
  <c r="J45" i="23"/>
  <c r="K45" i="23" s="1"/>
  <c r="J47" i="21"/>
  <c r="K47" i="21" s="1"/>
  <c r="J46" i="22"/>
  <c r="K46" i="22" s="1"/>
  <c r="P48" i="21"/>
  <c r="S48" i="21"/>
  <c r="M48" i="21"/>
  <c r="S48" i="22"/>
  <c r="M48" i="22"/>
  <c r="P48" i="22"/>
  <c r="J48" i="21"/>
  <c r="K48" i="21" s="1"/>
  <c r="P49" i="21"/>
  <c r="S49" i="21"/>
  <c r="M49" i="21"/>
  <c r="M47" i="23"/>
  <c r="P47" i="23"/>
  <c r="S47" i="23"/>
  <c r="J46" i="23"/>
  <c r="K46" i="23" s="1"/>
  <c r="J47" i="22"/>
  <c r="K47" i="22" s="1"/>
  <c r="J49" i="21"/>
  <c r="K49" i="21" s="1"/>
  <c r="M49" i="22"/>
  <c r="S49" i="22"/>
  <c r="P49" i="22"/>
  <c r="S48" i="23"/>
  <c r="M48" i="23"/>
  <c r="P48" i="23"/>
  <c r="S50" i="21"/>
  <c r="P50" i="21"/>
  <c r="M50" i="21"/>
  <c r="J48" i="22"/>
  <c r="K48" i="22"/>
  <c r="J48" i="23"/>
  <c r="K48" i="23" s="1"/>
  <c r="J50" i="21"/>
  <c r="K50" i="21"/>
  <c r="M50" i="22"/>
  <c r="P50" i="22"/>
  <c r="S50" i="22"/>
  <c r="M51" i="21"/>
  <c r="S51" i="21"/>
  <c r="P51" i="21"/>
  <c r="P49" i="23"/>
  <c r="S49" i="23"/>
  <c r="M49" i="23"/>
  <c r="J51" i="21"/>
  <c r="K51" i="21"/>
  <c r="J49" i="23"/>
  <c r="K49" i="23" s="1"/>
  <c r="S51" i="22"/>
  <c r="M51" i="22"/>
  <c r="P51" i="22"/>
  <c r="P50" i="23"/>
  <c r="S50" i="23"/>
  <c r="M50" i="23"/>
  <c r="P52" i="21"/>
  <c r="S52" i="21"/>
  <c r="M52" i="21"/>
  <c r="S52" i="22"/>
  <c r="M52" i="22"/>
  <c r="P52" i="22"/>
  <c r="I200" i="25"/>
  <c r="J51" i="22"/>
  <c r="K51" i="22" s="1"/>
  <c r="M51" i="23"/>
  <c r="S51" i="23"/>
  <c r="P51" i="23"/>
  <c r="P53" i="21"/>
  <c r="S53" i="21"/>
  <c r="M53" i="21"/>
  <c r="M140" i="18"/>
  <c r="N140" i="18"/>
  <c r="O140" i="18"/>
  <c r="S54" i="22"/>
  <c r="M54" i="22"/>
  <c r="P54" i="22"/>
  <c r="J53" i="21"/>
  <c r="K53" i="21" s="1"/>
  <c r="J51" i="23"/>
  <c r="K51" i="23" s="1"/>
  <c r="P52" i="23"/>
  <c r="M52" i="23"/>
  <c r="S52" i="23"/>
  <c r="J52" i="22"/>
  <c r="K52" i="22" s="1"/>
  <c r="M53" i="22"/>
  <c r="P53" i="22"/>
  <c r="S53" i="22"/>
  <c r="I201" i="25"/>
  <c r="M55" i="22"/>
  <c r="P55" i="22"/>
  <c r="S55" i="22"/>
  <c r="J54" i="22"/>
  <c r="K54" i="22" s="1"/>
  <c r="S54" i="23"/>
  <c r="P54" i="23"/>
  <c r="M54" i="23"/>
  <c r="J52" i="23"/>
  <c r="K52" i="23" s="1"/>
  <c r="M53" i="23"/>
  <c r="S53" i="23"/>
  <c r="P53" i="23"/>
  <c r="J53" i="22"/>
  <c r="K53" i="22" s="1"/>
  <c r="A3" i="18"/>
  <c r="J55" i="22"/>
  <c r="K55" i="22" s="1"/>
  <c r="M55" i="23"/>
  <c r="P55" i="23"/>
  <c r="S55" i="23"/>
  <c r="J54" i="23"/>
  <c r="K54" i="23" s="1"/>
  <c r="P56" i="22"/>
  <c r="S56" i="22"/>
  <c r="M56" i="22"/>
  <c r="J53" i="23"/>
  <c r="K53" i="23" s="1"/>
  <c r="M57" i="22"/>
  <c r="P57" i="22"/>
  <c r="S57" i="22"/>
  <c r="J55" i="23"/>
  <c r="K55" i="23" s="1"/>
  <c r="J56" i="22"/>
  <c r="K56" i="22" s="1"/>
  <c r="M56" i="23"/>
  <c r="P56" i="23"/>
  <c r="S56" i="23"/>
  <c r="P57" i="23"/>
  <c r="S57" i="23"/>
  <c r="M57" i="23"/>
  <c r="M58" i="22"/>
  <c r="P58" i="22"/>
  <c r="S58" i="22"/>
  <c r="J56" i="23"/>
  <c r="J57" i="22"/>
  <c r="K57" i="22" s="1"/>
  <c r="F75" i="11"/>
  <c r="C176" i="25"/>
  <c r="F71" i="11"/>
  <c r="E169" i="11"/>
  <c r="E168" i="11"/>
  <c r="E166" i="11"/>
  <c r="E165" i="11"/>
  <c r="E163" i="11"/>
  <c r="E162" i="11"/>
  <c r="E161" i="11"/>
  <c r="E160" i="11"/>
  <c r="E159" i="11"/>
  <c r="E158" i="11"/>
  <c r="E157" i="11"/>
  <c r="E156" i="11"/>
  <c r="E155" i="11"/>
  <c r="A3" i="11"/>
  <c r="E140" i="18"/>
  <c r="F140" i="18"/>
  <c r="F141" i="18"/>
  <c r="G140" i="18"/>
  <c r="G141" i="18"/>
  <c r="H140" i="18"/>
  <c r="I140" i="18"/>
  <c r="I141" i="18"/>
  <c r="J140" i="18"/>
  <c r="J141" i="18"/>
  <c r="K140" i="18"/>
  <c r="K141" i="18"/>
  <c r="L140" i="18"/>
  <c r="L141" i="18"/>
  <c r="P140" i="18"/>
  <c r="P141" i="18"/>
  <c r="F138" i="11"/>
  <c r="F139" i="11"/>
  <c r="F108" i="11"/>
  <c r="C269" i="25"/>
  <c r="F107" i="11"/>
  <c r="C268" i="25"/>
  <c r="F87" i="11"/>
  <c r="F106" i="11"/>
  <c r="C267" i="25"/>
  <c r="F134" i="11"/>
  <c r="C244" i="25"/>
  <c r="F126" i="11"/>
  <c r="C236" i="25"/>
  <c r="F128" i="11"/>
  <c r="C238" i="25"/>
  <c r="F127" i="11"/>
  <c r="C237" i="25"/>
  <c r="F109" i="11"/>
  <c r="C270" i="25"/>
  <c r="F85" i="11"/>
  <c r="C190" i="25"/>
  <c r="F105" i="11"/>
  <c r="C266" i="25"/>
  <c r="F104" i="11"/>
  <c r="C265" i="25"/>
  <c r="F103" i="11"/>
  <c r="C264" i="25"/>
  <c r="F102" i="11"/>
  <c r="C263" i="25"/>
  <c r="F86" i="11"/>
  <c r="C191" i="25"/>
  <c r="F101" i="11"/>
  <c r="F117" i="11"/>
  <c r="C256" i="25"/>
  <c r="F116" i="11"/>
  <c r="C255" i="25"/>
  <c r="F115" i="11"/>
  <c r="C254" i="25"/>
  <c r="F114" i="11"/>
  <c r="C253" i="25"/>
  <c r="F113" i="11"/>
  <c r="C252" i="25"/>
  <c r="F112" i="11"/>
  <c r="F133" i="11"/>
  <c r="C243" i="25"/>
  <c r="F132" i="11"/>
  <c r="C242" i="25"/>
  <c r="F131" i="11"/>
  <c r="C241" i="25"/>
  <c r="F130" i="11"/>
  <c r="C240" i="25"/>
  <c r="F129" i="11"/>
  <c r="C239" i="25"/>
  <c r="F124" i="11"/>
  <c r="C234" i="25"/>
  <c r="F123" i="11"/>
  <c r="C233" i="25"/>
  <c r="F122" i="11"/>
  <c r="C232" i="25"/>
  <c r="F121" i="11"/>
  <c r="C231" i="25"/>
  <c r="F120" i="11"/>
  <c r="F97" i="11"/>
  <c r="C224" i="25"/>
  <c r="F96" i="11"/>
  <c r="C223" i="25"/>
  <c r="F95" i="11"/>
  <c r="C222" i="25"/>
  <c r="F94" i="11"/>
  <c r="C221" i="25"/>
  <c r="F93" i="11"/>
  <c r="C220" i="25"/>
  <c r="F92" i="11"/>
  <c r="F89" i="11"/>
  <c r="C193" i="25"/>
  <c r="F88" i="11"/>
  <c r="C192" i="25"/>
  <c r="O214" i="25"/>
  <c r="F84" i="11"/>
  <c r="C189" i="25"/>
  <c r="F125" i="11"/>
  <c r="F83" i="11"/>
  <c r="C187" i="25"/>
  <c r="F82" i="11"/>
  <c r="C186" i="25"/>
  <c r="F81" i="11"/>
  <c r="F78" i="11"/>
  <c r="C179" i="25"/>
  <c r="F72" i="11"/>
  <c r="C173" i="25"/>
  <c r="F68" i="11"/>
  <c r="F66" i="11"/>
  <c r="F65" i="11"/>
  <c r="F64" i="11"/>
  <c r="F61" i="11"/>
  <c r="F59" i="11"/>
  <c r="F58" i="11"/>
  <c r="F57" i="11"/>
  <c r="F56" i="11"/>
  <c r="C164" i="25"/>
  <c r="F49" i="11"/>
  <c r="C83" i="25"/>
  <c r="F48" i="11"/>
  <c r="C82" i="25"/>
  <c r="F47" i="11"/>
  <c r="C81" i="25"/>
  <c r="F46" i="11"/>
  <c r="C80" i="25"/>
  <c r="F45" i="11"/>
  <c r="C79" i="25"/>
  <c r="F44" i="11"/>
  <c r="C78" i="25"/>
  <c r="F43" i="11"/>
  <c r="C77" i="25"/>
  <c r="F42" i="11"/>
  <c r="C76" i="25"/>
  <c r="F39" i="11"/>
  <c r="C70" i="25"/>
  <c r="F38" i="11"/>
  <c r="C69" i="25"/>
  <c r="F37" i="11"/>
  <c r="C68" i="25"/>
  <c r="F36" i="11"/>
  <c r="C67" i="25"/>
  <c r="F35" i="11"/>
  <c r="C66" i="25"/>
  <c r="F34" i="11"/>
  <c r="C65" i="25"/>
  <c r="F33" i="11"/>
  <c r="F29" i="11"/>
  <c r="C57" i="25"/>
  <c r="F28" i="11"/>
  <c r="C56" i="25"/>
  <c r="F27" i="11"/>
  <c r="C55" i="25"/>
  <c r="F26" i="11"/>
  <c r="C54" i="25"/>
  <c r="F25" i="11"/>
  <c r="C53" i="25"/>
  <c r="F24" i="11"/>
  <c r="C52" i="25"/>
  <c r="F23" i="11"/>
  <c r="C51" i="25"/>
  <c r="F22" i="11"/>
  <c r="C50" i="25"/>
  <c r="F21" i="11"/>
  <c r="C49" i="25"/>
  <c r="F170" i="11"/>
  <c r="F169" i="11"/>
  <c r="F168" i="11"/>
  <c r="F166" i="11"/>
  <c r="F165" i="11"/>
  <c r="F163" i="11"/>
  <c r="Q157" i="18"/>
  <c r="F160" i="11"/>
  <c r="F159" i="11"/>
  <c r="F158" i="11"/>
  <c r="F157" i="11"/>
  <c r="Q150" i="18"/>
  <c r="O150" i="18"/>
  <c r="K150" i="18"/>
  <c r="G150" i="18"/>
  <c r="T145" i="18"/>
  <c r="R145" i="18"/>
  <c r="Q141" i="18"/>
  <c r="O141" i="18"/>
  <c r="N141" i="18"/>
  <c r="M141" i="18"/>
  <c r="Q138" i="18"/>
  <c r="O138" i="18"/>
  <c r="K138" i="18"/>
  <c r="G138" i="18"/>
  <c r="P150" i="18"/>
  <c r="M150" i="18"/>
  <c r="L150" i="18"/>
  <c r="I150" i="18"/>
  <c r="H150" i="18"/>
  <c r="E150" i="18"/>
  <c r="Q135" i="18"/>
  <c r="F135" i="18"/>
  <c r="I135" i="18"/>
  <c r="Q117" i="18"/>
  <c r="G117" i="18"/>
  <c r="F117" i="18"/>
  <c r="I117" i="18"/>
  <c r="E117" i="18"/>
  <c r="T97" i="18"/>
  <c r="Q97" i="18"/>
  <c r="H97" i="18"/>
  <c r="G97" i="18"/>
  <c r="E97" i="18"/>
  <c r="Q89" i="18"/>
  <c r="E89" i="18"/>
  <c r="I89" i="18"/>
  <c r="H89" i="18"/>
  <c r="Q79" i="18"/>
  <c r="R69" i="18"/>
  <c r="Q69" i="18"/>
  <c r="G69" i="18"/>
  <c r="H69" i="18"/>
  <c r="F69" i="18"/>
  <c r="R62" i="18"/>
  <c r="Q62" i="18"/>
  <c r="I62" i="18"/>
  <c r="H62" i="18"/>
  <c r="G62" i="18"/>
  <c r="E62" i="18"/>
  <c r="Q50" i="18"/>
  <c r="O50" i="18"/>
  <c r="G50" i="18"/>
  <c r="P50" i="18"/>
  <c r="L50" i="18"/>
  <c r="K50" i="18"/>
  <c r="H50" i="18"/>
  <c r="J40" i="18"/>
  <c r="G40" i="18"/>
  <c r="F40" i="18"/>
  <c r="K40" i="18"/>
  <c r="P40" i="18"/>
  <c r="H40" i="18"/>
  <c r="F17" i="11"/>
  <c r="C42" i="25"/>
  <c r="J19" i="18"/>
  <c r="I19" i="18"/>
  <c r="F19" i="18"/>
  <c r="K19" i="18"/>
  <c r="H19" i="18"/>
  <c r="H109" i="18"/>
  <c r="G19" i="18"/>
  <c r="Q9" i="18"/>
  <c r="F4" i="18"/>
  <c r="G4" i="18"/>
  <c r="H4" i="18"/>
  <c r="I4" i="18"/>
  <c r="J4" i="18"/>
  <c r="K4" i="18"/>
  <c r="L4" i="18"/>
  <c r="M4" i="18"/>
  <c r="N4" i="18"/>
  <c r="O4" i="18"/>
  <c r="P4" i="18"/>
  <c r="A1" i="18"/>
  <c r="F99" i="11"/>
  <c r="C188" i="25"/>
  <c r="C235" i="25"/>
  <c r="F136" i="11"/>
  <c r="C219" i="25"/>
  <c r="C225" i="25"/>
  <c r="C295" i="25"/>
  <c r="F110" i="11"/>
  <c r="C185" i="25"/>
  <c r="F90" i="11"/>
  <c r="C172" i="25"/>
  <c r="C251" i="25"/>
  <c r="C257" i="25"/>
  <c r="C297" i="25"/>
  <c r="F118" i="11"/>
  <c r="C230" i="25"/>
  <c r="C262" i="25"/>
  <c r="C271" i="25"/>
  <c r="C296" i="25"/>
  <c r="C84" i="25"/>
  <c r="C59" i="25"/>
  <c r="C64" i="25"/>
  <c r="C71" i="25"/>
  <c r="K201" i="25"/>
  <c r="K200" i="25"/>
  <c r="F31" i="11"/>
  <c r="C29" i="25"/>
  <c r="C285" i="25"/>
  <c r="S157" i="18"/>
  <c r="F162" i="11"/>
  <c r="S140" i="18"/>
  <c r="X141" i="5"/>
  <c r="X142" i="5"/>
  <c r="J58" i="22"/>
  <c r="K58" i="22" s="1"/>
  <c r="M58" i="23"/>
  <c r="P58" i="23"/>
  <c r="S58" i="23"/>
  <c r="K56" i="23"/>
  <c r="F50" i="11"/>
  <c r="C31" i="25"/>
  <c r="C287" i="25"/>
  <c r="F40" i="11"/>
  <c r="C30" i="25"/>
  <c r="C286" i="25"/>
  <c r="H141" i="18"/>
  <c r="K52" i="18"/>
  <c r="G52" i="18"/>
  <c r="H52" i="18"/>
  <c r="L19" i="18"/>
  <c r="I50" i="18"/>
  <c r="M50" i="18"/>
  <c r="I109" i="18"/>
  <c r="E19" i="18"/>
  <c r="F50" i="18"/>
  <c r="J50" i="18"/>
  <c r="N50" i="18"/>
  <c r="E50" i="18"/>
  <c r="F89" i="18"/>
  <c r="E40" i="18"/>
  <c r="O40" i="18"/>
  <c r="N40" i="18"/>
  <c r="I40" i="18"/>
  <c r="M40" i="18"/>
  <c r="F62" i="18"/>
  <c r="F150" i="18"/>
  <c r="F138" i="18"/>
  <c r="J150" i="18"/>
  <c r="J138" i="18"/>
  <c r="N150" i="18"/>
  <c r="N138" i="18"/>
  <c r="G109" i="18"/>
  <c r="E69" i="18"/>
  <c r="I69" i="18"/>
  <c r="G89" i="18"/>
  <c r="I97" i="18"/>
  <c r="G135" i="18"/>
  <c r="F97" i="18"/>
  <c r="F109" i="18"/>
  <c r="H117" i="18"/>
  <c r="S117" i="18"/>
  <c r="H135" i="18"/>
  <c r="E135" i="18"/>
  <c r="H138" i="18"/>
  <c r="L138" i="18"/>
  <c r="P138" i="18"/>
  <c r="E141" i="18"/>
  <c r="S141" i="18"/>
  <c r="E138" i="18"/>
  <c r="I138" i="18"/>
  <c r="M138" i="18"/>
  <c r="C194" i="25"/>
  <c r="C294" i="25"/>
  <c r="F141" i="11"/>
  <c r="F142" i="11"/>
  <c r="C100" i="25"/>
  <c r="C246" i="25"/>
  <c r="C298" i="25"/>
  <c r="M201" i="25"/>
  <c r="M200" i="25"/>
  <c r="S135" i="18"/>
  <c r="S97" i="18"/>
  <c r="C95" i="25"/>
  <c r="S150" i="18"/>
  <c r="F155" i="11"/>
  <c r="S138" i="18"/>
  <c r="S89" i="18"/>
  <c r="C94" i="25"/>
  <c r="J58" i="23"/>
  <c r="K58" i="23" s="1"/>
  <c r="C97" i="25"/>
  <c r="F18" i="11"/>
  <c r="C43" i="25"/>
  <c r="S50" i="18"/>
  <c r="J52" i="18"/>
  <c r="F52" i="18"/>
  <c r="I52" i="18"/>
  <c r="C96" i="25"/>
  <c r="E52" i="18"/>
  <c r="L40" i="18"/>
  <c r="L52" i="18"/>
  <c r="Q40" i="18"/>
  <c r="E109" i="18"/>
  <c r="C277" i="25"/>
  <c r="C276" i="25"/>
  <c r="C99" i="25"/>
  <c r="C278" i="25"/>
  <c r="C299" i="25"/>
  <c r="S40" i="18"/>
  <c r="F16" i="11"/>
  <c r="C41" i="25"/>
  <c r="P19" i="18"/>
  <c r="N19" i="18"/>
  <c r="O19" i="18"/>
  <c r="J143" i="18"/>
  <c r="J145" i="18"/>
  <c r="J148" i="18"/>
  <c r="J167" i="18"/>
  <c r="F79" i="18"/>
  <c r="F143" i="18"/>
  <c r="F145" i="18"/>
  <c r="F148" i="18"/>
  <c r="F167" i="18"/>
  <c r="I79" i="18"/>
  <c r="I143" i="18"/>
  <c r="I145" i="18"/>
  <c r="I148" i="18"/>
  <c r="I167" i="18"/>
  <c r="L143" i="18"/>
  <c r="L145" i="18"/>
  <c r="L148" i="18"/>
  <c r="L167" i="18"/>
  <c r="K143" i="18"/>
  <c r="K145" i="18"/>
  <c r="K148" i="18"/>
  <c r="K167" i="18"/>
  <c r="H79" i="18"/>
  <c r="H143" i="18"/>
  <c r="H145" i="18"/>
  <c r="H148" i="18"/>
  <c r="H167" i="18"/>
  <c r="G79" i="18"/>
  <c r="G143" i="18"/>
  <c r="G145" i="18"/>
  <c r="G148" i="18"/>
  <c r="G167" i="18"/>
  <c r="Q19" i="18"/>
  <c r="N52" i="18"/>
  <c r="E79" i="18"/>
  <c r="S79" i="18"/>
  <c r="O52" i="18"/>
  <c r="P52" i="18"/>
  <c r="Q109" i="18"/>
  <c r="S109" i="18"/>
  <c r="Q52" i="18"/>
  <c r="M19" i="18"/>
  <c r="F15" i="11"/>
  <c r="E143" i="18"/>
  <c r="E145" i="18"/>
  <c r="E148" i="18"/>
  <c r="F19" i="11"/>
  <c r="C40" i="25"/>
  <c r="C44" i="25"/>
  <c r="Q143" i="18"/>
  <c r="E167" i="18"/>
  <c r="E171" i="18"/>
  <c r="F169" i="18"/>
  <c r="F171" i="18"/>
  <c r="G169" i="18"/>
  <c r="G171" i="18"/>
  <c r="H169" i="18"/>
  <c r="H171" i="18"/>
  <c r="I169" i="18"/>
  <c r="I171" i="18"/>
  <c r="J169" i="18"/>
  <c r="J171" i="18"/>
  <c r="K169" i="18"/>
  <c r="K171" i="18"/>
  <c r="L169" i="18"/>
  <c r="L171" i="18"/>
  <c r="M169" i="18"/>
  <c r="M52" i="18"/>
  <c r="Q151" i="18"/>
  <c r="S19" i="18"/>
  <c r="S52" i="18"/>
  <c r="V21" i="12"/>
  <c r="AC28" i="12"/>
  <c r="F52" i="11"/>
  <c r="C28" i="25"/>
  <c r="Q156" i="18"/>
  <c r="E157" i="5"/>
  <c r="S151" i="18"/>
  <c r="F156" i="11"/>
  <c r="Q145" i="18"/>
  <c r="Q148" i="18"/>
  <c r="C284" i="25"/>
  <c r="C288" i="25"/>
  <c r="C32" i="25"/>
  <c r="S156" i="18"/>
  <c r="F161" i="11"/>
  <c r="J43" i="10"/>
  <c r="L43" i="10"/>
  <c r="N43" i="10"/>
  <c r="P43" i="10"/>
  <c r="C98" i="25"/>
  <c r="C101" i="25"/>
  <c r="P164" i="11"/>
  <c r="P167" i="11"/>
  <c r="N164" i="11"/>
  <c r="N167" i="11"/>
  <c r="P27" i="17"/>
  <c r="M27" i="17"/>
  <c r="J27" i="17"/>
  <c r="G27" i="17"/>
  <c r="P170" i="11"/>
  <c r="P166" i="11"/>
  <c r="P165" i="11"/>
  <c r="P163" i="11"/>
  <c r="P162" i="11"/>
  <c r="P160" i="11"/>
  <c r="P159" i="11"/>
  <c r="P158" i="11"/>
  <c r="P157" i="11"/>
  <c r="T146" i="17"/>
  <c r="R146" i="17"/>
  <c r="P141" i="17"/>
  <c r="P142" i="17"/>
  <c r="O141" i="17"/>
  <c r="O142" i="17"/>
  <c r="M141" i="17"/>
  <c r="L141" i="17"/>
  <c r="K141" i="17"/>
  <c r="H141" i="17"/>
  <c r="G141" i="17"/>
  <c r="T99" i="17"/>
  <c r="R69" i="17"/>
  <c r="R62" i="17"/>
  <c r="O25" i="17"/>
  <c r="N25" i="17"/>
  <c r="L25" i="17"/>
  <c r="K25" i="17"/>
  <c r="F25" i="17"/>
  <c r="F4" i="17"/>
  <c r="G4" i="17"/>
  <c r="H4" i="17"/>
  <c r="I4" i="17"/>
  <c r="J4" i="17"/>
  <c r="K4" i="17"/>
  <c r="L4" i="17"/>
  <c r="M4" i="17"/>
  <c r="N4" i="17"/>
  <c r="O4" i="17"/>
  <c r="P4" i="17"/>
  <c r="A3" i="17"/>
  <c r="A1" i="17"/>
  <c r="H142" i="17"/>
  <c r="G142" i="17"/>
  <c r="K142" i="17"/>
  <c r="L142" i="17"/>
  <c r="M142" i="17"/>
  <c r="Q27" i="17"/>
  <c r="S27" i="17"/>
  <c r="P27" i="16"/>
  <c r="M27" i="16"/>
  <c r="J27" i="16"/>
  <c r="G27" i="16"/>
  <c r="N170" i="11"/>
  <c r="N166" i="11"/>
  <c r="N165" i="11"/>
  <c r="N163" i="11"/>
  <c r="N162" i="11"/>
  <c r="N160" i="11"/>
  <c r="N159" i="11"/>
  <c r="N158" i="11"/>
  <c r="N157" i="11"/>
  <c r="T146" i="16"/>
  <c r="R146" i="16"/>
  <c r="Q142" i="16"/>
  <c r="P141" i="16"/>
  <c r="O141" i="16"/>
  <c r="O142" i="16"/>
  <c r="M141" i="16"/>
  <c r="M142" i="16"/>
  <c r="K141" i="16"/>
  <c r="K142" i="16"/>
  <c r="H141" i="16"/>
  <c r="H142" i="16"/>
  <c r="T99" i="16"/>
  <c r="R69" i="16"/>
  <c r="R62" i="16"/>
  <c r="O25" i="16"/>
  <c r="N25" i="16"/>
  <c r="L25" i="16"/>
  <c r="K25" i="16"/>
  <c r="F25" i="16"/>
  <c r="F4" i="16"/>
  <c r="G4" i="16"/>
  <c r="H4" i="16"/>
  <c r="I4" i="16"/>
  <c r="J4" i="16"/>
  <c r="K4" i="16"/>
  <c r="L4" i="16"/>
  <c r="M4" i="16"/>
  <c r="N4" i="16"/>
  <c r="O4" i="16"/>
  <c r="P4" i="16"/>
  <c r="A3" i="16"/>
  <c r="A1" i="16"/>
  <c r="P142" i="16"/>
  <c r="Q27" i="16"/>
  <c r="S27" i="16"/>
  <c r="U27" i="17"/>
  <c r="E549" i="9"/>
  <c r="F549" i="9" s="1"/>
  <c r="E1083" i="9"/>
  <c r="F1083" i="9" s="1"/>
  <c r="E654" i="9"/>
  <c r="F654" i="9" s="1"/>
  <c r="E119" i="9"/>
  <c r="F119" i="9" s="1"/>
  <c r="P61" i="5"/>
  <c r="O61" i="5"/>
  <c r="N61" i="5"/>
  <c r="E972" i="9" s="1"/>
  <c r="F972" i="9" s="1"/>
  <c r="M61" i="5"/>
  <c r="L61" i="5"/>
  <c r="E758" i="9" s="1"/>
  <c r="F758" i="9" s="1"/>
  <c r="K61" i="5"/>
  <c r="J61" i="5"/>
  <c r="H61" i="5"/>
  <c r="G61" i="5"/>
  <c r="F61" i="5"/>
  <c r="E228" i="9"/>
  <c r="F228" i="9" s="1"/>
  <c r="L170" i="11"/>
  <c r="M141" i="14"/>
  <c r="P141" i="14"/>
  <c r="M70" i="7"/>
  <c r="O70" i="7"/>
  <c r="P70" i="7"/>
  <c r="S70" i="7"/>
  <c r="M71" i="7"/>
  <c r="O71" i="7"/>
  <c r="P71" i="7"/>
  <c r="S71" i="7"/>
  <c r="M72" i="7"/>
  <c r="O72" i="7"/>
  <c r="P72" i="7"/>
  <c r="S72" i="7"/>
  <c r="M73" i="7"/>
  <c r="O73" i="7"/>
  <c r="P73" i="7"/>
  <c r="S73" i="7"/>
  <c r="M74" i="7"/>
  <c r="O74" i="7"/>
  <c r="P74" i="7"/>
  <c r="S74" i="7"/>
  <c r="O68" i="7"/>
  <c r="O76" i="7" s="1"/>
  <c r="J73" i="7"/>
  <c r="K73" i="7"/>
  <c r="J71" i="7"/>
  <c r="K71" i="7"/>
  <c r="J74" i="7"/>
  <c r="K74" i="7"/>
  <c r="J72" i="7"/>
  <c r="K72" i="7"/>
  <c r="J70" i="7"/>
  <c r="K70" i="7"/>
  <c r="P27" i="14"/>
  <c r="M27" i="14"/>
  <c r="J27" i="14"/>
  <c r="G27" i="14"/>
  <c r="O25" i="14"/>
  <c r="N25" i="14"/>
  <c r="L25" i="14"/>
  <c r="K25" i="14"/>
  <c r="F25" i="14"/>
  <c r="P37" i="14"/>
  <c r="P37" i="16" s="1"/>
  <c r="P37" i="17" s="1"/>
  <c r="O37" i="14"/>
  <c r="O37" i="16" s="1"/>
  <c r="O37" i="17" s="1"/>
  <c r="F34" i="14"/>
  <c r="F34" i="16" s="1"/>
  <c r="F34" i="17" s="1"/>
  <c r="E34" i="14"/>
  <c r="E34" i="16" s="1"/>
  <c r="E34" i="17" s="1"/>
  <c r="P16" i="14"/>
  <c r="O16" i="14"/>
  <c r="M16" i="14"/>
  <c r="L16" i="14"/>
  <c r="J16" i="14"/>
  <c r="I16" i="14"/>
  <c r="G16" i="14"/>
  <c r="F16" i="14"/>
  <c r="E16" i="14"/>
  <c r="Q27" i="14"/>
  <c r="S27" i="14"/>
  <c r="P27" i="13"/>
  <c r="Q27" i="13" s="1"/>
  <c r="S27" i="13" s="1"/>
  <c r="U27" i="14" s="1"/>
  <c r="V27" i="14" s="1"/>
  <c r="M27" i="13"/>
  <c r="J27" i="13"/>
  <c r="G27" i="13"/>
  <c r="O25" i="13"/>
  <c r="N25" i="13"/>
  <c r="L25" i="13"/>
  <c r="K25" i="13"/>
  <c r="S212" i="7"/>
  <c r="P212" i="7"/>
  <c r="O212" i="7"/>
  <c r="N212" i="7"/>
  <c r="S186" i="7"/>
  <c r="P186" i="7"/>
  <c r="O186" i="7"/>
  <c r="N186" i="7"/>
  <c r="S185" i="7"/>
  <c r="P185" i="7"/>
  <c r="O185" i="7"/>
  <c r="N185" i="7"/>
  <c r="S184" i="7"/>
  <c r="P184" i="7"/>
  <c r="O184" i="7"/>
  <c r="N184" i="7"/>
  <c r="S183" i="7"/>
  <c r="P183" i="7"/>
  <c r="O183" i="7"/>
  <c r="N183" i="7"/>
  <c r="S182" i="7"/>
  <c r="P182" i="7"/>
  <c r="O182" i="7"/>
  <c r="N182" i="7"/>
  <c r="S164" i="7"/>
  <c r="P164" i="7"/>
  <c r="O164" i="7"/>
  <c r="N164" i="7"/>
  <c r="S163" i="7"/>
  <c r="P163" i="7"/>
  <c r="O163" i="7"/>
  <c r="N163" i="7"/>
  <c r="S162" i="7"/>
  <c r="P162" i="7"/>
  <c r="O162" i="7"/>
  <c r="N162" i="7"/>
  <c r="S161" i="7"/>
  <c r="P161" i="7"/>
  <c r="O161" i="7"/>
  <c r="N161" i="7"/>
  <c r="S160" i="7"/>
  <c r="P160" i="7"/>
  <c r="O160" i="7"/>
  <c r="N160" i="7"/>
  <c r="S142" i="7"/>
  <c r="P142" i="7"/>
  <c r="O142" i="7"/>
  <c r="M142" i="7"/>
  <c r="S141" i="7"/>
  <c r="P141" i="7"/>
  <c r="O141" i="7"/>
  <c r="M141" i="7"/>
  <c r="S140" i="7"/>
  <c r="P140" i="7"/>
  <c r="O140" i="7"/>
  <c r="M140" i="7"/>
  <c r="S139" i="7"/>
  <c r="P139" i="7"/>
  <c r="O139" i="7"/>
  <c r="M139" i="7"/>
  <c r="S138" i="7"/>
  <c r="P138" i="7"/>
  <c r="O138" i="7"/>
  <c r="M138" i="7"/>
  <c r="S120" i="7"/>
  <c r="P120" i="7"/>
  <c r="O120" i="7"/>
  <c r="M120" i="7"/>
  <c r="S119" i="7"/>
  <c r="P119" i="7"/>
  <c r="O119" i="7"/>
  <c r="M119" i="7"/>
  <c r="S118" i="7"/>
  <c r="P118" i="7"/>
  <c r="O118" i="7"/>
  <c r="M118" i="7"/>
  <c r="S117" i="7"/>
  <c r="P117" i="7"/>
  <c r="O117" i="7"/>
  <c r="M117" i="7"/>
  <c r="J117" i="7" s="1"/>
  <c r="K117" i="7" s="1"/>
  <c r="S116" i="7"/>
  <c r="P116" i="7"/>
  <c r="O116" i="7"/>
  <c r="M116" i="7"/>
  <c r="S97" i="7"/>
  <c r="P97" i="7"/>
  <c r="O97" i="7"/>
  <c r="M97" i="7"/>
  <c r="S98" i="7"/>
  <c r="P98" i="7"/>
  <c r="O98" i="7"/>
  <c r="M98" i="7"/>
  <c r="S96" i="7"/>
  <c r="P96" i="7"/>
  <c r="O96" i="7"/>
  <c r="M96" i="7"/>
  <c r="S95" i="7"/>
  <c r="P95" i="7"/>
  <c r="O95" i="7"/>
  <c r="M95" i="7"/>
  <c r="S94" i="7"/>
  <c r="P94" i="7"/>
  <c r="O94" i="7"/>
  <c r="M94" i="7"/>
  <c r="Q50" i="5"/>
  <c r="J183" i="7"/>
  <c r="K183" i="7"/>
  <c r="J185" i="7"/>
  <c r="K185" i="7"/>
  <c r="J141" i="7"/>
  <c r="K141" i="7"/>
  <c r="J162" i="7"/>
  <c r="K162" i="7"/>
  <c r="J161" i="7"/>
  <c r="K161" i="7"/>
  <c r="J139" i="7"/>
  <c r="K139" i="7"/>
  <c r="J182" i="7"/>
  <c r="K182" i="7"/>
  <c r="J163" i="7"/>
  <c r="K163" i="7"/>
  <c r="J138" i="7"/>
  <c r="K138" i="7"/>
  <c r="J140" i="7"/>
  <c r="K140" i="7"/>
  <c r="J184" i="7"/>
  <c r="K184" i="7"/>
  <c r="J186" i="7"/>
  <c r="K186" i="7"/>
  <c r="J212" i="7"/>
  <c r="K212" i="7"/>
  <c r="J160" i="7"/>
  <c r="K160" i="7"/>
  <c r="J97" i="7"/>
  <c r="K97" i="7"/>
  <c r="J142" i="7"/>
  <c r="K142" i="7"/>
  <c r="J164" i="7"/>
  <c r="K164" i="7"/>
  <c r="J120" i="7"/>
  <c r="K120" i="7"/>
  <c r="J119" i="7"/>
  <c r="K119" i="7"/>
  <c r="J118" i="7"/>
  <c r="K118" i="7"/>
  <c r="J98" i="7"/>
  <c r="K98" i="7"/>
  <c r="J94" i="7"/>
  <c r="K94" i="7"/>
  <c r="J96" i="7"/>
  <c r="K96" i="7"/>
  <c r="J95" i="7"/>
  <c r="K95" i="7"/>
  <c r="G25" i="5"/>
  <c r="F44" i="5"/>
  <c r="G24" i="5"/>
  <c r="E15" i="5"/>
  <c r="D30" i="6"/>
  <c r="N226" i="7"/>
  <c r="N216" i="7"/>
  <c r="N202" i="7"/>
  <c r="O137" i="7"/>
  <c r="O136" i="7"/>
  <c r="O135" i="7"/>
  <c r="O134" i="7"/>
  <c r="O124" i="7"/>
  <c r="O115" i="7"/>
  <c r="O114" i="7"/>
  <c r="O113" i="7"/>
  <c r="O112" i="7"/>
  <c r="O102" i="7"/>
  <c r="O93" i="7"/>
  <c r="O92" i="7"/>
  <c r="O91" i="7"/>
  <c r="O90" i="7"/>
  <c r="O78" i="7"/>
  <c r="O69" i="7"/>
  <c r="O63" i="7"/>
  <c r="O65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25" i="7"/>
  <c r="O24" i="7"/>
  <c r="O23" i="7"/>
  <c r="O22" i="7"/>
  <c r="O21" i="7"/>
  <c r="O20" i="7"/>
  <c r="O19" i="7"/>
  <c r="O18" i="7"/>
  <c r="O89" i="7"/>
  <c r="O17" i="7"/>
  <c r="O16" i="7"/>
  <c r="O15" i="7"/>
  <c r="O14" i="7"/>
  <c r="O13" i="7"/>
  <c r="O12" i="7"/>
  <c r="O11" i="7"/>
  <c r="O10" i="7"/>
  <c r="O9" i="7"/>
  <c r="O8" i="7"/>
  <c r="O7" i="7"/>
  <c r="D18" i="6"/>
  <c r="D19" i="6"/>
  <c r="D21" i="6"/>
  <c r="N39" i="5"/>
  <c r="N43" i="5"/>
  <c r="N44" i="5"/>
  <c r="E1068" i="9" s="1"/>
  <c r="F1068" i="9" s="1"/>
  <c r="N45" i="5"/>
  <c r="M8" i="7"/>
  <c r="M9" i="7"/>
  <c r="M11" i="7"/>
  <c r="M12" i="7"/>
  <c r="M16" i="7"/>
  <c r="J16" i="7" s="1"/>
  <c r="K16" i="7" s="1"/>
  <c r="M17" i="7"/>
  <c r="M89" i="7"/>
  <c r="M20" i="7"/>
  <c r="M21" i="7"/>
  <c r="M22" i="7"/>
  <c r="M23" i="7"/>
  <c r="J23" i="7" s="1"/>
  <c r="K23" i="7" s="1"/>
  <c r="M24" i="7"/>
  <c r="M25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9" i="7"/>
  <c r="M10" i="7"/>
  <c r="M14" i="7"/>
  <c r="M15" i="7"/>
  <c r="M18" i="7"/>
  <c r="M19" i="7"/>
  <c r="M58" i="7"/>
  <c r="M229" i="7"/>
  <c r="M78" i="7"/>
  <c r="M90" i="7"/>
  <c r="M91" i="7"/>
  <c r="M92" i="7"/>
  <c r="M93" i="7"/>
  <c r="M124" i="7"/>
  <c r="M134" i="7"/>
  <c r="M135" i="7"/>
  <c r="M136" i="7"/>
  <c r="M137" i="7"/>
  <c r="M112" i="7"/>
  <c r="M113" i="7"/>
  <c r="M114" i="7"/>
  <c r="M115" i="7"/>
  <c r="M63" i="7"/>
  <c r="M65" i="7"/>
  <c r="N227" i="7"/>
  <c r="P179" i="7"/>
  <c r="N179" i="7"/>
  <c r="N180" i="7"/>
  <c r="O181" i="7"/>
  <c r="N178" i="7"/>
  <c r="S209" i="7"/>
  <c r="N209" i="7"/>
  <c r="N210" i="7"/>
  <c r="O211" i="7"/>
  <c r="N211" i="7"/>
  <c r="N157" i="7"/>
  <c r="N158" i="7"/>
  <c r="O216" i="7"/>
  <c r="O229" i="7" s="1"/>
  <c r="O227" i="7"/>
  <c r="O178" i="7"/>
  <c r="O179" i="7"/>
  <c r="O180" i="7"/>
  <c r="O208" i="7"/>
  <c r="O209" i="7"/>
  <c r="O210" i="7"/>
  <c r="O190" i="7"/>
  <c r="O195" i="7"/>
  <c r="O196" i="7"/>
  <c r="O197" i="7"/>
  <c r="O198" i="7"/>
  <c r="O157" i="7"/>
  <c r="O158" i="7"/>
  <c r="P8" i="7"/>
  <c r="P9" i="7"/>
  <c r="P10" i="7"/>
  <c r="P11" i="7"/>
  <c r="P12" i="7"/>
  <c r="P15" i="7"/>
  <c r="P16" i="7"/>
  <c r="P17" i="7"/>
  <c r="P89" i="7"/>
  <c r="P18" i="7"/>
  <c r="P19" i="7"/>
  <c r="P20" i="7"/>
  <c r="P21" i="7"/>
  <c r="P22" i="7"/>
  <c r="P23" i="7"/>
  <c r="P24" i="7"/>
  <c r="P25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9" i="7"/>
  <c r="P227" i="7"/>
  <c r="P168" i="7"/>
  <c r="P178" i="7"/>
  <c r="P208" i="7"/>
  <c r="P210" i="7"/>
  <c r="P190" i="7"/>
  <c r="P196" i="7"/>
  <c r="P197" i="7"/>
  <c r="P198" i="7"/>
  <c r="P157" i="7"/>
  <c r="P158" i="7"/>
  <c r="P112" i="7"/>
  <c r="Q65" i="7"/>
  <c r="S8" i="7"/>
  <c r="S9" i="7"/>
  <c r="S10" i="7"/>
  <c r="S11" i="7"/>
  <c r="S12" i="7"/>
  <c r="S15" i="7"/>
  <c r="S16" i="7"/>
  <c r="S17" i="7"/>
  <c r="S89" i="7"/>
  <c r="S18" i="7"/>
  <c r="S19" i="7"/>
  <c r="S20" i="7"/>
  <c r="S21" i="7"/>
  <c r="S22" i="7"/>
  <c r="S23" i="7"/>
  <c r="S24" i="7"/>
  <c r="S25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14" i="7"/>
  <c r="S216" i="7"/>
  <c r="S229" i="7" s="1"/>
  <c r="S227" i="7"/>
  <c r="S178" i="7"/>
  <c r="S179" i="7"/>
  <c r="S180" i="7"/>
  <c r="S208" i="7"/>
  <c r="S190" i="7"/>
  <c r="S195" i="7"/>
  <c r="S196" i="7"/>
  <c r="S197" i="7"/>
  <c r="S198" i="7"/>
  <c r="S157" i="7"/>
  <c r="S158" i="7"/>
  <c r="S124" i="7"/>
  <c r="S134" i="7"/>
  <c r="S135" i="7"/>
  <c r="S136" i="7"/>
  <c r="S137" i="7"/>
  <c r="S112" i="7"/>
  <c r="J112" i="7" s="1"/>
  <c r="K112" i="7" s="1"/>
  <c r="S113" i="7"/>
  <c r="S114" i="7"/>
  <c r="S115" i="7"/>
  <c r="S78" i="7"/>
  <c r="S90" i="7"/>
  <c r="S91" i="7"/>
  <c r="S92" i="7"/>
  <c r="S93" i="7"/>
  <c r="E1163" i="9"/>
  <c r="F1163" i="9" s="1"/>
  <c r="O43" i="5"/>
  <c r="E1174" i="9" s="1"/>
  <c r="F1174" i="9" s="1"/>
  <c r="O44" i="5"/>
  <c r="O45" i="5"/>
  <c r="H25" i="5"/>
  <c r="H25" i="17" s="1"/>
  <c r="I25" i="5"/>
  <c r="E1270" i="9"/>
  <c r="F1270" i="9" s="1"/>
  <c r="P43" i="5"/>
  <c r="P44" i="5"/>
  <c r="P45" i="5"/>
  <c r="M28" i="5"/>
  <c r="E949" i="9" s="1"/>
  <c r="F949" i="9" s="1"/>
  <c r="M43" i="5"/>
  <c r="M44" i="5"/>
  <c r="M45" i="5"/>
  <c r="I39" i="5"/>
  <c r="H28" i="5"/>
  <c r="I27" i="5"/>
  <c r="I28" i="5"/>
  <c r="J28" i="5"/>
  <c r="K28" i="5"/>
  <c r="L28" i="5"/>
  <c r="F28" i="5"/>
  <c r="E200" i="9" s="1"/>
  <c r="F200" i="9" s="1"/>
  <c r="G28" i="5"/>
  <c r="E307" i="9" s="1"/>
  <c r="F307" i="9" s="1"/>
  <c r="F43" i="5"/>
  <c r="F45" i="5"/>
  <c r="G43" i="5"/>
  <c r="G44" i="5"/>
  <c r="G45" i="5"/>
  <c r="H43" i="5"/>
  <c r="H44" i="5"/>
  <c r="H45" i="5"/>
  <c r="I43" i="5"/>
  <c r="I44" i="5"/>
  <c r="E533" i="9" s="1"/>
  <c r="F533" i="9" s="1"/>
  <c r="I45" i="5"/>
  <c r="J43" i="5"/>
  <c r="J44" i="5"/>
  <c r="J45" i="5"/>
  <c r="K43" i="5"/>
  <c r="K44" i="5"/>
  <c r="K45" i="5"/>
  <c r="L43" i="5"/>
  <c r="L44" i="5"/>
  <c r="L45" i="5"/>
  <c r="E855" i="9" s="1"/>
  <c r="F855" i="9" s="1"/>
  <c r="I188" i="7"/>
  <c r="I144" i="7"/>
  <c r="M69" i="7"/>
  <c r="I65" i="7"/>
  <c r="N208" i="7"/>
  <c r="N190" i="7"/>
  <c r="N195" i="7"/>
  <c r="N196" i="7"/>
  <c r="N197" i="7"/>
  <c r="N198" i="7"/>
  <c r="Q158" i="5"/>
  <c r="P58" i="7"/>
  <c r="R69" i="13"/>
  <c r="R69" i="14"/>
  <c r="Q69" i="5"/>
  <c r="R69" i="5"/>
  <c r="R62" i="13"/>
  <c r="R62" i="14"/>
  <c r="Q62" i="5"/>
  <c r="R62" i="5"/>
  <c r="L158" i="11"/>
  <c r="J162" i="11"/>
  <c r="L162" i="11"/>
  <c r="F25" i="13"/>
  <c r="P195" i="7"/>
  <c r="S63" i="7"/>
  <c r="S65" i="7"/>
  <c r="R65" i="7"/>
  <c r="P63" i="7"/>
  <c r="P65" i="7"/>
  <c r="F48" i="5"/>
  <c r="G48" i="5"/>
  <c r="H48" i="5"/>
  <c r="I48" i="5"/>
  <c r="E537" i="9" s="1"/>
  <c r="F537" i="9" s="1"/>
  <c r="J48" i="5"/>
  <c r="E644" i="9" s="1"/>
  <c r="F644" i="9" s="1"/>
  <c r="K48" i="5"/>
  <c r="E751" i="9" s="1"/>
  <c r="F751" i="9" s="1"/>
  <c r="L48" i="5"/>
  <c r="M48" i="5"/>
  <c r="N48" i="5"/>
  <c r="O48" i="5"/>
  <c r="P48" i="5"/>
  <c r="F49" i="5"/>
  <c r="G49" i="5"/>
  <c r="H49" i="5"/>
  <c r="I49" i="5"/>
  <c r="E538" i="9" s="1"/>
  <c r="F538" i="9" s="1"/>
  <c r="J49" i="5"/>
  <c r="K49" i="5"/>
  <c r="L49" i="5"/>
  <c r="E859" i="9" s="1"/>
  <c r="F859" i="9" s="1"/>
  <c r="M49" i="5"/>
  <c r="N49" i="5"/>
  <c r="O49" i="5"/>
  <c r="P49" i="5"/>
  <c r="L166" i="11"/>
  <c r="L165" i="11"/>
  <c r="L157" i="11"/>
  <c r="L159" i="11"/>
  <c r="L160" i="11"/>
  <c r="L163" i="11"/>
  <c r="P91" i="7"/>
  <c r="P90" i="7"/>
  <c r="A3" i="13"/>
  <c r="A3" i="14"/>
  <c r="T99" i="14"/>
  <c r="T146" i="14"/>
  <c r="R146" i="14"/>
  <c r="F4" i="14"/>
  <c r="G4" i="14"/>
  <c r="H4" i="14"/>
  <c r="I4" i="14"/>
  <c r="J4" i="14"/>
  <c r="K4" i="14"/>
  <c r="L4" i="14"/>
  <c r="M4" i="14"/>
  <c r="N4" i="14"/>
  <c r="O4" i="14"/>
  <c r="P4" i="14"/>
  <c r="A1" i="14"/>
  <c r="Q79" i="5"/>
  <c r="M166" i="7"/>
  <c r="M188" i="7"/>
  <c r="M214" i="7"/>
  <c r="M200" i="7"/>
  <c r="P137" i="7"/>
  <c r="N61" i="7"/>
  <c r="N144" i="7"/>
  <c r="N122" i="7"/>
  <c r="N76" i="7"/>
  <c r="N65" i="7"/>
  <c r="N100" i="7"/>
  <c r="P113" i="7"/>
  <c r="P114" i="7"/>
  <c r="P115" i="7"/>
  <c r="P124" i="7"/>
  <c r="P134" i="7"/>
  <c r="P135" i="7"/>
  <c r="P136" i="7"/>
  <c r="P78" i="7"/>
  <c r="P92" i="7"/>
  <c r="P93" i="7"/>
  <c r="A1" i="13"/>
  <c r="J166" i="11"/>
  <c r="J165" i="11"/>
  <c r="J163" i="11"/>
  <c r="J160" i="11"/>
  <c r="R146" i="13"/>
  <c r="F4" i="13"/>
  <c r="G4" i="13"/>
  <c r="H4" i="13" s="1"/>
  <c r="I4" i="13" s="1"/>
  <c r="J4" i="13" s="1"/>
  <c r="K4" i="13" s="1"/>
  <c r="L4" i="13" s="1"/>
  <c r="M4" i="13" s="1"/>
  <c r="N4" i="13" s="1"/>
  <c r="O4" i="13" s="1"/>
  <c r="P4" i="13" s="1"/>
  <c r="A3" i="12"/>
  <c r="A1" i="12"/>
  <c r="A1" i="10"/>
  <c r="Q118" i="5"/>
  <c r="Q139" i="5"/>
  <c r="Q142" i="5"/>
  <c r="R146" i="5"/>
  <c r="T146" i="5"/>
  <c r="L5" i="11"/>
  <c r="N5" i="11"/>
  <c r="P5" i="11"/>
  <c r="T99" i="5"/>
  <c r="Q151" i="5"/>
  <c r="F4" i="5"/>
  <c r="G4" i="5"/>
  <c r="H4" i="5" s="1"/>
  <c r="I4" i="5" s="1"/>
  <c r="J4" i="5" s="1"/>
  <c r="K4" i="5" s="1"/>
  <c r="L4" i="5" s="1"/>
  <c r="M4" i="5" s="1"/>
  <c r="N4" i="5" s="1"/>
  <c r="O4" i="5" s="1"/>
  <c r="P4" i="5" s="1"/>
  <c r="A1" i="5"/>
  <c r="B3" i="7"/>
  <c r="E200" i="25"/>
  <c r="K14" i="5"/>
  <c r="K15" i="5" s="1"/>
  <c r="E1056" i="9"/>
  <c r="F1056" i="9" s="1"/>
  <c r="E1276" i="9"/>
  <c r="F1276" i="9" s="1"/>
  <c r="Y11" i="5"/>
  <c r="S158" i="5"/>
  <c r="H162" i="11" s="1"/>
  <c r="B1" i="7"/>
  <c r="B1" i="20"/>
  <c r="B1" i="23"/>
  <c r="B1" i="22"/>
  <c r="B1" i="21"/>
  <c r="E201" i="25"/>
  <c r="G201" i="25"/>
  <c r="J58" i="7"/>
  <c r="K58" i="7"/>
  <c r="J57" i="7"/>
  <c r="K57" i="7"/>
  <c r="Q142" i="13"/>
  <c r="H25" i="14"/>
  <c r="K37" i="5"/>
  <c r="N37" i="5"/>
  <c r="D22" i="6"/>
  <c r="S69" i="7"/>
  <c r="P69" i="7"/>
  <c r="J196" i="7"/>
  <c r="K196" i="7"/>
  <c r="J124" i="7"/>
  <c r="K124" i="7"/>
  <c r="J91" i="7"/>
  <c r="K91" i="7"/>
  <c r="J90" i="7"/>
  <c r="K90" i="7"/>
  <c r="J54" i="7"/>
  <c r="K54" i="7"/>
  <c r="J208" i="7"/>
  <c r="K208" i="7"/>
  <c r="J50" i="7"/>
  <c r="K50" i="7"/>
  <c r="J46" i="7"/>
  <c r="K46" i="7"/>
  <c r="J179" i="7"/>
  <c r="K179" i="7"/>
  <c r="Q100" i="7"/>
  <c r="J134" i="7"/>
  <c r="K134" i="7"/>
  <c r="J197" i="7"/>
  <c r="K197" i="7"/>
  <c r="J53" i="7"/>
  <c r="K53" i="7"/>
  <c r="J49" i="7"/>
  <c r="K49" i="7"/>
  <c r="J45" i="7"/>
  <c r="K45" i="7"/>
  <c r="J92" i="7"/>
  <c r="K92" i="7"/>
  <c r="R200" i="7"/>
  <c r="J52" i="7"/>
  <c r="K52" i="7"/>
  <c r="J44" i="7"/>
  <c r="K44" i="7"/>
  <c r="J178" i="7"/>
  <c r="K178" i="7"/>
  <c r="J157" i="7"/>
  <c r="K157" i="7"/>
  <c r="Q144" i="7"/>
  <c r="Q188" i="7"/>
  <c r="P181" i="7"/>
  <c r="J93" i="7"/>
  <c r="K93" i="7"/>
  <c r="J135" i="7"/>
  <c r="K135" i="7"/>
  <c r="P144" i="7"/>
  <c r="S211" i="7"/>
  <c r="Q76" i="7"/>
  <c r="P211" i="7"/>
  <c r="P180" i="7"/>
  <c r="J180" i="7"/>
  <c r="K180" i="7"/>
  <c r="O202" i="7"/>
  <c r="J202" i="7" s="1"/>
  <c r="K202" i="7" s="1"/>
  <c r="N181" i="7"/>
  <c r="J89" i="7"/>
  <c r="K89" i="7"/>
  <c r="J56" i="7"/>
  <c r="K56" i="7"/>
  <c r="J48" i="7"/>
  <c r="K48" i="7"/>
  <c r="O144" i="7"/>
  <c r="Q214" i="7"/>
  <c r="Q229" i="7"/>
  <c r="J51" i="7"/>
  <c r="K51" i="7"/>
  <c r="J43" i="7"/>
  <c r="K43" i="7"/>
  <c r="S144" i="7"/>
  <c r="J158" i="7"/>
  <c r="K158" i="7"/>
  <c r="J136" i="7"/>
  <c r="K136" i="7"/>
  <c r="O156" i="7"/>
  <c r="N156" i="7"/>
  <c r="S156" i="7"/>
  <c r="P156" i="7"/>
  <c r="R144" i="7"/>
  <c r="P200" i="7"/>
  <c r="Q200" i="7"/>
  <c r="J195" i="7"/>
  <c r="K195" i="7"/>
  <c r="J55" i="7"/>
  <c r="K55" i="7"/>
  <c r="J47" i="7"/>
  <c r="K47" i="7"/>
  <c r="I200" i="7"/>
  <c r="O200" i="7"/>
  <c r="S200" i="7"/>
  <c r="J137" i="7"/>
  <c r="K137" i="7"/>
  <c r="J59" i="7"/>
  <c r="K59" i="7"/>
  <c r="S210" i="7"/>
  <c r="J210" i="7"/>
  <c r="K210" i="7"/>
  <c r="S181" i="7"/>
  <c r="S168" i="7"/>
  <c r="P209" i="7"/>
  <c r="N214" i="7"/>
  <c r="J198" i="7"/>
  <c r="K198" i="7"/>
  <c r="J190" i="7"/>
  <c r="K190" i="7"/>
  <c r="O168" i="7"/>
  <c r="O188" i="7"/>
  <c r="N168" i="7"/>
  <c r="S202" i="7"/>
  <c r="P202" i="7"/>
  <c r="I214" i="7"/>
  <c r="I229" i="7"/>
  <c r="P216" i="7"/>
  <c r="P229" i="7" s="1"/>
  <c r="S226" i="7"/>
  <c r="P226" i="7"/>
  <c r="O226" i="7"/>
  <c r="J227" i="7"/>
  <c r="K227" i="7"/>
  <c r="J63" i="7"/>
  <c r="E1182" i="9"/>
  <c r="F1182" i="9" s="1"/>
  <c r="E754" i="9"/>
  <c r="F754" i="9" s="1"/>
  <c r="N159" i="7"/>
  <c r="P159" i="7"/>
  <c r="O159" i="7"/>
  <c r="S159" i="7"/>
  <c r="J15" i="7"/>
  <c r="K15" i="7" s="1"/>
  <c r="U27" i="16"/>
  <c r="N200" i="7"/>
  <c r="E861" i="9"/>
  <c r="F861" i="9" s="1"/>
  <c r="M202" i="25"/>
  <c r="E210" i="25"/>
  <c r="K202" i="25"/>
  <c r="G202" i="25"/>
  <c r="E212" i="25"/>
  <c r="I202" i="25"/>
  <c r="H25" i="10"/>
  <c r="V27" i="17"/>
  <c r="V27" i="16"/>
  <c r="J69" i="7"/>
  <c r="K69" i="7"/>
  <c r="J156" i="7"/>
  <c r="K156" i="7"/>
  <c r="J181" i="7"/>
  <c r="K181" i="7"/>
  <c r="J209" i="7"/>
  <c r="K209" i="7"/>
  <c r="M144" i="7"/>
  <c r="P188" i="7"/>
  <c r="R214" i="7"/>
  <c r="P214" i="7"/>
  <c r="S214" i="7"/>
  <c r="J211" i="7"/>
  <c r="K211" i="7"/>
  <c r="N188" i="7"/>
  <c r="J168" i="7"/>
  <c r="K168" i="7"/>
  <c r="K200" i="7"/>
  <c r="S188" i="7"/>
  <c r="J144" i="7"/>
  <c r="R188" i="7"/>
  <c r="K144" i="7"/>
  <c r="J226" i="7"/>
  <c r="K226" i="7"/>
  <c r="R229" i="7"/>
  <c r="K63" i="7"/>
  <c r="K65" i="7"/>
  <c r="J65" i="7"/>
  <c r="J159" i="7"/>
  <c r="K159" i="7"/>
  <c r="E726" i="9"/>
  <c r="F726" i="9" s="1"/>
  <c r="G210" i="25"/>
  <c r="G212" i="25"/>
  <c r="I212" i="25"/>
  <c r="I210" i="25"/>
  <c r="M210" i="25"/>
  <c r="M212" i="25"/>
  <c r="K212" i="25"/>
  <c r="K210" i="25"/>
  <c r="K188" i="7"/>
  <c r="J188" i="7"/>
  <c r="J200" i="7"/>
  <c r="F67" i="11"/>
  <c r="F69" i="11"/>
  <c r="S69" i="18"/>
  <c r="F60" i="11"/>
  <c r="S62" i="18"/>
  <c r="O143" i="18"/>
  <c r="O145" i="18"/>
  <c r="O148" i="18"/>
  <c r="F77" i="11"/>
  <c r="C178" i="25"/>
  <c r="F74" i="11"/>
  <c r="C175" i="25"/>
  <c r="Q142" i="14"/>
  <c r="M142" i="14"/>
  <c r="P142" i="14"/>
  <c r="I142" i="12"/>
  <c r="G145" i="12"/>
  <c r="I145" i="12"/>
  <c r="I74" i="12"/>
  <c r="G77" i="12"/>
  <c r="I77" i="12"/>
  <c r="Q7" i="7"/>
  <c r="C167" i="25"/>
  <c r="C90" i="25"/>
  <c r="C292" i="25"/>
  <c r="F62" i="11"/>
  <c r="C89" i="25"/>
  <c r="C166" i="25"/>
  <c r="O167" i="18"/>
  <c r="E133" i="17"/>
  <c r="F73" i="11"/>
  <c r="H44" i="10"/>
  <c r="R7" i="7"/>
  <c r="P7" i="7"/>
  <c r="S7" i="7"/>
  <c r="M7" i="7"/>
  <c r="Q7" i="20"/>
  <c r="C174" i="25"/>
  <c r="C291" i="25"/>
  <c r="E205" i="25"/>
  <c r="E204" i="25"/>
  <c r="G204" i="25"/>
  <c r="N143" i="18"/>
  <c r="N145" i="18"/>
  <c r="N148" i="18"/>
  <c r="N167" i="18"/>
  <c r="M143" i="18"/>
  <c r="M145" i="18"/>
  <c r="M148" i="18"/>
  <c r="J61" i="13"/>
  <c r="M61" i="13"/>
  <c r="I61" i="13"/>
  <c r="N61" i="13"/>
  <c r="H61" i="13"/>
  <c r="G61" i="13"/>
  <c r="P61" i="13"/>
  <c r="K61" i="13"/>
  <c r="L61" i="13"/>
  <c r="O61" i="13"/>
  <c r="J44" i="10"/>
  <c r="J7" i="7"/>
  <c r="I7" i="21"/>
  <c r="R7" i="21" s="1"/>
  <c r="Q7" i="21"/>
  <c r="J9" i="24"/>
  <c r="R7" i="20"/>
  <c r="P7" i="20"/>
  <c r="S7" i="20"/>
  <c r="M7" i="20"/>
  <c r="E209" i="25"/>
  <c r="E211" i="25"/>
  <c r="G206" i="25"/>
  <c r="I205" i="25"/>
  <c r="M167" i="18"/>
  <c r="M171" i="18"/>
  <c r="N169" i="18"/>
  <c r="N171" i="18"/>
  <c r="O169" i="18"/>
  <c r="O171" i="18"/>
  <c r="P169" i="18"/>
  <c r="F76" i="11"/>
  <c r="L44" i="10"/>
  <c r="F14" i="5"/>
  <c r="J30" i="13"/>
  <c r="Q30" i="13"/>
  <c r="K7" i="7"/>
  <c r="I14" i="5"/>
  <c r="J14" i="5"/>
  <c r="H14" i="5"/>
  <c r="H15" i="5" s="1"/>
  <c r="G14" i="5"/>
  <c r="C177" i="25"/>
  <c r="C180" i="25"/>
  <c r="F79" i="11"/>
  <c r="E214" i="25"/>
  <c r="I206" i="25"/>
  <c r="G205" i="25"/>
  <c r="G211" i="25"/>
  <c r="G209" i="25"/>
  <c r="J7" i="24"/>
  <c r="K204" i="25"/>
  <c r="K206" i="25"/>
  <c r="P143" i="18"/>
  <c r="P145" i="18"/>
  <c r="P148" i="18"/>
  <c r="S148" i="18"/>
  <c r="I204" i="25"/>
  <c r="I209" i="25"/>
  <c r="I211" i="25"/>
  <c r="G214" i="25"/>
  <c r="M204" i="25"/>
  <c r="S143" i="18"/>
  <c r="S145" i="18"/>
  <c r="P167" i="18"/>
  <c r="P171" i="18"/>
  <c r="E171" i="5"/>
  <c r="F153" i="11"/>
  <c r="F173" i="11"/>
  <c r="F177" i="11"/>
  <c r="I214" i="25"/>
  <c r="F144" i="11"/>
  <c r="F146" i="11"/>
  <c r="F180" i="11"/>
  <c r="C91" i="25"/>
  <c r="M206" i="25"/>
  <c r="K205" i="25"/>
  <c r="K211" i="25"/>
  <c r="E1168" i="9"/>
  <c r="F1168" i="9" s="1"/>
  <c r="K35" i="5"/>
  <c r="H175" i="11"/>
  <c r="Q35" i="5"/>
  <c r="I152" i="13" s="1"/>
  <c r="E1045" i="9"/>
  <c r="F1045" i="9" s="1"/>
  <c r="K165" i="14"/>
  <c r="G141" i="14"/>
  <c r="G142" i="14"/>
  <c r="L165" i="14"/>
  <c r="H141" i="14"/>
  <c r="E141" i="14"/>
  <c r="C306" i="25"/>
  <c r="E305" i="25"/>
  <c r="F181" i="11"/>
  <c r="F149" i="11"/>
  <c r="F150" i="11"/>
  <c r="C293" i="25"/>
  <c r="C300" i="25"/>
  <c r="C92" i="25"/>
  <c r="M211" i="25"/>
  <c r="M209" i="25"/>
  <c r="M205" i="25"/>
  <c r="K209" i="25"/>
  <c r="K214" i="25"/>
  <c r="H142" i="14"/>
  <c r="J165" i="16"/>
  <c r="F141" i="16"/>
  <c r="K165" i="16"/>
  <c r="G141" i="16"/>
  <c r="E142" i="14"/>
  <c r="I165" i="16"/>
  <c r="E141" i="16"/>
  <c r="M214" i="25"/>
  <c r="C103" i="25"/>
  <c r="O103" i="25"/>
  <c r="C307" i="25"/>
  <c r="C302" i="25"/>
  <c r="C313" i="25"/>
  <c r="C314" i="25"/>
  <c r="G142" i="16"/>
  <c r="F142" i="16"/>
  <c r="I165" i="17"/>
  <c r="E141" i="17"/>
  <c r="J165" i="17"/>
  <c r="F141" i="17"/>
  <c r="E142" i="16"/>
  <c r="V60" i="24"/>
  <c r="E36" i="24"/>
  <c r="F36" i="24"/>
  <c r="C105" i="25"/>
  <c r="C315" i="25"/>
  <c r="C317" i="25"/>
  <c r="E312" i="25"/>
  <c r="F142" i="17"/>
  <c r="E142" i="17"/>
  <c r="I36" i="24"/>
  <c r="J36" i="24"/>
  <c r="J8" i="24"/>
  <c r="E165" i="16"/>
  <c r="O141" i="14"/>
  <c r="O142" i="14"/>
  <c r="P165" i="16"/>
  <c r="L141" i="16"/>
  <c r="N165" i="16"/>
  <c r="J141" i="16"/>
  <c r="L141" i="13"/>
  <c r="L142" i="13" s="1"/>
  <c r="I141" i="13"/>
  <c r="I142" i="13" s="1"/>
  <c r="N165" i="14"/>
  <c r="J141" i="14"/>
  <c r="M165" i="16"/>
  <c r="I141" i="16"/>
  <c r="M165" i="14"/>
  <c r="I141" i="14"/>
  <c r="P165" i="14"/>
  <c r="L141" i="14"/>
  <c r="L142" i="16"/>
  <c r="J142" i="16"/>
  <c r="L142" i="14"/>
  <c r="J142" i="14"/>
  <c r="I142" i="16"/>
  <c r="N141" i="14"/>
  <c r="E165" i="17"/>
  <c r="N141" i="16"/>
  <c r="I142" i="14"/>
  <c r="N141" i="13"/>
  <c r="N142" i="13" s="1"/>
  <c r="N142" i="16"/>
  <c r="S142" i="16"/>
  <c r="N142" i="14"/>
  <c r="S165" i="16"/>
  <c r="N169" i="11"/>
  <c r="S141" i="16"/>
  <c r="U141" i="17"/>
  <c r="U142" i="17"/>
  <c r="N141" i="11"/>
  <c r="N142" i="11"/>
  <c r="K100" i="25"/>
  <c r="K277" i="25"/>
  <c r="M165" i="17"/>
  <c r="I141" i="17"/>
  <c r="N165" i="17"/>
  <c r="J141" i="17"/>
  <c r="N141" i="17"/>
  <c r="N142" i="17"/>
  <c r="J142" i="17"/>
  <c r="I142" i="17"/>
  <c r="S141" i="17"/>
  <c r="S164" i="17"/>
  <c r="P168" i="11"/>
  <c r="S165" i="17"/>
  <c r="P169" i="11"/>
  <c r="O15" i="5"/>
  <c r="N15" i="5"/>
  <c r="S142" i="17"/>
  <c r="K142" i="5"/>
  <c r="V141" i="17"/>
  <c r="V142" i="17"/>
  <c r="P141" i="11"/>
  <c r="E722" i="9"/>
  <c r="F722" i="9" s="1"/>
  <c r="P142" i="11"/>
  <c r="M100" i="25"/>
  <c r="M277" i="25"/>
  <c r="J6" i="24"/>
  <c r="J11" i="24"/>
  <c r="F28" i="24"/>
  <c r="F34" i="24" s="1"/>
  <c r="F37" i="24" s="1"/>
  <c r="S164" i="16"/>
  <c r="N168" i="11"/>
  <c r="R9" i="6"/>
  <c r="R10" i="6"/>
  <c r="R7" i="6"/>
  <c r="R8" i="6"/>
  <c r="R17" i="6"/>
  <c r="R15" i="6"/>
  <c r="R14" i="6"/>
  <c r="R16" i="6"/>
  <c r="AB14" i="6"/>
  <c r="AB16" i="6"/>
  <c r="AB17" i="6"/>
  <c r="R18" i="6"/>
  <c r="H25" i="13" l="1"/>
  <c r="H27" i="22"/>
  <c r="Q27" i="22" s="1"/>
  <c r="Q27" i="21"/>
  <c r="J34" i="7"/>
  <c r="K34" i="7" s="1"/>
  <c r="T34" i="7" s="1"/>
  <c r="R30" i="20"/>
  <c r="R32" i="20"/>
  <c r="M32" i="20"/>
  <c r="S32" i="20"/>
  <c r="P32" i="20"/>
  <c r="H34" i="23"/>
  <c r="Q34" i="23" s="1"/>
  <c r="Q34" i="22"/>
  <c r="Q33" i="22"/>
  <c r="H33" i="23"/>
  <c r="Q33" i="23" s="1"/>
  <c r="Q33" i="21"/>
  <c r="J33" i="7"/>
  <c r="K33" i="7" s="1"/>
  <c r="T33" i="7" s="1"/>
  <c r="I34" i="20"/>
  <c r="E34" i="23"/>
  <c r="I34" i="23" s="1"/>
  <c r="I34" i="22"/>
  <c r="I34" i="21"/>
  <c r="J32" i="7"/>
  <c r="K32" i="7" s="1"/>
  <c r="J29" i="7"/>
  <c r="K29" i="7" s="1"/>
  <c r="T29" i="7" s="1"/>
  <c r="J30" i="7"/>
  <c r="K30" i="7" s="1"/>
  <c r="T30" i="7" s="1"/>
  <c r="J28" i="7"/>
  <c r="K28" i="7" s="1"/>
  <c r="T28" i="7" s="1"/>
  <c r="J26" i="7"/>
  <c r="K26" i="7" s="1"/>
  <c r="J33" i="20"/>
  <c r="K33" i="20" s="1"/>
  <c r="I33" i="21"/>
  <c r="E33" i="22"/>
  <c r="E33" i="23" s="1"/>
  <c r="I33" i="23" s="1"/>
  <c r="H32" i="21"/>
  <c r="E31" i="23"/>
  <c r="I31" i="23" s="1"/>
  <c r="I31" i="22"/>
  <c r="I32" i="21"/>
  <c r="E32" i="22"/>
  <c r="J32" i="20"/>
  <c r="K32" i="20" s="1"/>
  <c r="J31" i="20"/>
  <c r="K31" i="20" s="1"/>
  <c r="I31" i="21"/>
  <c r="E30" i="22"/>
  <c r="I30" i="21"/>
  <c r="P30" i="20"/>
  <c r="S30" i="20"/>
  <c r="Q28" i="20"/>
  <c r="Q28" i="21"/>
  <c r="J31" i="7"/>
  <c r="K31" i="7" s="1"/>
  <c r="T31" i="7" s="1"/>
  <c r="H31" i="21"/>
  <c r="H30" i="22"/>
  <c r="Q30" i="21"/>
  <c r="Q30" i="20"/>
  <c r="Q29" i="20"/>
  <c r="O214" i="7"/>
  <c r="Q214" i="23"/>
  <c r="R203" i="20"/>
  <c r="R214" i="20" s="1"/>
  <c r="S203" i="20"/>
  <c r="S214" i="20" s="1"/>
  <c r="O203" i="20"/>
  <c r="O214" i="20" s="1"/>
  <c r="I214" i="20"/>
  <c r="J67" i="11" s="1"/>
  <c r="N203" i="20"/>
  <c r="N214" i="20" s="1"/>
  <c r="P203" i="20"/>
  <c r="P214" i="20" s="1"/>
  <c r="I203" i="21"/>
  <c r="E203" i="22"/>
  <c r="K214" i="7"/>
  <c r="J214" i="7"/>
  <c r="I202" i="21"/>
  <c r="E202" i="22"/>
  <c r="J202" i="20"/>
  <c r="J115" i="7"/>
  <c r="K115" i="7" s="1"/>
  <c r="R110" i="20"/>
  <c r="S110" i="20"/>
  <c r="M110" i="20"/>
  <c r="J110" i="20" s="1"/>
  <c r="K110" i="20" s="1"/>
  <c r="P110" i="20"/>
  <c r="I107" i="21"/>
  <c r="E107" i="22"/>
  <c r="Q107" i="21"/>
  <c r="Q113" i="22"/>
  <c r="J105" i="7"/>
  <c r="K105" i="7" s="1"/>
  <c r="I113" i="20"/>
  <c r="I113" i="21"/>
  <c r="Q113" i="20"/>
  <c r="I113" i="23"/>
  <c r="Q113" i="21"/>
  <c r="Q113" i="23"/>
  <c r="J107" i="7"/>
  <c r="K107" i="7" s="1"/>
  <c r="I103" i="20"/>
  <c r="J78" i="7"/>
  <c r="K78" i="7" s="1"/>
  <c r="I78" i="23"/>
  <c r="P78" i="23" s="1"/>
  <c r="Q78" i="23"/>
  <c r="Q78" i="22"/>
  <c r="J78" i="21"/>
  <c r="K78" i="21" s="1"/>
  <c r="I78" i="22"/>
  <c r="I80" i="21"/>
  <c r="R80" i="21" s="1"/>
  <c r="E80" i="22"/>
  <c r="E80" i="23" s="1"/>
  <c r="I80" i="23" s="1"/>
  <c r="E81" i="22"/>
  <c r="Q81" i="21"/>
  <c r="Q82" i="21"/>
  <c r="E82" i="22"/>
  <c r="I83" i="21"/>
  <c r="R83" i="21" s="1"/>
  <c r="E83" i="22"/>
  <c r="E83" i="23" s="1"/>
  <c r="I83" i="23"/>
  <c r="S83" i="23" s="1"/>
  <c r="J83" i="7"/>
  <c r="K83" i="7" s="1"/>
  <c r="O100" i="23"/>
  <c r="O100" i="21"/>
  <c r="H83" i="23"/>
  <c r="Q83" i="23" s="1"/>
  <c r="Q83" i="22"/>
  <c r="H80" i="22"/>
  <c r="Q80" i="21"/>
  <c r="J82" i="20"/>
  <c r="K82" i="20" s="1"/>
  <c r="R100" i="7"/>
  <c r="Q83" i="21"/>
  <c r="Q80" i="20"/>
  <c r="J80" i="20" s="1"/>
  <c r="K80" i="20" s="1"/>
  <c r="O100" i="7"/>
  <c r="F82" i="23"/>
  <c r="I82" i="22"/>
  <c r="F81" i="22"/>
  <c r="I81" i="21"/>
  <c r="S83" i="20"/>
  <c r="M83" i="20"/>
  <c r="R83" i="20"/>
  <c r="P83" i="20"/>
  <c r="P80" i="21"/>
  <c r="P80" i="7"/>
  <c r="P100" i="7" s="1"/>
  <c r="S80" i="21"/>
  <c r="S80" i="7"/>
  <c r="S100" i="7" s="1"/>
  <c r="I83" i="22"/>
  <c r="M80" i="21"/>
  <c r="E1077" i="9"/>
  <c r="F1077" i="9" s="1"/>
  <c r="E1184" i="9"/>
  <c r="F1184" i="9" s="1"/>
  <c r="I82" i="21"/>
  <c r="M100" i="7"/>
  <c r="I100" i="7"/>
  <c r="P83" i="21"/>
  <c r="O100" i="20"/>
  <c r="I81" i="20"/>
  <c r="M83" i="21"/>
  <c r="S83" i="21"/>
  <c r="O100" i="22"/>
  <c r="E41" i="9"/>
  <c r="F41" i="9" s="1"/>
  <c r="F153" i="22"/>
  <c r="F153" i="23" s="1"/>
  <c r="I153" i="23" s="1"/>
  <c r="I153" i="21"/>
  <c r="Q147" i="21"/>
  <c r="E147" i="22"/>
  <c r="E148" i="22"/>
  <c r="Q148" i="21"/>
  <c r="J147" i="7"/>
  <c r="K147" i="7" s="1"/>
  <c r="Q166" i="7"/>
  <c r="E110" i="22"/>
  <c r="I110" i="21"/>
  <c r="E112" i="22"/>
  <c r="E112" i="23" s="1"/>
  <c r="Q112" i="21"/>
  <c r="Q110" i="22"/>
  <c r="E106" i="22"/>
  <c r="I106" i="21"/>
  <c r="Q106" i="21"/>
  <c r="J113" i="7"/>
  <c r="J114" i="7"/>
  <c r="K114" i="7" s="1"/>
  <c r="J105" i="20"/>
  <c r="K105" i="20" s="1"/>
  <c r="Q8" i="21"/>
  <c r="H8" i="22"/>
  <c r="F15" i="22"/>
  <c r="F15" i="23" s="1"/>
  <c r="I15" i="21"/>
  <c r="J8" i="20"/>
  <c r="K8" i="20" s="1"/>
  <c r="R10" i="20"/>
  <c r="M15" i="20"/>
  <c r="H11" i="21"/>
  <c r="F10" i="21"/>
  <c r="F10" i="22" s="1"/>
  <c r="S15" i="20"/>
  <c r="P12" i="20"/>
  <c r="J12" i="20" s="1"/>
  <c r="K12" i="20" s="1"/>
  <c r="J8" i="7"/>
  <c r="K8" i="7" s="1"/>
  <c r="P16" i="21"/>
  <c r="S11" i="21"/>
  <c r="S12" i="20"/>
  <c r="H17" i="21"/>
  <c r="H15" i="21"/>
  <c r="M12" i="20"/>
  <c r="M16" i="21"/>
  <c r="J16" i="21" s="1"/>
  <c r="K16" i="21" s="1"/>
  <c r="M11" i="21"/>
  <c r="J16" i="20"/>
  <c r="K16" i="20" s="1"/>
  <c r="J11" i="7"/>
  <c r="K11" i="7" s="1"/>
  <c r="J7" i="20"/>
  <c r="K7" i="20" s="1"/>
  <c r="M10" i="20"/>
  <c r="F12" i="21"/>
  <c r="F12" i="22" s="1"/>
  <c r="F7" i="23"/>
  <c r="I14" i="20"/>
  <c r="R14" i="20" s="1"/>
  <c r="S10" i="20"/>
  <c r="J11" i="20"/>
  <c r="K11" i="20" s="1"/>
  <c r="U30" i="13"/>
  <c r="F30" i="13"/>
  <c r="K30" i="13"/>
  <c r="O30" i="13"/>
  <c r="G30" i="13"/>
  <c r="L30" i="13"/>
  <c r="P30" i="13"/>
  <c r="H30" i="13"/>
  <c r="H142" i="5"/>
  <c r="R104" i="20"/>
  <c r="S104" i="20"/>
  <c r="M104" i="20"/>
  <c r="P104" i="20"/>
  <c r="F104" i="21"/>
  <c r="F104" i="22" s="1"/>
  <c r="J104" i="7"/>
  <c r="K104" i="7" s="1"/>
  <c r="E105" i="22"/>
  <c r="Q105" i="22" s="1"/>
  <c r="I105" i="21"/>
  <c r="P102" i="7"/>
  <c r="E864" i="9"/>
  <c r="F864" i="9" s="1"/>
  <c r="S102" i="7"/>
  <c r="E1185" i="9"/>
  <c r="F1185" i="9" s="1"/>
  <c r="M102" i="7"/>
  <c r="E103" i="22"/>
  <c r="Q103" i="21"/>
  <c r="J103" i="7"/>
  <c r="K103" i="7" s="1"/>
  <c r="H152" i="21"/>
  <c r="E152" i="22"/>
  <c r="I152" i="21"/>
  <c r="J152" i="7"/>
  <c r="K152" i="7" s="1"/>
  <c r="I152" i="20"/>
  <c r="J151" i="7"/>
  <c r="K151" i="7" s="1"/>
  <c r="E149" i="22"/>
  <c r="I149" i="22" s="1"/>
  <c r="Q149" i="21"/>
  <c r="I149" i="21"/>
  <c r="J149" i="7"/>
  <c r="K149" i="7" s="1"/>
  <c r="J148" i="7"/>
  <c r="K148" i="7" s="1"/>
  <c r="I150" i="20"/>
  <c r="J150" i="7"/>
  <c r="K150" i="7" s="1"/>
  <c r="N216" i="21"/>
  <c r="N229" i="21" s="1"/>
  <c r="J216" i="7"/>
  <c r="J229" i="7" s="1"/>
  <c r="N229" i="7"/>
  <c r="P216" i="21"/>
  <c r="P229" i="21" s="1"/>
  <c r="S216" i="21"/>
  <c r="S229" i="21" s="1"/>
  <c r="O216" i="21"/>
  <c r="O229" i="21" s="1"/>
  <c r="E216" i="22"/>
  <c r="R216" i="22" s="1"/>
  <c r="R229" i="22" s="1"/>
  <c r="Q216" i="21"/>
  <c r="O216" i="22"/>
  <c r="O229" i="22" s="1"/>
  <c r="I229" i="22"/>
  <c r="N68" i="11" s="1"/>
  <c r="S216" i="22"/>
  <c r="S229" i="22" s="1"/>
  <c r="P216" i="22"/>
  <c r="P229" i="22" s="1"/>
  <c r="I216" i="23"/>
  <c r="N216" i="22"/>
  <c r="J216" i="20"/>
  <c r="K216" i="20" s="1"/>
  <c r="I229" i="21"/>
  <c r="L68" i="11" s="1"/>
  <c r="R216" i="21"/>
  <c r="R229" i="21" s="1"/>
  <c r="S166" i="5"/>
  <c r="H170" i="11" s="1"/>
  <c r="S57" i="5"/>
  <c r="N57" i="13" s="1"/>
  <c r="O19" i="5"/>
  <c r="M19" i="5"/>
  <c r="E928" i="9" s="1"/>
  <c r="F928" i="9" s="1"/>
  <c r="M164" i="5"/>
  <c r="M153" i="5" s="1"/>
  <c r="N19" i="5"/>
  <c r="E1035" i="9" s="1"/>
  <c r="F1035" i="9" s="1"/>
  <c r="P19" i="5"/>
  <c r="E245" i="9"/>
  <c r="F245" i="9" s="1"/>
  <c r="E484" i="9"/>
  <c r="F484" i="9" s="1"/>
  <c r="E69" i="9"/>
  <c r="F69" i="9" s="1"/>
  <c r="E29" i="9"/>
  <c r="F29" i="9" s="1"/>
  <c r="E191" i="9"/>
  <c r="F191" i="9" s="1"/>
  <c r="E10" i="9"/>
  <c r="F10" i="9" s="1"/>
  <c r="E734" i="9"/>
  <c r="F734" i="9" s="1"/>
  <c r="E951" i="9"/>
  <c r="F951" i="9" s="1"/>
  <c r="E182" i="9"/>
  <c r="F182" i="9" s="1"/>
  <c r="E617" i="9"/>
  <c r="F617" i="9" s="1"/>
  <c r="E470" i="9"/>
  <c r="F470" i="9" s="1"/>
  <c r="E427" i="9"/>
  <c r="F427" i="9" s="1"/>
  <c r="E1054" i="9"/>
  <c r="F1054" i="9" s="1"/>
  <c r="E1116" i="9"/>
  <c r="F1116" i="9" s="1"/>
  <c r="E238" i="9"/>
  <c r="F238" i="9" s="1"/>
  <c r="E96" i="9"/>
  <c r="F96" i="9" s="1"/>
  <c r="E379" i="9"/>
  <c r="F379" i="9" s="1"/>
  <c r="E1151" i="9"/>
  <c r="F1151" i="9" s="1"/>
  <c r="E364" i="9"/>
  <c r="F364" i="9" s="1"/>
  <c r="E30" i="9"/>
  <c r="F30" i="9" s="1"/>
  <c r="E567" i="9"/>
  <c r="F567" i="9" s="1"/>
  <c r="E505" i="9"/>
  <c r="F505" i="9" s="1"/>
  <c r="E177" i="9"/>
  <c r="F177" i="9" s="1"/>
  <c r="E289" i="9"/>
  <c r="F289" i="9" s="1"/>
  <c r="E46" i="9"/>
  <c r="F46" i="9" s="1"/>
  <c r="E378" i="9"/>
  <c r="F378" i="9" s="1"/>
  <c r="E502" i="9"/>
  <c r="F502" i="9" s="1"/>
  <c r="F31" i="5"/>
  <c r="E968" i="9"/>
  <c r="F968" i="9" s="1"/>
  <c r="E854" i="9"/>
  <c r="F854" i="9" s="1"/>
  <c r="E746" i="9"/>
  <c r="F746" i="9" s="1"/>
  <c r="E105" i="9"/>
  <c r="F105" i="9" s="1"/>
  <c r="E303" i="9"/>
  <c r="F303" i="9" s="1"/>
  <c r="E1084" i="9"/>
  <c r="F1084" i="9" s="1"/>
  <c r="E544" i="9"/>
  <c r="F544" i="9" s="1"/>
  <c r="E656" i="9"/>
  <c r="F656" i="9" s="1"/>
  <c r="E1188" i="9"/>
  <c r="F1188" i="9" s="1"/>
  <c r="X62" i="5"/>
  <c r="X69" i="5"/>
  <c r="E733" i="9"/>
  <c r="F733" i="9" s="1"/>
  <c r="E171" i="9"/>
  <c r="F171" i="9" s="1"/>
  <c r="E581" i="9"/>
  <c r="F581" i="9" s="1"/>
  <c r="E1057" i="9"/>
  <c r="F1057" i="9" s="1"/>
  <c r="E18" i="9"/>
  <c r="F18" i="9" s="1"/>
  <c r="E455" i="9"/>
  <c r="F455" i="9" s="1"/>
  <c r="E942" i="9"/>
  <c r="F942" i="9" s="1"/>
  <c r="E456" i="9"/>
  <c r="F456" i="9" s="1"/>
  <c r="E343" i="9"/>
  <c r="F343" i="9" s="1"/>
  <c r="E796" i="9"/>
  <c r="F796" i="9" s="1"/>
  <c r="E1094" i="9"/>
  <c r="F1094" i="9" s="1"/>
  <c r="E309" i="9"/>
  <c r="F309" i="9" s="1"/>
  <c r="E730" i="9"/>
  <c r="F730" i="9" s="1"/>
  <c r="E987" i="9"/>
  <c r="F987" i="9" s="1"/>
  <c r="E241" i="9"/>
  <c r="F241" i="9" s="1"/>
  <c r="E662" i="9"/>
  <c r="F662" i="9" s="1"/>
  <c r="E1164" i="9"/>
  <c r="F1164" i="9" s="1"/>
  <c r="E152" i="9"/>
  <c r="F152" i="9" s="1"/>
  <c r="E841" i="9"/>
  <c r="F841" i="9" s="1"/>
  <c r="E63" i="9"/>
  <c r="F63" i="9" s="1"/>
  <c r="E1161" i="9"/>
  <c r="F1161" i="9" s="1"/>
  <c r="E1346" i="9"/>
  <c r="F1346" i="9" s="1"/>
  <c r="H85" i="5"/>
  <c r="E354" i="9" s="1"/>
  <c r="F354" i="9" s="1"/>
  <c r="E601" i="9"/>
  <c r="F601" i="9" s="1"/>
  <c r="H87" i="5"/>
  <c r="E356" i="9" s="1"/>
  <c r="F356" i="9" s="1"/>
  <c r="E85" i="9"/>
  <c r="F85" i="9" s="1"/>
  <c r="E13" i="9"/>
  <c r="F13" i="9" s="1"/>
  <c r="E110" i="9"/>
  <c r="F110" i="9" s="1"/>
  <c r="E632" i="9"/>
  <c r="F632" i="9" s="1"/>
  <c r="E554" i="9"/>
  <c r="F554" i="9" s="1"/>
  <c r="E577" i="9"/>
  <c r="F577" i="9" s="1"/>
  <c r="E583" i="9"/>
  <c r="F583" i="9" s="1"/>
  <c r="E600" i="9"/>
  <c r="F600" i="9" s="1"/>
  <c r="E552" i="9"/>
  <c r="F552" i="9" s="1"/>
  <c r="E124" i="9"/>
  <c r="F124" i="9" s="1"/>
  <c r="E487" i="9"/>
  <c r="F487" i="9" s="1"/>
  <c r="E1097" i="9"/>
  <c r="F1097" i="9" s="1"/>
  <c r="E504" i="9"/>
  <c r="F504" i="9" s="1"/>
  <c r="E947" i="9"/>
  <c r="F947" i="9" s="1"/>
  <c r="E296" i="9"/>
  <c r="F296" i="9" s="1"/>
  <c r="E761" i="9"/>
  <c r="F761" i="9" s="1"/>
  <c r="E844" i="9"/>
  <c r="F844" i="9" s="1"/>
  <c r="E740" i="9"/>
  <c r="F740" i="9" s="1"/>
  <c r="E478" i="9"/>
  <c r="F478" i="9" s="1"/>
  <c r="E162" i="9"/>
  <c r="F162" i="9" s="1"/>
  <c r="E68" i="9"/>
  <c r="F68" i="9" s="1"/>
  <c r="E506" i="9"/>
  <c r="F506" i="9" s="1"/>
  <c r="E490" i="9"/>
  <c r="F490" i="9" s="1"/>
  <c r="E267" i="9"/>
  <c r="F267" i="9" s="1"/>
  <c r="E281" i="9"/>
  <c r="F281" i="9" s="1"/>
  <c r="E801" i="9"/>
  <c r="F801" i="9" s="1"/>
  <c r="E82" i="9"/>
  <c r="F82" i="9" s="1"/>
  <c r="E1175" i="9"/>
  <c r="F1175" i="9" s="1"/>
  <c r="E430" i="9"/>
  <c r="F430" i="9" s="1"/>
  <c r="E426" i="9"/>
  <c r="F426" i="9" s="1"/>
  <c r="E735" i="9"/>
  <c r="F735" i="9" s="1"/>
  <c r="E653" i="9"/>
  <c r="F653" i="9" s="1"/>
  <c r="E974" i="9"/>
  <c r="F974" i="9" s="1"/>
  <c r="E1081" i="9"/>
  <c r="F1081" i="9" s="1"/>
  <c r="E868" i="9"/>
  <c r="F868" i="9" s="1"/>
  <c r="X40" i="5"/>
  <c r="E44" i="9"/>
  <c r="F44" i="9" s="1"/>
  <c r="E268" i="9"/>
  <c r="F268" i="9" s="1"/>
  <c r="E850" i="9"/>
  <c r="F850" i="9" s="1"/>
  <c r="E1143" i="9"/>
  <c r="F1143" i="9" s="1"/>
  <c r="E131" i="9"/>
  <c r="F131" i="9" s="1"/>
  <c r="E732" i="9"/>
  <c r="F732" i="9" s="1"/>
  <c r="E1039" i="9"/>
  <c r="F1039" i="9" s="1"/>
  <c r="E204" i="9"/>
  <c r="F204" i="9" s="1"/>
  <c r="E633" i="9"/>
  <c r="F633" i="9" s="1"/>
  <c r="E886" i="9"/>
  <c r="F886" i="9" s="1"/>
  <c r="E669" i="9"/>
  <c r="F669" i="9" s="1"/>
  <c r="E368" i="9"/>
  <c r="F368" i="9" s="1"/>
  <c r="E1092" i="9"/>
  <c r="F1092" i="9" s="1"/>
  <c r="E339" i="9"/>
  <c r="F339" i="9" s="1"/>
  <c r="E767" i="9"/>
  <c r="F767" i="9" s="1"/>
  <c r="E401" i="9"/>
  <c r="F401" i="9" s="1"/>
  <c r="E529" i="9"/>
  <c r="F529" i="9" s="1"/>
  <c r="E883" i="9"/>
  <c r="F883" i="9" s="1"/>
  <c r="E514" i="9"/>
  <c r="F514" i="9" s="1"/>
  <c r="E1275" i="9"/>
  <c r="F1275" i="9" s="1"/>
  <c r="E1292" i="9"/>
  <c r="F1292" i="9" s="1"/>
  <c r="E179" i="5"/>
  <c r="F176" i="5" s="1"/>
  <c r="F179" i="5" s="1"/>
  <c r="G176" i="5" s="1"/>
  <c r="G179" i="5" s="1"/>
  <c r="H176" i="5" s="1"/>
  <c r="H179" i="5" s="1"/>
  <c r="I176" i="5" s="1"/>
  <c r="I179" i="5" s="1"/>
  <c r="J176" i="5" s="1"/>
  <c r="J179" i="5" s="1"/>
  <c r="K176" i="5" s="1"/>
  <c r="K179" i="5" s="1"/>
  <c r="L176" i="5" s="1"/>
  <c r="L179" i="5" s="1"/>
  <c r="M176" i="5" s="1"/>
  <c r="M179" i="5" s="1"/>
  <c r="N176" i="5" s="1"/>
  <c r="N179" i="5" s="1"/>
  <c r="O176" i="5" s="1"/>
  <c r="O179" i="5" s="1"/>
  <c r="P176" i="5" s="1"/>
  <c r="P179" i="5" s="1"/>
  <c r="E176" i="13" s="1"/>
  <c r="E178" i="13" s="1"/>
  <c r="E167" i="13" s="1"/>
  <c r="S167" i="13" s="1"/>
  <c r="J171" i="11" s="1"/>
  <c r="E95" i="9"/>
  <c r="F95" i="9" s="1"/>
  <c r="E43" i="9"/>
  <c r="F43" i="9" s="1"/>
  <c r="E9" i="9"/>
  <c r="F9" i="9" s="1"/>
  <c r="E541" i="9"/>
  <c r="F541" i="9" s="1"/>
  <c r="E548" i="9"/>
  <c r="F548" i="9" s="1"/>
  <c r="E613" i="9"/>
  <c r="F613" i="9" s="1"/>
  <c r="E592" i="9"/>
  <c r="F592" i="9" s="1"/>
  <c r="E596" i="9"/>
  <c r="F596" i="9" s="1"/>
  <c r="E227" i="9"/>
  <c r="F227" i="9" s="1"/>
  <c r="E261" i="9"/>
  <c r="F261" i="9" s="1"/>
  <c r="E929" i="9"/>
  <c r="F929" i="9" s="1"/>
  <c r="E472" i="9"/>
  <c r="F472" i="9" s="1"/>
  <c r="E393" i="9"/>
  <c r="F393" i="9" s="1"/>
  <c r="E940" i="9"/>
  <c r="F940" i="9" s="1"/>
  <c r="E344" i="9"/>
  <c r="F344" i="9" s="1"/>
  <c r="E48" i="9"/>
  <c r="F48" i="9" s="1"/>
  <c r="E166" i="9"/>
  <c r="F166" i="9" s="1"/>
  <c r="E394" i="9"/>
  <c r="F394" i="9" s="1"/>
  <c r="E605" i="9"/>
  <c r="F605" i="9" s="1"/>
  <c r="E491" i="9"/>
  <c r="F491" i="9" s="1"/>
  <c r="E1122" i="9"/>
  <c r="F1122" i="9" s="1"/>
  <c r="E1015" i="9"/>
  <c r="F1015" i="9" s="1"/>
  <c r="E727" i="9"/>
  <c r="F727" i="9" s="1"/>
  <c r="E965" i="9"/>
  <c r="F965" i="9" s="1"/>
  <c r="E91" i="9"/>
  <c r="F91" i="9" s="1"/>
  <c r="E431" i="9"/>
  <c r="F431" i="9" s="1"/>
  <c r="E425" i="9"/>
  <c r="F425" i="9" s="1"/>
  <c r="E1281" i="9"/>
  <c r="F1281" i="9" s="1"/>
  <c r="E976" i="9"/>
  <c r="F976" i="9" s="1"/>
  <c r="E224" i="9"/>
  <c r="F224" i="9" s="1"/>
  <c r="E970" i="9"/>
  <c r="F970" i="9" s="1"/>
  <c r="E1079" i="9"/>
  <c r="F1079" i="9" s="1"/>
  <c r="E971" i="9"/>
  <c r="F971" i="9" s="1"/>
  <c r="E1186" i="9"/>
  <c r="F1186" i="9" s="1"/>
  <c r="E763" i="9"/>
  <c r="F763" i="9" s="1"/>
  <c r="E153" i="9"/>
  <c r="F153" i="9" s="1"/>
  <c r="E236" i="9"/>
  <c r="F236" i="9" s="1"/>
  <c r="E839" i="9"/>
  <c r="F839" i="9" s="1"/>
  <c r="E1098" i="9"/>
  <c r="F1098" i="9" s="1"/>
  <c r="E300" i="9"/>
  <c r="F300" i="9" s="1"/>
  <c r="E704" i="9"/>
  <c r="F704" i="9" s="1"/>
  <c r="E990" i="9"/>
  <c r="F990" i="9" s="1"/>
  <c r="E194" i="9"/>
  <c r="F194" i="9" s="1"/>
  <c r="E564" i="9"/>
  <c r="F564" i="9" s="1"/>
  <c r="E874" i="9"/>
  <c r="F874" i="9" s="1"/>
  <c r="E903" i="9"/>
  <c r="F903" i="9" s="1"/>
  <c r="E341" i="9"/>
  <c r="F341" i="9" s="1"/>
  <c r="E795" i="9"/>
  <c r="F795" i="9" s="1"/>
  <c r="E20" i="9"/>
  <c r="F20" i="9" s="1"/>
  <c r="E518" i="9"/>
  <c r="F518" i="9" s="1"/>
  <c r="E948" i="9"/>
  <c r="F948" i="9" s="1"/>
  <c r="E621" i="9"/>
  <c r="F621" i="9" s="1"/>
  <c r="E475" i="9"/>
  <c r="F475" i="9" s="1"/>
  <c r="E1049" i="9"/>
  <c r="F1049" i="9" s="1"/>
  <c r="E626" i="9"/>
  <c r="F626" i="9" s="1"/>
  <c r="E1337" i="9"/>
  <c r="F1337" i="9" s="1"/>
  <c r="E1343" i="9"/>
  <c r="F1343" i="9" s="1"/>
  <c r="E282" i="9"/>
  <c r="F282" i="9" s="1"/>
  <c r="E396" i="9"/>
  <c r="F396" i="9" s="1"/>
  <c r="E1193" i="9"/>
  <c r="F1193" i="9" s="1"/>
  <c r="E316" i="9"/>
  <c r="F316" i="9" s="1"/>
  <c r="E274" i="9"/>
  <c r="F274" i="9" s="1"/>
  <c r="E278" i="9"/>
  <c r="F278" i="9" s="1"/>
  <c r="E528" i="9"/>
  <c r="F528" i="9" s="1"/>
  <c r="E500" i="9"/>
  <c r="F500" i="9" s="1"/>
  <c r="E473" i="9"/>
  <c r="F473" i="9" s="1"/>
  <c r="E540" i="9"/>
  <c r="F540" i="9" s="1"/>
  <c r="E547" i="9"/>
  <c r="F547" i="9" s="1"/>
  <c r="E591" i="9"/>
  <c r="F591" i="9" s="1"/>
  <c r="E599" i="9"/>
  <c r="F599" i="9" s="1"/>
  <c r="E233" i="9"/>
  <c r="F233" i="9" s="1"/>
  <c r="E2" i="9"/>
  <c r="F2" i="9" s="1"/>
  <c r="E724" i="9"/>
  <c r="F724" i="9" s="1"/>
  <c r="E1069" i="9"/>
  <c r="F1069" i="9" s="1"/>
  <c r="E314" i="9"/>
  <c r="F314" i="9" s="1"/>
  <c r="E944" i="9"/>
  <c r="F944" i="9" s="1"/>
  <c r="E1090" i="9"/>
  <c r="F1090" i="9" s="1"/>
  <c r="E135" i="9"/>
  <c r="F135" i="9" s="1"/>
  <c r="E285" i="9"/>
  <c r="F285" i="9" s="1"/>
  <c r="E340" i="9"/>
  <c r="F340" i="9" s="1"/>
  <c r="E620" i="9"/>
  <c r="F620" i="9" s="1"/>
  <c r="E211" i="9"/>
  <c r="F211" i="9" s="1"/>
  <c r="E670" i="9"/>
  <c r="F670" i="9" s="1"/>
  <c r="E454" i="9"/>
  <c r="F454" i="9" s="1"/>
  <c r="E779" i="9"/>
  <c r="F779" i="9" s="1"/>
  <c r="E179" i="9"/>
  <c r="F179" i="9" s="1"/>
  <c r="G20" i="26"/>
  <c r="E578" i="9"/>
  <c r="F578" i="9" s="1"/>
  <c r="E365" i="9"/>
  <c r="F365" i="9" s="1"/>
  <c r="E1047" i="9"/>
  <c r="F1047" i="9" s="1"/>
  <c r="E220" i="9"/>
  <c r="F220" i="9" s="1"/>
  <c r="E54" i="9"/>
  <c r="F54" i="9" s="1"/>
  <c r="E148" i="9"/>
  <c r="F148" i="9" s="1"/>
  <c r="E55" i="9"/>
  <c r="F55" i="9" s="1"/>
  <c r="E469" i="9"/>
  <c r="F469" i="9" s="1"/>
  <c r="E373" i="9"/>
  <c r="F373" i="9" s="1"/>
  <c r="E75" i="9"/>
  <c r="F75" i="9" s="1"/>
  <c r="E1229" i="9"/>
  <c r="F1229" i="9" s="1"/>
  <c r="E107" i="9"/>
  <c r="F107" i="9" s="1"/>
  <c r="E962" i="9"/>
  <c r="F962" i="9" s="1"/>
  <c r="E1072" i="9"/>
  <c r="F1072" i="9" s="1"/>
  <c r="E320" i="9"/>
  <c r="F320" i="9" s="1"/>
  <c r="E324" i="9"/>
  <c r="F324" i="9" s="1"/>
  <c r="E216" i="9"/>
  <c r="F216" i="9" s="1"/>
  <c r="E1065" i="9"/>
  <c r="F1065" i="9" s="1"/>
  <c r="E120" i="9"/>
  <c r="F120" i="9" s="1"/>
  <c r="E651" i="9"/>
  <c r="F651" i="9" s="1"/>
  <c r="E1078" i="9"/>
  <c r="F1078" i="9" s="1"/>
  <c r="E870" i="9"/>
  <c r="F870" i="9" s="1"/>
  <c r="E623" i="9"/>
  <c r="F623" i="9" s="1"/>
  <c r="E62" i="9"/>
  <c r="F62" i="9" s="1"/>
  <c r="E416" i="9"/>
  <c r="F416" i="9" s="1"/>
  <c r="E822" i="9"/>
  <c r="F822" i="9" s="1"/>
  <c r="E555" i="9"/>
  <c r="F555" i="9" s="1"/>
  <c r="E260" i="9"/>
  <c r="F260" i="9" s="1"/>
  <c r="E668" i="9"/>
  <c r="F668" i="9" s="1"/>
  <c r="E1170" i="9"/>
  <c r="F1170" i="9" s="1"/>
  <c r="E129" i="9"/>
  <c r="F129" i="9" s="1"/>
  <c r="E744" i="9"/>
  <c r="F744" i="9" s="1"/>
  <c r="E1053" i="9"/>
  <c r="F1053" i="9" s="1"/>
  <c r="E1055" i="9"/>
  <c r="F1055" i="9" s="1"/>
  <c r="E519" i="9"/>
  <c r="F519" i="9" s="1"/>
  <c r="E769" i="9"/>
  <c r="F769" i="9" s="1"/>
  <c r="E415" i="9"/>
  <c r="F415" i="9" s="1"/>
  <c r="E482" i="9"/>
  <c r="F482" i="9" s="1"/>
  <c r="E932" i="9"/>
  <c r="F932" i="9" s="1"/>
  <c r="E811" i="9"/>
  <c r="F811" i="9" s="1"/>
  <c r="E448" i="9"/>
  <c r="F448" i="9" s="1"/>
  <c r="E1009" i="9"/>
  <c r="F1009" i="9" s="1"/>
  <c r="E582" i="9"/>
  <c r="F582" i="9" s="1"/>
  <c r="E1311" i="9"/>
  <c r="F1311" i="9" s="1"/>
  <c r="E1392" i="9"/>
  <c r="F1392" i="9" s="1"/>
  <c r="E1253" i="9"/>
  <c r="F1253" i="9" s="1"/>
  <c r="E664" i="9"/>
  <c r="F664" i="9" s="1"/>
  <c r="E553" i="9"/>
  <c r="F553" i="9" s="1"/>
  <c r="E694" i="9"/>
  <c r="F694" i="9" s="1"/>
  <c r="E908" i="9"/>
  <c r="F908" i="9" s="1"/>
  <c r="E385" i="9"/>
  <c r="F385" i="9" s="1"/>
  <c r="E395" i="9"/>
  <c r="F395" i="9" s="1"/>
  <c r="E417" i="9"/>
  <c r="F417" i="9" s="1"/>
  <c r="E1063" i="9"/>
  <c r="F1063" i="9" s="1"/>
  <c r="E628" i="9"/>
  <c r="F628" i="9" s="1"/>
  <c r="E639" i="9"/>
  <c r="F639" i="9" s="1"/>
  <c r="E640" i="9"/>
  <c r="F640" i="9" s="1"/>
  <c r="E217" i="9"/>
  <c r="F217" i="9" s="1"/>
  <c r="E747" i="9"/>
  <c r="F747" i="9" s="1"/>
  <c r="E867" i="9"/>
  <c r="F867" i="9" s="1"/>
  <c r="E222" i="9"/>
  <c r="F222" i="9" s="1"/>
  <c r="E334" i="9"/>
  <c r="F334" i="9" s="1"/>
  <c r="E1189" i="9"/>
  <c r="F1189" i="9" s="1"/>
  <c r="E39" i="9"/>
  <c r="F39" i="9" s="1"/>
  <c r="E776" i="9"/>
  <c r="F776" i="9" s="1"/>
  <c r="E775" i="9"/>
  <c r="F775" i="9" s="1"/>
  <c r="E232" i="9"/>
  <c r="F232" i="9" s="1"/>
  <c r="E1158" i="9"/>
  <c r="F1158" i="9" s="1"/>
  <c r="E311" i="9"/>
  <c r="F311" i="9" s="1"/>
  <c r="E731" i="9"/>
  <c r="F731" i="9" s="1"/>
  <c r="E1025" i="9"/>
  <c r="F1025" i="9" s="1"/>
  <c r="E45" i="9"/>
  <c r="F45" i="9" s="1"/>
  <c r="E452" i="9"/>
  <c r="F452" i="9" s="1"/>
  <c r="E950" i="9"/>
  <c r="F950" i="9" s="1"/>
  <c r="E1159" i="9"/>
  <c r="F1159" i="9" s="1"/>
  <c r="E450" i="9"/>
  <c r="F450" i="9" s="1"/>
  <c r="E884" i="9"/>
  <c r="F884" i="9" s="1"/>
  <c r="E1171" i="9"/>
  <c r="F1171" i="9" s="1"/>
  <c r="E627" i="9"/>
  <c r="F627" i="9" s="1"/>
  <c r="E1100" i="9"/>
  <c r="F1100" i="9" s="1"/>
  <c r="E671" i="9"/>
  <c r="F671" i="9" s="1"/>
  <c r="E1195" i="9"/>
  <c r="F1195" i="9" s="1"/>
  <c r="E1288" i="9"/>
  <c r="F1288" i="9" s="1"/>
  <c r="E64" i="9"/>
  <c r="F64" i="9" s="1"/>
  <c r="E35" i="9"/>
  <c r="F35" i="9" s="1"/>
  <c r="E276" i="9"/>
  <c r="F276" i="9" s="1"/>
  <c r="E420" i="9"/>
  <c r="F420" i="9" s="1"/>
  <c r="E595" i="9"/>
  <c r="F595" i="9" s="1"/>
  <c r="E357" i="9"/>
  <c r="F357" i="9" s="1"/>
  <c r="E272" i="9"/>
  <c r="F272" i="9" s="1"/>
  <c r="E752" i="9"/>
  <c r="F752" i="9" s="1"/>
  <c r="E650" i="9"/>
  <c r="F650" i="9" s="1"/>
  <c r="E195" i="9"/>
  <c r="F195" i="9" s="1"/>
  <c r="E1153" i="9"/>
  <c r="F1153" i="9" s="1"/>
  <c r="E240" i="9"/>
  <c r="F240" i="9" s="1"/>
  <c r="E451" i="9"/>
  <c r="F451" i="9" s="1"/>
  <c r="E498" i="9"/>
  <c r="F498" i="9" s="1"/>
  <c r="E1067" i="9"/>
  <c r="F1067" i="9" s="1"/>
  <c r="E1082" i="9"/>
  <c r="F1082" i="9" s="1"/>
  <c r="E161" i="9"/>
  <c r="F161" i="9" s="1"/>
  <c r="E411" i="9"/>
  <c r="F411" i="9" s="1"/>
  <c r="E1352" i="9"/>
  <c r="F1352" i="9" s="1"/>
  <c r="E257" i="9"/>
  <c r="F257" i="9" s="1"/>
  <c r="E690" i="9"/>
  <c r="F690" i="9" s="1"/>
  <c r="E464" i="9"/>
  <c r="F464" i="9" s="1"/>
  <c r="E360" i="9"/>
  <c r="F360" i="9" s="1"/>
  <c r="E150" i="9"/>
  <c r="F150" i="9" s="1"/>
  <c r="E449" i="9"/>
  <c r="F449" i="9" s="1"/>
  <c r="E158" i="9"/>
  <c r="F158" i="9" s="1"/>
  <c r="E462" i="9"/>
  <c r="F462" i="9" s="1"/>
  <c r="E486" i="9"/>
  <c r="F486" i="9" s="1"/>
  <c r="E586" i="9"/>
  <c r="F586" i="9" s="1"/>
  <c r="E284" i="9"/>
  <c r="F284" i="9" s="1"/>
  <c r="E366" i="9"/>
  <c r="F366" i="9" s="1"/>
  <c r="E716" i="9"/>
  <c r="F716" i="9" s="1"/>
  <c r="E112" i="9"/>
  <c r="F112" i="9" s="1"/>
  <c r="E323" i="9"/>
  <c r="F323" i="9" s="1"/>
  <c r="E858" i="9"/>
  <c r="F858" i="9" s="1"/>
  <c r="E1286" i="9"/>
  <c r="F1286" i="9" s="1"/>
  <c r="E318" i="9"/>
  <c r="F318" i="9" s="1"/>
  <c r="E414" i="9"/>
  <c r="F414" i="9" s="1"/>
  <c r="E1268" i="9"/>
  <c r="F1268" i="9" s="1"/>
  <c r="E649" i="9"/>
  <c r="F649" i="9" s="1"/>
  <c r="E332" i="9"/>
  <c r="F332" i="9" s="1"/>
  <c r="E760" i="9"/>
  <c r="F760" i="9" s="1"/>
  <c r="X50" i="5"/>
  <c r="X79" i="5"/>
  <c r="E22" i="9"/>
  <c r="F22" i="9" s="1"/>
  <c r="E348" i="9"/>
  <c r="F348" i="9" s="1"/>
  <c r="E956" i="9"/>
  <c r="F956" i="9" s="1"/>
  <c r="E878" i="9"/>
  <c r="F878" i="9" s="1"/>
  <c r="E413" i="9"/>
  <c r="F413" i="9" s="1"/>
  <c r="E837" i="9"/>
  <c r="F837" i="9" s="1"/>
  <c r="E1124" i="9"/>
  <c r="F1124" i="9" s="1"/>
  <c r="E297" i="9"/>
  <c r="F297" i="9" s="1"/>
  <c r="E696" i="9"/>
  <c r="F696" i="9" s="1"/>
  <c r="E989" i="9"/>
  <c r="F989" i="9" s="1"/>
  <c r="E202" i="9"/>
  <c r="F202" i="9" s="1"/>
  <c r="E630" i="9"/>
  <c r="F630" i="9" s="1"/>
  <c r="E885" i="9"/>
  <c r="F885" i="9" s="1"/>
  <c r="E201" i="9"/>
  <c r="F201" i="9" s="1"/>
  <c r="E629" i="9"/>
  <c r="F629" i="9" s="1"/>
  <c r="E1062" i="9"/>
  <c r="F1062" i="9" s="1"/>
  <c r="E93" i="9"/>
  <c r="F93" i="9" s="1"/>
  <c r="E561" i="9"/>
  <c r="F561" i="9" s="1"/>
  <c r="E1088" i="9"/>
  <c r="F1088" i="9" s="1"/>
  <c r="E851" i="9"/>
  <c r="F851" i="9" s="1"/>
  <c r="E1308" i="9"/>
  <c r="F1308" i="9" s="1"/>
  <c r="E1302" i="9"/>
  <c r="F1302" i="9" s="1"/>
  <c r="E602" i="9"/>
  <c r="F602" i="9" s="1"/>
  <c r="E5" i="9"/>
  <c r="F5" i="9" s="1"/>
  <c r="E562" i="9"/>
  <c r="F562" i="9" s="1"/>
  <c r="E608" i="9"/>
  <c r="F608" i="9" s="1"/>
  <c r="S153" i="5"/>
  <c r="H157" i="11" s="1"/>
  <c r="E40" i="9"/>
  <c r="F40" i="9" s="1"/>
  <c r="E264" i="9"/>
  <c r="F264" i="9" s="1"/>
  <c r="E113" i="9"/>
  <c r="F113" i="9" s="1"/>
  <c r="E492" i="9"/>
  <c r="F492" i="9" s="1"/>
  <c r="E521" i="9"/>
  <c r="F521" i="9" s="1"/>
  <c r="E655" i="9"/>
  <c r="F655" i="9" s="1"/>
  <c r="X136" i="5"/>
  <c r="E876" i="9"/>
  <c r="F876" i="9" s="1"/>
  <c r="E1377" i="9"/>
  <c r="F1377" i="9" s="1"/>
  <c r="E269" i="9"/>
  <c r="F269" i="9" s="1"/>
  <c r="E164" i="9"/>
  <c r="F164" i="9" s="1"/>
  <c r="E842" i="9"/>
  <c r="F842" i="9" s="1"/>
  <c r="E6" i="9"/>
  <c r="F6" i="9" s="1"/>
  <c r="E1160" i="9"/>
  <c r="F1160" i="9" s="1"/>
  <c r="E636" i="9"/>
  <c r="F636" i="9" s="1"/>
  <c r="E88" i="9"/>
  <c r="F88" i="9" s="1"/>
  <c r="E258" i="9"/>
  <c r="F258" i="9" s="1"/>
  <c r="E61" i="9"/>
  <c r="F61" i="9" s="1"/>
  <c r="E714" i="9"/>
  <c r="F714" i="9" s="1"/>
  <c r="E467" i="9"/>
  <c r="F467" i="9" s="1"/>
  <c r="E19" i="9"/>
  <c r="F19" i="9" s="1"/>
  <c r="E399" i="9"/>
  <c r="F399" i="9" s="1"/>
  <c r="E160" i="9"/>
  <c r="F160" i="9" s="1"/>
  <c r="E612" i="9"/>
  <c r="F612" i="9" s="1"/>
  <c r="E262" i="9"/>
  <c r="F262" i="9" s="1"/>
  <c r="E273" i="9"/>
  <c r="F273" i="9" s="1"/>
  <c r="E70" i="9"/>
  <c r="F70" i="9" s="1"/>
  <c r="E72" i="9"/>
  <c r="F72" i="9" s="1"/>
  <c r="E738" i="9"/>
  <c r="F738" i="9" s="1"/>
  <c r="E1075" i="9"/>
  <c r="F1075" i="9" s="1"/>
  <c r="E742" i="9"/>
  <c r="F742" i="9" s="1"/>
  <c r="E1179" i="9"/>
  <c r="F1179" i="9" s="1"/>
  <c r="E319" i="9"/>
  <c r="F319" i="9" s="1"/>
  <c r="E1287" i="9"/>
  <c r="F1287" i="9" s="1"/>
  <c r="E213" i="9"/>
  <c r="F213" i="9" s="1"/>
  <c r="E530" i="9"/>
  <c r="F530" i="9" s="1"/>
  <c r="E79" i="9"/>
  <c r="F79" i="9" s="1"/>
  <c r="E762" i="9"/>
  <c r="F762" i="9" s="1"/>
  <c r="E977" i="9"/>
  <c r="F977" i="9" s="1"/>
  <c r="E118" i="9"/>
  <c r="F118" i="9" s="1"/>
  <c r="E223" i="9"/>
  <c r="F223" i="9" s="1"/>
  <c r="E1191" i="9"/>
  <c r="F1191" i="9" s="1"/>
  <c r="X31" i="5"/>
  <c r="X52" i="5" s="1"/>
  <c r="E206" i="9"/>
  <c r="F206" i="9" s="1"/>
  <c r="E207" i="9"/>
  <c r="F207" i="9" s="1"/>
  <c r="E527" i="9"/>
  <c r="F527" i="9" s="1"/>
  <c r="E945" i="9"/>
  <c r="F945" i="9" s="1"/>
  <c r="E991" i="9"/>
  <c r="F991" i="9" s="1"/>
  <c r="E397" i="9"/>
  <c r="F397" i="9" s="1"/>
  <c r="E803" i="9"/>
  <c r="F803" i="9" s="1"/>
  <c r="E1096" i="9"/>
  <c r="F1096" i="9" s="1"/>
  <c r="E423" i="9"/>
  <c r="F423" i="9" s="1"/>
  <c r="E666" i="9"/>
  <c r="F666" i="9" s="1"/>
  <c r="E1169" i="9"/>
  <c r="F1169" i="9" s="1"/>
  <c r="E193" i="9"/>
  <c r="F193" i="9" s="1"/>
  <c r="E611" i="9"/>
  <c r="F611" i="9" s="1"/>
  <c r="E1064" i="9"/>
  <c r="F1064" i="9" s="1"/>
  <c r="E125" i="9"/>
  <c r="F125" i="9" s="1"/>
  <c r="E741" i="9"/>
  <c r="F741" i="9" s="1"/>
  <c r="E1051" i="9"/>
  <c r="F1051" i="9" s="1"/>
  <c r="E26" i="9"/>
  <c r="F26" i="9" s="1"/>
  <c r="E737" i="9"/>
  <c r="F737" i="9" s="1"/>
  <c r="E347" i="9"/>
  <c r="F347" i="9" s="1"/>
  <c r="E777" i="9"/>
  <c r="F777" i="9" s="1"/>
  <c r="E1298" i="9"/>
  <c r="F1298" i="9" s="1"/>
  <c r="E1341" i="9"/>
  <c r="F1341" i="9" s="1"/>
  <c r="E495" i="9"/>
  <c r="F495" i="9" s="1"/>
  <c r="E765" i="9"/>
  <c r="F765" i="9" s="1"/>
  <c r="E17" i="9"/>
  <c r="F17" i="9" s="1"/>
  <c r="E184" i="9"/>
  <c r="F184" i="9" s="1"/>
  <c r="E298" i="9"/>
  <c r="F298" i="9" s="1"/>
  <c r="E312" i="9"/>
  <c r="F312" i="9" s="1"/>
  <c r="E230" i="9"/>
  <c r="F230" i="9" s="1"/>
  <c r="E383" i="9"/>
  <c r="F383" i="9" s="1"/>
  <c r="E635" i="9"/>
  <c r="F635" i="9" s="1"/>
  <c r="E560" i="9"/>
  <c r="F560" i="9" s="1"/>
  <c r="E566" i="9"/>
  <c r="F566" i="9" s="1"/>
  <c r="E580" i="9"/>
  <c r="F580" i="9" s="1"/>
  <c r="E607" i="9"/>
  <c r="F607" i="9" s="1"/>
  <c r="E374" i="9"/>
  <c r="F374" i="9" s="1"/>
  <c r="E1261" i="9"/>
  <c r="F1261" i="9" s="1"/>
  <c r="E489" i="9"/>
  <c r="F489" i="9" s="1"/>
  <c r="E1283" i="9"/>
  <c r="F1283" i="9" s="1"/>
  <c r="E865" i="9"/>
  <c r="F865" i="9" s="1"/>
  <c r="E565" i="9"/>
  <c r="F565" i="9" s="1"/>
  <c r="E409" i="9"/>
  <c r="F409" i="9" s="1"/>
  <c r="E1345" i="9"/>
  <c r="F1345" i="9" s="1"/>
  <c r="E15" i="9"/>
  <c r="F15" i="9" s="1"/>
  <c r="E382" i="9"/>
  <c r="F382" i="9" s="1"/>
  <c r="E645" i="9"/>
  <c r="F645" i="9" s="1"/>
  <c r="E757" i="9"/>
  <c r="F757" i="9" s="1"/>
  <c r="E102" i="9"/>
  <c r="F102" i="9" s="1"/>
  <c r="E939" i="9"/>
  <c r="F939" i="9" s="1"/>
  <c r="E407" i="9"/>
  <c r="F407" i="9" s="1"/>
  <c r="E508" i="9"/>
  <c r="F508" i="9" s="1"/>
  <c r="E693" i="9"/>
  <c r="F693" i="9" s="1"/>
  <c r="E447" i="9"/>
  <c r="F447" i="9" s="1"/>
  <c r="E938" i="9"/>
  <c r="F938" i="9" s="1"/>
  <c r="E574" i="9"/>
  <c r="F574" i="9" s="1"/>
  <c r="E111" i="9"/>
  <c r="F111" i="9" s="1"/>
  <c r="E479" i="9"/>
  <c r="F479" i="9" s="1"/>
  <c r="E386" i="9"/>
  <c r="F386" i="9" s="1"/>
  <c r="E593" i="9"/>
  <c r="F593" i="9" s="1"/>
  <c r="E275" i="9"/>
  <c r="F275" i="9" s="1"/>
  <c r="E288" i="9"/>
  <c r="F288" i="9" s="1"/>
  <c r="E619" i="9"/>
  <c r="F619" i="9" s="1"/>
  <c r="E853" i="9"/>
  <c r="F853" i="9" s="1"/>
  <c r="E1176" i="9"/>
  <c r="F1176" i="9" s="1"/>
  <c r="E1180" i="9"/>
  <c r="F1180" i="9" s="1"/>
  <c r="E410" i="9"/>
  <c r="F410" i="9" s="1"/>
  <c r="E302" i="9"/>
  <c r="F302" i="9" s="1"/>
  <c r="E333" i="9"/>
  <c r="F333" i="9" s="1"/>
  <c r="E975" i="9"/>
  <c r="F975" i="9" s="1"/>
  <c r="E116" i="9"/>
  <c r="F116" i="9" s="1"/>
  <c r="E863" i="9"/>
  <c r="F863" i="9" s="1"/>
  <c r="E330" i="9"/>
  <c r="F330" i="9" s="1"/>
  <c r="X118" i="5"/>
  <c r="X110" i="5"/>
  <c r="E301" i="9"/>
  <c r="F301" i="9" s="1"/>
  <c r="E197" i="9"/>
  <c r="F197" i="9" s="1"/>
  <c r="E637" i="9"/>
  <c r="F637" i="9" s="1"/>
  <c r="E910" i="9"/>
  <c r="F910" i="9" s="1"/>
  <c r="E345" i="9"/>
  <c r="F345" i="9" s="1"/>
  <c r="E773" i="9"/>
  <c r="F773" i="9" s="1"/>
  <c r="E169" i="9"/>
  <c r="F169" i="9" s="1"/>
  <c r="E412" i="9"/>
  <c r="F412" i="9" s="1"/>
  <c r="E1156" i="9"/>
  <c r="F1156" i="9" s="1"/>
  <c r="E154" i="9"/>
  <c r="F154" i="9" s="1"/>
  <c r="E563" i="9"/>
  <c r="F563" i="9" s="1"/>
  <c r="E1052" i="9"/>
  <c r="F1052" i="9" s="1"/>
  <c r="E308" i="9"/>
  <c r="F308" i="9" s="1"/>
  <c r="E728" i="9"/>
  <c r="F728" i="9" s="1"/>
  <c r="E1010" i="9"/>
  <c r="F1010" i="9" s="1"/>
  <c r="E209" i="9"/>
  <c r="F209" i="9" s="1"/>
  <c r="E725" i="9"/>
  <c r="F725" i="9" s="1"/>
  <c r="E838" i="9"/>
  <c r="F838" i="9" s="1"/>
  <c r="E957" i="9"/>
  <c r="F957" i="9" s="1"/>
  <c r="E1347" i="9"/>
  <c r="F1347" i="9" s="1"/>
  <c r="F85" i="5"/>
  <c r="E140" i="9" s="1"/>
  <c r="F140" i="9" s="1"/>
  <c r="E283" i="9"/>
  <c r="F283" i="9" s="1"/>
  <c r="E610" i="9"/>
  <c r="F610" i="9" s="1"/>
  <c r="F87" i="5"/>
  <c r="E142" i="9" s="1"/>
  <c r="F142" i="9" s="1"/>
  <c r="E3" i="9"/>
  <c r="F3" i="9" s="1"/>
  <c r="I85" i="5"/>
  <c r="E461" i="9" s="1"/>
  <c r="F461" i="9" s="1"/>
  <c r="E299" i="9"/>
  <c r="F299" i="9" s="1"/>
  <c r="E327" i="9"/>
  <c r="F327" i="9" s="1"/>
  <c r="E615" i="9"/>
  <c r="F615" i="9" s="1"/>
  <c r="E270" i="9"/>
  <c r="F270" i="9" s="1"/>
  <c r="E372" i="9"/>
  <c r="F372" i="9" s="1"/>
  <c r="E532" i="9"/>
  <c r="F532" i="9" s="1"/>
  <c r="E1190" i="9"/>
  <c r="F1190" i="9" s="1"/>
  <c r="E1172" i="9"/>
  <c r="F1172" i="9" s="1"/>
  <c r="E422" i="9"/>
  <c r="F422" i="9" s="1"/>
  <c r="E32" i="9"/>
  <c r="F32" i="9" s="1"/>
  <c r="E1154" i="9"/>
  <c r="F1154" i="9" s="1"/>
  <c r="E50" i="9"/>
  <c r="F50" i="9" s="1"/>
  <c r="E748" i="9"/>
  <c r="F748" i="9" s="1"/>
  <c r="E1282" i="9"/>
  <c r="F1282" i="9" s="1"/>
  <c r="E304" i="9"/>
  <c r="F304" i="9" s="1"/>
  <c r="E16" i="9"/>
  <c r="F16" i="9" s="1"/>
  <c r="E367" i="9"/>
  <c r="F367" i="9" s="1"/>
  <c r="E1312" i="9"/>
  <c r="F1312" i="9" s="1"/>
  <c r="E499" i="9"/>
  <c r="F499" i="9" s="1"/>
  <c r="E143" i="9"/>
  <c r="F143" i="9" s="1"/>
  <c r="E229" i="9"/>
  <c r="F229" i="9" s="1"/>
  <c r="E250" i="9"/>
  <c r="F250" i="9" s="1"/>
  <c r="E146" i="9"/>
  <c r="F146" i="9" s="1"/>
  <c r="E253" i="9"/>
  <c r="F253" i="9" s="1"/>
  <c r="E254" i="9"/>
  <c r="F254" i="9" s="1"/>
  <c r="E128" i="9"/>
  <c r="F128" i="9" s="1"/>
  <c r="E156" i="9"/>
  <c r="F156" i="9" s="1"/>
  <c r="E576" i="9"/>
  <c r="F576" i="9" s="1"/>
  <c r="E263" i="9"/>
  <c r="F263" i="9" s="1"/>
  <c r="E57" i="9"/>
  <c r="F57" i="9" s="1"/>
  <c r="E181" i="9"/>
  <c r="F181" i="9" s="1"/>
  <c r="E647" i="9"/>
  <c r="F647" i="9" s="1"/>
  <c r="E966" i="9"/>
  <c r="F966" i="9" s="1"/>
  <c r="E641" i="9"/>
  <c r="F641" i="9" s="1"/>
  <c r="E960" i="9"/>
  <c r="F960" i="9" s="1"/>
  <c r="E1073" i="9"/>
  <c r="F1073" i="9" s="1"/>
  <c r="E961" i="9"/>
  <c r="F961" i="9" s="1"/>
  <c r="E212" i="9"/>
  <c r="F212" i="9" s="1"/>
  <c r="E329" i="9"/>
  <c r="F329" i="9" s="1"/>
  <c r="E442" i="9"/>
  <c r="F442" i="9" s="1"/>
  <c r="E869" i="9"/>
  <c r="F869" i="9" s="1"/>
  <c r="E526" i="9"/>
  <c r="F526" i="9" s="1"/>
  <c r="E185" i="9"/>
  <c r="F185" i="9" s="1"/>
  <c r="E625" i="9"/>
  <c r="F625" i="9" s="1"/>
  <c r="E880" i="9"/>
  <c r="F880" i="9" s="1"/>
  <c r="E52" i="9"/>
  <c r="F52" i="9" s="1"/>
  <c r="E523" i="9"/>
  <c r="F523" i="9" s="1"/>
  <c r="E954" i="9"/>
  <c r="F954" i="9" s="1"/>
  <c r="E234" i="9"/>
  <c r="F234" i="9" s="1"/>
  <c r="E375" i="9"/>
  <c r="F375" i="9" s="1"/>
  <c r="E835" i="9"/>
  <c r="F835" i="9" s="1"/>
  <c r="E1117" i="9"/>
  <c r="F1117" i="9" s="1"/>
  <c r="E127" i="9"/>
  <c r="F127" i="9" s="1"/>
  <c r="E743" i="9"/>
  <c r="F743" i="9" s="1"/>
  <c r="E1017" i="9"/>
  <c r="F1017" i="9" s="1"/>
  <c r="E290" i="9"/>
  <c r="F290" i="9" s="1"/>
  <c r="E688" i="9"/>
  <c r="F688" i="9" s="1"/>
  <c r="E985" i="9"/>
  <c r="F985" i="9" s="1"/>
  <c r="E199" i="9"/>
  <c r="F199" i="9" s="1"/>
  <c r="E660" i="9"/>
  <c r="F660" i="9" s="1"/>
  <c r="E190" i="9"/>
  <c r="F190" i="9" s="1"/>
  <c r="E1058" i="9"/>
  <c r="F1058" i="9" s="1"/>
  <c r="E1259" i="9"/>
  <c r="F1259" i="9" s="1"/>
  <c r="G85" i="5"/>
  <c r="E247" i="9" s="1"/>
  <c r="F247" i="9" s="1"/>
  <c r="E101" i="9"/>
  <c r="F101" i="9" s="1"/>
  <c r="E86" i="9"/>
  <c r="F86" i="9" s="1"/>
  <c r="E25" i="9"/>
  <c r="F25" i="9" s="1"/>
  <c r="E829" i="9"/>
  <c r="F829" i="9" s="1"/>
  <c r="E937" i="9"/>
  <c r="F937" i="9" s="1"/>
  <c r="E1044" i="9"/>
  <c r="F1044" i="9" s="1"/>
  <c r="F38" i="24"/>
  <c r="J142" i="5"/>
  <c r="S38" i="5"/>
  <c r="V38" i="5" s="1"/>
  <c r="S121" i="5"/>
  <c r="H121" i="11" s="1"/>
  <c r="E231" i="25" s="1"/>
  <c r="S78" i="5"/>
  <c r="Y78" i="5" s="1"/>
  <c r="S166" i="13"/>
  <c r="J170" i="11" s="1"/>
  <c r="R78" i="23"/>
  <c r="M78" i="23"/>
  <c r="S78" i="23"/>
  <c r="F147" i="23"/>
  <c r="I147" i="22"/>
  <c r="S147" i="20"/>
  <c r="I147" i="21"/>
  <c r="N147" i="20"/>
  <c r="P147" i="20"/>
  <c r="J8" i="21"/>
  <c r="K8" i="21" s="1"/>
  <c r="I15" i="22"/>
  <c r="E15" i="23"/>
  <c r="I15" i="23" s="1"/>
  <c r="I16" i="22"/>
  <c r="E16" i="23"/>
  <c r="I16" i="23" s="1"/>
  <c r="E11" i="23"/>
  <c r="I11" i="22"/>
  <c r="I8" i="23"/>
  <c r="Q7" i="22"/>
  <c r="E7" i="23"/>
  <c r="S7" i="21"/>
  <c r="M7" i="21"/>
  <c r="P7" i="21"/>
  <c r="J148" i="20"/>
  <c r="K148" i="20" s="1"/>
  <c r="R106" i="20"/>
  <c r="P106" i="20"/>
  <c r="M106" i="20"/>
  <c r="J111" i="7"/>
  <c r="K111" i="7" s="1"/>
  <c r="E111" i="22"/>
  <c r="E111" i="23" s="1"/>
  <c r="Q111" i="23" s="1"/>
  <c r="I111" i="21"/>
  <c r="Q111" i="21"/>
  <c r="E102" i="22"/>
  <c r="Q102" i="21"/>
  <c r="I102" i="21"/>
  <c r="P102" i="21" s="1"/>
  <c r="F102" i="22"/>
  <c r="F102" i="23" s="1"/>
  <c r="J102" i="7"/>
  <c r="K102" i="7" s="1"/>
  <c r="I102" i="20"/>
  <c r="F111" i="23"/>
  <c r="R111" i="20"/>
  <c r="P111" i="20"/>
  <c r="M111" i="20"/>
  <c r="J12" i="7"/>
  <c r="K12" i="7" s="1"/>
  <c r="J10" i="7"/>
  <c r="K10" i="7" s="1"/>
  <c r="E10" i="22"/>
  <c r="Q10" i="21"/>
  <c r="I61" i="7"/>
  <c r="J9" i="7"/>
  <c r="K9" i="7" s="1"/>
  <c r="M13" i="7"/>
  <c r="S13" i="7"/>
  <c r="P13" i="7"/>
  <c r="P61" i="7" s="1"/>
  <c r="E860" i="9"/>
  <c r="F860" i="9" s="1"/>
  <c r="J21" i="20"/>
  <c r="K21" i="20" s="1"/>
  <c r="J21" i="7"/>
  <c r="K21" i="7" s="1"/>
  <c r="J20" i="7"/>
  <c r="I20" i="20"/>
  <c r="Q12" i="21"/>
  <c r="E12" i="22"/>
  <c r="I12" i="22" s="1"/>
  <c r="F12" i="23"/>
  <c r="I12" i="21"/>
  <c r="J19" i="7"/>
  <c r="K19" i="7" s="1"/>
  <c r="E19" i="23"/>
  <c r="Q19" i="22"/>
  <c r="Q61" i="7"/>
  <c r="Q231" i="7" s="1"/>
  <c r="E984" i="9" s="1"/>
  <c r="F984" i="9" s="1"/>
  <c r="Q19" i="23"/>
  <c r="F19" i="22"/>
  <c r="F19" i="23" s="1"/>
  <c r="I19" i="23" s="1"/>
  <c r="R9" i="20"/>
  <c r="S9" i="20"/>
  <c r="M9" i="20"/>
  <c r="P9" i="20"/>
  <c r="F9" i="23"/>
  <c r="E9" i="21"/>
  <c r="Q9" i="20"/>
  <c r="J17" i="7"/>
  <c r="K17" i="7" s="1"/>
  <c r="J10" i="20"/>
  <c r="K10" i="20" s="1"/>
  <c r="R18" i="20"/>
  <c r="S18" i="20"/>
  <c r="P18" i="20"/>
  <c r="M18" i="20"/>
  <c r="J18" i="7"/>
  <c r="K18" i="7" s="1"/>
  <c r="E17" i="23"/>
  <c r="I17" i="21"/>
  <c r="F17" i="22"/>
  <c r="I18" i="21"/>
  <c r="R18" i="21" s="1"/>
  <c r="H18" i="21"/>
  <c r="E18" i="22"/>
  <c r="P38" i="10"/>
  <c r="P44" i="10" s="1"/>
  <c r="N44" i="10"/>
  <c r="Q76" i="22"/>
  <c r="K63" i="23"/>
  <c r="K65" i="23" s="1"/>
  <c r="J65" i="23"/>
  <c r="Q65" i="23"/>
  <c r="Q200" i="23"/>
  <c r="Q144" i="23"/>
  <c r="Q144" i="22"/>
  <c r="K63" i="21"/>
  <c r="K65" i="21" s="1"/>
  <c r="Q76" i="21"/>
  <c r="J138" i="21"/>
  <c r="K138" i="21" s="1"/>
  <c r="J188" i="23"/>
  <c r="J188" i="21"/>
  <c r="K128" i="20"/>
  <c r="K144" i="20" s="1"/>
  <c r="J144" i="20"/>
  <c r="K200" i="20"/>
  <c r="J188" i="22"/>
  <c r="K169" i="22"/>
  <c r="K188" i="22" s="1"/>
  <c r="K219" i="22"/>
  <c r="K205" i="22"/>
  <c r="K219" i="21"/>
  <c r="K229" i="20"/>
  <c r="J200" i="22"/>
  <c r="K190" i="22"/>
  <c r="K200" i="22" s="1"/>
  <c r="J65" i="22"/>
  <c r="K63" i="22"/>
  <c r="K65" i="22" s="1"/>
  <c r="K192" i="23"/>
  <c r="K169" i="23"/>
  <c r="K188" i="23" s="1"/>
  <c r="Q188" i="23"/>
  <c r="K125" i="21"/>
  <c r="K172" i="21"/>
  <c r="K188" i="21" s="1"/>
  <c r="K202" i="20"/>
  <c r="K220" i="20"/>
  <c r="Q65" i="22"/>
  <c r="Q200" i="22"/>
  <c r="J200" i="20"/>
  <c r="Q144" i="20"/>
  <c r="Q188" i="21"/>
  <c r="Q76" i="23"/>
  <c r="J131" i="23"/>
  <c r="J193" i="23"/>
  <c r="K193" i="23" s="1"/>
  <c r="Q188" i="22"/>
  <c r="Q214" i="21"/>
  <c r="J23" i="20"/>
  <c r="K23" i="20" s="1"/>
  <c r="J26" i="20"/>
  <c r="K26" i="20" s="1"/>
  <c r="Q214" i="22"/>
  <c r="J125" i="22"/>
  <c r="K63" i="20"/>
  <c r="K65" i="20" s="1"/>
  <c r="J168" i="20"/>
  <c r="Q229" i="21"/>
  <c r="Q109" i="21"/>
  <c r="Q108" i="21"/>
  <c r="E1258" i="9"/>
  <c r="F1258" i="9" s="1"/>
  <c r="S45" i="5"/>
  <c r="E45" i="13" s="1"/>
  <c r="E1382" i="9"/>
  <c r="F1382" i="9" s="1"/>
  <c r="I25" i="13"/>
  <c r="E517" i="9"/>
  <c r="F517" i="9" s="1"/>
  <c r="X99" i="5"/>
  <c r="H30" i="11"/>
  <c r="E58" i="25" s="1"/>
  <c r="M30" i="13"/>
  <c r="I30" i="13"/>
  <c r="E30" i="13"/>
  <c r="X90" i="5"/>
  <c r="S27" i="5"/>
  <c r="V27" i="5" s="1"/>
  <c r="E520" i="9"/>
  <c r="F520" i="9" s="1"/>
  <c r="K125" i="5"/>
  <c r="H125" i="5"/>
  <c r="E387" i="9" s="1"/>
  <c r="F387" i="9" s="1"/>
  <c r="K127" i="5"/>
  <c r="E127" i="5"/>
  <c r="E66" i="9" s="1"/>
  <c r="F66" i="9" s="1"/>
  <c r="E983" i="9"/>
  <c r="F983" i="9" s="1"/>
  <c r="E60" i="9"/>
  <c r="F60" i="9" s="1"/>
  <c r="E1132" i="9"/>
  <c r="F1132" i="9" s="1"/>
  <c r="E100" i="9"/>
  <c r="F100" i="9" s="1"/>
  <c r="E24" i="9"/>
  <c r="F24" i="9" s="1"/>
  <c r="E315" i="9"/>
  <c r="F315" i="9" s="1"/>
  <c r="E404" i="9"/>
  <c r="F404" i="9" s="1"/>
  <c r="E474" i="9"/>
  <c r="F474" i="9" s="1"/>
  <c r="E559" i="9"/>
  <c r="F559" i="9" s="1"/>
  <c r="E840" i="9"/>
  <c r="F840" i="9" s="1"/>
  <c r="E946" i="9"/>
  <c r="F946" i="9" s="1"/>
  <c r="E1046" i="9"/>
  <c r="F1046" i="9" s="1"/>
  <c r="E1146" i="9"/>
  <c r="F1146" i="9" s="1"/>
  <c r="E1279" i="9"/>
  <c r="F1279" i="9" s="1"/>
  <c r="E1263" i="9"/>
  <c r="F1263" i="9" s="1"/>
  <c r="E1353" i="9"/>
  <c r="F1353" i="9" s="1"/>
  <c r="E1300" i="9"/>
  <c r="F1300" i="9" s="1"/>
  <c r="E1197" i="9"/>
  <c r="F1197" i="9" s="1"/>
  <c r="E1323" i="9"/>
  <c r="F1323" i="9" s="1"/>
  <c r="E1391" i="9"/>
  <c r="F1391" i="9" s="1"/>
  <c r="E1367" i="9"/>
  <c r="F1367" i="9" s="1"/>
  <c r="E1296" i="9"/>
  <c r="F1296" i="9" s="1"/>
  <c r="E1271" i="9"/>
  <c r="F1271" i="9" s="1"/>
  <c r="E1321" i="9"/>
  <c r="F1321" i="9" s="1"/>
  <c r="E1338" i="9"/>
  <c r="F1338" i="9" s="1"/>
  <c r="E1334" i="9"/>
  <c r="F1334" i="9" s="1"/>
  <c r="E1269" i="9"/>
  <c r="F1269" i="9" s="1"/>
  <c r="E1333" i="9"/>
  <c r="F1333" i="9" s="1"/>
  <c r="E1344" i="9"/>
  <c r="F1344" i="9" s="1"/>
  <c r="E1383" i="9"/>
  <c r="F1383" i="9" s="1"/>
  <c r="E1331" i="9"/>
  <c r="F1331" i="9" s="1"/>
  <c r="E1207" i="9"/>
  <c r="F1207" i="9" s="1"/>
  <c r="E1359" i="9"/>
  <c r="F1359" i="9" s="1"/>
  <c r="E1290" i="9"/>
  <c r="F1290" i="9" s="1"/>
  <c r="E1329" i="9"/>
  <c r="F1329" i="9" s="1"/>
  <c r="E248" i="9"/>
  <c r="F248" i="9" s="1"/>
  <c r="H127" i="5"/>
  <c r="E389" i="9" s="1"/>
  <c r="F389" i="9" s="1"/>
  <c r="G125" i="5"/>
  <c r="E280" i="9" s="1"/>
  <c r="F280" i="9" s="1"/>
  <c r="E174" i="9"/>
  <c r="F174" i="9" s="1"/>
  <c r="E73" i="9"/>
  <c r="F73" i="9" s="1"/>
  <c r="J127" i="5"/>
  <c r="E603" i="9" s="1"/>
  <c r="F603" i="9" s="1"/>
  <c r="I125" i="5"/>
  <c r="E494" i="9" s="1"/>
  <c r="F494" i="9" s="1"/>
  <c r="E249" i="9"/>
  <c r="F249" i="9" s="1"/>
  <c r="E77" i="9"/>
  <c r="F77" i="9" s="1"/>
  <c r="E516" i="9"/>
  <c r="F516" i="9" s="1"/>
  <c r="E589" i="9"/>
  <c r="F589" i="9" s="1"/>
  <c r="E672" i="9"/>
  <c r="F672" i="9" s="1"/>
  <c r="E958" i="9"/>
  <c r="F958" i="9" s="1"/>
  <c r="E1061" i="9"/>
  <c r="F1061" i="9" s="1"/>
  <c r="E1162" i="9"/>
  <c r="F1162" i="9" s="1"/>
  <c r="E133" i="9"/>
  <c r="F133" i="9" s="1"/>
  <c r="E81" i="9"/>
  <c r="F81" i="9" s="1"/>
  <c r="E90" i="9"/>
  <c r="F90" i="9" s="1"/>
  <c r="E208" i="9"/>
  <c r="F208" i="9" s="1"/>
  <c r="E305" i="9"/>
  <c r="F305" i="9" s="1"/>
  <c r="E349" i="9"/>
  <c r="F349" i="9" s="1"/>
  <c r="E446" i="9"/>
  <c r="F446" i="9" s="1"/>
  <c r="E736" i="9"/>
  <c r="F736" i="9" s="1"/>
  <c r="E825" i="9"/>
  <c r="F825" i="9" s="1"/>
  <c r="E918" i="9"/>
  <c r="F918" i="9" s="1"/>
  <c r="E993" i="9"/>
  <c r="F993" i="9" s="1"/>
  <c r="E1099" i="9"/>
  <c r="F1099" i="9" s="1"/>
  <c r="E1394" i="9"/>
  <c r="F1394" i="9" s="1"/>
  <c r="E1203" i="9"/>
  <c r="F1203" i="9" s="1"/>
  <c r="E1340" i="9"/>
  <c r="F1340" i="9" s="1"/>
  <c r="E1199" i="9"/>
  <c r="F1199" i="9" s="1"/>
  <c r="E1390" i="9"/>
  <c r="F1390" i="9" s="1"/>
  <c r="E1309" i="9"/>
  <c r="F1309" i="9" s="1"/>
  <c r="E1272" i="9"/>
  <c r="F1272" i="9" s="1"/>
  <c r="E1348" i="9"/>
  <c r="F1348" i="9" s="1"/>
  <c r="E1260" i="9"/>
  <c r="F1260" i="9" s="1"/>
  <c r="E1388" i="9"/>
  <c r="F1388" i="9" s="1"/>
  <c r="E1307" i="9"/>
  <c r="F1307" i="9" s="1"/>
  <c r="E1224" i="9"/>
  <c r="F1224" i="9" s="1"/>
  <c r="E1306" i="9"/>
  <c r="F1306" i="9" s="1"/>
  <c r="E1223" i="9"/>
  <c r="F1223" i="9" s="1"/>
  <c r="E1318" i="9"/>
  <c r="F1318" i="9" s="1"/>
  <c r="E1317" i="9"/>
  <c r="F1317" i="9" s="1"/>
  <c r="E1267" i="9"/>
  <c r="F1267" i="9" s="1"/>
  <c r="E1316" i="9"/>
  <c r="F1316" i="9" s="1"/>
  <c r="E1266" i="9"/>
  <c r="F1266" i="9" s="1"/>
  <c r="E1342" i="9"/>
  <c r="F1342" i="9" s="1"/>
  <c r="E1265" i="9"/>
  <c r="F1265" i="9" s="1"/>
  <c r="E1301" i="9"/>
  <c r="F1301" i="9" s="1"/>
  <c r="E355" i="9"/>
  <c r="F355" i="9" s="1"/>
  <c r="E176" i="9"/>
  <c r="F176" i="9" s="1"/>
  <c r="E65" i="9"/>
  <c r="F65" i="9" s="1"/>
  <c r="I127" i="5"/>
  <c r="E496" i="9" s="1"/>
  <c r="F496" i="9" s="1"/>
  <c r="J85" i="5"/>
  <c r="E568" i="9" s="1"/>
  <c r="F568" i="9" s="1"/>
  <c r="E85" i="5"/>
  <c r="E31" i="9" s="1"/>
  <c r="F31" i="9" s="1"/>
  <c r="E1313" i="9"/>
  <c r="F1313" i="9" s="1"/>
  <c r="E1204" i="9"/>
  <c r="F1204" i="9" s="1"/>
  <c r="E1314" i="9"/>
  <c r="F1314" i="9" s="1"/>
  <c r="E1379" i="9"/>
  <c r="F1379" i="9" s="1"/>
  <c r="E1361" i="9"/>
  <c r="F1361" i="9" s="1"/>
  <c r="E1303" i="9"/>
  <c r="F1303" i="9" s="1"/>
  <c r="E1360" i="9"/>
  <c r="F1360" i="9" s="1"/>
  <c r="E1277" i="9"/>
  <c r="F1277" i="9" s="1"/>
  <c r="E1332" i="9"/>
  <c r="F1332" i="9" s="1"/>
  <c r="E1305" i="9"/>
  <c r="F1305" i="9" s="1"/>
  <c r="E1362" i="9"/>
  <c r="F1362" i="9" s="1"/>
  <c r="E1351" i="9"/>
  <c r="F1351" i="9" s="1"/>
  <c r="E1319" i="9"/>
  <c r="F1319" i="9" s="1"/>
  <c r="E1387" i="9"/>
  <c r="F1387" i="9" s="1"/>
  <c r="E1376" i="9"/>
  <c r="F1376" i="9" s="1"/>
  <c r="E1335" i="9"/>
  <c r="F1335" i="9" s="1"/>
  <c r="E1231" i="9"/>
  <c r="F1231" i="9" s="1"/>
  <c r="E1299" i="9"/>
  <c r="F1299" i="9" s="1"/>
  <c r="E1322" i="9"/>
  <c r="F1322" i="9" s="1"/>
  <c r="E1389" i="9"/>
  <c r="F1389" i="9" s="1"/>
  <c r="E1310" i="9"/>
  <c r="F1310" i="9" s="1"/>
  <c r="E1297" i="9"/>
  <c r="F1297" i="9" s="1"/>
  <c r="E1349" i="9"/>
  <c r="F1349" i="9" s="1"/>
  <c r="E1250" i="9"/>
  <c r="F1250" i="9" s="1"/>
  <c r="E1339" i="9"/>
  <c r="F1339" i="9" s="1"/>
  <c r="K135" i="5"/>
  <c r="E718" i="9" s="1"/>
  <c r="F718" i="9" s="1"/>
  <c r="E135" i="5"/>
  <c r="E1086" i="9"/>
  <c r="F1086" i="9" s="1"/>
  <c r="E658" i="9"/>
  <c r="F658" i="9" s="1"/>
  <c r="E882" i="9"/>
  <c r="F882" i="9" s="1"/>
  <c r="E981" i="9"/>
  <c r="F981" i="9" s="1"/>
  <c r="E1354" i="9"/>
  <c r="F1354" i="9" s="1"/>
  <c r="E1393" i="9"/>
  <c r="F1393" i="9" s="1"/>
  <c r="E1326" i="9"/>
  <c r="F1326" i="9" s="1"/>
  <c r="E1324" i="9"/>
  <c r="F1324" i="9" s="1"/>
  <c r="E1370" i="9"/>
  <c r="F1370" i="9" s="1"/>
  <c r="E1201" i="9"/>
  <c r="F1201" i="9" s="1"/>
  <c r="E1239" i="9"/>
  <c r="F1239" i="9" s="1"/>
  <c r="E1336" i="9"/>
  <c r="F1336" i="9" s="1"/>
  <c r="E1374" i="9"/>
  <c r="F1374" i="9" s="1"/>
  <c r="E1364" i="9"/>
  <c r="F1364" i="9" s="1"/>
  <c r="E1295" i="9"/>
  <c r="F1295" i="9" s="1"/>
  <c r="E1363" i="9"/>
  <c r="F1363" i="9" s="1"/>
  <c r="E1294" i="9"/>
  <c r="F1294" i="9" s="1"/>
  <c r="E1385" i="9"/>
  <c r="F1385" i="9" s="1"/>
  <c r="E1293" i="9"/>
  <c r="F1293" i="9" s="1"/>
  <c r="E1304" i="9"/>
  <c r="F1304" i="9" s="1"/>
  <c r="E1206" i="9"/>
  <c r="F1206" i="9" s="1"/>
  <c r="E1291" i="9"/>
  <c r="F1291" i="9" s="1"/>
  <c r="E1205" i="9"/>
  <c r="F1205" i="9" s="1"/>
  <c r="E1330" i="9"/>
  <c r="F1330" i="9" s="1"/>
  <c r="E1378" i="9"/>
  <c r="F1378" i="9" s="1"/>
  <c r="E1289" i="9"/>
  <c r="F1289" i="9" s="1"/>
  <c r="F127" i="5"/>
  <c r="E175" i="9" s="1"/>
  <c r="F175" i="9" s="1"/>
  <c r="F125" i="5"/>
  <c r="E173" i="9" s="1"/>
  <c r="F173" i="9" s="1"/>
  <c r="E67" i="9"/>
  <c r="F67" i="9" s="1"/>
  <c r="E497" i="9"/>
  <c r="F497" i="9" s="1"/>
  <c r="E503" i="9"/>
  <c r="F503" i="9" s="1"/>
  <c r="E569" i="9"/>
  <c r="F569" i="9" s="1"/>
  <c r="K126" i="5"/>
  <c r="H126" i="5"/>
  <c r="E388" i="9" s="1"/>
  <c r="F388" i="9" s="1"/>
  <c r="K128" i="5"/>
  <c r="J128" i="5"/>
  <c r="E604" i="9" s="1"/>
  <c r="F604" i="9" s="1"/>
  <c r="H128" i="5"/>
  <c r="E390" i="9" s="1"/>
  <c r="F390" i="9" s="1"/>
  <c r="K87" i="5"/>
  <c r="I87" i="5"/>
  <c r="E463" i="9" s="1"/>
  <c r="F463" i="9" s="1"/>
  <c r="E87" i="5"/>
  <c r="E33" i="9" s="1"/>
  <c r="F33" i="9" s="1"/>
  <c r="J87" i="5"/>
  <c r="E570" i="9" s="1"/>
  <c r="F570" i="9" s="1"/>
  <c r="E979" i="9"/>
  <c r="F979" i="9" s="1"/>
  <c r="E634" i="9"/>
  <c r="F634" i="9" s="1"/>
  <c r="E543" i="9"/>
  <c r="F543" i="9" s="1"/>
  <c r="E539" i="9"/>
  <c r="F539" i="9" s="1"/>
  <c r="E558" i="9"/>
  <c r="F558" i="9" s="1"/>
  <c r="E551" i="9"/>
  <c r="F551" i="9" s="1"/>
  <c r="S65" i="5"/>
  <c r="V65" i="5" s="1"/>
  <c r="E579" i="9"/>
  <c r="F579" i="9" s="1"/>
  <c r="E575" i="9"/>
  <c r="F575" i="9" s="1"/>
  <c r="E588" i="9"/>
  <c r="F588" i="9" s="1"/>
  <c r="E585" i="9"/>
  <c r="F585" i="9" s="1"/>
  <c r="E594" i="9"/>
  <c r="F594" i="9" s="1"/>
  <c r="E590" i="9"/>
  <c r="F590" i="9" s="1"/>
  <c r="E606" i="9"/>
  <c r="F606" i="9" s="1"/>
  <c r="E872" i="9"/>
  <c r="F872" i="9" s="1"/>
  <c r="S167" i="5"/>
  <c r="H171" i="11" s="1"/>
  <c r="E80" i="9"/>
  <c r="F80" i="9" s="1"/>
  <c r="E99" i="9"/>
  <c r="F99" i="9" s="1"/>
  <c r="E89" i="9"/>
  <c r="F89" i="9" s="1"/>
  <c r="E99" i="5"/>
  <c r="E12" i="9"/>
  <c r="F12" i="9" s="1"/>
  <c r="E8" i="9"/>
  <c r="F8" i="9" s="1"/>
  <c r="E4" i="9"/>
  <c r="F4" i="9" s="1"/>
  <c r="E109" i="9"/>
  <c r="F109" i="9" s="1"/>
  <c r="E115" i="9"/>
  <c r="F115" i="9" s="1"/>
  <c r="E117" i="9"/>
  <c r="F117" i="9" s="1"/>
  <c r="E130" i="9"/>
  <c r="F130" i="9" s="1"/>
  <c r="E126" i="9"/>
  <c r="F126" i="9" s="1"/>
  <c r="E123" i="9"/>
  <c r="F123" i="9" s="1"/>
  <c r="E34" i="9"/>
  <c r="F34" i="9" s="1"/>
  <c r="E151" i="9"/>
  <c r="F151" i="9" s="1"/>
  <c r="E149" i="9"/>
  <c r="F149" i="9" s="1"/>
  <c r="E147" i="9"/>
  <c r="F147" i="9" s="1"/>
  <c r="E76" i="9"/>
  <c r="F76" i="9" s="1"/>
  <c r="E51" i="9"/>
  <c r="F51" i="9" s="1"/>
  <c r="E49" i="9"/>
  <c r="F49" i="9" s="1"/>
  <c r="E47" i="9"/>
  <c r="F47" i="9" s="1"/>
  <c r="E167" i="9"/>
  <c r="F167" i="9" s="1"/>
  <c r="E165" i="9"/>
  <c r="F165" i="9" s="1"/>
  <c r="E163" i="9"/>
  <c r="F163" i="9" s="1"/>
  <c r="E180" i="9"/>
  <c r="F180" i="9" s="1"/>
  <c r="E178" i="9"/>
  <c r="F178" i="9" s="1"/>
  <c r="E172" i="9"/>
  <c r="F172" i="9" s="1"/>
  <c r="E170" i="9"/>
  <c r="F170" i="9" s="1"/>
  <c r="E189" i="9"/>
  <c r="F189" i="9" s="1"/>
  <c r="E313" i="9"/>
  <c r="F313" i="9" s="1"/>
  <c r="E221" i="9"/>
  <c r="F221" i="9" s="1"/>
  <c r="E226" i="9"/>
  <c r="F226" i="9" s="1"/>
  <c r="E231" i="9"/>
  <c r="F231" i="9" s="1"/>
  <c r="E246" i="9"/>
  <c r="F246" i="9" s="1"/>
  <c r="E256" i="9"/>
  <c r="F256" i="9" s="1"/>
  <c r="E292" i="9"/>
  <c r="F292" i="9" s="1"/>
  <c r="E265" i="9"/>
  <c r="F265" i="9" s="1"/>
  <c r="E259" i="9"/>
  <c r="F259" i="9" s="1"/>
  <c r="E271" i="9"/>
  <c r="F271" i="9" s="1"/>
  <c r="E287" i="9"/>
  <c r="F287" i="9" s="1"/>
  <c r="E279" i="9"/>
  <c r="F279" i="9" s="1"/>
  <c r="E239" i="9"/>
  <c r="F239" i="9" s="1"/>
  <c r="E405" i="9"/>
  <c r="F405" i="9" s="1"/>
  <c r="H40" i="5"/>
  <c r="E328" i="9"/>
  <c r="F328" i="9" s="1"/>
  <c r="E335" i="9"/>
  <c r="F335" i="9" s="1"/>
  <c r="E331" i="9"/>
  <c r="F331" i="9" s="1"/>
  <c r="E338" i="9"/>
  <c r="F338" i="9" s="1"/>
  <c r="E353" i="9"/>
  <c r="F353" i="9" s="1"/>
  <c r="E362" i="9"/>
  <c r="F362" i="9" s="1"/>
  <c r="E398" i="9"/>
  <c r="F398" i="9" s="1"/>
  <c r="E371" i="9"/>
  <c r="F371" i="9" s="1"/>
  <c r="E381" i="9"/>
  <c r="F381" i="9" s="1"/>
  <c r="E377" i="9"/>
  <c r="F377" i="9" s="1"/>
  <c r="E392" i="9"/>
  <c r="F392" i="9" s="1"/>
  <c r="E384" i="9"/>
  <c r="F384" i="9" s="1"/>
  <c r="E168" i="9"/>
  <c r="F168" i="9" s="1"/>
  <c r="E524" i="9"/>
  <c r="F524" i="9" s="1"/>
  <c r="E525" i="9"/>
  <c r="F525" i="9" s="1"/>
  <c r="E471" i="9"/>
  <c r="F471" i="9" s="1"/>
  <c r="E483" i="9"/>
  <c r="F483" i="9" s="1"/>
  <c r="E485" i="9"/>
  <c r="F485" i="9" s="1"/>
  <c r="E501" i="9"/>
  <c r="F501" i="9" s="1"/>
  <c r="E432" i="9"/>
  <c r="F432" i="9" s="1"/>
  <c r="E434" i="9"/>
  <c r="F434" i="9" s="1"/>
  <c r="E453" i="9"/>
  <c r="F453" i="9" s="1"/>
  <c r="E445" i="9"/>
  <c r="F445" i="9" s="1"/>
  <c r="E459" i="9"/>
  <c r="F459" i="9" s="1"/>
  <c r="E481" i="9"/>
  <c r="F481" i="9" s="1"/>
  <c r="E542" i="9"/>
  <c r="F542" i="9" s="1"/>
  <c r="E545" i="9"/>
  <c r="F545" i="9" s="1"/>
  <c r="E556" i="9"/>
  <c r="F556" i="9" s="1"/>
  <c r="E571" i="9"/>
  <c r="F571" i="9" s="1"/>
  <c r="E587" i="9"/>
  <c r="F587" i="9" s="1"/>
  <c r="E584" i="9"/>
  <c r="F584" i="9" s="1"/>
  <c r="E609" i="9"/>
  <c r="F609" i="9" s="1"/>
  <c r="E597" i="9"/>
  <c r="F597" i="9" s="1"/>
  <c r="E83" i="9"/>
  <c r="F83" i="9" s="1"/>
  <c r="E98" i="9"/>
  <c r="F98" i="9" s="1"/>
  <c r="E92" i="9"/>
  <c r="F92" i="9" s="1"/>
  <c r="E59" i="9"/>
  <c r="F59" i="9" s="1"/>
  <c r="E36" i="9"/>
  <c r="F36" i="9" s="1"/>
  <c r="E27" i="9"/>
  <c r="F27" i="9" s="1"/>
  <c r="S67" i="5"/>
  <c r="J67" i="13" s="1"/>
  <c r="E7" i="9"/>
  <c r="F7" i="9" s="1"/>
  <c r="E108" i="9"/>
  <c r="F108" i="9" s="1"/>
  <c r="E103" i="9"/>
  <c r="F103" i="9" s="1"/>
  <c r="E114" i="9"/>
  <c r="F114" i="9" s="1"/>
  <c r="E122" i="9"/>
  <c r="F122" i="9" s="1"/>
  <c r="E21" i="9"/>
  <c r="F21" i="9" s="1"/>
  <c r="E14" i="9"/>
  <c r="F14" i="9" s="1"/>
  <c r="E139" i="9"/>
  <c r="F139" i="9" s="1"/>
  <c r="E42" i="9"/>
  <c r="F42" i="9" s="1"/>
  <c r="E38" i="9"/>
  <c r="F38" i="9" s="1"/>
  <c r="E159" i="9"/>
  <c r="F159" i="9" s="1"/>
  <c r="E157" i="9"/>
  <c r="F157" i="9" s="1"/>
  <c r="E58" i="9"/>
  <c r="F58" i="9" s="1"/>
  <c r="E56" i="9"/>
  <c r="F56" i="9" s="1"/>
  <c r="E71" i="9"/>
  <c r="F71" i="9" s="1"/>
  <c r="E121" i="9"/>
  <c r="F121" i="9" s="1"/>
  <c r="G31" i="5"/>
  <c r="E219" i="9"/>
  <c r="F219" i="9" s="1"/>
  <c r="E225" i="9"/>
  <c r="F225" i="9" s="1"/>
  <c r="E255" i="9"/>
  <c r="F255" i="9" s="1"/>
  <c r="E291" i="9"/>
  <c r="F291" i="9" s="1"/>
  <c r="E286" i="9"/>
  <c r="F286" i="9" s="1"/>
  <c r="E406" i="9"/>
  <c r="F406" i="9" s="1"/>
  <c r="E418" i="9"/>
  <c r="F418" i="9" s="1"/>
  <c r="E346" i="9"/>
  <c r="F346" i="9" s="1"/>
  <c r="E337" i="9"/>
  <c r="F337" i="9" s="1"/>
  <c r="E361" i="9"/>
  <c r="F361" i="9" s="1"/>
  <c r="E370" i="9"/>
  <c r="F370" i="9" s="1"/>
  <c r="E380" i="9"/>
  <c r="F380" i="9" s="1"/>
  <c r="E376" i="9"/>
  <c r="F376" i="9" s="1"/>
  <c r="E391" i="9"/>
  <c r="F391" i="9" s="1"/>
  <c r="E342" i="9"/>
  <c r="F342" i="9" s="1"/>
  <c r="E438" i="9"/>
  <c r="F438" i="9" s="1"/>
  <c r="E439" i="9"/>
  <c r="F439" i="9" s="1"/>
  <c r="E488" i="9"/>
  <c r="F488" i="9" s="1"/>
  <c r="E437" i="9"/>
  <c r="F437" i="9" s="1"/>
  <c r="E433" i="9"/>
  <c r="F433" i="9" s="1"/>
  <c r="E480" i="9"/>
  <c r="F480" i="9" s="1"/>
  <c r="E476" i="9"/>
  <c r="F476" i="9" s="1"/>
  <c r="E151" i="5"/>
  <c r="E139" i="5"/>
  <c r="I20" i="26"/>
  <c r="Y30" i="5"/>
  <c r="V30" i="5"/>
  <c r="Q25" i="5"/>
  <c r="E1373" i="9" s="1"/>
  <c r="F1373" i="9" s="1"/>
  <c r="I25" i="16"/>
  <c r="S43" i="5"/>
  <c r="J43" i="13" s="1"/>
  <c r="S61" i="5"/>
  <c r="U61" i="13" s="1"/>
  <c r="F110" i="5"/>
  <c r="D18" i="26" s="1"/>
  <c r="S44" i="5"/>
  <c r="O44" i="13" s="1"/>
  <c r="S66" i="5"/>
  <c r="V66" i="5" s="1"/>
  <c r="G69" i="5"/>
  <c r="E12" i="26" s="1"/>
  <c r="E25" i="16"/>
  <c r="E155" i="9"/>
  <c r="F155" i="9" s="1"/>
  <c r="Q39" i="5"/>
  <c r="S39" i="5" s="1"/>
  <c r="I25" i="14"/>
  <c r="I25" i="17"/>
  <c r="S49" i="5"/>
  <c r="H49" i="11" s="1"/>
  <c r="E83" i="25" s="1"/>
  <c r="E534" i="9"/>
  <c r="F534" i="9" s="1"/>
  <c r="E25" i="13"/>
  <c r="H25" i="16"/>
  <c r="S28" i="5"/>
  <c r="U28" i="13" s="1"/>
  <c r="Q24" i="5"/>
  <c r="S24" i="5" s="1"/>
  <c r="U24" i="13" s="1"/>
  <c r="S29" i="5"/>
  <c r="Y29" i="5" s="1"/>
  <c r="E25" i="17"/>
  <c r="S106" i="5"/>
  <c r="U106" i="13" s="1"/>
  <c r="E87" i="9"/>
  <c r="F87" i="9" s="1"/>
  <c r="I118" i="5"/>
  <c r="G17" i="26" s="1"/>
  <c r="G142" i="5"/>
  <c r="E203" i="9"/>
  <c r="F203" i="9" s="1"/>
  <c r="H79" i="5"/>
  <c r="F13" i="26" s="1"/>
  <c r="F79" i="5"/>
  <c r="D13" i="26" s="1"/>
  <c r="H110" i="5"/>
  <c r="F18" i="26" s="1"/>
  <c r="H69" i="5"/>
  <c r="F12" i="26" s="1"/>
  <c r="E142" i="5"/>
  <c r="H118" i="5"/>
  <c r="F17" i="26" s="1"/>
  <c r="I110" i="5"/>
  <c r="G18" i="26" s="1"/>
  <c r="E94" i="9"/>
  <c r="F94" i="9" s="1"/>
  <c r="E294" i="9"/>
  <c r="F294" i="9" s="1"/>
  <c r="F62" i="5"/>
  <c r="D11" i="26" s="1"/>
  <c r="J62" i="5"/>
  <c r="H11" i="26" s="1"/>
  <c r="G110" i="5"/>
  <c r="E18" i="26" s="1"/>
  <c r="J118" i="5"/>
  <c r="H17" i="26" s="1"/>
  <c r="E493" i="9"/>
  <c r="F493" i="9" s="1"/>
  <c r="E477" i="9"/>
  <c r="F477" i="9" s="1"/>
  <c r="J69" i="5"/>
  <c r="E104" i="9"/>
  <c r="F104" i="9" s="1"/>
  <c r="E419" i="9"/>
  <c r="F419" i="9" s="1"/>
  <c r="G79" i="5"/>
  <c r="E13" i="26" s="1"/>
  <c r="I79" i="5"/>
  <c r="G13" i="26" s="1"/>
  <c r="J79" i="5"/>
  <c r="H13" i="26" s="1"/>
  <c r="G62" i="5"/>
  <c r="E11" i="26" s="1"/>
  <c r="F118" i="5"/>
  <c r="D17" i="26" s="1"/>
  <c r="E598" i="9"/>
  <c r="F598" i="9" s="1"/>
  <c r="E546" i="9"/>
  <c r="F546" i="9" s="1"/>
  <c r="I62" i="5"/>
  <c r="G11" i="26" s="1"/>
  <c r="H62" i="5"/>
  <c r="F11" i="26" s="1"/>
  <c r="J110" i="5"/>
  <c r="H18" i="26" s="1"/>
  <c r="G118" i="5"/>
  <c r="E28" i="9"/>
  <c r="F28" i="9" s="1"/>
  <c r="J40" i="5"/>
  <c r="I40" i="5"/>
  <c r="F69" i="5"/>
  <c r="D12" i="26" s="1"/>
  <c r="E22" i="13"/>
  <c r="Q22" i="13"/>
  <c r="H22" i="13"/>
  <c r="E440" i="9"/>
  <c r="F440" i="9" s="1"/>
  <c r="E84" i="9"/>
  <c r="F84" i="9" s="1"/>
  <c r="G40" i="5"/>
  <c r="Q26" i="5"/>
  <c r="E1375" i="9" s="1"/>
  <c r="F1375" i="9" s="1"/>
  <c r="S48" i="5"/>
  <c r="K48" i="13" s="1"/>
  <c r="E19" i="5"/>
  <c r="I69" i="5"/>
  <c r="G12" i="26" s="1"/>
  <c r="F142" i="5"/>
  <c r="S68" i="5"/>
  <c r="Q68" i="13" s="1"/>
  <c r="E681" i="9"/>
  <c r="F681" i="9" s="1"/>
  <c r="E110" i="5"/>
  <c r="O22" i="13"/>
  <c r="M22" i="13"/>
  <c r="E37" i="9"/>
  <c r="F37" i="9" s="1"/>
  <c r="E187" i="9"/>
  <c r="F187" i="9" s="1"/>
  <c r="F22" i="13"/>
  <c r="N22" i="13"/>
  <c r="U22" i="13"/>
  <c r="E78" i="9"/>
  <c r="F78" i="9" s="1"/>
  <c r="I22" i="13"/>
  <c r="G22" i="13"/>
  <c r="E118" i="5"/>
  <c r="P22" i="13"/>
  <c r="E79" i="5"/>
  <c r="V22" i="5"/>
  <c r="H22" i="11"/>
  <c r="E50" i="25" s="1"/>
  <c r="K22" i="13"/>
  <c r="J22" i="13"/>
  <c r="L22" i="13"/>
  <c r="Y22" i="5"/>
  <c r="E40" i="5"/>
  <c r="E62" i="5"/>
  <c r="E50" i="5"/>
  <c r="E9" i="24" s="1"/>
  <c r="E31" i="5"/>
  <c r="E69" i="5"/>
  <c r="E698" i="9"/>
  <c r="F698" i="9" s="1"/>
  <c r="E814" i="9"/>
  <c r="F814" i="9" s="1"/>
  <c r="E723" i="9"/>
  <c r="F723" i="9" s="1"/>
  <c r="K19" i="5"/>
  <c r="E402" i="9"/>
  <c r="F402" i="9" s="1"/>
  <c r="H19" i="5"/>
  <c r="F14" i="21"/>
  <c r="F14" i="22" s="1"/>
  <c r="F14" i="23" s="1"/>
  <c r="E1181" i="9"/>
  <c r="F1181" i="9" s="1"/>
  <c r="R14" i="7"/>
  <c r="R61" i="7" s="1"/>
  <c r="E753" i="9"/>
  <c r="F753" i="9" s="1"/>
  <c r="E1074" i="9"/>
  <c r="F1074" i="9" s="1"/>
  <c r="E646" i="9"/>
  <c r="F646" i="9" s="1"/>
  <c r="E967" i="9"/>
  <c r="F967" i="9" s="1"/>
  <c r="O61" i="21"/>
  <c r="H151" i="21"/>
  <c r="E151" i="22"/>
  <c r="I151" i="21"/>
  <c r="I151" i="20"/>
  <c r="P149" i="20"/>
  <c r="O149" i="20"/>
  <c r="N149" i="21"/>
  <c r="P149" i="21"/>
  <c r="S149" i="21"/>
  <c r="F148" i="23"/>
  <c r="I148" i="22"/>
  <c r="I148" i="21"/>
  <c r="R147" i="21"/>
  <c r="N147" i="21"/>
  <c r="O147" i="21"/>
  <c r="E150" i="22"/>
  <c r="Q150" i="22" s="1"/>
  <c r="I150" i="21"/>
  <c r="S72" i="5"/>
  <c r="L72" i="13" s="1"/>
  <c r="Q146" i="21"/>
  <c r="E146" i="22"/>
  <c r="F146" i="21"/>
  <c r="I146" i="20"/>
  <c r="I166" i="7"/>
  <c r="Q109" i="22"/>
  <c r="R109" i="20"/>
  <c r="P109" i="20"/>
  <c r="M109" i="20"/>
  <c r="O122" i="20"/>
  <c r="I109" i="21"/>
  <c r="E109" i="22"/>
  <c r="O122" i="21"/>
  <c r="S122" i="7"/>
  <c r="J108" i="7"/>
  <c r="K108" i="7" s="1"/>
  <c r="E108" i="22"/>
  <c r="Q108" i="22" s="1"/>
  <c r="I108" i="21"/>
  <c r="S108" i="20"/>
  <c r="J108" i="20" s="1"/>
  <c r="K108" i="20" s="1"/>
  <c r="R107" i="20"/>
  <c r="S107" i="20"/>
  <c r="M107" i="20"/>
  <c r="P107" i="20"/>
  <c r="F107" i="23"/>
  <c r="I107" i="22"/>
  <c r="O122" i="23"/>
  <c r="F104" i="23"/>
  <c r="I104" i="23" s="1"/>
  <c r="I104" i="22"/>
  <c r="I104" i="21"/>
  <c r="O122" i="22"/>
  <c r="F103" i="23"/>
  <c r="I103" i="22"/>
  <c r="I103" i="21"/>
  <c r="P122" i="7"/>
  <c r="S102" i="21"/>
  <c r="M102" i="21"/>
  <c r="O122" i="7"/>
  <c r="R122" i="7"/>
  <c r="M122" i="7"/>
  <c r="H79" i="22"/>
  <c r="Q79" i="21"/>
  <c r="Q100" i="21" s="1"/>
  <c r="F79" i="23"/>
  <c r="E79" i="22"/>
  <c r="E79" i="23" s="1"/>
  <c r="I79" i="21"/>
  <c r="I79" i="20"/>
  <c r="Q79" i="20"/>
  <c r="Q100" i="20" s="1"/>
  <c r="E756" i="9"/>
  <c r="F756" i="9" s="1"/>
  <c r="E14" i="22"/>
  <c r="Q14" i="21"/>
  <c r="M14" i="20"/>
  <c r="S14" i="20"/>
  <c r="P14" i="20"/>
  <c r="F13" i="21"/>
  <c r="P13" i="20"/>
  <c r="R13" i="20"/>
  <c r="M13" i="20"/>
  <c r="S13" i="20"/>
  <c r="E13" i="22"/>
  <c r="Q13" i="21"/>
  <c r="F10" i="23"/>
  <c r="I10" i="22"/>
  <c r="I10" i="21"/>
  <c r="S61" i="7"/>
  <c r="F156" i="22"/>
  <c r="I156" i="21"/>
  <c r="H156" i="22"/>
  <c r="Q156" i="21"/>
  <c r="J153" i="20"/>
  <c r="S154" i="21"/>
  <c r="O154" i="21"/>
  <c r="P154" i="21"/>
  <c r="R154" i="21"/>
  <c r="N154" i="21"/>
  <c r="S154" i="20"/>
  <c r="O154" i="20"/>
  <c r="N154" i="20"/>
  <c r="R154" i="20"/>
  <c r="P154" i="20"/>
  <c r="H154" i="23"/>
  <c r="Q154" i="23" s="1"/>
  <c r="Q154" i="22"/>
  <c r="O153" i="23"/>
  <c r="S153" i="23"/>
  <c r="R153" i="23"/>
  <c r="N153" i="23"/>
  <c r="P153" i="23"/>
  <c r="H155" i="22"/>
  <c r="Q155" i="21"/>
  <c r="J155" i="21" s="1"/>
  <c r="K155" i="21" s="1"/>
  <c r="E154" i="23"/>
  <c r="I154" i="23" s="1"/>
  <c r="I154" i="22"/>
  <c r="S155" i="23"/>
  <c r="O155" i="23"/>
  <c r="R155" i="23"/>
  <c r="P155" i="23"/>
  <c r="N155" i="23"/>
  <c r="R155" i="22"/>
  <c r="S155" i="22"/>
  <c r="O155" i="22"/>
  <c r="P155" i="22"/>
  <c r="N155" i="22"/>
  <c r="J153" i="7"/>
  <c r="Q155" i="20"/>
  <c r="J155" i="20" s="1"/>
  <c r="K155" i="20" s="1"/>
  <c r="Q153" i="22"/>
  <c r="I153" i="22"/>
  <c r="Q156" i="20"/>
  <c r="J156" i="20" s="1"/>
  <c r="K156" i="20" s="1"/>
  <c r="Q116" i="21"/>
  <c r="H116" i="22"/>
  <c r="H112" i="23"/>
  <c r="Q112" i="23" s="1"/>
  <c r="Q112" i="22"/>
  <c r="F116" i="22"/>
  <c r="I116" i="21"/>
  <c r="R113" i="21"/>
  <c r="P113" i="21"/>
  <c r="S113" i="21"/>
  <c r="M113" i="21"/>
  <c r="F115" i="22"/>
  <c r="I115" i="21"/>
  <c r="S113" i="23"/>
  <c r="R113" i="23"/>
  <c r="P113" i="23"/>
  <c r="M113" i="23"/>
  <c r="Q122" i="20"/>
  <c r="K113" i="7"/>
  <c r="I117" i="22"/>
  <c r="F117" i="23"/>
  <c r="I117" i="23" s="1"/>
  <c r="F112" i="22"/>
  <c r="I112" i="21"/>
  <c r="F114" i="22"/>
  <c r="I114" i="21"/>
  <c r="R112" i="20"/>
  <c r="I115" i="20"/>
  <c r="I114" i="20"/>
  <c r="I116" i="20"/>
  <c r="J116" i="7"/>
  <c r="K116" i="7" s="1"/>
  <c r="P112" i="20"/>
  <c r="M112" i="20"/>
  <c r="I113" i="22"/>
  <c r="I117" i="21"/>
  <c r="Q116" i="20"/>
  <c r="Q114" i="22"/>
  <c r="E25" i="22"/>
  <c r="E25" i="23" s="1"/>
  <c r="I25" i="21"/>
  <c r="M61" i="7"/>
  <c r="I24" i="20"/>
  <c r="O61" i="23"/>
  <c r="J27" i="7"/>
  <c r="K27" i="7" s="1"/>
  <c r="T27" i="7" s="1"/>
  <c r="J22" i="7"/>
  <c r="K22" i="7" s="1"/>
  <c r="K20" i="7"/>
  <c r="J24" i="7"/>
  <c r="K24" i="7" s="1"/>
  <c r="H22" i="22"/>
  <c r="Q22" i="21"/>
  <c r="F24" i="22"/>
  <c r="I24" i="21"/>
  <c r="F28" i="22"/>
  <c r="I28" i="21"/>
  <c r="F23" i="22"/>
  <c r="I23" i="21"/>
  <c r="F20" i="22"/>
  <c r="I20" i="21"/>
  <c r="O61" i="7"/>
  <c r="O61" i="22"/>
  <c r="I21" i="21"/>
  <c r="H20" i="21"/>
  <c r="Q20" i="20"/>
  <c r="H29" i="22"/>
  <c r="Q29" i="21"/>
  <c r="M25" i="20"/>
  <c r="P25" i="20"/>
  <c r="R25" i="20"/>
  <c r="F25" i="23"/>
  <c r="M22" i="20"/>
  <c r="P22" i="20"/>
  <c r="R22" i="20"/>
  <c r="S22" i="20"/>
  <c r="O61" i="20"/>
  <c r="H28" i="23"/>
  <c r="Q28" i="23" s="1"/>
  <c r="Q28" i="22"/>
  <c r="F26" i="23"/>
  <c r="I26" i="23" s="1"/>
  <c r="I26" i="22"/>
  <c r="J25" i="7"/>
  <c r="K25" i="7" s="1"/>
  <c r="E26" i="22"/>
  <c r="E26" i="23" s="1"/>
  <c r="I26" i="21"/>
  <c r="H23" i="22"/>
  <c r="Q23" i="21"/>
  <c r="I19" i="22"/>
  <c r="F29" i="21"/>
  <c r="I29" i="20"/>
  <c r="F27" i="21"/>
  <c r="I27" i="20"/>
  <c r="F21" i="23"/>
  <c r="I21" i="23" s="1"/>
  <c r="I21" i="22"/>
  <c r="S19" i="20"/>
  <c r="R19" i="20"/>
  <c r="M19" i="20"/>
  <c r="P19" i="20"/>
  <c r="H27" i="23"/>
  <c r="Q27" i="23" s="1"/>
  <c r="I28" i="20"/>
  <c r="Q26" i="22"/>
  <c r="Q25" i="21"/>
  <c r="H21" i="21"/>
  <c r="R34" i="20" l="1"/>
  <c r="M34" i="20"/>
  <c r="S34" i="20"/>
  <c r="P34" i="20"/>
  <c r="M34" i="21"/>
  <c r="P34" i="21"/>
  <c r="R34" i="21"/>
  <c r="S34" i="21"/>
  <c r="S34" i="22"/>
  <c r="M34" i="22"/>
  <c r="P34" i="22"/>
  <c r="R34" i="22"/>
  <c r="P34" i="23"/>
  <c r="S34" i="23"/>
  <c r="R34" i="23"/>
  <c r="M34" i="23"/>
  <c r="I33" i="22"/>
  <c r="P33" i="22" s="1"/>
  <c r="M33" i="22"/>
  <c r="H32" i="22"/>
  <c r="Q32" i="21"/>
  <c r="R33" i="21"/>
  <c r="M33" i="21"/>
  <c r="S33" i="21"/>
  <c r="P33" i="21"/>
  <c r="R33" i="23"/>
  <c r="M33" i="23"/>
  <c r="P33" i="23"/>
  <c r="S33" i="23"/>
  <c r="J30" i="20"/>
  <c r="K30" i="20" s="1"/>
  <c r="M31" i="21"/>
  <c r="P31" i="21"/>
  <c r="R31" i="21"/>
  <c r="S31" i="21"/>
  <c r="I32" i="22"/>
  <c r="E32" i="23"/>
  <c r="I32" i="23" s="1"/>
  <c r="R32" i="21"/>
  <c r="P32" i="21"/>
  <c r="M32" i="21"/>
  <c r="S32" i="21"/>
  <c r="S31" i="22"/>
  <c r="M31" i="22"/>
  <c r="P31" i="22"/>
  <c r="R31" i="22"/>
  <c r="M31" i="23"/>
  <c r="R31" i="23"/>
  <c r="P31" i="23"/>
  <c r="S31" i="23"/>
  <c r="M30" i="21"/>
  <c r="P30" i="21"/>
  <c r="S30" i="21"/>
  <c r="R30" i="21"/>
  <c r="E30" i="23"/>
  <c r="I30" i="23" s="1"/>
  <c r="I30" i="22"/>
  <c r="Q61" i="20"/>
  <c r="H31" i="22"/>
  <c r="Q31" i="21"/>
  <c r="H30" i="23"/>
  <c r="Q30" i="23" s="1"/>
  <c r="Q30" i="22"/>
  <c r="J203" i="20"/>
  <c r="K203" i="20" s="1"/>
  <c r="K214" i="20" s="1"/>
  <c r="I203" i="22"/>
  <c r="E203" i="23"/>
  <c r="I203" i="23" s="1"/>
  <c r="R203" i="21"/>
  <c r="P203" i="21"/>
  <c r="S203" i="21"/>
  <c r="O203" i="21"/>
  <c r="N203" i="21"/>
  <c r="E202" i="23"/>
  <c r="I202" i="23" s="1"/>
  <c r="I202" i="22"/>
  <c r="P202" i="21"/>
  <c r="O202" i="21"/>
  <c r="O214" i="21" s="1"/>
  <c r="S202" i="21"/>
  <c r="N202" i="21"/>
  <c r="R202" i="21"/>
  <c r="I214" i="21"/>
  <c r="L67" i="11" s="1"/>
  <c r="Q111" i="22"/>
  <c r="R113" i="20"/>
  <c r="M113" i="20"/>
  <c r="S113" i="20"/>
  <c r="P113" i="20"/>
  <c r="E107" i="23"/>
  <c r="Q107" i="23" s="1"/>
  <c r="Q107" i="22"/>
  <c r="I107" i="23"/>
  <c r="R107" i="21"/>
  <c r="S107" i="21"/>
  <c r="M107" i="21"/>
  <c r="P107" i="21"/>
  <c r="I102" i="22"/>
  <c r="P103" i="20"/>
  <c r="M103" i="20"/>
  <c r="R103" i="20"/>
  <c r="S103" i="20"/>
  <c r="J80" i="21"/>
  <c r="K80" i="21" s="1"/>
  <c r="R78" i="22"/>
  <c r="M78" i="22"/>
  <c r="S78" i="22"/>
  <c r="P78" i="22"/>
  <c r="P80" i="23"/>
  <c r="S80" i="23"/>
  <c r="M80" i="23"/>
  <c r="R80" i="23"/>
  <c r="P83" i="23"/>
  <c r="M83" i="23"/>
  <c r="R83" i="23"/>
  <c r="Q82" i="22"/>
  <c r="E82" i="23"/>
  <c r="Q82" i="23" s="1"/>
  <c r="I80" i="22"/>
  <c r="P80" i="22" s="1"/>
  <c r="Q81" i="22"/>
  <c r="E81" i="23"/>
  <c r="Q81" i="23" s="1"/>
  <c r="S59" i="5"/>
  <c r="V59" i="5" s="1"/>
  <c r="I79" i="23"/>
  <c r="J83" i="23"/>
  <c r="K83" i="23" s="1"/>
  <c r="Q80" i="22"/>
  <c r="H80" i="23"/>
  <c r="Q80" i="23" s="1"/>
  <c r="R80" i="22"/>
  <c r="S82" i="21"/>
  <c r="P82" i="21"/>
  <c r="M82" i="21"/>
  <c r="R82" i="21"/>
  <c r="J83" i="20"/>
  <c r="K83" i="20" s="1"/>
  <c r="S81" i="21"/>
  <c r="R81" i="21"/>
  <c r="M81" i="21"/>
  <c r="P81" i="21"/>
  <c r="I81" i="22"/>
  <c r="F81" i="23"/>
  <c r="I81" i="23" s="1"/>
  <c r="S82" i="22"/>
  <c r="R82" i="22"/>
  <c r="P82" i="22"/>
  <c r="M82" i="22"/>
  <c r="J83" i="21"/>
  <c r="K83" i="21" s="1"/>
  <c r="R81" i="20"/>
  <c r="S81" i="20"/>
  <c r="M81" i="20"/>
  <c r="P81" i="20"/>
  <c r="S83" i="22"/>
  <c r="M83" i="22"/>
  <c r="P83" i="22"/>
  <c r="R83" i="22"/>
  <c r="J80" i="7"/>
  <c r="I68" i="7"/>
  <c r="I76" i="7" s="1"/>
  <c r="K216" i="7"/>
  <c r="K229" i="7" s="1"/>
  <c r="R153" i="21"/>
  <c r="S153" i="21"/>
  <c r="O153" i="21"/>
  <c r="P153" i="21"/>
  <c r="N153" i="21"/>
  <c r="R149" i="22"/>
  <c r="S149" i="22"/>
  <c r="O149" i="22"/>
  <c r="P149" i="22"/>
  <c r="N149" i="22"/>
  <c r="E148" i="23"/>
  <c r="Q148" i="23" s="1"/>
  <c r="Q148" i="22"/>
  <c r="Q147" i="22"/>
  <c r="E147" i="23"/>
  <c r="Q147" i="23" s="1"/>
  <c r="R106" i="21"/>
  <c r="S106" i="21"/>
  <c r="M106" i="21"/>
  <c r="P106" i="21"/>
  <c r="J104" i="20"/>
  <c r="K104" i="20" s="1"/>
  <c r="E106" i="23"/>
  <c r="I106" i="22"/>
  <c r="Q106" i="22"/>
  <c r="J107" i="20"/>
  <c r="K107" i="20" s="1"/>
  <c r="I111" i="23"/>
  <c r="J109" i="20"/>
  <c r="K109" i="20" s="1"/>
  <c r="I111" i="22"/>
  <c r="R111" i="22" s="1"/>
  <c r="J106" i="20"/>
  <c r="K106" i="20" s="1"/>
  <c r="R110" i="21"/>
  <c r="S110" i="21"/>
  <c r="M110" i="21"/>
  <c r="P110" i="21"/>
  <c r="I110" i="22"/>
  <c r="E110" i="23"/>
  <c r="Q11" i="21"/>
  <c r="J11" i="21" s="1"/>
  <c r="K11" i="21" s="1"/>
  <c r="H11" i="22"/>
  <c r="J15" i="20"/>
  <c r="K15" i="20" s="1"/>
  <c r="Q15" i="21"/>
  <c r="H15" i="22"/>
  <c r="Q17" i="21"/>
  <c r="H17" i="22"/>
  <c r="S15" i="21"/>
  <c r="P15" i="21"/>
  <c r="R15" i="21"/>
  <c r="M15" i="21"/>
  <c r="H8" i="23"/>
  <c r="Q8" i="23" s="1"/>
  <c r="Q8" i="22"/>
  <c r="J8" i="22" s="1"/>
  <c r="K8" i="22" s="1"/>
  <c r="I14" i="21"/>
  <c r="P14" i="21" s="1"/>
  <c r="H38" i="11"/>
  <c r="E69" i="25" s="1"/>
  <c r="J57" i="13"/>
  <c r="E57" i="13"/>
  <c r="H57" i="13"/>
  <c r="I57" i="13"/>
  <c r="U57" i="13"/>
  <c r="L57" i="13"/>
  <c r="V57" i="5"/>
  <c r="G38" i="13"/>
  <c r="I38" i="13"/>
  <c r="P57" i="13"/>
  <c r="F57" i="13"/>
  <c r="E38" i="13"/>
  <c r="E40" i="13" s="1"/>
  <c r="H57" i="11"/>
  <c r="K38" i="13"/>
  <c r="H38" i="13"/>
  <c r="K57" i="13"/>
  <c r="O57" i="13"/>
  <c r="Y57" i="5"/>
  <c r="G57" i="13"/>
  <c r="M57" i="13"/>
  <c r="Y38" i="5"/>
  <c r="F38" i="13"/>
  <c r="J38" i="13"/>
  <c r="Q57" i="13"/>
  <c r="M38" i="13"/>
  <c r="U38" i="13"/>
  <c r="O38" i="13"/>
  <c r="N38" i="13"/>
  <c r="Q38" i="13"/>
  <c r="P38" i="13"/>
  <c r="L38" i="13"/>
  <c r="S60" i="5"/>
  <c r="U60" i="13" s="1"/>
  <c r="P105" i="21"/>
  <c r="R105" i="21"/>
  <c r="S105" i="21"/>
  <c r="M105" i="21"/>
  <c r="I105" i="22"/>
  <c r="E105" i="23"/>
  <c r="R102" i="21"/>
  <c r="J102" i="21" s="1"/>
  <c r="K102" i="21" s="1"/>
  <c r="E103" i="23"/>
  <c r="Q103" i="23" s="1"/>
  <c r="Q103" i="22"/>
  <c r="H152" i="22"/>
  <c r="Q152" i="21"/>
  <c r="O152" i="20"/>
  <c r="R152" i="20"/>
  <c r="P152" i="20"/>
  <c r="N152" i="20"/>
  <c r="S152" i="20"/>
  <c r="N152" i="21"/>
  <c r="R152" i="21"/>
  <c r="P152" i="21"/>
  <c r="S152" i="21"/>
  <c r="O152" i="21"/>
  <c r="E152" i="23"/>
  <c r="I152" i="23" s="1"/>
  <c r="I152" i="22"/>
  <c r="J149" i="20"/>
  <c r="K149" i="20" s="1"/>
  <c r="R149" i="21"/>
  <c r="O149" i="21"/>
  <c r="Q149" i="22"/>
  <c r="J149" i="22" s="1"/>
  <c r="K149" i="22" s="1"/>
  <c r="E149" i="23"/>
  <c r="R150" i="20"/>
  <c r="S150" i="20"/>
  <c r="P150" i="20"/>
  <c r="O150" i="20"/>
  <c r="N150" i="20"/>
  <c r="I166" i="20"/>
  <c r="J64" i="11" s="1"/>
  <c r="N229" i="22"/>
  <c r="N216" i="23"/>
  <c r="N229" i="23" s="1"/>
  <c r="P216" i="23"/>
  <c r="P229" i="23" s="1"/>
  <c r="O216" i="23"/>
  <c r="O229" i="23" s="1"/>
  <c r="I229" i="23"/>
  <c r="P68" i="11" s="1"/>
  <c r="S216" i="23"/>
  <c r="S229" i="23" s="1"/>
  <c r="J229" i="20"/>
  <c r="H12" i="26"/>
  <c r="J216" i="21"/>
  <c r="E216" i="23"/>
  <c r="Q216" i="23" s="1"/>
  <c r="Q216" i="22"/>
  <c r="Q229" i="22" s="1"/>
  <c r="U121" i="13"/>
  <c r="U27" i="13"/>
  <c r="V27" i="13" s="1"/>
  <c r="Y121" i="5"/>
  <c r="J121" i="11"/>
  <c r="L121" i="11" s="1"/>
  <c r="I231" i="25" s="1"/>
  <c r="O45" i="13"/>
  <c r="Q45" i="13"/>
  <c r="H45" i="11"/>
  <c r="E79" i="25" s="1"/>
  <c r="Y45" i="5"/>
  <c r="Y27" i="5"/>
  <c r="I45" i="13"/>
  <c r="J45" i="13"/>
  <c r="V121" i="5"/>
  <c r="G45" i="13"/>
  <c r="U78" i="13"/>
  <c r="H78" i="11"/>
  <c r="E179" i="25" s="1"/>
  <c r="E136" i="5"/>
  <c r="H27" i="11"/>
  <c r="E55" i="25" s="1"/>
  <c r="H121" i="13"/>
  <c r="G136" i="5"/>
  <c r="E16" i="26" s="1"/>
  <c r="K45" i="13"/>
  <c r="F45" i="13"/>
  <c r="L45" i="13"/>
  <c r="V61" i="5"/>
  <c r="U45" i="13"/>
  <c r="M45" i="13"/>
  <c r="N45" i="13"/>
  <c r="P45" i="13"/>
  <c r="J65" i="13"/>
  <c r="V45" i="5"/>
  <c r="H45" i="13"/>
  <c r="V78" i="5"/>
  <c r="E1249" i="9"/>
  <c r="F1249" i="9" s="1"/>
  <c r="E1142" i="9"/>
  <c r="F1142" i="9" s="1"/>
  <c r="H66" i="11"/>
  <c r="Y28" i="5"/>
  <c r="G43" i="13"/>
  <c r="X144" i="5"/>
  <c r="X146" i="5" s="1"/>
  <c r="U67" i="13"/>
  <c r="O67" i="13"/>
  <c r="G66" i="13"/>
  <c r="Y67" i="5"/>
  <c r="Q67" i="13"/>
  <c r="U66" i="13"/>
  <c r="H67" i="13"/>
  <c r="V28" i="5"/>
  <c r="L142" i="5"/>
  <c r="J20" i="26"/>
  <c r="S165" i="5"/>
  <c r="H169" i="11" s="1"/>
  <c r="E789" i="9"/>
  <c r="F789" i="9" s="1"/>
  <c r="E816" i="9"/>
  <c r="F816" i="9" s="1"/>
  <c r="H28" i="11"/>
  <c r="E56" i="25" s="1"/>
  <c r="H61" i="11"/>
  <c r="O43" i="13"/>
  <c r="Q66" i="13"/>
  <c r="Y61" i="5"/>
  <c r="E43" i="13"/>
  <c r="P66" i="13"/>
  <c r="O66" i="13"/>
  <c r="H43" i="13"/>
  <c r="N43" i="13"/>
  <c r="J66" i="13"/>
  <c r="K66" i="13"/>
  <c r="E834" i="9"/>
  <c r="F834" i="9" s="1"/>
  <c r="V43" i="5"/>
  <c r="M43" i="13"/>
  <c r="I43" i="13"/>
  <c r="N66" i="13"/>
  <c r="E66" i="13"/>
  <c r="P65" i="13"/>
  <c r="H43" i="11"/>
  <c r="E77" i="25" s="1"/>
  <c r="Y43" i="5"/>
  <c r="H66" i="13"/>
  <c r="N65" i="13"/>
  <c r="F43" i="13"/>
  <c r="Q43" i="13"/>
  <c r="I66" i="13"/>
  <c r="Y66" i="5"/>
  <c r="Q61" i="13"/>
  <c r="S61" i="13" s="1"/>
  <c r="U61" i="14" s="1"/>
  <c r="F67" i="13"/>
  <c r="H67" i="11"/>
  <c r="L67" i="13"/>
  <c r="F49" i="13"/>
  <c r="F65" i="13"/>
  <c r="M65" i="13"/>
  <c r="H44" i="11"/>
  <c r="E78" i="25" s="1"/>
  <c r="E90" i="5"/>
  <c r="N67" i="13"/>
  <c r="G67" i="13"/>
  <c r="M67" i="13"/>
  <c r="G65" i="13"/>
  <c r="K65" i="13"/>
  <c r="Y65" i="5"/>
  <c r="C17" i="26"/>
  <c r="C18" i="26"/>
  <c r="E65" i="13"/>
  <c r="H65" i="11"/>
  <c r="F136" i="5"/>
  <c r="D16" i="26" s="1"/>
  <c r="C15" i="26"/>
  <c r="C11" i="26"/>
  <c r="O65" i="13"/>
  <c r="I136" i="5"/>
  <c r="G16" i="26" s="1"/>
  <c r="H136" i="5"/>
  <c r="F16" i="26" s="1"/>
  <c r="P67" i="13"/>
  <c r="E67" i="13"/>
  <c r="I67" i="13"/>
  <c r="V67" i="5"/>
  <c r="Q65" i="13"/>
  <c r="H65" i="13"/>
  <c r="C13" i="26"/>
  <c r="I65" i="13"/>
  <c r="K67" i="13"/>
  <c r="U65" i="13"/>
  <c r="L65" i="13"/>
  <c r="J136" i="5"/>
  <c r="H16" i="26" s="1"/>
  <c r="S30" i="13"/>
  <c r="K30" i="14" s="1"/>
  <c r="J78" i="23"/>
  <c r="K78" i="23" s="1"/>
  <c r="J147" i="20"/>
  <c r="K147" i="20" s="1"/>
  <c r="S147" i="21"/>
  <c r="P147" i="21"/>
  <c r="R147" i="22"/>
  <c r="S147" i="22"/>
  <c r="O147" i="22"/>
  <c r="P147" i="22"/>
  <c r="N147" i="22"/>
  <c r="M16" i="23"/>
  <c r="S16" i="23"/>
  <c r="R16" i="23"/>
  <c r="P16" i="23"/>
  <c r="P16" i="22"/>
  <c r="R16" i="22"/>
  <c r="M16" i="22"/>
  <c r="S16" i="22"/>
  <c r="R15" i="23"/>
  <c r="P15" i="23"/>
  <c r="S15" i="23"/>
  <c r="M15" i="23"/>
  <c r="M15" i="22"/>
  <c r="S15" i="22"/>
  <c r="R15" i="22"/>
  <c r="P15" i="22"/>
  <c r="P8" i="23"/>
  <c r="R8" i="23"/>
  <c r="M8" i="23"/>
  <c r="S8" i="23"/>
  <c r="M11" i="22"/>
  <c r="P11" i="22"/>
  <c r="S11" i="22"/>
  <c r="R11" i="22"/>
  <c r="I11" i="23"/>
  <c r="J7" i="21"/>
  <c r="K7" i="21" s="1"/>
  <c r="R7" i="22"/>
  <c r="P7" i="22"/>
  <c r="S7" i="22"/>
  <c r="M7" i="22"/>
  <c r="Q7" i="23"/>
  <c r="I7" i="23"/>
  <c r="J111" i="20"/>
  <c r="K111" i="20" s="1"/>
  <c r="S111" i="21"/>
  <c r="M111" i="21"/>
  <c r="P111" i="21"/>
  <c r="R111" i="21"/>
  <c r="Q102" i="22"/>
  <c r="E102" i="23"/>
  <c r="Q102" i="23" s="1"/>
  <c r="R102" i="20"/>
  <c r="M102" i="20"/>
  <c r="P102" i="20"/>
  <c r="S102" i="20"/>
  <c r="R111" i="23"/>
  <c r="M111" i="23"/>
  <c r="S111" i="23"/>
  <c r="P111" i="23"/>
  <c r="M111" i="22"/>
  <c r="P111" i="22"/>
  <c r="J13" i="7"/>
  <c r="K13" i="7" s="1"/>
  <c r="E10" i="23"/>
  <c r="Q10" i="23" s="1"/>
  <c r="Q10" i="22"/>
  <c r="J13" i="20"/>
  <c r="K13" i="20" s="1"/>
  <c r="R20" i="20"/>
  <c r="M20" i="20"/>
  <c r="P20" i="20"/>
  <c r="S20" i="20"/>
  <c r="I19" i="21"/>
  <c r="M19" i="21" s="1"/>
  <c r="R12" i="21"/>
  <c r="P12" i="21"/>
  <c r="M12" i="21"/>
  <c r="S12" i="21"/>
  <c r="M12" i="22"/>
  <c r="S12" i="22"/>
  <c r="R12" i="22"/>
  <c r="P12" i="22"/>
  <c r="Q12" i="22"/>
  <c r="E12" i="23"/>
  <c r="Q12" i="23" s="1"/>
  <c r="J18" i="20"/>
  <c r="K18" i="20" s="1"/>
  <c r="E9" i="22"/>
  <c r="I9" i="21"/>
  <c r="Q9" i="21"/>
  <c r="J9" i="20"/>
  <c r="K9" i="20" s="1"/>
  <c r="S18" i="21"/>
  <c r="P18" i="21"/>
  <c r="M18" i="21"/>
  <c r="P17" i="20"/>
  <c r="S17" i="20"/>
  <c r="M17" i="20"/>
  <c r="R17" i="20"/>
  <c r="I17" i="22"/>
  <c r="F17" i="23"/>
  <c r="I17" i="23" s="1"/>
  <c r="P17" i="21"/>
  <c r="M17" i="21"/>
  <c r="R17" i="21"/>
  <c r="S17" i="21"/>
  <c r="Q18" i="21"/>
  <c r="H18" i="22"/>
  <c r="E18" i="23"/>
  <c r="I18" i="22"/>
  <c r="Q122" i="21"/>
  <c r="K200" i="23"/>
  <c r="K144" i="21"/>
  <c r="J144" i="21"/>
  <c r="Q166" i="20"/>
  <c r="J188" i="20"/>
  <c r="K168" i="20"/>
  <c r="K188" i="20" s="1"/>
  <c r="K125" i="22"/>
  <c r="K144" i="22" s="1"/>
  <c r="J144" i="22"/>
  <c r="J144" i="23"/>
  <c r="K131" i="23"/>
  <c r="K144" i="23" s="1"/>
  <c r="J200" i="23"/>
  <c r="K43" i="13"/>
  <c r="K20" i="26"/>
  <c r="E936" i="9"/>
  <c r="F936" i="9" s="1"/>
  <c r="M142" i="5"/>
  <c r="L66" i="13"/>
  <c r="M66" i="13"/>
  <c r="F66" i="13"/>
  <c r="P43" i="13"/>
  <c r="E74" i="9"/>
  <c r="F74" i="9" s="1"/>
  <c r="S135" i="5"/>
  <c r="V44" i="5"/>
  <c r="J44" i="13"/>
  <c r="N44" i="13"/>
  <c r="I44" i="13"/>
  <c r="N49" i="13"/>
  <c r="E179" i="13"/>
  <c r="F176" i="13" s="1"/>
  <c r="F179" i="13" s="1"/>
  <c r="G176" i="13" s="1"/>
  <c r="G179" i="13" s="1"/>
  <c r="H176" i="13" s="1"/>
  <c r="H179" i="13" s="1"/>
  <c r="I176" i="13" s="1"/>
  <c r="I179" i="13" s="1"/>
  <c r="J176" i="13" s="1"/>
  <c r="J179" i="13" s="1"/>
  <c r="K176" i="13" s="1"/>
  <c r="K179" i="13" s="1"/>
  <c r="L176" i="13" s="1"/>
  <c r="L179" i="13" s="1"/>
  <c r="M176" i="13" s="1"/>
  <c r="M179" i="13" s="1"/>
  <c r="N176" i="13" s="1"/>
  <c r="N179" i="13" s="1"/>
  <c r="O176" i="13" s="1"/>
  <c r="O179" i="13" s="1"/>
  <c r="P176" i="13" s="1"/>
  <c r="P179" i="13" s="1"/>
  <c r="E176" i="14" s="1"/>
  <c r="V68" i="5"/>
  <c r="U44" i="13"/>
  <c r="Q44" i="13"/>
  <c r="P44" i="13"/>
  <c r="M44" i="13"/>
  <c r="F44" i="13"/>
  <c r="V49" i="5"/>
  <c r="G49" i="13"/>
  <c r="H29" i="11"/>
  <c r="E57" i="25" s="1"/>
  <c r="Q49" i="13"/>
  <c r="Y49" i="5"/>
  <c r="G44" i="13"/>
  <c r="H44" i="13"/>
  <c r="J49" i="13"/>
  <c r="U49" i="13"/>
  <c r="L49" i="13"/>
  <c r="E49" i="13"/>
  <c r="U29" i="13"/>
  <c r="K44" i="13"/>
  <c r="L44" i="13"/>
  <c r="Y44" i="5"/>
  <c r="E44" i="13"/>
  <c r="H49" i="13"/>
  <c r="I49" i="13"/>
  <c r="V29" i="5"/>
  <c r="K49" i="13"/>
  <c r="P49" i="13"/>
  <c r="E788" i="9"/>
  <c r="F788" i="9" s="1"/>
  <c r="V106" i="5"/>
  <c r="H68" i="13"/>
  <c r="U43" i="13"/>
  <c r="L43" i="13"/>
  <c r="Y68" i="5"/>
  <c r="L68" i="13"/>
  <c r="U68" i="13"/>
  <c r="H106" i="11"/>
  <c r="E267" i="25" s="1"/>
  <c r="E823" i="9"/>
  <c r="F823" i="9" s="1"/>
  <c r="Y106" i="5"/>
  <c r="J68" i="13"/>
  <c r="H68" i="11"/>
  <c r="M68" i="13"/>
  <c r="K68" i="13"/>
  <c r="M49" i="13"/>
  <c r="I68" i="13"/>
  <c r="G68" i="13"/>
  <c r="E48" i="13"/>
  <c r="Y39" i="5"/>
  <c r="U39" i="13"/>
  <c r="H39" i="11"/>
  <c r="J39" i="11" s="1"/>
  <c r="N39" i="13" s="1"/>
  <c r="V39" i="5"/>
  <c r="V24" i="5"/>
  <c r="O49" i="13"/>
  <c r="H24" i="11"/>
  <c r="E52" i="25" s="1"/>
  <c r="S25" i="5"/>
  <c r="E1386" i="9"/>
  <c r="F1386" i="9" s="1"/>
  <c r="G152" i="13"/>
  <c r="Y24" i="5"/>
  <c r="E1372" i="9"/>
  <c r="F1372" i="9" s="1"/>
  <c r="Q48" i="13"/>
  <c r="I48" i="13"/>
  <c r="O48" i="13"/>
  <c r="S22" i="13"/>
  <c r="L22" i="14" s="1"/>
  <c r="E17" i="26"/>
  <c r="S26" i="5"/>
  <c r="U26" i="13" s="1"/>
  <c r="M48" i="13"/>
  <c r="Y48" i="5"/>
  <c r="H48" i="11"/>
  <c r="E82" i="25" s="1"/>
  <c r="J48" i="13"/>
  <c r="N48" i="13"/>
  <c r="V48" i="5"/>
  <c r="P48" i="13"/>
  <c r="U48" i="13"/>
  <c r="H48" i="13"/>
  <c r="F48" i="13"/>
  <c r="G48" i="13"/>
  <c r="C12" i="26"/>
  <c r="L48" i="13"/>
  <c r="O68" i="13"/>
  <c r="N68" i="13"/>
  <c r="F68" i="13"/>
  <c r="E68" i="13"/>
  <c r="P68" i="13"/>
  <c r="E52" i="5"/>
  <c r="F72" i="13"/>
  <c r="E682" i="9"/>
  <c r="F682" i="9" s="1"/>
  <c r="E715" i="9"/>
  <c r="F715" i="9" s="1"/>
  <c r="E720" i="9"/>
  <c r="F720" i="9" s="1"/>
  <c r="E709" i="9"/>
  <c r="F709" i="9" s="1"/>
  <c r="E808" i="9"/>
  <c r="F808" i="9" s="1"/>
  <c r="E805" i="9"/>
  <c r="F805" i="9" s="1"/>
  <c r="E705" i="9"/>
  <c r="F705" i="9" s="1"/>
  <c r="E826" i="9"/>
  <c r="F826" i="9" s="1"/>
  <c r="E711" i="9"/>
  <c r="F711" i="9" s="1"/>
  <c r="E706" i="9"/>
  <c r="F706" i="9" s="1"/>
  <c r="E707" i="9"/>
  <c r="F707" i="9" s="1"/>
  <c r="E802" i="9"/>
  <c r="F802" i="9" s="1"/>
  <c r="E799" i="9"/>
  <c r="F799" i="9" s="1"/>
  <c r="E785" i="9"/>
  <c r="F785" i="9" s="1"/>
  <c r="E697" i="9"/>
  <c r="F697" i="9" s="1"/>
  <c r="E683" i="9"/>
  <c r="F683" i="9" s="1"/>
  <c r="E674" i="9"/>
  <c r="F674" i="9" s="1"/>
  <c r="E806" i="9"/>
  <c r="F806" i="9" s="1"/>
  <c r="E675" i="9"/>
  <c r="F675" i="9" s="1"/>
  <c r="E809" i="9"/>
  <c r="F809" i="9" s="1"/>
  <c r="E798" i="9"/>
  <c r="F798" i="9" s="1"/>
  <c r="E684" i="9"/>
  <c r="F684" i="9" s="1"/>
  <c r="E677" i="9"/>
  <c r="F677" i="9" s="1"/>
  <c r="S56" i="5"/>
  <c r="V56" i="5" s="1"/>
  <c r="J14" i="7"/>
  <c r="K14" i="7" s="1"/>
  <c r="K61" i="7" s="1"/>
  <c r="H151" i="22"/>
  <c r="Q151" i="21"/>
  <c r="Q166" i="21" s="1"/>
  <c r="G72" i="13"/>
  <c r="S151" i="20"/>
  <c r="O151" i="20"/>
  <c r="P151" i="20"/>
  <c r="N151" i="20"/>
  <c r="R151" i="20"/>
  <c r="S151" i="21"/>
  <c r="R151" i="21"/>
  <c r="O151" i="21"/>
  <c r="N151" i="21"/>
  <c r="P151" i="21"/>
  <c r="E151" i="23"/>
  <c r="I151" i="23" s="1"/>
  <c r="I151" i="22"/>
  <c r="J149" i="21"/>
  <c r="K149" i="21" s="1"/>
  <c r="R148" i="21"/>
  <c r="S148" i="21"/>
  <c r="O148" i="21"/>
  <c r="P148" i="21"/>
  <c r="N148" i="21"/>
  <c r="R148" i="22"/>
  <c r="S148" i="22"/>
  <c r="O148" i="22"/>
  <c r="N148" i="22"/>
  <c r="P148" i="22"/>
  <c r="M72" i="13"/>
  <c r="J147" i="21"/>
  <c r="K147" i="21" s="1"/>
  <c r="J72" i="13"/>
  <c r="H72" i="11"/>
  <c r="E173" i="25" s="1"/>
  <c r="Y72" i="5"/>
  <c r="E72" i="13"/>
  <c r="K72" i="13"/>
  <c r="U72" i="13"/>
  <c r="H72" i="13"/>
  <c r="P72" i="13"/>
  <c r="O72" i="13"/>
  <c r="I72" i="13"/>
  <c r="V72" i="5"/>
  <c r="Q72" i="13"/>
  <c r="N72" i="13"/>
  <c r="R150" i="21"/>
  <c r="S150" i="21"/>
  <c r="O150" i="21"/>
  <c r="P150" i="21"/>
  <c r="N150" i="21"/>
  <c r="I150" i="22"/>
  <c r="E150" i="23"/>
  <c r="N146" i="7"/>
  <c r="P146" i="7"/>
  <c r="P166" i="7" s="1"/>
  <c r="O146" i="7"/>
  <c r="O166" i="7" s="1"/>
  <c r="O231" i="7" s="1"/>
  <c r="R146" i="7"/>
  <c r="R166" i="7" s="1"/>
  <c r="S146" i="7"/>
  <c r="S166" i="7" s="1"/>
  <c r="O146" i="20"/>
  <c r="P146" i="20"/>
  <c r="S146" i="20"/>
  <c r="R146" i="20"/>
  <c r="N146" i="20"/>
  <c r="I146" i="21"/>
  <c r="I166" i="21" s="1"/>
  <c r="L64" i="11" s="1"/>
  <c r="F146" i="22"/>
  <c r="E146" i="23"/>
  <c r="Q146" i="23" s="1"/>
  <c r="Q146" i="22"/>
  <c r="E770" i="9"/>
  <c r="F770" i="9" s="1"/>
  <c r="E1091" i="9"/>
  <c r="F1091" i="9" s="1"/>
  <c r="E877" i="9"/>
  <c r="F877" i="9" s="1"/>
  <c r="E109" i="23"/>
  <c r="I109" i="22"/>
  <c r="R109" i="21"/>
  <c r="S109" i="21"/>
  <c r="P109" i="21"/>
  <c r="M109" i="21"/>
  <c r="E1198" i="9"/>
  <c r="F1198" i="9" s="1"/>
  <c r="S108" i="21"/>
  <c r="R108" i="21"/>
  <c r="M108" i="21"/>
  <c r="P108" i="21"/>
  <c r="E108" i="23"/>
  <c r="I108" i="22"/>
  <c r="M107" i="22"/>
  <c r="S107" i="22"/>
  <c r="R107" i="22"/>
  <c r="P107" i="22"/>
  <c r="P107" i="23"/>
  <c r="R107" i="23"/>
  <c r="M107" i="23"/>
  <c r="S107" i="23"/>
  <c r="M104" i="21"/>
  <c r="S104" i="21"/>
  <c r="P104" i="21"/>
  <c r="R104" i="21"/>
  <c r="R104" i="22"/>
  <c r="M104" i="22"/>
  <c r="P104" i="22"/>
  <c r="S104" i="22"/>
  <c r="P104" i="23"/>
  <c r="S104" i="23"/>
  <c r="M104" i="23"/>
  <c r="R104" i="23"/>
  <c r="R103" i="21"/>
  <c r="S103" i="21"/>
  <c r="M103" i="21"/>
  <c r="P103" i="21"/>
  <c r="M103" i="22"/>
  <c r="R103" i="22"/>
  <c r="S103" i="22"/>
  <c r="P103" i="22"/>
  <c r="P102" i="22"/>
  <c r="M102" i="22"/>
  <c r="S102" i="22"/>
  <c r="R102" i="22"/>
  <c r="I100" i="21"/>
  <c r="L59" i="11" s="1"/>
  <c r="S79" i="21"/>
  <c r="M79" i="21"/>
  <c r="P79" i="21"/>
  <c r="R79" i="21"/>
  <c r="S79" i="20"/>
  <c r="M79" i="20"/>
  <c r="I100" i="20"/>
  <c r="J59" i="11" s="1"/>
  <c r="R79" i="20"/>
  <c r="R100" i="20" s="1"/>
  <c r="P79" i="20"/>
  <c r="P100" i="20" s="1"/>
  <c r="R79" i="23"/>
  <c r="S79" i="23"/>
  <c r="M79" i="23"/>
  <c r="P79" i="23"/>
  <c r="I79" i="22"/>
  <c r="H79" i="23"/>
  <c r="Q79" i="23" s="1"/>
  <c r="Q79" i="22"/>
  <c r="J14" i="20"/>
  <c r="K14" i="20" s="1"/>
  <c r="Q14" i="22"/>
  <c r="I14" i="22"/>
  <c r="E14" i="23"/>
  <c r="S14" i="21"/>
  <c r="R14" i="21"/>
  <c r="I13" i="21"/>
  <c r="F13" i="22"/>
  <c r="F13" i="23" s="1"/>
  <c r="E13" i="23"/>
  <c r="Q13" i="22"/>
  <c r="P10" i="21"/>
  <c r="S10" i="21"/>
  <c r="M10" i="21"/>
  <c r="R10" i="21"/>
  <c r="R10" i="22"/>
  <c r="M10" i="22"/>
  <c r="P10" i="22"/>
  <c r="S10" i="22"/>
  <c r="J154" i="21"/>
  <c r="K154" i="21" s="1"/>
  <c r="J153" i="23"/>
  <c r="J69" i="11"/>
  <c r="Q231" i="20"/>
  <c r="J75" i="11" s="1"/>
  <c r="G176" i="25" s="1"/>
  <c r="K153" i="7"/>
  <c r="K153" i="20"/>
  <c r="N153" i="22"/>
  <c r="P153" i="22"/>
  <c r="S153" i="22"/>
  <c r="R153" i="22"/>
  <c r="O153" i="22"/>
  <c r="J154" i="20"/>
  <c r="K154" i="20" s="1"/>
  <c r="S154" i="22"/>
  <c r="O154" i="22"/>
  <c r="P154" i="22"/>
  <c r="N154" i="22"/>
  <c r="R154" i="22"/>
  <c r="N154" i="23"/>
  <c r="P154" i="23"/>
  <c r="O154" i="23"/>
  <c r="S154" i="23"/>
  <c r="R154" i="23"/>
  <c r="O156" i="21"/>
  <c r="P156" i="21"/>
  <c r="R156" i="21"/>
  <c r="N156" i="21"/>
  <c r="S156" i="21"/>
  <c r="Q156" i="22"/>
  <c r="H156" i="23"/>
  <c r="Q156" i="23" s="1"/>
  <c r="F156" i="23"/>
  <c r="I156" i="23" s="1"/>
  <c r="I156" i="22"/>
  <c r="Q155" i="22"/>
  <c r="H155" i="23"/>
  <c r="Q155" i="23" s="1"/>
  <c r="J155" i="23" s="1"/>
  <c r="K155" i="23" s="1"/>
  <c r="R115" i="20"/>
  <c r="P115" i="20"/>
  <c r="M115" i="20"/>
  <c r="S115" i="20"/>
  <c r="R117" i="22"/>
  <c r="M117" i="22"/>
  <c r="P117" i="22"/>
  <c r="S117" i="22"/>
  <c r="J113" i="21"/>
  <c r="K113" i="21" s="1"/>
  <c r="J122" i="7"/>
  <c r="K122" i="7"/>
  <c r="S116" i="20"/>
  <c r="R116" i="20"/>
  <c r="M116" i="20"/>
  <c r="J116" i="20" s="1"/>
  <c r="K116" i="20" s="1"/>
  <c r="P116" i="20"/>
  <c r="J113" i="23"/>
  <c r="K113" i="23" s="1"/>
  <c r="I122" i="20"/>
  <c r="J60" i="11" s="1"/>
  <c r="P116" i="21"/>
  <c r="S116" i="21"/>
  <c r="M116" i="21"/>
  <c r="R116" i="21"/>
  <c r="R117" i="21"/>
  <c r="P117" i="21"/>
  <c r="M117" i="21"/>
  <c r="S117" i="21"/>
  <c r="R114" i="21"/>
  <c r="P114" i="21"/>
  <c r="M114" i="21"/>
  <c r="S114" i="21"/>
  <c r="F116" i="23"/>
  <c r="I116" i="23" s="1"/>
  <c r="I116" i="22"/>
  <c r="S113" i="22"/>
  <c r="R113" i="22"/>
  <c r="M113" i="22"/>
  <c r="P113" i="22"/>
  <c r="F114" i="23"/>
  <c r="I114" i="23" s="1"/>
  <c r="I114" i="22"/>
  <c r="J112" i="20"/>
  <c r="M112" i="21"/>
  <c r="P112" i="21"/>
  <c r="R112" i="21"/>
  <c r="I122" i="21"/>
  <c r="L60" i="11" s="1"/>
  <c r="I166" i="25" s="1"/>
  <c r="S112" i="21"/>
  <c r="I112" i="22"/>
  <c r="F112" i="23"/>
  <c r="I112" i="23" s="1"/>
  <c r="M115" i="21"/>
  <c r="S115" i="21"/>
  <c r="P115" i="21"/>
  <c r="R115" i="21"/>
  <c r="H116" i="23"/>
  <c r="Q116" i="23" s="1"/>
  <c r="Q116" i="22"/>
  <c r="R114" i="20"/>
  <c r="P114" i="20"/>
  <c r="S114" i="20"/>
  <c r="M114" i="20"/>
  <c r="S117" i="23"/>
  <c r="M117" i="23"/>
  <c r="P117" i="23"/>
  <c r="R117" i="23"/>
  <c r="I115" i="22"/>
  <c r="F115" i="23"/>
  <c r="I115" i="23" s="1"/>
  <c r="F22" i="22"/>
  <c r="I22" i="21"/>
  <c r="I25" i="22"/>
  <c r="I25" i="23"/>
  <c r="S25" i="23" s="1"/>
  <c r="M24" i="20"/>
  <c r="P24" i="20"/>
  <c r="S24" i="20"/>
  <c r="R24" i="20"/>
  <c r="R25" i="21"/>
  <c r="S25" i="21"/>
  <c r="P25" i="21"/>
  <c r="J25" i="21" s="1"/>
  <c r="K25" i="21" s="1"/>
  <c r="M25" i="21"/>
  <c r="H21" i="22"/>
  <c r="Q21" i="21"/>
  <c r="R27" i="20"/>
  <c r="M27" i="20"/>
  <c r="S27" i="20"/>
  <c r="P27" i="20"/>
  <c r="I61" i="20"/>
  <c r="S25" i="22"/>
  <c r="M25" i="22"/>
  <c r="P25" i="22"/>
  <c r="R25" i="22"/>
  <c r="F27" i="22"/>
  <c r="I27" i="21"/>
  <c r="S26" i="22"/>
  <c r="M26" i="22"/>
  <c r="P26" i="22"/>
  <c r="R26" i="22"/>
  <c r="P25" i="23"/>
  <c r="R25" i="23"/>
  <c r="M25" i="23"/>
  <c r="R28" i="21"/>
  <c r="M28" i="21"/>
  <c r="P28" i="21"/>
  <c r="S28" i="21"/>
  <c r="R29" i="20"/>
  <c r="M29" i="20"/>
  <c r="P29" i="20"/>
  <c r="S29" i="20"/>
  <c r="R26" i="23"/>
  <c r="M26" i="23"/>
  <c r="P26" i="23"/>
  <c r="S26" i="23"/>
  <c r="F28" i="23"/>
  <c r="I28" i="23" s="1"/>
  <c r="I28" i="22"/>
  <c r="R28" i="20"/>
  <c r="M28" i="20"/>
  <c r="P28" i="20"/>
  <c r="S28" i="20"/>
  <c r="F29" i="22"/>
  <c r="I29" i="21"/>
  <c r="R20" i="21"/>
  <c r="P20" i="21"/>
  <c r="S20" i="21"/>
  <c r="M20" i="21"/>
  <c r="P24" i="21"/>
  <c r="S24" i="21"/>
  <c r="M24" i="21"/>
  <c r="R24" i="21"/>
  <c r="S19" i="22"/>
  <c r="P19" i="22"/>
  <c r="M19" i="22"/>
  <c r="R19" i="22"/>
  <c r="F20" i="23"/>
  <c r="I20" i="23" s="1"/>
  <c r="I20" i="22"/>
  <c r="F24" i="23"/>
  <c r="I24" i="23" s="1"/>
  <c r="I24" i="22"/>
  <c r="R19" i="23"/>
  <c r="P19" i="23"/>
  <c r="M19" i="23"/>
  <c r="S19" i="23"/>
  <c r="J25" i="20"/>
  <c r="K25" i="20" s="1"/>
  <c r="M23" i="21"/>
  <c r="S23" i="21"/>
  <c r="P23" i="21"/>
  <c r="R23" i="21"/>
  <c r="J19" i="20"/>
  <c r="F23" i="23"/>
  <c r="I23" i="23" s="1"/>
  <c r="I23" i="22"/>
  <c r="H22" i="23"/>
  <c r="Q22" i="23" s="1"/>
  <c r="Q22" i="22"/>
  <c r="H29" i="23"/>
  <c r="Q29" i="23" s="1"/>
  <c r="Q29" i="22"/>
  <c r="Q23" i="22"/>
  <c r="H23" i="23"/>
  <c r="Q23" i="23" s="1"/>
  <c r="R21" i="22"/>
  <c r="P21" i="22"/>
  <c r="M21" i="22"/>
  <c r="S21" i="22"/>
  <c r="R26" i="21"/>
  <c r="M26" i="21"/>
  <c r="P26" i="21"/>
  <c r="S26" i="21"/>
  <c r="Q20" i="21"/>
  <c r="H20" i="22"/>
  <c r="R19" i="21"/>
  <c r="S19" i="21"/>
  <c r="P21" i="23"/>
  <c r="R21" i="23"/>
  <c r="M21" i="23"/>
  <c r="S21" i="23"/>
  <c r="J22" i="20"/>
  <c r="K22" i="20" s="1"/>
  <c r="M21" i="21"/>
  <c r="P21" i="21"/>
  <c r="S21" i="21"/>
  <c r="R21" i="21"/>
  <c r="P121" i="13" l="1"/>
  <c r="G121" i="13"/>
  <c r="F121" i="13"/>
  <c r="K121" i="13"/>
  <c r="E121" i="13"/>
  <c r="J121" i="13"/>
  <c r="O121" i="13"/>
  <c r="N121" i="13"/>
  <c r="L121" i="13"/>
  <c r="I121" i="13"/>
  <c r="M121" i="13"/>
  <c r="Q121" i="13"/>
  <c r="J34" i="20"/>
  <c r="K34" i="20" s="1"/>
  <c r="S33" i="22"/>
  <c r="R33" i="22"/>
  <c r="J34" i="21"/>
  <c r="K34" i="21" s="1"/>
  <c r="J34" i="23"/>
  <c r="K34" i="23" s="1"/>
  <c r="J34" i="22"/>
  <c r="K34" i="22" s="1"/>
  <c r="S68" i="7"/>
  <c r="S76" i="7" s="1"/>
  <c r="S231" i="7" s="1"/>
  <c r="J33" i="21"/>
  <c r="K33" i="21" s="1"/>
  <c r="Q32" i="22"/>
  <c r="H32" i="23"/>
  <c r="Q32" i="23" s="1"/>
  <c r="J33" i="23"/>
  <c r="K33" i="23" s="1"/>
  <c r="J33" i="22"/>
  <c r="K33" i="22" s="1"/>
  <c r="J30" i="21"/>
  <c r="K30" i="21" s="1"/>
  <c r="J32" i="21"/>
  <c r="K32" i="21" s="1"/>
  <c r="R32" i="23"/>
  <c r="M32" i="23"/>
  <c r="P32" i="23"/>
  <c r="S32" i="23"/>
  <c r="R32" i="22"/>
  <c r="S32" i="22"/>
  <c r="M32" i="22"/>
  <c r="P32" i="22"/>
  <c r="J31" i="21"/>
  <c r="K31" i="21" s="1"/>
  <c r="M30" i="23"/>
  <c r="J30" i="23" s="1"/>
  <c r="K30" i="23" s="1"/>
  <c r="P30" i="23"/>
  <c r="S30" i="23"/>
  <c r="R30" i="23"/>
  <c r="S30" i="22"/>
  <c r="M30" i="22"/>
  <c r="P30" i="22"/>
  <c r="R30" i="22"/>
  <c r="M61" i="20"/>
  <c r="H31" i="23"/>
  <c r="Q31" i="23" s="1"/>
  <c r="J31" i="23" s="1"/>
  <c r="K31" i="23" s="1"/>
  <c r="Q31" i="22"/>
  <c r="J31" i="22" s="1"/>
  <c r="K31" i="22" s="1"/>
  <c r="P68" i="7"/>
  <c r="P76" i="7" s="1"/>
  <c r="P231" i="7" s="1"/>
  <c r="M68" i="7"/>
  <c r="M76" i="7" s="1"/>
  <c r="M231" i="7" s="1"/>
  <c r="R68" i="7"/>
  <c r="R76" i="7" s="1"/>
  <c r="R231" i="7" s="1"/>
  <c r="E879" i="9" s="1"/>
  <c r="F879" i="9" s="1"/>
  <c r="J214" i="20"/>
  <c r="R214" i="21"/>
  <c r="S214" i="21"/>
  <c r="P214" i="21"/>
  <c r="J203" i="21"/>
  <c r="K203" i="21" s="1"/>
  <c r="O203" i="23"/>
  <c r="N203" i="23"/>
  <c r="J203" i="23" s="1"/>
  <c r="K203" i="23" s="1"/>
  <c r="S203" i="23"/>
  <c r="P203" i="23"/>
  <c r="R203" i="23"/>
  <c r="R203" i="22"/>
  <c r="S203" i="22"/>
  <c r="O203" i="22"/>
  <c r="N203" i="22"/>
  <c r="P203" i="22"/>
  <c r="P202" i="22"/>
  <c r="I214" i="22"/>
  <c r="N67" i="11" s="1"/>
  <c r="O202" i="22"/>
  <c r="R202" i="22"/>
  <c r="N202" i="22"/>
  <c r="S202" i="22"/>
  <c r="L69" i="11"/>
  <c r="I90" i="25" s="1"/>
  <c r="I292" i="25" s="1"/>
  <c r="J202" i="21"/>
  <c r="N214" i="21"/>
  <c r="P202" i="23"/>
  <c r="P214" i="23" s="1"/>
  <c r="R202" i="23"/>
  <c r="R214" i="23" s="1"/>
  <c r="N202" i="23"/>
  <c r="S202" i="23"/>
  <c r="O202" i="23"/>
  <c r="O214" i="23" s="1"/>
  <c r="I214" i="23"/>
  <c r="P67" i="11" s="1"/>
  <c r="P122" i="20"/>
  <c r="J107" i="21"/>
  <c r="K107" i="21" s="1"/>
  <c r="S111" i="22"/>
  <c r="J113" i="20"/>
  <c r="K113" i="20" s="1"/>
  <c r="J110" i="21"/>
  <c r="K110" i="21" s="1"/>
  <c r="J103" i="20"/>
  <c r="K103" i="20" s="1"/>
  <c r="R122" i="20"/>
  <c r="H59" i="11"/>
  <c r="R100" i="21"/>
  <c r="Q100" i="23"/>
  <c r="U59" i="13"/>
  <c r="Y59" i="5"/>
  <c r="J78" i="22"/>
  <c r="K78" i="22" s="1"/>
  <c r="I100" i="23"/>
  <c r="P59" i="11" s="1"/>
  <c r="M80" i="22"/>
  <c r="J80" i="22" s="1"/>
  <c r="K80" i="22" s="1"/>
  <c r="S80" i="22"/>
  <c r="J80" i="23"/>
  <c r="K80" i="23" s="1"/>
  <c r="Q100" i="22"/>
  <c r="S100" i="20"/>
  <c r="S100" i="21"/>
  <c r="I82" i="23"/>
  <c r="J81" i="21"/>
  <c r="K81" i="21" s="1"/>
  <c r="P100" i="21"/>
  <c r="J100" i="7"/>
  <c r="K80" i="7"/>
  <c r="K100" i="7" s="1"/>
  <c r="J82" i="22"/>
  <c r="K82" i="22" s="1"/>
  <c r="J83" i="22"/>
  <c r="K83" i="22" s="1"/>
  <c r="J82" i="21"/>
  <c r="K82" i="21" s="1"/>
  <c r="J81" i="20"/>
  <c r="K81" i="20" s="1"/>
  <c r="S81" i="23"/>
  <c r="M81" i="23"/>
  <c r="R81" i="23"/>
  <c r="P81" i="23"/>
  <c r="S81" i="22"/>
  <c r="M81" i="22"/>
  <c r="J81" i="22" s="1"/>
  <c r="K81" i="22" s="1"/>
  <c r="P81" i="22"/>
  <c r="R81" i="22"/>
  <c r="C16" i="26"/>
  <c r="J153" i="21"/>
  <c r="K153" i="21" s="1"/>
  <c r="I147" i="23"/>
  <c r="J147" i="22"/>
  <c r="K147" i="22" s="1"/>
  <c r="I148" i="23"/>
  <c r="I150" i="23"/>
  <c r="Q150" i="23"/>
  <c r="J150" i="20"/>
  <c r="K150" i="20" s="1"/>
  <c r="J105" i="21"/>
  <c r="K105" i="21" s="1"/>
  <c r="J113" i="22"/>
  <c r="K113" i="22" s="1"/>
  <c r="I110" i="23"/>
  <c r="Q110" i="23"/>
  <c r="J114" i="20"/>
  <c r="K114" i="20" s="1"/>
  <c r="R110" i="22"/>
  <c r="S110" i="22"/>
  <c r="M110" i="22"/>
  <c r="P110" i="22"/>
  <c r="R106" i="22"/>
  <c r="P106" i="22"/>
  <c r="M106" i="22"/>
  <c r="S106" i="22"/>
  <c r="Q106" i="23"/>
  <c r="I106" i="23"/>
  <c r="I109" i="23"/>
  <c r="R109" i="23" s="1"/>
  <c r="Q109" i="23"/>
  <c r="J106" i="21"/>
  <c r="K106" i="21" s="1"/>
  <c r="I105" i="23"/>
  <c r="R105" i="23" s="1"/>
  <c r="Q105" i="23"/>
  <c r="J11" i="22"/>
  <c r="K11" i="22" s="1"/>
  <c r="J16" i="22"/>
  <c r="K16" i="22" s="1"/>
  <c r="J15" i="21"/>
  <c r="K15" i="21" s="1"/>
  <c r="M14" i="21"/>
  <c r="J14" i="21" s="1"/>
  <c r="K14" i="21" s="1"/>
  <c r="H17" i="23"/>
  <c r="Q17" i="23" s="1"/>
  <c r="Q17" i="22"/>
  <c r="P19" i="21"/>
  <c r="H15" i="23"/>
  <c r="Q15" i="23" s="1"/>
  <c r="Q15" i="22"/>
  <c r="H11" i="23"/>
  <c r="Q11" i="23" s="1"/>
  <c r="Q11" i="22"/>
  <c r="J7" i="22"/>
  <c r="K7" i="22" s="1"/>
  <c r="Q61" i="14"/>
  <c r="N121" i="11"/>
  <c r="P121" i="11" s="1"/>
  <c r="M231" i="25" s="1"/>
  <c r="E61" i="14"/>
  <c r="Y60" i="5"/>
  <c r="L61" i="14"/>
  <c r="O61" i="14"/>
  <c r="P61" i="14"/>
  <c r="N61" i="14"/>
  <c r="V61" i="13"/>
  <c r="K61" i="14"/>
  <c r="J61" i="14"/>
  <c r="G61" i="14"/>
  <c r="H60" i="11"/>
  <c r="E166" i="25" s="1"/>
  <c r="V60" i="5"/>
  <c r="I61" i="14"/>
  <c r="F61" i="14"/>
  <c r="H61" i="14"/>
  <c r="S38" i="13"/>
  <c r="J38" i="14" s="1"/>
  <c r="S57" i="13"/>
  <c r="P57" i="14" s="1"/>
  <c r="F30" i="14"/>
  <c r="M105" i="23"/>
  <c r="M105" i="22"/>
  <c r="R105" i="22"/>
  <c r="P105" i="22"/>
  <c r="S105" i="22"/>
  <c r="I103" i="23"/>
  <c r="Q122" i="22"/>
  <c r="H152" i="23"/>
  <c r="Q152" i="23" s="1"/>
  <c r="Q152" i="22"/>
  <c r="N152" i="23"/>
  <c r="S152" i="23"/>
  <c r="P152" i="23"/>
  <c r="R152" i="23"/>
  <c r="O152" i="23"/>
  <c r="J152" i="21"/>
  <c r="K152" i="21" s="1"/>
  <c r="J152" i="20"/>
  <c r="K152" i="20" s="1"/>
  <c r="R152" i="22"/>
  <c r="S152" i="22"/>
  <c r="O152" i="22"/>
  <c r="N152" i="22"/>
  <c r="P152" i="22"/>
  <c r="R166" i="20"/>
  <c r="Q149" i="23"/>
  <c r="I149" i="23"/>
  <c r="R216" i="23"/>
  <c r="R229" i="23" s="1"/>
  <c r="Q229" i="23"/>
  <c r="K216" i="21"/>
  <c r="K229" i="21" s="1"/>
  <c r="J229" i="21"/>
  <c r="J216" i="22"/>
  <c r="S45" i="13"/>
  <c r="E45" i="14" s="1"/>
  <c r="G231" i="25"/>
  <c r="M61" i="14"/>
  <c r="I30" i="14"/>
  <c r="K22" i="14"/>
  <c r="Q22" i="14"/>
  <c r="E30" i="14"/>
  <c r="O30" i="14"/>
  <c r="N22" i="14"/>
  <c r="N30" i="14"/>
  <c r="U30" i="14"/>
  <c r="I22" i="14"/>
  <c r="Q30" i="14"/>
  <c r="M30" i="14"/>
  <c r="V22" i="13"/>
  <c r="E804" i="9"/>
  <c r="F804" i="9" s="1"/>
  <c r="G30" i="14"/>
  <c r="P30" i="14"/>
  <c r="P22" i="14"/>
  <c r="L30" i="14"/>
  <c r="G22" i="14"/>
  <c r="V30" i="13"/>
  <c r="J30" i="14"/>
  <c r="H30" i="14"/>
  <c r="S66" i="13"/>
  <c r="J66" i="14" s="1"/>
  <c r="S67" i="13"/>
  <c r="Q67" i="14" s="1"/>
  <c r="G70" i="25"/>
  <c r="S65" i="13"/>
  <c r="G65" i="14" s="1"/>
  <c r="C14" i="26"/>
  <c r="E144" i="5"/>
  <c r="E146" i="5" s="1"/>
  <c r="E149" i="5" s="1"/>
  <c r="E169" i="5" s="1"/>
  <c r="E173" i="5" s="1"/>
  <c r="F171" i="5" s="1"/>
  <c r="S43" i="13"/>
  <c r="N43" i="14" s="1"/>
  <c r="J15" i="23"/>
  <c r="K15" i="23" s="1"/>
  <c r="J15" i="22"/>
  <c r="K15" i="22" s="1"/>
  <c r="J16" i="23"/>
  <c r="K16" i="23" s="1"/>
  <c r="S11" i="23"/>
  <c r="M11" i="23"/>
  <c r="P11" i="23"/>
  <c r="R11" i="23"/>
  <c r="J8" i="23"/>
  <c r="K8" i="23" s="1"/>
  <c r="M7" i="23"/>
  <c r="R7" i="23"/>
  <c r="S7" i="23"/>
  <c r="P7" i="23"/>
  <c r="S166" i="20"/>
  <c r="J148" i="22"/>
  <c r="K148" i="22" s="1"/>
  <c r="J111" i="21"/>
  <c r="K111" i="21" s="1"/>
  <c r="P61" i="20"/>
  <c r="R61" i="20"/>
  <c r="S61" i="20"/>
  <c r="J111" i="22"/>
  <c r="K111" i="22" s="1"/>
  <c r="J102" i="22"/>
  <c r="K102" i="22" s="1"/>
  <c r="I102" i="23"/>
  <c r="J102" i="20"/>
  <c r="K102" i="20" s="1"/>
  <c r="J111" i="23"/>
  <c r="K111" i="23" s="1"/>
  <c r="I10" i="23"/>
  <c r="I13" i="22"/>
  <c r="M13" i="22" s="1"/>
  <c r="J20" i="20"/>
  <c r="K20" i="20" s="1"/>
  <c r="I12" i="23"/>
  <c r="J12" i="22"/>
  <c r="K12" i="22" s="1"/>
  <c r="J12" i="21"/>
  <c r="K12" i="21" s="1"/>
  <c r="S9" i="21"/>
  <c r="R9" i="21"/>
  <c r="M9" i="21"/>
  <c r="P9" i="21"/>
  <c r="E9" i="23"/>
  <c r="Q9" i="22"/>
  <c r="I9" i="22"/>
  <c r="J18" i="21"/>
  <c r="K18" i="21" s="1"/>
  <c r="J17" i="21"/>
  <c r="K17" i="21" s="1"/>
  <c r="P17" i="23"/>
  <c r="M17" i="23"/>
  <c r="S17" i="23"/>
  <c r="R17" i="23"/>
  <c r="R17" i="22"/>
  <c r="P17" i="22"/>
  <c r="M17" i="22"/>
  <c r="S17" i="22"/>
  <c r="J17" i="20"/>
  <c r="K17" i="20" s="1"/>
  <c r="H18" i="23"/>
  <c r="Q18" i="23" s="1"/>
  <c r="Q18" i="22"/>
  <c r="M18" i="22"/>
  <c r="P18" i="22"/>
  <c r="R18" i="22"/>
  <c r="S18" i="22"/>
  <c r="I18" i="23"/>
  <c r="J20" i="21"/>
  <c r="K20" i="21" s="1"/>
  <c r="Q61" i="21"/>
  <c r="Q231" i="21" s="1"/>
  <c r="L75" i="11" s="1"/>
  <c r="I176" i="25" s="1"/>
  <c r="U135" i="13"/>
  <c r="H135" i="11"/>
  <c r="E245" i="25" s="1"/>
  <c r="V135" i="5"/>
  <c r="E178" i="14"/>
  <c r="E167" i="14" s="1"/>
  <c r="S167" i="14" s="1"/>
  <c r="L171" i="11" s="1"/>
  <c r="S44" i="13"/>
  <c r="V44" i="13" s="1"/>
  <c r="E895" i="9"/>
  <c r="F895" i="9" s="1"/>
  <c r="S49" i="13"/>
  <c r="O49" i="14" s="1"/>
  <c r="L39" i="11"/>
  <c r="I39" i="14" s="1"/>
  <c r="I39" i="13"/>
  <c r="Q39" i="13" s="1"/>
  <c r="E70" i="25"/>
  <c r="Y26" i="5"/>
  <c r="H26" i="11"/>
  <c r="E54" i="25" s="1"/>
  <c r="U25" i="13"/>
  <c r="Y25" i="5"/>
  <c r="V25" i="5"/>
  <c r="H25" i="11"/>
  <c r="E53" i="25" s="1"/>
  <c r="V26" i="5"/>
  <c r="S68" i="13"/>
  <c r="F68" i="14" s="1"/>
  <c r="E22" i="14"/>
  <c r="H22" i="14"/>
  <c r="F22" i="14"/>
  <c r="U22" i="14"/>
  <c r="O22" i="14"/>
  <c r="M22" i="14"/>
  <c r="J22" i="14"/>
  <c r="S48" i="13"/>
  <c r="E678" i="9"/>
  <c r="F678" i="9" s="1"/>
  <c r="E824" i="9"/>
  <c r="F824" i="9" s="1"/>
  <c r="E807" i="9"/>
  <c r="F807" i="9" s="1"/>
  <c r="K118" i="5"/>
  <c r="E692" i="9"/>
  <c r="F692" i="9" s="1"/>
  <c r="E783" i="9"/>
  <c r="F783" i="9" s="1"/>
  <c r="E673" i="9"/>
  <c r="F673" i="9" s="1"/>
  <c r="E702" i="9"/>
  <c r="F702" i="9" s="1"/>
  <c r="E701" i="9"/>
  <c r="F701" i="9" s="1"/>
  <c r="E699" i="9"/>
  <c r="F699" i="9" s="1"/>
  <c r="E695" i="9"/>
  <c r="F695" i="9" s="1"/>
  <c r="E819" i="9"/>
  <c r="F819" i="9" s="1"/>
  <c r="E817" i="9"/>
  <c r="F817" i="9" s="1"/>
  <c r="E719" i="9"/>
  <c r="F719" i="9" s="1"/>
  <c r="E691" i="9"/>
  <c r="F691" i="9" s="1"/>
  <c r="E708" i="9"/>
  <c r="F708" i="9" s="1"/>
  <c r="J61" i="7"/>
  <c r="U56" i="13"/>
  <c r="Y56" i="5"/>
  <c r="H56" i="11"/>
  <c r="E164" i="25" s="1"/>
  <c r="H151" i="23"/>
  <c r="Q151" i="23" s="1"/>
  <c r="Q151" i="22"/>
  <c r="P166" i="20"/>
  <c r="J151" i="20"/>
  <c r="K151" i="20" s="1"/>
  <c r="N166" i="20"/>
  <c r="N231" i="20" s="1"/>
  <c r="J72" i="11" s="1"/>
  <c r="G173" i="25" s="1"/>
  <c r="J151" i="21"/>
  <c r="K151" i="21" s="1"/>
  <c r="O166" i="20"/>
  <c r="O231" i="20" s="1"/>
  <c r="J73" i="11" s="1"/>
  <c r="G174" i="25" s="1"/>
  <c r="O151" i="22"/>
  <c r="P151" i="22"/>
  <c r="N151" i="22"/>
  <c r="S151" i="22"/>
  <c r="R151" i="22"/>
  <c r="N151" i="23"/>
  <c r="S151" i="23"/>
  <c r="R151" i="23"/>
  <c r="P151" i="23"/>
  <c r="O151" i="23"/>
  <c r="S72" i="13"/>
  <c r="V72" i="13" s="1"/>
  <c r="J148" i="21"/>
  <c r="K148" i="21" s="1"/>
  <c r="O150" i="23"/>
  <c r="S150" i="23"/>
  <c r="R150" i="23"/>
  <c r="P150" i="23"/>
  <c r="N150" i="23"/>
  <c r="R150" i="22"/>
  <c r="S150" i="22"/>
  <c r="O150" i="22"/>
  <c r="P150" i="22"/>
  <c r="N150" i="22"/>
  <c r="J150" i="21"/>
  <c r="K150" i="21" s="1"/>
  <c r="J146" i="20"/>
  <c r="I146" i="22"/>
  <c r="F146" i="23"/>
  <c r="I146" i="23" s="1"/>
  <c r="I166" i="23" s="1"/>
  <c r="P64" i="11" s="1"/>
  <c r="R146" i="21"/>
  <c r="R166" i="21" s="1"/>
  <c r="P146" i="21"/>
  <c r="P166" i="21" s="1"/>
  <c r="N146" i="21"/>
  <c r="S146" i="21"/>
  <c r="S166" i="21" s="1"/>
  <c r="O146" i="21"/>
  <c r="O166" i="21" s="1"/>
  <c r="O231" i="21" s="1"/>
  <c r="L73" i="11" s="1"/>
  <c r="I174" i="25" s="1"/>
  <c r="L69" i="5"/>
  <c r="J12" i="26" s="1"/>
  <c r="E759" i="9"/>
  <c r="F759" i="9" s="1"/>
  <c r="M69" i="5"/>
  <c r="K12" i="26" s="1"/>
  <c r="E866" i="9"/>
  <c r="F866" i="9" s="1"/>
  <c r="N69" i="5"/>
  <c r="L12" i="26" s="1"/>
  <c r="E973" i="9"/>
  <c r="F973" i="9" s="1"/>
  <c r="O69" i="5"/>
  <c r="E1080" i="9"/>
  <c r="F1080" i="9" s="1"/>
  <c r="P69" i="5"/>
  <c r="N12" i="26" s="1"/>
  <c r="E1187" i="9"/>
  <c r="F1187" i="9" s="1"/>
  <c r="J146" i="7"/>
  <c r="N166" i="7"/>
  <c r="N231" i="7" s="1"/>
  <c r="E652" i="9"/>
  <c r="F652" i="9" s="1"/>
  <c r="K69" i="5"/>
  <c r="S64" i="5"/>
  <c r="S75" i="5"/>
  <c r="V75" i="5" s="1"/>
  <c r="J109" i="21"/>
  <c r="K109" i="21" s="1"/>
  <c r="P109" i="22"/>
  <c r="R109" i="22"/>
  <c r="M109" i="22"/>
  <c r="S109" i="22"/>
  <c r="P109" i="23"/>
  <c r="E663" i="9"/>
  <c r="F663" i="9" s="1"/>
  <c r="I108" i="23"/>
  <c r="Q108" i="23"/>
  <c r="M108" i="22"/>
  <c r="P108" i="22"/>
  <c r="R108" i="22"/>
  <c r="S108" i="22"/>
  <c r="J108" i="21"/>
  <c r="K108" i="21" s="1"/>
  <c r="J107" i="22"/>
  <c r="K107" i="22" s="1"/>
  <c r="J107" i="23"/>
  <c r="K107" i="23" s="1"/>
  <c r="J104" i="22"/>
  <c r="K104" i="22" s="1"/>
  <c r="J104" i="21"/>
  <c r="K104" i="21" s="1"/>
  <c r="J104" i="23"/>
  <c r="K104" i="23" s="1"/>
  <c r="J103" i="22"/>
  <c r="K103" i="22" s="1"/>
  <c r="R122" i="21"/>
  <c r="J103" i="21"/>
  <c r="K103" i="21" s="1"/>
  <c r="J59" i="13"/>
  <c r="F59" i="13"/>
  <c r="P59" i="13"/>
  <c r="O59" i="13"/>
  <c r="H59" i="13"/>
  <c r="E59" i="13"/>
  <c r="Q59" i="13"/>
  <c r="I59" i="13"/>
  <c r="K59" i="13"/>
  <c r="M59" i="13"/>
  <c r="G59" i="13"/>
  <c r="L59" i="13"/>
  <c r="N59" i="13"/>
  <c r="J79" i="20"/>
  <c r="M100" i="20"/>
  <c r="R79" i="22"/>
  <c r="R100" i="22" s="1"/>
  <c r="I100" i="22"/>
  <c r="N59" i="11" s="1"/>
  <c r="S79" i="22"/>
  <c r="S100" i="22" s="1"/>
  <c r="M79" i="22"/>
  <c r="P79" i="22"/>
  <c r="J79" i="23"/>
  <c r="M100" i="21"/>
  <c r="J79" i="21"/>
  <c r="M14" i="22"/>
  <c r="P14" i="22"/>
  <c r="R14" i="22"/>
  <c r="S14" i="22"/>
  <c r="Q14" i="23"/>
  <c r="I14" i="23"/>
  <c r="M13" i="21"/>
  <c r="P13" i="21"/>
  <c r="S13" i="21"/>
  <c r="R13" i="21"/>
  <c r="Q13" i="23"/>
  <c r="I13" i="23"/>
  <c r="J10" i="21"/>
  <c r="K10" i="21" s="1"/>
  <c r="J10" i="22"/>
  <c r="K10" i="22" s="1"/>
  <c r="J154" i="23"/>
  <c r="K154" i="23" s="1"/>
  <c r="G90" i="25"/>
  <c r="G292" i="25" s="1"/>
  <c r="G167" i="25"/>
  <c r="K153" i="23"/>
  <c r="J154" i="22"/>
  <c r="K154" i="22" s="1"/>
  <c r="J153" i="22"/>
  <c r="J156" i="21"/>
  <c r="K156" i="21" s="1"/>
  <c r="P156" i="22"/>
  <c r="S156" i="22"/>
  <c r="N156" i="22"/>
  <c r="O156" i="22"/>
  <c r="R156" i="22"/>
  <c r="J155" i="22"/>
  <c r="K155" i="22" s="1"/>
  <c r="P156" i="23"/>
  <c r="R156" i="23"/>
  <c r="N156" i="23"/>
  <c r="O156" i="23"/>
  <c r="S156" i="23"/>
  <c r="J115" i="20"/>
  <c r="K115" i="20" s="1"/>
  <c r="P122" i="21"/>
  <c r="J112" i="21"/>
  <c r="M122" i="21"/>
  <c r="P116" i="22"/>
  <c r="S116" i="22"/>
  <c r="M116" i="22"/>
  <c r="R116" i="22"/>
  <c r="J117" i="23"/>
  <c r="K117" i="23" s="1"/>
  <c r="M116" i="23"/>
  <c r="R116" i="23"/>
  <c r="S116" i="23"/>
  <c r="P116" i="23"/>
  <c r="K112" i="20"/>
  <c r="J114" i="21"/>
  <c r="K114" i="21" s="1"/>
  <c r="P112" i="22"/>
  <c r="M112" i="22"/>
  <c r="S112" i="22"/>
  <c r="R112" i="22"/>
  <c r="I122" i="22"/>
  <c r="N60" i="11" s="1"/>
  <c r="K166" i="25" s="1"/>
  <c r="P114" i="22"/>
  <c r="S114" i="22"/>
  <c r="R114" i="22"/>
  <c r="M114" i="22"/>
  <c r="R114" i="23"/>
  <c r="P114" i="23"/>
  <c r="S114" i="23"/>
  <c r="M114" i="23"/>
  <c r="S122" i="21"/>
  <c r="J117" i="22"/>
  <c r="K117" i="22" s="1"/>
  <c r="P112" i="23"/>
  <c r="S112" i="23"/>
  <c r="M112" i="23"/>
  <c r="R112" i="23"/>
  <c r="O60" i="13"/>
  <c r="G166" i="25"/>
  <c r="J60" i="13"/>
  <c r="Q60" i="13"/>
  <c r="K60" i="13"/>
  <c r="G60" i="13"/>
  <c r="P60" i="13"/>
  <c r="E60" i="13"/>
  <c r="N60" i="13"/>
  <c r="F60" i="13"/>
  <c r="H60" i="13"/>
  <c r="I60" i="13"/>
  <c r="M60" i="13"/>
  <c r="L60" i="13"/>
  <c r="S122" i="20"/>
  <c r="J117" i="21"/>
  <c r="K117" i="21" s="1"/>
  <c r="P115" i="23"/>
  <c r="S115" i="23"/>
  <c r="M115" i="23"/>
  <c r="R115" i="23"/>
  <c r="P115" i="22"/>
  <c r="S115" i="22"/>
  <c r="M115" i="22"/>
  <c r="R115" i="22"/>
  <c r="J115" i="21"/>
  <c r="K115" i="21" s="1"/>
  <c r="M122" i="20"/>
  <c r="J116" i="21"/>
  <c r="K116" i="21" s="1"/>
  <c r="J23" i="21"/>
  <c r="K23" i="21" s="1"/>
  <c r="J24" i="20"/>
  <c r="K24" i="20" s="1"/>
  <c r="J26" i="23"/>
  <c r="K26" i="23" s="1"/>
  <c r="M22" i="21"/>
  <c r="P22" i="21"/>
  <c r="R22" i="21"/>
  <c r="S22" i="21"/>
  <c r="I22" i="22"/>
  <c r="F22" i="23"/>
  <c r="I22" i="23" s="1"/>
  <c r="M28" i="23"/>
  <c r="P28" i="23"/>
  <c r="S28" i="23"/>
  <c r="R28" i="23"/>
  <c r="J26" i="22"/>
  <c r="K26" i="22" s="1"/>
  <c r="R23" i="23"/>
  <c r="M23" i="23"/>
  <c r="S23" i="23"/>
  <c r="P23" i="23"/>
  <c r="J21" i="21"/>
  <c r="K21" i="21" s="1"/>
  <c r="J25" i="22"/>
  <c r="K25" i="22" s="1"/>
  <c r="Q20" i="22"/>
  <c r="H20" i="23"/>
  <c r="Q20" i="23" s="1"/>
  <c r="J19" i="22"/>
  <c r="J28" i="21"/>
  <c r="K28" i="21" s="1"/>
  <c r="J56" i="11"/>
  <c r="I68" i="20"/>
  <c r="J19" i="23"/>
  <c r="I27" i="22"/>
  <c r="F27" i="23"/>
  <c r="I27" i="23" s="1"/>
  <c r="M28" i="22"/>
  <c r="P28" i="22"/>
  <c r="R28" i="22"/>
  <c r="S28" i="22"/>
  <c r="J19" i="21"/>
  <c r="I29" i="22"/>
  <c r="F29" i="23"/>
  <c r="I29" i="23" s="1"/>
  <c r="K19" i="20"/>
  <c r="J25" i="23"/>
  <c r="K25" i="23" s="1"/>
  <c r="J27" i="20"/>
  <c r="K27" i="20" s="1"/>
  <c r="M20" i="23"/>
  <c r="S20" i="23"/>
  <c r="P20" i="23"/>
  <c r="R20" i="23"/>
  <c r="M24" i="22"/>
  <c r="S24" i="22"/>
  <c r="P24" i="22"/>
  <c r="R24" i="22"/>
  <c r="J24" i="21"/>
  <c r="K24" i="21" s="1"/>
  <c r="J28" i="20"/>
  <c r="K28" i="20" s="1"/>
  <c r="R29" i="21"/>
  <c r="M29" i="21"/>
  <c r="S29" i="21"/>
  <c r="P29" i="21"/>
  <c r="R27" i="21"/>
  <c r="M27" i="21"/>
  <c r="S27" i="21"/>
  <c r="P27" i="21"/>
  <c r="I61" i="21"/>
  <c r="J26" i="21"/>
  <c r="K26" i="21" s="1"/>
  <c r="R24" i="23"/>
  <c r="M24" i="23"/>
  <c r="S24" i="23"/>
  <c r="P24" i="23"/>
  <c r="J29" i="20"/>
  <c r="K29" i="20" s="1"/>
  <c r="I231" i="7"/>
  <c r="I233" i="7" s="1"/>
  <c r="I235" i="7" s="1"/>
  <c r="P23" i="22"/>
  <c r="R23" i="22"/>
  <c r="S23" i="22"/>
  <c r="M23" i="22"/>
  <c r="S20" i="22"/>
  <c r="M20" i="22"/>
  <c r="P20" i="22"/>
  <c r="R20" i="22"/>
  <c r="H21" i="23"/>
  <c r="Q21" i="23" s="1"/>
  <c r="J21" i="23" s="1"/>
  <c r="K21" i="23" s="1"/>
  <c r="Q21" i="22"/>
  <c r="J21" i="22" s="1"/>
  <c r="K21" i="22" s="1"/>
  <c r="S121" i="13" l="1"/>
  <c r="I121" i="14" s="1"/>
  <c r="E18" i="24"/>
  <c r="G18" i="24" s="1"/>
  <c r="M12" i="26"/>
  <c r="J68" i="7"/>
  <c r="K68" i="7" s="1"/>
  <c r="K76" i="7" s="1"/>
  <c r="J30" i="22"/>
  <c r="K30" i="22" s="1"/>
  <c r="J28" i="22"/>
  <c r="K28" i="22" s="1"/>
  <c r="J32" i="22"/>
  <c r="K32" i="22" s="1"/>
  <c r="J32" i="23"/>
  <c r="K32" i="23" s="1"/>
  <c r="J28" i="23"/>
  <c r="K28" i="23" s="1"/>
  <c r="J216" i="23"/>
  <c r="K216" i="23" s="1"/>
  <c r="K229" i="23" s="1"/>
  <c r="I167" i="25"/>
  <c r="R214" i="22"/>
  <c r="J203" i="22"/>
  <c r="K203" i="22" s="1"/>
  <c r="S214" i="22"/>
  <c r="O214" i="22"/>
  <c r="S214" i="23"/>
  <c r="P214" i="22"/>
  <c r="J202" i="23"/>
  <c r="N214" i="23"/>
  <c r="K202" i="21"/>
  <c r="K214" i="21" s="1"/>
  <c r="J214" i="21"/>
  <c r="N214" i="22"/>
  <c r="J202" i="22"/>
  <c r="P69" i="11"/>
  <c r="M90" i="25" s="1"/>
  <c r="M292" i="25" s="1"/>
  <c r="S105" i="23"/>
  <c r="P105" i="23"/>
  <c r="J105" i="23" s="1"/>
  <c r="K105" i="23" s="1"/>
  <c r="Q122" i="23"/>
  <c r="S109" i="23"/>
  <c r="J109" i="23" s="1"/>
  <c r="K109" i="23" s="1"/>
  <c r="M109" i="23"/>
  <c r="J122" i="20"/>
  <c r="K122" i="20"/>
  <c r="I122" i="23"/>
  <c r="P60" i="11" s="1"/>
  <c r="M166" i="25" s="1"/>
  <c r="P100" i="22"/>
  <c r="M100" i="23"/>
  <c r="S100" i="23"/>
  <c r="S82" i="23"/>
  <c r="P82" i="23"/>
  <c r="P100" i="23" s="1"/>
  <c r="M82" i="23"/>
  <c r="R82" i="23"/>
  <c r="R100" i="23" s="1"/>
  <c r="J81" i="23"/>
  <c r="K81" i="23" s="1"/>
  <c r="C21" i="26"/>
  <c r="M57" i="14"/>
  <c r="K231" i="25"/>
  <c r="F57" i="14"/>
  <c r="N57" i="14"/>
  <c r="N121" i="14"/>
  <c r="J121" i="14"/>
  <c r="G121" i="14"/>
  <c r="O121" i="14"/>
  <c r="P121" i="14"/>
  <c r="H121" i="14"/>
  <c r="U121" i="14"/>
  <c r="F121" i="14"/>
  <c r="N148" i="23"/>
  <c r="J148" i="23" s="1"/>
  <c r="K148" i="23" s="1"/>
  <c r="P148" i="23"/>
  <c r="R148" i="23"/>
  <c r="O148" i="23"/>
  <c r="S148" i="23"/>
  <c r="N147" i="23"/>
  <c r="S147" i="23"/>
  <c r="R147" i="23"/>
  <c r="P147" i="23"/>
  <c r="O147" i="23"/>
  <c r="J106" i="22"/>
  <c r="K106" i="22" s="1"/>
  <c r="S122" i="22"/>
  <c r="J114" i="23"/>
  <c r="K114" i="23" s="1"/>
  <c r="J110" i="22"/>
  <c r="K110" i="22" s="1"/>
  <c r="J114" i="22"/>
  <c r="K114" i="22" s="1"/>
  <c r="S106" i="23"/>
  <c r="M106" i="23"/>
  <c r="R106" i="23"/>
  <c r="P106" i="23"/>
  <c r="R110" i="23"/>
  <c r="S110" i="23"/>
  <c r="M110" i="23"/>
  <c r="P110" i="23"/>
  <c r="P13" i="22"/>
  <c r="R13" i="22"/>
  <c r="S13" i="22"/>
  <c r="J11" i="23"/>
  <c r="K11" i="23" s="1"/>
  <c r="L57" i="14"/>
  <c r="Q121" i="14"/>
  <c r="M121" i="14"/>
  <c r="L121" i="14"/>
  <c r="K121" i="14"/>
  <c r="H38" i="14"/>
  <c r="E121" i="14"/>
  <c r="V121" i="13"/>
  <c r="Q38" i="14"/>
  <c r="V38" i="13"/>
  <c r="P38" i="14"/>
  <c r="N38" i="14"/>
  <c r="L38" i="14"/>
  <c r="E38" i="14"/>
  <c r="E40" i="14" s="1"/>
  <c r="G38" i="14"/>
  <c r="K38" i="14"/>
  <c r="I38" i="14"/>
  <c r="F38" i="14"/>
  <c r="M38" i="14"/>
  <c r="U38" i="14"/>
  <c r="O38" i="14"/>
  <c r="S61" i="14"/>
  <c r="K61" i="16" s="1"/>
  <c r="J57" i="14"/>
  <c r="H57" i="14"/>
  <c r="Q57" i="14"/>
  <c r="V57" i="13"/>
  <c r="E57" i="14"/>
  <c r="I57" i="14"/>
  <c r="O57" i="14"/>
  <c r="K57" i="14"/>
  <c r="U57" i="14"/>
  <c r="G57" i="14"/>
  <c r="K66" i="14"/>
  <c r="O45" i="14"/>
  <c r="F45" i="14"/>
  <c r="H45" i="14"/>
  <c r="I45" i="14"/>
  <c r="J105" i="22"/>
  <c r="K105" i="22" s="1"/>
  <c r="S103" i="23"/>
  <c r="R103" i="23"/>
  <c r="P103" i="23"/>
  <c r="M103" i="23"/>
  <c r="Q166" i="23"/>
  <c r="Q166" i="22"/>
  <c r="J152" i="22"/>
  <c r="K152" i="22" s="1"/>
  <c r="J152" i="23"/>
  <c r="K152" i="23" s="1"/>
  <c r="N149" i="23"/>
  <c r="R149" i="23"/>
  <c r="O149" i="23"/>
  <c r="P149" i="23"/>
  <c r="S149" i="23"/>
  <c r="J150" i="22"/>
  <c r="K150" i="22" s="1"/>
  <c r="K216" i="22"/>
  <c r="K229" i="22" s="1"/>
  <c r="J229" i="22"/>
  <c r="V45" i="13"/>
  <c r="G45" i="14"/>
  <c r="K45" i="14"/>
  <c r="M45" i="14"/>
  <c r="U45" i="14"/>
  <c r="N45" i="14"/>
  <c r="J45" i="14"/>
  <c r="Q45" i="14"/>
  <c r="L45" i="14"/>
  <c r="P45" i="14"/>
  <c r="N66" i="14"/>
  <c r="I65" i="14"/>
  <c r="L66" i="14"/>
  <c r="O65" i="14"/>
  <c r="P66" i="14"/>
  <c r="M65" i="14"/>
  <c r="F65" i="14"/>
  <c r="E66" i="14"/>
  <c r="Q66" i="14"/>
  <c r="J65" i="14"/>
  <c r="U65" i="14"/>
  <c r="Q65" i="14"/>
  <c r="V65" i="13"/>
  <c r="H66" i="14"/>
  <c r="U66" i="14"/>
  <c r="E65" i="14"/>
  <c r="J67" i="14"/>
  <c r="O66" i="14"/>
  <c r="K65" i="14"/>
  <c r="V66" i="13"/>
  <c r="L65" i="14"/>
  <c r="M66" i="14"/>
  <c r="N65" i="14"/>
  <c r="I66" i="14"/>
  <c r="H65" i="14"/>
  <c r="F66" i="14"/>
  <c r="P65" i="14"/>
  <c r="F67" i="14"/>
  <c r="N67" i="14"/>
  <c r="G66" i="14"/>
  <c r="V43" i="13"/>
  <c r="H43" i="14"/>
  <c r="O43" i="14"/>
  <c r="Q43" i="14"/>
  <c r="S30" i="14"/>
  <c r="F30" i="16" s="1"/>
  <c r="E797" i="9"/>
  <c r="F797" i="9" s="1"/>
  <c r="E818" i="9"/>
  <c r="F818" i="9" s="1"/>
  <c r="E791" i="9"/>
  <c r="F791" i="9" s="1"/>
  <c r="E827" i="9"/>
  <c r="F827" i="9" s="1"/>
  <c r="E813" i="9"/>
  <c r="F813" i="9" s="1"/>
  <c r="E790" i="9"/>
  <c r="F790" i="9" s="1"/>
  <c r="E784" i="9"/>
  <c r="F784" i="9" s="1"/>
  <c r="E812" i="9"/>
  <c r="F812" i="9" s="1"/>
  <c r="E800" i="9"/>
  <c r="F800" i="9" s="1"/>
  <c r="E782" i="9"/>
  <c r="F782" i="9" s="1"/>
  <c r="V67" i="13"/>
  <c r="E67" i="14"/>
  <c r="K67" i="14"/>
  <c r="H67" i="14"/>
  <c r="U67" i="14"/>
  <c r="I67" i="14"/>
  <c r="G67" i="14"/>
  <c r="O67" i="14"/>
  <c r="P67" i="14"/>
  <c r="L67" i="14"/>
  <c r="M67" i="14"/>
  <c r="I12" i="26"/>
  <c r="E43" i="14"/>
  <c r="U43" i="14"/>
  <c r="G43" i="14"/>
  <c r="L43" i="14"/>
  <c r="E1002" i="9"/>
  <c r="F1002" i="9" s="1"/>
  <c r="F43" i="14"/>
  <c r="M43" i="14"/>
  <c r="K43" i="14"/>
  <c r="I43" i="14"/>
  <c r="J43" i="14"/>
  <c r="P43" i="14"/>
  <c r="L49" i="14"/>
  <c r="H49" i="14"/>
  <c r="J7" i="23"/>
  <c r="K7" i="23" s="1"/>
  <c r="J166" i="20"/>
  <c r="R102" i="23"/>
  <c r="P102" i="23"/>
  <c r="S102" i="23"/>
  <c r="M102" i="23"/>
  <c r="R10" i="23"/>
  <c r="P10" i="23"/>
  <c r="S10" i="23"/>
  <c r="M10" i="23"/>
  <c r="P61" i="21"/>
  <c r="P12" i="23"/>
  <c r="M12" i="23"/>
  <c r="S12" i="23"/>
  <c r="R12" i="23"/>
  <c r="M9" i="22"/>
  <c r="P9" i="22"/>
  <c r="R9" i="22"/>
  <c r="S9" i="22"/>
  <c r="Q9" i="23"/>
  <c r="Q61" i="23" s="1"/>
  <c r="I9" i="23"/>
  <c r="I61" i="23" s="1"/>
  <c r="I68" i="23" s="1"/>
  <c r="J9" i="21"/>
  <c r="K9" i="21" s="1"/>
  <c r="J17" i="22"/>
  <c r="K17" i="22" s="1"/>
  <c r="J17" i="23"/>
  <c r="K17" i="23" s="1"/>
  <c r="E986" i="9"/>
  <c r="F986" i="9" s="1"/>
  <c r="R18" i="23"/>
  <c r="M18" i="23"/>
  <c r="S18" i="23"/>
  <c r="P18" i="23"/>
  <c r="J18" i="22"/>
  <c r="K18" i="22" s="1"/>
  <c r="E44" i="14"/>
  <c r="I49" i="14"/>
  <c r="N44" i="14"/>
  <c r="G44" i="14"/>
  <c r="N39" i="14"/>
  <c r="Q39" i="14" s="1"/>
  <c r="S39" i="14" s="1"/>
  <c r="F49" i="14"/>
  <c r="E49" i="14"/>
  <c r="M44" i="14"/>
  <c r="F44" i="14"/>
  <c r="U44" i="14"/>
  <c r="L44" i="14"/>
  <c r="K44" i="14"/>
  <c r="O44" i="14"/>
  <c r="P44" i="14"/>
  <c r="Q44" i="14"/>
  <c r="J44" i="14"/>
  <c r="H44" i="14"/>
  <c r="I44" i="14"/>
  <c r="E179" i="14"/>
  <c r="F176" i="14" s="1"/>
  <c r="F179" i="14" s="1"/>
  <c r="G176" i="14" s="1"/>
  <c r="G179" i="14" s="1"/>
  <c r="H176" i="14" s="1"/>
  <c r="H179" i="14" s="1"/>
  <c r="I176" i="14" s="1"/>
  <c r="I179" i="14" s="1"/>
  <c r="J176" i="14" s="1"/>
  <c r="J179" i="14" s="1"/>
  <c r="K176" i="14" s="1"/>
  <c r="K179" i="14" s="1"/>
  <c r="L176" i="14" s="1"/>
  <c r="L179" i="14" s="1"/>
  <c r="M176" i="14" s="1"/>
  <c r="M179" i="14" s="1"/>
  <c r="N176" i="14" s="1"/>
  <c r="N179" i="14" s="1"/>
  <c r="O176" i="14" s="1"/>
  <c r="O179" i="14" s="1"/>
  <c r="P176" i="14" s="1"/>
  <c r="P179" i="14" s="1"/>
  <c r="E176" i="16" s="1"/>
  <c r="Q49" i="14"/>
  <c r="U49" i="14"/>
  <c r="M49" i="14"/>
  <c r="J49" i="14"/>
  <c r="K49" i="14"/>
  <c r="N49" i="14"/>
  <c r="P49" i="14"/>
  <c r="G49" i="14"/>
  <c r="V49" i="13"/>
  <c r="S39" i="13"/>
  <c r="V39" i="13" s="1"/>
  <c r="N39" i="11"/>
  <c r="K70" i="25" s="1"/>
  <c r="I70" i="25"/>
  <c r="S22" i="14"/>
  <c r="F22" i="16" s="1"/>
  <c r="G72" i="14"/>
  <c r="M68" i="14"/>
  <c r="U68" i="14"/>
  <c r="K68" i="14"/>
  <c r="O68" i="14"/>
  <c r="J68" i="14"/>
  <c r="Q68" i="14"/>
  <c r="V68" i="13"/>
  <c r="N68" i="14"/>
  <c r="L68" i="14"/>
  <c r="E68" i="14"/>
  <c r="H68" i="14"/>
  <c r="P68" i="14"/>
  <c r="G68" i="14"/>
  <c r="I68" i="14"/>
  <c r="F48" i="14"/>
  <c r="I48" i="14"/>
  <c r="P48" i="14"/>
  <c r="G48" i="14"/>
  <c r="N48" i="14"/>
  <c r="Q48" i="14"/>
  <c r="L48" i="14"/>
  <c r="J48" i="14"/>
  <c r="H48" i="14"/>
  <c r="O48" i="14"/>
  <c r="U48" i="14"/>
  <c r="M48" i="14"/>
  <c r="K48" i="14"/>
  <c r="E48" i="14"/>
  <c r="V48" i="13"/>
  <c r="J72" i="14"/>
  <c r="N72" i="14"/>
  <c r="I17" i="26"/>
  <c r="E614" i="9"/>
  <c r="F614" i="9" s="1"/>
  <c r="H19" i="26"/>
  <c r="J151" i="5"/>
  <c r="J139" i="5"/>
  <c r="E676" i="9"/>
  <c r="F676" i="9" s="1"/>
  <c r="K110" i="5"/>
  <c r="E687" i="9"/>
  <c r="F687" i="9" s="1"/>
  <c r="E810" i="9"/>
  <c r="F810" i="9" s="1"/>
  <c r="L110" i="5"/>
  <c r="J18" i="26" s="1"/>
  <c r="E794" i="9"/>
  <c r="F794" i="9" s="1"/>
  <c r="E710" i="9"/>
  <c r="F710" i="9" s="1"/>
  <c r="J19" i="26"/>
  <c r="E828" i="9"/>
  <c r="F828" i="9" s="1"/>
  <c r="L151" i="5"/>
  <c r="L139" i="5"/>
  <c r="E721" i="9"/>
  <c r="F721" i="9" s="1"/>
  <c r="K151" i="5"/>
  <c r="I19" i="26"/>
  <c r="K139" i="5"/>
  <c r="L118" i="5"/>
  <c r="J17" i="26" s="1"/>
  <c r="H139" i="5"/>
  <c r="F19" i="26"/>
  <c r="E400" i="9"/>
  <c r="F400" i="9" s="1"/>
  <c r="H151" i="5"/>
  <c r="E186" i="9"/>
  <c r="F186" i="9" s="1"/>
  <c r="D19" i="26"/>
  <c r="F151" i="5"/>
  <c r="F139" i="5"/>
  <c r="E19" i="26"/>
  <c r="E293" i="9"/>
  <c r="F293" i="9" s="1"/>
  <c r="G139" i="5"/>
  <c r="G151" i="5"/>
  <c r="E703" i="9"/>
  <c r="F703" i="9" s="1"/>
  <c r="E507" i="9"/>
  <c r="F507" i="9" s="1"/>
  <c r="G19" i="26"/>
  <c r="I139" i="5"/>
  <c r="I151" i="5"/>
  <c r="E712" i="9"/>
  <c r="F712" i="9" s="1"/>
  <c r="E780" i="9"/>
  <c r="F780" i="9" s="1"/>
  <c r="E700" i="9"/>
  <c r="F700" i="9" s="1"/>
  <c r="E685" i="9"/>
  <c r="F685" i="9" s="1"/>
  <c r="E815" i="9"/>
  <c r="F815" i="9" s="1"/>
  <c r="E717" i="9"/>
  <c r="F717" i="9" s="1"/>
  <c r="K72" i="14"/>
  <c r="H72" i="14"/>
  <c r="F72" i="14"/>
  <c r="P72" i="14"/>
  <c r="J151" i="23"/>
  <c r="K151" i="23" s="1"/>
  <c r="J151" i="22"/>
  <c r="K151" i="22" s="1"/>
  <c r="E72" i="14"/>
  <c r="L72" i="14"/>
  <c r="I72" i="14"/>
  <c r="M72" i="14"/>
  <c r="Q72" i="14"/>
  <c r="U72" i="14"/>
  <c r="O72" i="14"/>
  <c r="E772" i="9"/>
  <c r="F772" i="9" s="1"/>
  <c r="E1093" i="9"/>
  <c r="F1093" i="9" s="1"/>
  <c r="E1200" i="9"/>
  <c r="F1200" i="9" s="1"/>
  <c r="L75" i="13"/>
  <c r="J75" i="13"/>
  <c r="K75" i="13"/>
  <c r="P75" i="13"/>
  <c r="Y75" i="5"/>
  <c r="M75" i="13"/>
  <c r="O75" i="13"/>
  <c r="J150" i="23"/>
  <c r="K150" i="23" s="1"/>
  <c r="I75" i="13"/>
  <c r="K146" i="20"/>
  <c r="K166" i="20" s="1"/>
  <c r="K146" i="7"/>
  <c r="K166" i="7" s="1"/>
  <c r="J166" i="7"/>
  <c r="Q75" i="13"/>
  <c r="J146" i="21"/>
  <c r="K146" i="21" s="1"/>
  <c r="K166" i="21" s="1"/>
  <c r="N166" i="21"/>
  <c r="N231" i="21" s="1"/>
  <c r="L72" i="11" s="1"/>
  <c r="I173" i="25" s="1"/>
  <c r="V64" i="5"/>
  <c r="V69" i="5" s="1"/>
  <c r="H64" i="11"/>
  <c r="H69" i="11" s="1"/>
  <c r="P64" i="13"/>
  <c r="P69" i="13" s="1"/>
  <c r="N64" i="13"/>
  <c r="N69" i="13" s="1"/>
  <c r="E64" i="13"/>
  <c r="U64" i="13"/>
  <c r="U69" i="13" s="1"/>
  <c r="S69" i="5"/>
  <c r="J64" i="13"/>
  <c r="J69" i="13" s="1"/>
  <c r="O64" i="13"/>
  <c r="O69" i="13" s="1"/>
  <c r="Y64" i="5"/>
  <c r="Y69" i="5" s="1"/>
  <c r="M64" i="13"/>
  <c r="M69" i="13" s="1"/>
  <c r="G64" i="13"/>
  <c r="G69" i="13" s="1"/>
  <c r="L64" i="13"/>
  <c r="L69" i="13" s="1"/>
  <c r="H64" i="13"/>
  <c r="H69" i="13" s="1"/>
  <c r="I64" i="13"/>
  <c r="I69" i="13" s="1"/>
  <c r="Q64" i="13"/>
  <c r="Q69" i="13" s="1"/>
  <c r="K64" i="13"/>
  <c r="K69" i="13" s="1"/>
  <c r="F64" i="13"/>
  <c r="F69" i="13" s="1"/>
  <c r="R146" i="23"/>
  <c r="R166" i="23" s="1"/>
  <c r="O146" i="23"/>
  <c r="O166" i="23" s="1"/>
  <c r="O231" i="23" s="1"/>
  <c r="P73" i="11" s="1"/>
  <c r="M174" i="25" s="1"/>
  <c r="P146" i="23"/>
  <c r="P166" i="23" s="1"/>
  <c r="S146" i="23"/>
  <c r="S166" i="23" s="1"/>
  <c r="N146" i="23"/>
  <c r="S146" i="22"/>
  <c r="S166" i="22" s="1"/>
  <c r="O146" i="22"/>
  <c r="O166" i="22" s="1"/>
  <c r="O231" i="22" s="1"/>
  <c r="N73" i="11" s="1"/>
  <c r="K174" i="25" s="1"/>
  <c r="R146" i="22"/>
  <c r="R166" i="22" s="1"/>
  <c r="P146" i="22"/>
  <c r="P166" i="22" s="1"/>
  <c r="N146" i="22"/>
  <c r="N166" i="22" s="1"/>
  <c r="I166" i="22"/>
  <c r="N64" i="11" s="1"/>
  <c r="N69" i="11" s="1"/>
  <c r="E75" i="13"/>
  <c r="G75" i="13"/>
  <c r="F75" i="13"/>
  <c r="H75" i="11"/>
  <c r="E176" i="25" s="1"/>
  <c r="N75" i="13"/>
  <c r="H75" i="13"/>
  <c r="U75" i="13"/>
  <c r="J109" i="22"/>
  <c r="K109" i="22" s="1"/>
  <c r="S108" i="23"/>
  <c r="R108" i="23"/>
  <c r="P108" i="23"/>
  <c r="M108" i="23"/>
  <c r="J108" i="23" s="1"/>
  <c r="K108" i="23" s="1"/>
  <c r="J108" i="22"/>
  <c r="K108" i="22" s="1"/>
  <c r="K79" i="23"/>
  <c r="J79" i="22"/>
  <c r="M100" i="22"/>
  <c r="S59" i="13"/>
  <c r="J100" i="20"/>
  <c r="K79" i="20"/>
  <c r="K100" i="20" s="1"/>
  <c r="J100" i="21"/>
  <c r="K79" i="21"/>
  <c r="K100" i="21" s="1"/>
  <c r="S14" i="23"/>
  <c r="M14" i="23"/>
  <c r="R14" i="23"/>
  <c r="P14" i="23"/>
  <c r="J14" i="22"/>
  <c r="K14" i="22" s="1"/>
  <c r="J13" i="21"/>
  <c r="K13" i="21" s="1"/>
  <c r="M13" i="23"/>
  <c r="R13" i="23"/>
  <c r="P13" i="23"/>
  <c r="S13" i="23"/>
  <c r="K153" i="22"/>
  <c r="J156" i="23"/>
  <c r="K156" i="23" s="1"/>
  <c r="J156" i="22"/>
  <c r="K156" i="22" s="1"/>
  <c r="J115" i="23"/>
  <c r="K115" i="23" s="1"/>
  <c r="J112" i="23"/>
  <c r="J122" i="21"/>
  <c r="K112" i="21"/>
  <c r="K122" i="21" s="1"/>
  <c r="S60" i="13"/>
  <c r="R122" i="22"/>
  <c r="J116" i="23"/>
  <c r="K116" i="23" s="1"/>
  <c r="J112" i="22"/>
  <c r="M122" i="22"/>
  <c r="P122" i="22"/>
  <c r="J115" i="22"/>
  <c r="K115" i="22" s="1"/>
  <c r="J116" i="22"/>
  <c r="K116" i="22" s="1"/>
  <c r="J22" i="21"/>
  <c r="K22" i="21" s="1"/>
  <c r="R61" i="21"/>
  <c r="J23" i="22"/>
  <c r="K23" i="22" s="1"/>
  <c r="R22" i="23"/>
  <c r="M22" i="23"/>
  <c r="P22" i="23"/>
  <c r="S22" i="23"/>
  <c r="M22" i="22"/>
  <c r="P22" i="22"/>
  <c r="S22" i="22"/>
  <c r="R22" i="22"/>
  <c r="S61" i="21"/>
  <c r="R29" i="22"/>
  <c r="S29" i="22"/>
  <c r="M29" i="22"/>
  <c r="P29" i="22"/>
  <c r="E1183" i="9"/>
  <c r="F1183" i="9" s="1"/>
  <c r="P62" i="5"/>
  <c r="K19" i="21"/>
  <c r="K19" i="23"/>
  <c r="M68" i="20"/>
  <c r="I76" i="20"/>
  <c r="S68" i="20"/>
  <c r="S76" i="20" s="1"/>
  <c r="S231" i="20" s="1"/>
  <c r="J77" i="11" s="1"/>
  <c r="G178" i="25" s="1"/>
  <c r="R68" i="20"/>
  <c r="R76" i="20" s="1"/>
  <c r="R231" i="20" s="1"/>
  <c r="J76" i="11" s="1"/>
  <c r="G177" i="25" s="1"/>
  <c r="P68" i="20"/>
  <c r="P76" i="20" s="1"/>
  <c r="P231" i="20" s="1"/>
  <c r="J74" i="11" s="1"/>
  <c r="G175" i="25" s="1"/>
  <c r="H56" i="13"/>
  <c r="Q56" i="13"/>
  <c r="G56" i="13"/>
  <c r="E56" i="13"/>
  <c r="O56" i="13"/>
  <c r="N56" i="13"/>
  <c r="L56" i="13"/>
  <c r="J56" i="13"/>
  <c r="M56" i="13"/>
  <c r="F56" i="13"/>
  <c r="P56" i="13"/>
  <c r="K56" i="13"/>
  <c r="I56" i="13"/>
  <c r="E1076" i="9"/>
  <c r="F1076" i="9" s="1"/>
  <c r="O62" i="5"/>
  <c r="E665" i="9"/>
  <c r="F665" i="9" s="1"/>
  <c r="J23" i="23"/>
  <c r="K23" i="23" s="1"/>
  <c r="J24" i="23"/>
  <c r="K24" i="23" s="1"/>
  <c r="J29" i="21"/>
  <c r="K29" i="21" s="1"/>
  <c r="J20" i="23"/>
  <c r="K20" i="23" s="1"/>
  <c r="K19" i="22"/>
  <c r="J27" i="21"/>
  <c r="K27" i="21" s="1"/>
  <c r="K61" i="20"/>
  <c r="M27" i="23"/>
  <c r="P27" i="23"/>
  <c r="S27" i="23"/>
  <c r="R27" i="23"/>
  <c r="E648" i="9"/>
  <c r="F648" i="9" s="1"/>
  <c r="K62" i="5"/>
  <c r="S58" i="5"/>
  <c r="M61" i="21"/>
  <c r="E862" i="9"/>
  <c r="F862" i="9" s="1"/>
  <c r="M62" i="5"/>
  <c r="L56" i="11"/>
  <c r="I68" i="21"/>
  <c r="J24" i="22"/>
  <c r="K24" i="22" s="1"/>
  <c r="J61" i="20"/>
  <c r="R27" i="22"/>
  <c r="S27" i="22"/>
  <c r="M27" i="22"/>
  <c r="P27" i="22"/>
  <c r="I61" i="22"/>
  <c r="E755" i="9"/>
  <c r="F755" i="9" s="1"/>
  <c r="L62" i="5"/>
  <c r="J20" i="22"/>
  <c r="K20" i="22" s="1"/>
  <c r="N62" i="5"/>
  <c r="E969" i="9"/>
  <c r="F969" i="9" s="1"/>
  <c r="S29" i="23"/>
  <c r="R29" i="23"/>
  <c r="M29" i="23"/>
  <c r="P29" i="23"/>
  <c r="Q61" i="22"/>
  <c r="O12" i="26" l="1"/>
  <c r="E17" i="24"/>
  <c r="G17" i="24" s="1"/>
  <c r="N182" i="5"/>
  <c r="N183" i="5" s="1"/>
  <c r="J76" i="7"/>
  <c r="J231" i="7" s="1"/>
  <c r="J229" i="23"/>
  <c r="M167" i="25"/>
  <c r="N231" i="22"/>
  <c r="N72" i="11" s="1"/>
  <c r="K173" i="25" s="1"/>
  <c r="K202" i="22"/>
  <c r="K214" i="22" s="1"/>
  <c r="J214" i="22"/>
  <c r="K202" i="23"/>
  <c r="K214" i="23" s="1"/>
  <c r="J214" i="23"/>
  <c r="S122" i="23"/>
  <c r="J110" i="23"/>
  <c r="K110" i="23" s="1"/>
  <c r="R122" i="23"/>
  <c r="J82" i="23"/>
  <c r="J13" i="22"/>
  <c r="K13" i="22" s="1"/>
  <c r="H61" i="16"/>
  <c r="M61" i="16"/>
  <c r="G61" i="16"/>
  <c r="V61" i="14"/>
  <c r="N61" i="16"/>
  <c r="U61" i="16"/>
  <c r="E61" i="16"/>
  <c r="P61" i="16"/>
  <c r="I61" i="16"/>
  <c r="L61" i="16"/>
  <c r="F61" i="16"/>
  <c r="J61" i="16"/>
  <c r="O61" i="16"/>
  <c r="Q61" i="16"/>
  <c r="Q231" i="23"/>
  <c r="P75" i="11" s="1"/>
  <c r="M176" i="25" s="1"/>
  <c r="J147" i="23"/>
  <c r="K147" i="23" s="1"/>
  <c r="J106" i="23"/>
  <c r="K106" i="23" s="1"/>
  <c r="S57" i="14"/>
  <c r="V57" i="14" s="1"/>
  <c r="S38" i="14"/>
  <c r="M38" i="16" s="1"/>
  <c r="S121" i="14"/>
  <c r="V121" i="14" s="1"/>
  <c r="S45" i="14"/>
  <c r="G45" i="16" s="1"/>
  <c r="J103" i="23"/>
  <c r="K103" i="23" s="1"/>
  <c r="M122" i="23"/>
  <c r="P122" i="23"/>
  <c r="Q231" i="22"/>
  <c r="N75" i="11" s="1"/>
  <c r="K176" i="25" s="1"/>
  <c r="J149" i="23"/>
  <c r="K149" i="23" s="1"/>
  <c r="G30" i="16"/>
  <c r="H30" i="16"/>
  <c r="M30" i="16"/>
  <c r="N30" i="16"/>
  <c r="E1109" i="9"/>
  <c r="F1109" i="9" s="1"/>
  <c r="S65" i="14"/>
  <c r="P65" i="16" s="1"/>
  <c r="K30" i="16"/>
  <c r="V30" i="14"/>
  <c r="I30" i="16"/>
  <c r="O30" i="16"/>
  <c r="Q30" i="17"/>
  <c r="J30" i="16"/>
  <c r="L30" i="16"/>
  <c r="U30" i="16"/>
  <c r="E30" i="16"/>
  <c r="P30" i="16"/>
  <c r="S67" i="14"/>
  <c r="M67" i="16" s="1"/>
  <c r="Q30" i="16"/>
  <c r="H45" i="16"/>
  <c r="S66" i="14"/>
  <c r="I66" i="16" s="1"/>
  <c r="E22" i="16"/>
  <c r="K22" i="16"/>
  <c r="N22" i="16"/>
  <c r="O22" i="16"/>
  <c r="V22" i="14"/>
  <c r="G22" i="16"/>
  <c r="M22" i="16"/>
  <c r="L22" i="16"/>
  <c r="Q22" i="16"/>
  <c r="I22" i="16"/>
  <c r="P22" i="16"/>
  <c r="Q22" i="17"/>
  <c r="H22" i="16"/>
  <c r="J22" i="16"/>
  <c r="U22" i="16"/>
  <c r="E781" i="9"/>
  <c r="F781" i="9" s="1"/>
  <c r="S43" i="14"/>
  <c r="J43" i="16" s="1"/>
  <c r="I18" i="24"/>
  <c r="K18" i="24" s="1"/>
  <c r="AE172" i="5"/>
  <c r="U39" i="14"/>
  <c r="V39" i="14" s="1"/>
  <c r="R61" i="22"/>
  <c r="J10" i="23"/>
  <c r="K10" i="23" s="1"/>
  <c r="J102" i="23"/>
  <c r="K102" i="23" s="1"/>
  <c r="J9" i="22"/>
  <c r="K9" i="22" s="1"/>
  <c r="S61" i="22"/>
  <c r="J22" i="23"/>
  <c r="K22" i="23" s="1"/>
  <c r="J12" i="23"/>
  <c r="K12" i="23" s="1"/>
  <c r="M9" i="23"/>
  <c r="M61" i="23" s="1"/>
  <c r="S9" i="23"/>
  <c r="S61" i="23" s="1"/>
  <c r="P9" i="23"/>
  <c r="P61" i="23" s="1"/>
  <c r="R9" i="23"/>
  <c r="R61" i="23" s="1"/>
  <c r="J18" i="23"/>
  <c r="K18" i="23" s="1"/>
  <c r="N39" i="16"/>
  <c r="S44" i="14"/>
  <c r="K44" i="16" s="1"/>
  <c r="P39" i="11"/>
  <c r="N39" i="17" s="1"/>
  <c r="S49" i="14"/>
  <c r="F49" i="16" s="1"/>
  <c r="E178" i="16"/>
  <c r="E167" i="16" s="1"/>
  <c r="S167" i="16" s="1"/>
  <c r="N171" i="11" s="1"/>
  <c r="I39" i="16"/>
  <c r="S68" i="14"/>
  <c r="V68" i="14" s="1"/>
  <c r="S48" i="14"/>
  <c r="E48" i="16" s="1"/>
  <c r="L106" i="13"/>
  <c r="N106" i="13"/>
  <c r="K106" i="13"/>
  <c r="H106" i="13"/>
  <c r="I106" i="13"/>
  <c r="G106" i="13"/>
  <c r="M106" i="13"/>
  <c r="O106" i="13"/>
  <c r="Q106" i="13"/>
  <c r="F106" i="13"/>
  <c r="P106" i="13"/>
  <c r="E106" i="13"/>
  <c r="J106" i="13"/>
  <c r="U39" i="16"/>
  <c r="E792" i="9"/>
  <c r="F792" i="9" s="1"/>
  <c r="I18" i="26"/>
  <c r="P56" i="11"/>
  <c r="S72" i="14"/>
  <c r="V72" i="14" s="1"/>
  <c r="S76" i="5"/>
  <c r="H76" i="13" s="1"/>
  <c r="K231" i="7"/>
  <c r="J166" i="21"/>
  <c r="J146" i="23"/>
  <c r="S75" i="13"/>
  <c r="N75" i="14" s="1"/>
  <c r="K90" i="25"/>
  <c r="K292" i="25" s="1"/>
  <c r="K167" i="25"/>
  <c r="J146" i="22"/>
  <c r="K146" i="22" s="1"/>
  <c r="K166" i="22" s="1"/>
  <c r="E167" i="25"/>
  <c r="E90" i="25"/>
  <c r="E292" i="25" s="1"/>
  <c r="N166" i="23"/>
  <c r="N231" i="23" s="1"/>
  <c r="P72" i="11" s="1"/>
  <c r="M173" i="25" s="1"/>
  <c r="E69" i="13"/>
  <c r="S64" i="13"/>
  <c r="E59" i="14"/>
  <c r="I59" i="14"/>
  <c r="O59" i="14"/>
  <c r="P59" i="14"/>
  <c r="K59" i="14"/>
  <c r="G59" i="14"/>
  <c r="H59" i="14"/>
  <c r="N59" i="14"/>
  <c r="J59" i="14"/>
  <c r="F59" i="14"/>
  <c r="U59" i="14"/>
  <c r="L59" i="14"/>
  <c r="Q59" i="14"/>
  <c r="M59" i="14"/>
  <c r="V59" i="13"/>
  <c r="J100" i="22"/>
  <c r="K79" i="22"/>
  <c r="K100" i="22" s="1"/>
  <c r="J14" i="23"/>
  <c r="K14" i="23" s="1"/>
  <c r="J13" i="23"/>
  <c r="K13" i="23" s="1"/>
  <c r="J122" i="22"/>
  <c r="K112" i="22"/>
  <c r="K122" i="22" s="1"/>
  <c r="N60" i="14"/>
  <c r="O60" i="14"/>
  <c r="J60" i="14"/>
  <c r="F60" i="14"/>
  <c r="G60" i="14"/>
  <c r="Q60" i="14"/>
  <c r="U60" i="14"/>
  <c r="M60" i="14"/>
  <c r="I60" i="14"/>
  <c r="E60" i="14"/>
  <c r="K60" i="14"/>
  <c r="P60" i="14"/>
  <c r="H60" i="14"/>
  <c r="L60" i="14"/>
  <c r="V60" i="13"/>
  <c r="K112" i="23"/>
  <c r="J27" i="22"/>
  <c r="K27" i="22" s="1"/>
  <c r="J22" i="22"/>
  <c r="K22" i="22" s="1"/>
  <c r="J11" i="26"/>
  <c r="I11" i="26"/>
  <c r="J29" i="23"/>
  <c r="K29" i="23" s="1"/>
  <c r="M76" i="20"/>
  <c r="M231" i="20" s="1"/>
  <c r="J71" i="11" s="1"/>
  <c r="J68" i="20"/>
  <c r="N56" i="11"/>
  <c r="I68" i="22"/>
  <c r="P61" i="22"/>
  <c r="M68" i="21"/>
  <c r="S68" i="21"/>
  <c r="S76" i="21" s="1"/>
  <c r="S231" i="21" s="1"/>
  <c r="L77" i="11" s="1"/>
  <c r="I178" i="25" s="1"/>
  <c r="R68" i="21"/>
  <c r="R76" i="21" s="1"/>
  <c r="R231" i="21" s="1"/>
  <c r="L76" i="11" s="1"/>
  <c r="I177" i="25" s="1"/>
  <c r="P68" i="21"/>
  <c r="P76" i="21" s="1"/>
  <c r="P231" i="21" s="1"/>
  <c r="L74" i="11" s="1"/>
  <c r="I175" i="25" s="1"/>
  <c r="I76" i="21"/>
  <c r="J27" i="23"/>
  <c r="K27" i="23" s="1"/>
  <c r="M11" i="26"/>
  <c r="S56" i="13"/>
  <c r="K61" i="21"/>
  <c r="K11" i="26"/>
  <c r="J61" i="21"/>
  <c r="N11" i="26"/>
  <c r="L11" i="26"/>
  <c r="V58" i="5"/>
  <c r="V62" i="5" s="1"/>
  <c r="S62" i="5"/>
  <c r="I17" i="24" s="1"/>
  <c r="Y58" i="5"/>
  <c r="Y62" i="5" s="1"/>
  <c r="H58" i="11"/>
  <c r="H62" i="11" s="1"/>
  <c r="U58" i="13"/>
  <c r="S68" i="23"/>
  <c r="S76" i="23" s="1"/>
  <c r="I76" i="23"/>
  <c r="R68" i="23"/>
  <c r="R76" i="23" s="1"/>
  <c r="P68" i="23"/>
  <c r="P76" i="23" s="1"/>
  <c r="M68" i="23"/>
  <c r="J29" i="22"/>
  <c r="K29" i="22" s="1"/>
  <c r="J58" i="11"/>
  <c r="J62" i="11" s="1"/>
  <c r="I231" i="20"/>
  <c r="I233" i="20" s="1"/>
  <c r="I234" i="20" s="1"/>
  <c r="M61" i="22"/>
  <c r="F57" i="16" l="1"/>
  <c r="K57" i="16"/>
  <c r="H57" i="16"/>
  <c r="K122" i="23"/>
  <c r="K82" i="23"/>
  <c r="K100" i="23" s="1"/>
  <c r="J100" i="23"/>
  <c r="U121" i="16"/>
  <c r="Q38" i="16"/>
  <c r="K38" i="16"/>
  <c r="L38" i="16"/>
  <c r="V38" i="14"/>
  <c r="E38" i="16"/>
  <c r="E40" i="16" s="1"/>
  <c r="G38" i="16"/>
  <c r="Q38" i="17"/>
  <c r="J38" i="16"/>
  <c r="I38" i="16"/>
  <c r="H38" i="16"/>
  <c r="P38" i="16"/>
  <c r="F38" i="16"/>
  <c r="O38" i="16"/>
  <c r="N38" i="16"/>
  <c r="U38" i="16"/>
  <c r="S61" i="16"/>
  <c r="F61" i="17" s="1"/>
  <c r="J57" i="16"/>
  <c r="O57" i="16"/>
  <c r="N57" i="16"/>
  <c r="V45" i="14"/>
  <c r="M57" i="16"/>
  <c r="Q57" i="16"/>
  <c r="L57" i="16"/>
  <c r="E57" i="16"/>
  <c r="U57" i="16"/>
  <c r="P57" i="16"/>
  <c r="G57" i="16"/>
  <c r="I57" i="16"/>
  <c r="E1216" i="9"/>
  <c r="F1216" i="9" s="1"/>
  <c r="K121" i="16"/>
  <c r="I121" i="16"/>
  <c r="N121" i="16"/>
  <c r="M121" i="16"/>
  <c r="J121" i="16"/>
  <c r="P121" i="16"/>
  <c r="O121" i="16"/>
  <c r="F121" i="16"/>
  <c r="H121" i="16"/>
  <c r="G121" i="16"/>
  <c r="L121" i="16"/>
  <c r="Q121" i="16"/>
  <c r="J122" i="23"/>
  <c r="E121" i="16"/>
  <c r="L45" i="16"/>
  <c r="K45" i="16"/>
  <c r="I45" i="16"/>
  <c r="J45" i="16"/>
  <c r="E45" i="16"/>
  <c r="P45" i="16"/>
  <c r="Q45" i="17"/>
  <c r="U45" i="16"/>
  <c r="M45" i="16"/>
  <c r="F45" i="16"/>
  <c r="O45" i="16"/>
  <c r="Q45" i="16"/>
  <c r="N45" i="16"/>
  <c r="N67" i="16"/>
  <c r="S30" i="16"/>
  <c r="I30" i="17" s="1"/>
  <c r="F66" i="16"/>
  <c r="K66" i="16"/>
  <c r="P66" i="16"/>
  <c r="M66" i="16"/>
  <c r="J66" i="16"/>
  <c r="O66" i="16"/>
  <c r="V66" i="14"/>
  <c r="J65" i="16"/>
  <c r="N66" i="16"/>
  <c r="G66" i="16"/>
  <c r="U66" i="16"/>
  <c r="Q66" i="16"/>
  <c r="Q65" i="16"/>
  <c r="H66" i="16"/>
  <c r="E66" i="16"/>
  <c r="L66" i="16"/>
  <c r="K65" i="16"/>
  <c r="U65" i="16"/>
  <c r="G65" i="16"/>
  <c r="E65" i="16"/>
  <c r="L65" i="16"/>
  <c r="M65" i="16"/>
  <c r="N65" i="16"/>
  <c r="F65" i="16"/>
  <c r="I65" i="16"/>
  <c r="V65" i="14"/>
  <c r="H65" i="16"/>
  <c r="O65" i="16"/>
  <c r="G67" i="16"/>
  <c r="F67" i="16"/>
  <c r="O67" i="16"/>
  <c r="V67" i="14"/>
  <c r="E67" i="16"/>
  <c r="L67" i="16"/>
  <c r="U67" i="16"/>
  <c r="K67" i="16"/>
  <c r="I67" i="16"/>
  <c r="P67" i="16"/>
  <c r="H67" i="16"/>
  <c r="Q67" i="16"/>
  <c r="J67" i="16"/>
  <c r="I39" i="17"/>
  <c r="Q39" i="17" s="1"/>
  <c r="S39" i="17" s="1"/>
  <c r="M70" i="25"/>
  <c r="I43" i="16"/>
  <c r="Q43" i="17"/>
  <c r="S22" i="16"/>
  <c r="P22" i="17" s="1"/>
  <c r="H43" i="16"/>
  <c r="L43" i="16"/>
  <c r="V43" i="14"/>
  <c r="N43" i="16"/>
  <c r="U43" i="16"/>
  <c r="O43" i="16"/>
  <c r="F43" i="16"/>
  <c r="K43" i="16"/>
  <c r="Q43" i="16"/>
  <c r="M43" i="16"/>
  <c r="E43" i="16"/>
  <c r="P43" i="16"/>
  <c r="G43" i="16"/>
  <c r="J49" i="16"/>
  <c r="O49" i="16"/>
  <c r="H49" i="16"/>
  <c r="U49" i="16"/>
  <c r="Q39" i="16"/>
  <c r="S39" i="16" s="1"/>
  <c r="V39" i="16" s="1"/>
  <c r="K49" i="16"/>
  <c r="M49" i="16"/>
  <c r="L49" i="16"/>
  <c r="N49" i="16"/>
  <c r="V49" i="14"/>
  <c r="P49" i="16"/>
  <c r="I49" i="16"/>
  <c r="Q49" i="16"/>
  <c r="G49" i="16"/>
  <c r="Q49" i="17"/>
  <c r="E49" i="16"/>
  <c r="N44" i="16"/>
  <c r="L44" i="16"/>
  <c r="E44" i="16"/>
  <c r="Q44" i="17"/>
  <c r="J44" i="16"/>
  <c r="F44" i="16"/>
  <c r="U44" i="16"/>
  <c r="I44" i="16"/>
  <c r="P68" i="16"/>
  <c r="H44" i="16"/>
  <c r="J9" i="23"/>
  <c r="K9" i="23" s="1"/>
  <c r="K61" i="23" s="1"/>
  <c r="P231" i="23"/>
  <c r="P74" i="11" s="1"/>
  <c r="M175" i="25" s="1"/>
  <c r="E774" i="9"/>
  <c r="F774" i="9" s="1"/>
  <c r="AC172" i="5"/>
  <c r="AD172" i="5" s="1"/>
  <c r="J61" i="22"/>
  <c r="K61" i="22"/>
  <c r="P44" i="16"/>
  <c r="G44" i="16"/>
  <c r="Q44" i="16"/>
  <c r="V44" i="14"/>
  <c r="O44" i="16"/>
  <c r="M44" i="16"/>
  <c r="G48" i="16"/>
  <c r="E179" i="16"/>
  <c r="F176" i="16" s="1"/>
  <c r="F179" i="16" s="1"/>
  <c r="G176" i="16" s="1"/>
  <c r="G179" i="16" s="1"/>
  <c r="H176" i="16" s="1"/>
  <c r="H179" i="16" s="1"/>
  <c r="I176" i="16" s="1"/>
  <c r="I179" i="16" s="1"/>
  <c r="J176" i="16" s="1"/>
  <c r="J179" i="16" s="1"/>
  <c r="K176" i="16" s="1"/>
  <c r="K179" i="16" s="1"/>
  <c r="L176" i="16" s="1"/>
  <c r="L179" i="16" s="1"/>
  <c r="M176" i="16" s="1"/>
  <c r="M179" i="16" s="1"/>
  <c r="N176" i="16" s="1"/>
  <c r="N179" i="16" s="1"/>
  <c r="O176" i="16" s="1"/>
  <c r="O179" i="16" s="1"/>
  <c r="P176" i="16" s="1"/>
  <c r="P179" i="16" s="1"/>
  <c r="E176" i="17" s="1"/>
  <c r="M68" i="16"/>
  <c r="U68" i="16"/>
  <c r="G68" i="16"/>
  <c r="Q68" i="16"/>
  <c r="J68" i="16"/>
  <c r="H68" i="16"/>
  <c r="L68" i="16"/>
  <c r="N68" i="16"/>
  <c r="I68" i="16"/>
  <c r="O68" i="16"/>
  <c r="K68" i="16"/>
  <c r="E68" i="16"/>
  <c r="F68" i="16"/>
  <c r="U48" i="16"/>
  <c r="Q48" i="16"/>
  <c r="K48" i="16"/>
  <c r="M48" i="16"/>
  <c r="L48" i="16"/>
  <c r="N48" i="16"/>
  <c r="H48" i="16"/>
  <c r="O48" i="16"/>
  <c r="F48" i="16"/>
  <c r="Q48" i="17"/>
  <c r="V48" i="14"/>
  <c r="J48" i="16"/>
  <c r="I48" i="16"/>
  <c r="P48" i="16"/>
  <c r="L75" i="14"/>
  <c r="J72" i="16"/>
  <c r="G72" i="16"/>
  <c r="S106" i="13"/>
  <c r="E510" i="9"/>
  <c r="F510" i="9" s="1"/>
  <c r="P30" i="17"/>
  <c r="F30" i="17"/>
  <c r="R231" i="23"/>
  <c r="P76" i="11" s="1"/>
  <c r="M177" i="25" s="1"/>
  <c r="S231" i="23"/>
  <c r="P77" i="11" s="1"/>
  <c r="M178" i="25" s="1"/>
  <c r="P75" i="14"/>
  <c r="F75" i="14"/>
  <c r="V75" i="13"/>
  <c r="K72" i="16"/>
  <c r="E72" i="16"/>
  <c r="O72" i="16"/>
  <c r="P72" i="16"/>
  <c r="M72" i="16"/>
  <c r="Q72" i="16"/>
  <c r="I72" i="16"/>
  <c r="L72" i="16"/>
  <c r="H72" i="16"/>
  <c r="F72" i="16"/>
  <c r="U72" i="16"/>
  <c r="N72" i="16"/>
  <c r="L76" i="13"/>
  <c r="O76" i="13"/>
  <c r="V76" i="5"/>
  <c r="K76" i="13"/>
  <c r="I76" i="13"/>
  <c r="N76" i="13"/>
  <c r="E76" i="13"/>
  <c r="G76" i="13"/>
  <c r="U76" i="13"/>
  <c r="M76" i="13"/>
  <c r="F76" i="13"/>
  <c r="J76" i="13"/>
  <c r="P76" i="13"/>
  <c r="Y76" i="5"/>
  <c r="Q76" i="13"/>
  <c r="H76" i="11"/>
  <c r="E177" i="25" s="1"/>
  <c r="O75" i="14"/>
  <c r="I75" i="14"/>
  <c r="K75" i="14"/>
  <c r="G75" i="14"/>
  <c r="Q75" i="14"/>
  <c r="M75" i="14"/>
  <c r="J75" i="14"/>
  <c r="E75" i="14"/>
  <c r="H75" i="14"/>
  <c r="U75" i="14"/>
  <c r="J166" i="23"/>
  <c r="K146" i="23"/>
  <c r="K166" i="23" s="1"/>
  <c r="J166" i="22"/>
  <c r="E64" i="14"/>
  <c r="H64" i="14"/>
  <c r="H69" i="14" s="1"/>
  <c r="P64" i="14"/>
  <c r="P69" i="14" s="1"/>
  <c r="G64" i="14"/>
  <c r="G69" i="14" s="1"/>
  <c r="Q64" i="14"/>
  <c r="Q69" i="14" s="1"/>
  <c r="I64" i="14"/>
  <c r="I69" i="14" s="1"/>
  <c r="V64" i="13"/>
  <c r="V69" i="13" s="1"/>
  <c r="S69" i="13"/>
  <c r="M64" i="14"/>
  <c r="M69" i="14" s="1"/>
  <c r="K64" i="14"/>
  <c r="K69" i="14" s="1"/>
  <c r="L64" i="14"/>
  <c r="L69" i="14" s="1"/>
  <c r="F64" i="14"/>
  <c r="F69" i="14" s="1"/>
  <c r="J64" i="14"/>
  <c r="J69" i="14" s="1"/>
  <c r="U64" i="14"/>
  <c r="O64" i="14"/>
  <c r="O69" i="14" s="1"/>
  <c r="N64" i="14"/>
  <c r="N69" i="14" s="1"/>
  <c r="S59" i="14"/>
  <c r="E881" i="9"/>
  <c r="F881" i="9" s="1"/>
  <c r="G58" i="13"/>
  <c r="G62" i="13" s="1"/>
  <c r="E768" i="9"/>
  <c r="F768" i="9" s="1"/>
  <c r="E1089" i="9"/>
  <c r="F1089" i="9" s="1"/>
  <c r="S60" i="14"/>
  <c r="V60" i="14" s="1"/>
  <c r="E982" i="9"/>
  <c r="F982" i="9" s="1"/>
  <c r="E1202" i="9"/>
  <c r="F1202" i="9" s="1"/>
  <c r="J68" i="23"/>
  <c r="M76" i="23"/>
  <c r="M231" i="23" s="1"/>
  <c r="P71" i="11" s="1"/>
  <c r="P58" i="13"/>
  <c r="P62" i="13" s="1"/>
  <c r="I58" i="13"/>
  <c r="I62" i="13" s="1"/>
  <c r="L58" i="11"/>
  <c r="L62" i="11" s="1"/>
  <c r="I89" i="25" s="1"/>
  <c r="I231" i="21"/>
  <c r="I233" i="21" s="1"/>
  <c r="I234" i="21" s="1"/>
  <c r="O11" i="26"/>
  <c r="F58" i="13"/>
  <c r="F62" i="13" s="1"/>
  <c r="U62" i="13"/>
  <c r="J58" i="13"/>
  <c r="J62" i="13" s="1"/>
  <c r="E89" i="25"/>
  <c r="J78" i="11"/>
  <c r="P58" i="11"/>
  <c r="P62" i="11" s="1"/>
  <c r="M89" i="25" s="1"/>
  <c r="I231" i="23"/>
  <c r="J56" i="14"/>
  <c r="N56" i="14"/>
  <c r="Q56" i="14"/>
  <c r="M56" i="14"/>
  <c r="P56" i="14"/>
  <c r="U56" i="14"/>
  <c r="E56" i="14"/>
  <c r="O56" i="14"/>
  <c r="G56" i="14"/>
  <c r="K56" i="14"/>
  <c r="L56" i="14"/>
  <c r="H56" i="14"/>
  <c r="I56" i="14"/>
  <c r="F56" i="14"/>
  <c r="V56" i="13"/>
  <c r="S68" i="22"/>
  <c r="S76" i="22" s="1"/>
  <c r="S231" i="22" s="1"/>
  <c r="N77" i="11" s="1"/>
  <c r="K178" i="25" s="1"/>
  <c r="M68" i="22"/>
  <c r="P68" i="22"/>
  <c r="P76" i="22" s="1"/>
  <c r="P231" i="22" s="1"/>
  <c r="N74" i="11" s="1"/>
  <c r="K175" i="25" s="1"/>
  <c r="R68" i="22"/>
  <c r="R76" i="22" s="1"/>
  <c r="R231" i="22" s="1"/>
  <c r="N76" i="11" s="1"/>
  <c r="K177" i="25" s="1"/>
  <c r="I76" i="22"/>
  <c r="M76" i="21"/>
  <c r="M231" i="21" s="1"/>
  <c r="L71" i="11" s="1"/>
  <c r="J68" i="21"/>
  <c r="H58" i="13"/>
  <c r="H62" i="13" s="1"/>
  <c r="G89" i="25"/>
  <c r="J76" i="20"/>
  <c r="J231" i="20" s="1"/>
  <c r="K68" i="20"/>
  <c r="K76" i="20" s="1"/>
  <c r="K231" i="20" s="1"/>
  <c r="L58" i="13"/>
  <c r="L62" i="13" s="1"/>
  <c r="E58" i="13"/>
  <c r="E988" i="9"/>
  <c r="F988" i="9" s="1"/>
  <c r="E875" i="9"/>
  <c r="F875" i="9" s="1"/>
  <c r="E1095" i="9"/>
  <c r="F1095" i="9" s="1"/>
  <c r="G172" i="25"/>
  <c r="O58" i="13"/>
  <c r="O62" i="13" s="1"/>
  <c r="K58" i="13"/>
  <c r="K62" i="13" s="1"/>
  <c r="M58" i="13"/>
  <c r="M62" i="13" s="1"/>
  <c r="N58" i="13"/>
  <c r="N62" i="13" s="1"/>
  <c r="Q58" i="13"/>
  <c r="Q62" i="13" s="1"/>
  <c r="E1196" i="9"/>
  <c r="F1196" i="9" s="1"/>
  <c r="H61" i="17" l="1"/>
  <c r="J61" i="17"/>
  <c r="V61" i="16"/>
  <c r="N61" i="17"/>
  <c r="U61" i="17"/>
  <c r="G61" i="17"/>
  <c r="K61" i="17"/>
  <c r="O61" i="17"/>
  <c r="P61" i="17"/>
  <c r="M61" i="17"/>
  <c r="Q61" i="17"/>
  <c r="I61" i="17"/>
  <c r="L61" i="17"/>
  <c r="E61" i="17"/>
  <c r="S93" i="5"/>
  <c r="AC173" i="5" s="1"/>
  <c r="S38" i="16"/>
  <c r="P38" i="17" s="1"/>
  <c r="S57" i="16"/>
  <c r="L57" i="17" s="1"/>
  <c r="S121" i="16"/>
  <c r="O121" i="17" s="1"/>
  <c r="J61" i="23"/>
  <c r="M30" i="17"/>
  <c r="L30" i="17"/>
  <c r="K30" i="17"/>
  <c r="N30" i="17"/>
  <c r="V30" i="16"/>
  <c r="E30" i="17"/>
  <c r="O30" i="17"/>
  <c r="J30" i="17"/>
  <c r="H30" i="17"/>
  <c r="G30" i="17"/>
  <c r="S45" i="16"/>
  <c r="I45" i="17" s="1"/>
  <c r="U30" i="17"/>
  <c r="S66" i="16"/>
  <c r="N66" i="17" s="1"/>
  <c r="S67" i="16"/>
  <c r="V67" i="16" s="1"/>
  <c r="S65" i="16"/>
  <c r="K65" i="17" s="1"/>
  <c r="U39" i="17"/>
  <c r="V39" i="17" s="1"/>
  <c r="O38" i="17"/>
  <c r="V22" i="16"/>
  <c r="J22" i="17"/>
  <c r="N22" i="17"/>
  <c r="O22" i="17"/>
  <c r="H22" i="17"/>
  <c r="G22" i="17"/>
  <c r="M22" i="17"/>
  <c r="U22" i="17"/>
  <c r="I22" i="17"/>
  <c r="L22" i="17"/>
  <c r="E22" i="17"/>
  <c r="F22" i="17"/>
  <c r="K22" i="17"/>
  <c r="S43" i="16"/>
  <c r="P43" i="17" s="1"/>
  <c r="S49" i="16"/>
  <c r="K49" i="17" s="1"/>
  <c r="I38" i="17"/>
  <c r="S44" i="16"/>
  <c r="V44" i="16" s="1"/>
  <c r="E178" i="17"/>
  <c r="E167" i="17" s="1"/>
  <c r="S167" i="17" s="1"/>
  <c r="P171" i="11" s="1"/>
  <c r="S68" i="16"/>
  <c r="V68" i="16" s="1"/>
  <c r="S48" i="16"/>
  <c r="M48" i="17" s="1"/>
  <c r="S72" i="16"/>
  <c r="V72" i="16" s="1"/>
  <c r="H106" i="14"/>
  <c r="O106" i="14"/>
  <c r="V106" i="13"/>
  <c r="J106" i="14"/>
  <c r="I106" i="14"/>
  <c r="Q106" i="14"/>
  <c r="L106" i="14"/>
  <c r="F106" i="14"/>
  <c r="G106" i="14"/>
  <c r="M106" i="14"/>
  <c r="K106" i="14"/>
  <c r="U106" i="14"/>
  <c r="P106" i="14"/>
  <c r="N106" i="14"/>
  <c r="E106" i="14"/>
  <c r="E821" i="9"/>
  <c r="F821" i="9" s="1"/>
  <c r="G141" i="13"/>
  <c r="G142" i="13" s="1"/>
  <c r="F141" i="13"/>
  <c r="S75" i="14"/>
  <c r="V75" i="14" s="1"/>
  <c r="S76" i="13"/>
  <c r="J76" i="14" s="1"/>
  <c r="U69" i="14"/>
  <c r="E69" i="14"/>
  <c r="S64" i="14"/>
  <c r="V64" i="14" s="1"/>
  <c r="V69" i="14" s="1"/>
  <c r="Q59" i="16"/>
  <c r="J59" i="16"/>
  <c r="N59" i="16"/>
  <c r="M59" i="16"/>
  <c r="I59" i="16"/>
  <c r="E59" i="16"/>
  <c r="P59" i="16"/>
  <c r="L59" i="16"/>
  <c r="H59" i="16"/>
  <c r="O59" i="16"/>
  <c r="K59" i="16"/>
  <c r="G59" i="16"/>
  <c r="U59" i="16"/>
  <c r="F59" i="16"/>
  <c r="V59" i="14"/>
  <c r="U60" i="16"/>
  <c r="K60" i="16"/>
  <c r="G60" i="16"/>
  <c r="N60" i="16"/>
  <c r="L60" i="16"/>
  <c r="J60" i="16"/>
  <c r="F60" i="16"/>
  <c r="I60" i="16"/>
  <c r="E60" i="16"/>
  <c r="Q60" i="16"/>
  <c r="P60" i="16"/>
  <c r="M60" i="16"/>
  <c r="O60" i="16"/>
  <c r="H60" i="16"/>
  <c r="I172" i="25"/>
  <c r="N58" i="11"/>
  <c r="N62" i="11" s="1"/>
  <c r="K89" i="25" s="1"/>
  <c r="I231" i="22"/>
  <c r="M291" i="25"/>
  <c r="E1192" i="9"/>
  <c r="F1192" i="9" s="1"/>
  <c r="J76" i="21"/>
  <c r="J231" i="21" s="1"/>
  <c r="K68" i="21"/>
  <c r="K76" i="21" s="1"/>
  <c r="K231" i="21" s="1"/>
  <c r="S58" i="13"/>
  <c r="E62" i="13"/>
  <c r="E667" i="9"/>
  <c r="F667" i="9" s="1"/>
  <c r="S77" i="5"/>
  <c r="E1085" i="9"/>
  <c r="F1085" i="9" s="1"/>
  <c r="S56" i="14"/>
  <c r="V56" i="14" s="1"/>
  <c r="E291" i="25"/>
  <c r="M172" i="25"/>
  <c r="G291" i="25"/>
  <c r="E764" i="9"/>
  <c r="F764" i="9" s="1"/>
  <c r="J68" i="22"/>
  <c r="M76" i="22"/>
  <c r="M231" i="22" s="1"/>
  <c r="N71" i="11" s="1"/>
  <c r="Q78" i="13"/>
  <c r="K78" i="13"/>
  <c r="F78" i="13"/>
  <c r="I78" i="13"/>
  <c r="M78" i="13"/>
  <c r="G78" i="13"/>
  <c r="N78" i="13"/>
  <c r="J78" i="13"/>
  <c r="P78" i="13"/>
  <c r="H78" i="13"/>
  <c r="E78" i="13"/>
  <c r="O78" i="13"/>
  <c r="L78" i="11"/>
  <c r="L78" i="13"/>
  <c r="G179" i="25"/>
  <c r="G180" i="25" s="1"/>
  <c r="E871" i="9"/>
  <c r="F871" i="9" s="1"/>
  <c r="I291" i="25"/>
  <c r="E978" i="9"/>
  <c r="F978" i="9" s="1"/>
  <c r="E657" i="9"/>
  <c r="F657" i="9" s="1"/>
  <c r="S71" i="5"/>
  <c r="J79" i="11"/>
  <c r="K68" i="23"/>
  <c r="K76" i="23" s="1"/>
  <c r="K231" i="23" s="1"/>
  <c r="J76" i="23"/>
  <c r="S74" i="5"/>
  <c r="E661" i="9"/>
  <c r="F661" i="9" s="1"/>
  <c r="K17" i="24"/>
  <c r="U57" i="17" l="1"/>
  <c r="M57" i="17"/>
  <c r="Y93" i="5"/>
  <c r="O57" i="17"/>
  <c r="J57" i="17"/>
  <c r="J231" i="23"/>
  <c r="V93" i="5"/>
  <c r="S61" i="17"/>
  <c r="V61" i="17" s="1"/>
  <c r="H93" i="11"/>
  <c r="E220" i="25" s="1"/>
  <c r="V38" i="16"/>
  <c r="U93" i="13"/>
  <c r="G38" i="17"/>
  <c r="L38" i="17"/>
  <c r="K38" i="17"/>
  <c r="F38" i="17"/>
  <c r="N38" i="17"/>
  <c r="H38" i="17"/>
  <c r="E38" i="17"/>
  <c r="E40" i="17" s="1"/>
  <c r="J38" i="17"/>
  <c r="U38" i="17"/>
  <c r="M38" i="17"/>
  <c r="K57" i="17"/>
  <c r="E57" i="17"/>
  <c r="G57" i="17"/>
  <c r="Q57" i="17"/>
  <c r="H57" i="17"/>
  <c r="F57" i="17"/>
  <c r="N57" i="17"/>
  <c r="V57" i="16"/>
  <c r="I57" i="17"/>
  <c r="P57" i="17"/>
  <c r="L121" i="17"/>
  <c r="H121" i="17"/>
  <c r="V121" i="16"/>
  <c r="U121" i="17"/>
  <c r="Q121" i="17"/>
  <c r="I121" i="17"/>
  <c r="K121" i="17"/>
  <c r="F121" i="17"/>
  <c r="G121" i="17"/>
  <c r="P121" i="17"/>
  <c r="M121" i="17"/>
  <c r="N121" i="17"/>
  <c r="J121" i="17"/>
  <c r="E121" i="17"/>
  <c r="J67" i="17"/>
  <c r="O67" i="17"/>
  <c r="H67" i="17"/>
  <c r="P67" i="17"/>
  <c r="N67" i="17"/>
  <c r="Q67" i="17"/>
  <c r="U67" i="17"/>
  <c r="O66" i="17"/>
  <c r="I67" i="17"/>
  <c r="F67" i="17"/>
  <c r="K67" i="17"/>
  <c r="J66" i="17"/>
  <c r="G67" i="17"/>
  <c r="L67" i="17"/>
  <c r="E67" i="17"/>
  <c r="M67" i="17"/>
  <c r="U45" i="17"/>
  <c r="L66" i="17"/>
  <c r="Q66" i="17"/>
  <c r="P66" i="17"/>
  <c r="U66" i="17"/>
  <c r="I66" i="17"/>
  <c r="K66" i="17"/>
  <c r="M66" i="17"/>
  <c r="G66" i="17"/>
  <c r="F66" i="17"/>
  <c r="V66" i="16"/>
  <c r="E66" i="17"/>
  <c r="H66" i="17"/>
  <c r="S30" i="17"/>
  <c r="V30" i="17" s="1"/>
  <c r="U65" i="17"/>
  <c r="V65" i="16"/>
  <c r="J65" i="17"/>
  <c r="M45" i="17"/>
  <c r="J45" i="17"/>
  <c r="M65" i="17"/>
  <c r="N65" i="17"/>
  <c r="F65" i="17"/>
  <c r="E65" i="17"/>
  <c r="L65" i="17"/>
  <c r="I65" i="17"/>
  <c r="Q65" i="17"/>
  <c r="O65" i="17"/>
  <c r="F45" i="17"/>
  <c r="G65" i="17"/>
  <c r="H65" i="17"/>
  <c r="P65" i="17"/>
  <c r="E45" i="17"/>
  <c r="K45" i="17"/>
  <c r="P45" i="17"/>
  <c r="L45" i="17"/>
  <c r="V45" i="16"/>
  <c r="O45" i="17"/>
  <c r="G45" i="17"/>
  <c r="H45" i="17"/>
  <c r="N45" i="17"/>
  <c r="G72" i="17"/>
  <c r="P68" i="17"/>
  <c r="O43" i="17"/>
  <c r="E49" i="17"/>
  <c r="S22" i="17"/>
  <c r="V22" i="17" s="1"/>
  <c r="I43" i="17"/>
  <c r="V43" i="16"/>
  <c r="M49" i="17"/>
  <c r="G43" i="17"/>
  <c r="N43" i="17"/>
  <c r="K43" i="17"/>
  <c r="H43" i="17"/>
  <c r="J43" i="17"/>
  <c r="U43" i="17"/>
  <c r="L43" i="17"/>
  <c r="F43" i="17"/>
  <c r="E43" i="17"/>
  <c r="M43" i="17"/>
  <c r="P142" i="5"/>
  <c r="N49" i="17"/>
  <c r="O49" i="17"/>
  <c r="P49" i="17"/>
  <c r="L49" i="17"/>
  <c r="U49" i="17"/>
  <c r="G49" i="17"/>
  <c r="V49" i="16"/>
  <c r="J49" i="17"/>
  <c r="I49" i="17"/>
  <c r="H49" i="17"/>
  <c r="F49" i="17"/>
  <c r="P48" i="17"/>
  <c r="E48" i="17"/>
  <c r="J44" i="17"/>
  <c r="O68" i="17"/>
  <c r="K68" i="17"/>
  <c r="I44" i="17"/>
  <c r="H68" i="17"/>
  <c r="N44" i="17"/>
  <c r="L68" i="17"/>
  <c r="P44" i="17"/>
  <c r="F68" i="17"/>
  <c r="L44" i="17"/>
  <c r="I68" i="17"/>
  <c r="F44" i="17"/>
  <c r="N68" i="17"/>
  <c r="U44" i="17"/>
  <c r="G68" i="17"/>
  <c r="Q68" i="17"/>
  <c r="I48" i="17"/>
  <c r="M44" i="17"/>
  <c r="O44" i="17"/>
  <c r="E68" i="17"/>
  <c r="G44" i="17"/>
  <c r="M68" i="17"/>
  <c r="K44" i="17"/>
  <c r="U68" i="17"/>
  <c r="H44" i="17"/>
  <c r="E44" i="17"/>
  <c r="J68" i="17"/>
  <c r="Q72" i="17"/>
  <c r="J72" i="17"/>
  <c r="E179" i="17"/>
  <c r="F176" i="17" s="1"/>
  <c r="F179" i="17" s="1"/>
  <c r="G176" i="17" s="1"/>
  <c r="G179" i="17" s="1"/>
  <c r="H176" i="17" s="1"/>
  <c r="H179" i="17" s="1"/>
  <c r="I176" i="17" s="1"/>
  <c r="I179" i="17" s="1"/>
  <c r="J176" i="17" s="1"/>
  <c r="J179" i="17" s="1"/>
  <c r="K176" i="17" s="1"/>
  <c r="K179" i="17" s="1"/>
  <c r="L176" i="17" s="1"/>
  <c r="L179" i="17" s="1"/>
  <c r="M176" i="17" s="1"/>
  <c r="M179" i="17" s="1"/>
  <c r="N176" i="17" s="1"/>
  <c r="N179" i="17" s="1"/>
  <c r="O176" i="17" s="1"/>
  <c r="O179" i="17" s="1"/>
  <c r="P176" i="17" s="1"/>
  <c r="P179" i="17" s="1"/>
  <c r="L48" i="17"/>
  <c r="U48" i="17"/>
  <c r="V48" i="16"/>
  <c r="G48" i="17"/>
  <c r="H48" i="17"/>
  <c r="O48" i="17"/>
  <c r="N48" i="17"/>
  <c r="K48" i="17"/>
  <c r="F48" i="17"/>
  <c r="J48" i="17"/>
  <c r="I75" i="16"/>
  <c r="N75" i="16"/>
  <c r="O72" i="17"/>
  <c r="P72" i="17"/>
  <c r="N72" i="17"/>
  <c r="E72" i="17"/>
  <c r="H72" i="17"/>
  <c r="M72" i="17"/>
  <c r="U72" i="17"/>
  <c r="L72" i="17"/>
  <c r="I72" i="17"/>
  <c r="F72" i="17"/>
  <c r="K72" i="17"/>
  <c r="O75" i="16"/>
  <c r="H75" i="16"/>
  <c r="P75" i="16"/>
  <c r="M75" i="16"/>
  <c r="G75" i="16"/>
  <c r="Q75" i="16"/>
  <c r="L75" i="16"/>
  <c r="U75" i="16"/>
  <c r="S106" i="14"/>
  <c r="V106" i="14" s="1"/>
  <c r="F141" i="14"/>
  <c r="F142" i="14" s="1"/>
  <c r="J165" i="14"/>
  <c r="P141" i="13"/>
  <c r="P142" i="13" s="1"/>
  <c r="E1257" i="9"/>
  <c r="F1257" i="9" s="1"/>
  <c r="F142" i="13"/>
  <c r="L76" i="14"/>
  <c r="E75" i="16"/>
  <c r="F75" i="16"/>
  <c r="J75" i="16"/>
  <c r="K75" i="16"/>
  <c r="K76" i="14"/>
  <c r="F76" i="14"/>
  <c r="P76" i="14"/>
  <c r="G76" i="14"/>
  <c r="N76" i="14"/>
  <c r="Q76" i="14"/>
  <c r="H76" i="14"/>
  <c r="E76" i="14"/>
  <c r="O76" i="14"/>
  <c r="U76" i="14"/>
  <c r="V76" i="13"/>
  <c r="I76" i="14"/>
  <c r="M76" i="14"/>
  <c r="M64" i="16"/>
  <c r="M69" i="16" s="1"/>
  <c r="L64" i="16"/>
  <c r="L69" i="16" s="1"/>
  <c r="Q64" i="16"/>
  <c r="Q69" i="16" s="1"/>
  <c r="U64" i="16"/>
  <c r="P64" i="16"/>
  <c r="P69" i="16" s="1"/>
  <c r="G64" i="16"/>
  <c r="G69" i="16" s="1"/>
  <c r="S69" i="14"/>
  <c r="N64" i="16"/>
  <c r="N69" i="16" s="1"/>
  <c r="O64" i="16"/>
  <c r="O69" i="16" s="1"/>
  <c r="F64" i="16"/>
  <c r="F69" i="16" s="1"/>
  <c r="J64" i="16"/>
  <c r="J69" i="16" s="1"/>
  <c r="E64" i="16"/>
  <c r="H64" i="16"/>
  <c r="H69" i="16" s="1"/>
  <c r="I64" i="16"/>
  <c r="I69" i="16" s="1"/>
  <c r="K64" i="16"/>
  <c r="K69" i="16" s="1"/>
  <c r="S59" i="16"/>
  <c r="V59" i="16" s="1"/>
  <c r="S60" i="16"/>
  <c r="V60" i="16" s="1"/>
  <c r="U71" i="13"/>
  <c r="K71" i="13"/>
  <c r="Y71" i="5"/>
  <c r="H71" i="13"/>
  <c r="I71" i="13"/>
  <c r="N71" i="13"/>
  <c r="H71" i="11"/>
  <c r="P71" i="13"/>
  <c r="G71" i="13"/>
  <c r="L71" i="13"/>
  <c r="E71" i="13"/>
  <c r="M71" i="13"/>
  <c r="F71" i="13"/>
  <c r="V71" i="5"/>
  <c r="O71" i="13"/>
  <c r="J71" i="13"/>
  <c r="Q71" i="13"/>
  <c r="F58" i="14"/>
  <c r="F62" i="14" s="1"/>
  <c r="G58" i="14"/>
  <c r="G62" i="14" s="1"/>
  <c r="K58" i="14"/>
  <c r="K62" i="14" s="1"/>
  <c r="O58" i="14"/>
  <c r="O62" i="14" s="1"/>
  <c r="I58" i="14"/>
  <c r="I62" i="14" s="1"/>
  <c r="M58" i="14"/>
  <c r="M62" i="14" s="1"/>
  <c r="J58" i="14"/>
  <c r="J62" i="14" s="1"/>
  <c r="H58" i="14"/>
  <c r="H62" i="14" s="1"/>
  <c r="U58" i="14"/>
  <c r="Q58" i="14"/>
  <c r="Q62" i="14" s="1"/>
  <c r="E58" i="14"/>
  <c r="P58" i="14"/>
  <c r="P62" i="14" s="1"/>
  <c r="N58" i="14"/>
  <c r="N62" i="14" s="1"/>
  <c r="L58" i="14"/>
  <c r="L62" i="14" s="1"/>
  <c r="V58" i="13"/>
  <c r="V62" i="13" s="1"/>
  <c r="S62" i="13"/>
  <c r="F56" i="16"/>
  <c r="Q56" i="16"/>
  <c r="E56" i="16"/>
  <c r="N56" i="16"/>
  <c r="K56" i="16"/>
  <c r="O56" i="16"/>
  <c r="I56" i="16"/>
  <c r="H56" i="16"/>
  <c r="L56" i="16"/>
  <c r="U56" i="16"/>
  <c r="M56" i="16"/>
  <c r="J56" i="16"/>
  <c r="P56" i="16"/>
  <c r="G56" i="16"/>
  <c r="J74" i="13"/>
  <c r="F74" i="13"/>
  <c r="N74" i="13"/>
  <c r="E74" i="13"/>
  <c r="P74" i="13"/>
  <c r="H74" i="13"/>
  <c r="O74" i="13"/>
  <c r="K74" i="13"/>
  <c r="G74" i="13"/>
  <c r="V74" i="5"/>
  <c r="Y74" i="5"/>
  <c r="H74" i="11"/>
  <c r="E175" i="25" s="1"/>
  <c r="U74" i="13"/>
  <c r="Q74" i="13"/>
  <c r="M74" i="13"/>
  <c r="I74" i="13"/>
  <c r="L74" i="13"/>
  <c r="Q77" i="13"/>
  <c r="E77" i="13"/>
  <c r="V77" i="5"/>
  <c r="H77" i="11"/>
  <c r="E178" i="25" s="1"/>
  <c r="H77" i="13"/>
  <c r="U77" i="13"/>
  <c r="O77" i="13"/>
  <c r="G77" i="13"/>
  <c r="J77" i="13"/>
  <c r="F77" i="13"/>
  <c r="I77" i="13"/>
  <c r="M77" i="13"/>
  <c r="P77" i="13"/>
  <c r="L77" i="13"/>
  <c r="K77" i="13"/>
  <c r="Y77" i="5"/>
  <c r="N77" i="13"/>
  <c r="G91" i="25"/>
  <c r="I179" i="25"/>
  <c r="I180" i="25" s="1"/>
  <c r="N78" i="11"/>
  <c r="N79" i="11" s="1"/>
  <c r="K291" i="25"/>
  <c r="K172" i="25"/>
  <c r="S78" i="13"/>
  <c r="K68" i="22"/>
  <c r="K76" i="22" s="1"/>
  <c r="K231" i="22" s="1"/>
  <c r="J76" i="22"/>
  <c r="J231" i="22" s="1"/>
  <c r="L79" i="11"/>
  <c r="S38" i="17" l="1"/>
  <c r="V38" i="17" s="1"/>
  <c r="S57" i="17"/>
  <c r="V57" i="17" s="1"/>
  <c r="S121" i="17"/>
  <c r="V121" i="17" s="1"/>
  <c r="S67" i="17"/>
  <c r="V67" i="17" s="1"/>
  <c r="S66" i="17"/>
  <c r="V66" i="17" s="1"/>
  <c r="S45" i="17"/>
  <c r="V45" i="17" s="1"/>
  <c r="S65" i="17"/>
  <c r="V65" i="17" s="1"/>
  <c r="S43" i="17"/>
  <c r="V43" i="17" s="1"/>
  <c r="N20" i="26"/>
  <c r="S49" i="17"/>
  <c r="V49" i="17" s="1"/>
  <c r="S68" i="17"/>
  <c r="V68" i="17" s="1"/>
  <c r="S44" i="17"/>
  <c r="V44" i="17" s="1"/>
  <c r="S48" i="17"/>
  <c r="V48" i="17" s="1"/>
  <c r="S72" i="17"/>
  <c r="V72" i="17" s="1"/>
  <c r="H106" i="16"/>
  <c r="E106" i="16"/>
  <c r="M106" i="16"/>
  <c r="I106" i="16"/>
  <c r="P106" i="16"/>
  <c r="O106" i="16"/>
  <c r="U106" i="16"/>
  <c r="Q106" i="16"/>
  <c r="J106" i="16"/>
  <c r="N106" i="16"/>
  <c r="L106" i="16"/>
  <c r="G106" i="16"/>
  <c r="K106" i="16"/>
  <c r="F106" i="16"/>
  <c r="S75" i="16"/>
  <c r="V75" i="16" s="1"/>
  <c r="S76" i="14"/>
  <c r="I76" i="16" s="1"/>
  <c r="S64" i="16"/>
  <c r="V64" i="16" s="1"/>
  <c r="V69" i="16" s="1"/>
  <c r="E69" i="16"/>
  <c r="U69" i="16"/>
  <c r="J59" i="17"/>
  <c r="U59" i="17"/>
  <c r="F59" i="17"/>
  <c r="Q59" i="17"/>
  <c r="M59" i="17"/>
  <c r="I59" i="17"/>
  <c r="E59" i="17"/>
  <c r="P59" i="17"/>
  <c r="L59" i="17"/>
  <c r="H59" i="17"/>
  <c r="O59" i="17"/>
  <c r="K59" i="17"/>
  <c r="G59" i="17"/>
  <c r="N59" i="17"/>
  <c r="K60" i="17"/>
  <c r="N60" i="17"/>
  <c r="J60" i="17"/>
  <c r="H60" i="17"/>
  <c r="F60" i="17"/>
  <c r="M60" i="17"/>
  <c r="I60" i="17"/>
  <c r="E60" i="17"/>
  <c r="U60" i="17"/>
  <c r="P60" i="17"/>
  <c r="Q60" i="17"/>
  <c r="L60" i="17"/>
  <c r="G60" i="17"/>
  <c r="O60" i="17"/>
  <c r="S71" i="13"/>
  <c r="V71" i="13" s="1"/>
  <c r="K91" i="25"/>
  <c r="G293" i="25"/>
  <c r="G92" i="25"/>
  <c r="S58" i="14"/>
  <c r="V58" i="14" s="1"/>
  <c r="V62" i="14" s="1"/>
  <c r="E62" i="14"/>
  <c r="E1194" i="9"/>
  <c r="F1194" i="9" s="1"/>
  <c r="P79" i="5"/>
  <c r="E1087" i="9"/>
  <c r="F1087" i="9" s="1"/>
  <c r="O79" i="5"/>
  <c r="U62" i="14"/>
  <c r="E980" i="9"/>
  <c r="F980" i="9" s="1"/>
  <c r="N79" i="5"/>
  <c r="S77" i="13"/>
  <c r="V77" i="13" s="1"/>
  <c r="S56" i="16"/>
  <c r="V56" i="16" s="1"/>
  <c r="E172" i="25"/>
  <c r="I91" i="25"/>
  <c r="E873" i="9"/>
  <c r="F873" i="9" s="1"/>
  <c r="M79" i="5"/>
  <c r="S73" i="5"/>
  <c r="E659" i="9"/>
  <c r="F659" i="9" s="1"/>
  <c r="K79" i="5"/>
  <c r="E766" i="9"/>
  <c r="F766" i="9" s="1"/>
  <c r="L79" i="5"/>
  <c r="K179" i="25"/>
  <c r="K180" i="25" s="1"/>
  <c r="P78" i="11"/>
  <c r="S74" i="13"/>
  <c r="V74" i="13" s="1"/>
  <c r="Q78" i="14"/>
  <c r="H78" i="14"/>
  <c r="E78" i="14"/>
  <c r="F78" i="14"/>
  <c r="K78" i="14"/>
  <c r="M78" i="14"/>
  <c r="L78" i="14"/>
  <c r="J78" i="14"/>
  <c r="U78" i="14"/>
  <c r="N78" i="14"/>
  <c r="P78" i="14"/>
  <c r="V78" i="13"/>
  <c r="G78" i="14"/>
  <c r="O78" i="14"/>
  <c r="I78" i="14"/>
  <c r="E19" i="24" l="1"/>
  <c r="G19" i="24" s="1"/>
  <c r="N75" i="17"/>
  <c r="Q75" i="17"/>
  <c r="I75" i="17"/>
  <c r="K75" i="17"/>
  <c r="L75" i="17"/>
  <c r="U75" i="17"/>
  <c r="O75" i="17"/>
  <c r="F75" i="17"/>
  <c r="G75" i="17"/>
  <c r="M75" i="17"/>
  <c r="J75" i="17"/>
  <c r="H75" i="17"/>
  <c r="P75" i="17"/>
  <c r="E75" i="17"/>
  <c r="S59" i="17"/>
  <c r="V59" i="17" s="1"/>
  <c r="S106" i="16"/>
  <c r="E1043" i="9"/>
  <c r="F1043" i="9" s="1"/>
  <c r="N142" i="5"/>
  <c r="L20" i="26"/>
  <c r="M76" i="16"/>
  <c r="L76" i="16"/>
  <c r="G76" i="16"/>
  <c r="K76" i="16"/>
  <c r="V76" i="14"/>
  <c r="O76" i="16"/>
  <c r="H76" i="16"/>
  <c r="J76" i="16"/>
  <c r="E76" i="16"/>
  <c r="U76" i="16"/>
  <c r="Q76" i="16"/>
  <c r="P76" i="16"/>
  <c r="N76" i="16"/>
  <c r="F76" i="16"/>
  <c r="G64" i="17"/>
  <c r="G69" i="17" s="1"/>
  <c r="N64" i="17"/>
  <c r="N69" i="17" s="1"/>
  <c r="K64" i="17"/>
  <c r="K69" i="17" s="1"/>
  <c r="I64" i="17"/>
  <c r="I69" i="17" s="1"/>
  <c r="O64" i="17"/>
  <c r="O69" i="17" s="1"/>
  <c r="Q64" i="17"/>
  <c r="Q69" i="17" s="1"/>
  <c r="P64" i="17"/>
  <c r="P69" i="17" s="1"/>
  <c r="L64" i="17"/>
  <c r="L69" i="17" s="1"/>
  <c r="U64" i="17"/>
  <c r="U69" i="17" s="1"/>
  <c r="J64" i="17"/>
  <c r="J69" i="17" s="1"/>
  <c r="M64" i="17"/>
  <c r="M69" i="17" s="1"/>
  <c r="H64" i="17"/>
  <c r="H69" i="17" s="1"/>
  <c r="F64" i="17"/>
  <c r="F69" i="17" s="1"/>
  <c r="E64" i="17"/>
  <c r="S69" i="16"/>
  <c r="S60" i="17"/>
  <c r="V60" i="17" s="1"/>
  <c r="I293" i="25"/>
  <c r="I92" i="25"/>
  <c r="M58" i="16"/>
  <c r="M62" i="16" s="1"/>
  <c r="E58" i="16"/>
  <c r="K58" i="16"/>
  <c r="K62" i="16" s="1"/>
  <c r="L58" i="16"/>
  <c r="L62" i="16" s="1"/>
  <c r="U58" i="16"/>
  <c r="H58" i="16"/>
  <c r="H62" i="16" s="1"/>
  <c r="I58" i="16"/>
  <c r="I62" i="16" s="1"/>
  <c r="O58" i="16"/>
  <c r="O62" i="16" s="1"/>
  <c r="P58" i="16"/>
  <c r="P62" i="16" s="1"/>
  <c r="N58" i="16"/>
  <c r="N62" i="16" s="1"/>
  <c r="G58" i="16"/>
  <c r="G62" i="16" s="1"/>
  <c r="J58" i="16"/>
  <c r="J62" i="16" s="1"/>
  <c r="F58" i="16"/>
  <c r="F62" i="16" s="1"/>
  <c r="Q58" i="16"/>
  <c r="Q62" i="16" s="1"/>
  <c r="S62" i="14"/>
  <c r="S79" i="5"/>
  <c r="I13" i="26"/>
  <c r="J13" i="26"/>
  <c r="H73" i="11"/>
  <c r="P73" i="13"/>
  <c r="P79" i="13" s="1"/>
  <c r="U73" i="13"/>
  <c r="H73" i="13"/>
  <c r="H79" i="13" s="1"/>
  <c r="V73" i="5"/>
  <c r="V79" i="5" s="1"/>
  <c r="O73" i="13"/>
  <c r="O79" i="13" s="1"/>
  <c r="Q73" i="13"/>
  <c r="Q79" i="13" s="1"/>
  <c r="I73" i="13"/>
  <c r="I79" i="13" s="1"/>
  <c r="E73" i="13"/>
  <c r="L73" i="13"/>
  <c r="L79" i="13" s="1"/>
  <c r="N73" i="13"/>
  <c r="N79" i="13" s="1"/>
  <c r="G73" i="13"/>
  <c r="G79" i="13" s="1"/>
  <c r="J73" i="13"/>
  <c r="J79" i="13" s="1"/>
  <c r="F73" i="13"/>
  <c r="F79" i="13" s="1"/>
  <c r="M73" i="13"/>
  <c r="M79" i="13" s="1"/>
  <c r="K73" i="13"/>
  <c r="K79" i="13" s="1"/>
  <c r="Y73" i="5"/>
  <c r="Y79" i="5" s="1"/>
  <c r="M13" i="26"/>
  <c r="N13" i="26"/>
  <c r="K293" i="25"/>
  <c r="K92" i="25"/>
  <c r="K13" i="26"/>
  <c r="S78" i="14"/>
  <c r="V78" i="14" s="1"/>
  <c r="M179" i="25"/>
  <c r="M180" i="25" s="1"/>
  <c r="P79" i="11"/>
  <c r="L77" i="14"/>
  <c r="N77" i="14"/>
  <c r="O77" i="14"/>
  <c r="Q77" i="14"/>
  <c r="M77" i="14"/>
  <c r="I77" i="14"/>
  <c r="E77" i="14"/>
  <c r="G77" i="14"/>
  <c r="P77" i="14"/>
  <c r="H77" i="14"/>
  <c r="U77" i="14"/>
  <c r="K77" i="14"/>
  <c r="J77" i="14"/>
  <c r="F77" i="14"/>
  <c r="F56" i="17"/>
  <c r="L56" i="17"/>
  <c r="G56" i="17"/>
  <c r="K56" i="17"/>
  <c r="P56" i="17"/>
  <c r="J56" i="17"/>
  <c r="E56" i="17"/>
  <c r="Q56" i="17"/>
  <c r="U56" i="17"/>
  <c r="O56" i="17"/>
  <c r="N56" i="17"/>
  <c r="M56" i="17"/>
  <c r="H56" i="17"/>
  <c r="I56" i="17"/>
  <c r="P74" i="14"/>
  <c r="U74" i="14"/>
  <c r="N74" i="14"/>
  <c r="Q74" i="14"/>
  <c r="O74" i="14"/>
  <c r="I74" i="14"/>
  <c r="L74" i="14"/>
  <c r="G74" i="14"/>
  <c r="H74" i="14"/>
  <c r="K74" i="14"/>
  <c r="F74" i="14"/>
  <c r="E74" i="14"/>
  <c r="M74" i="14"/>
  <c r="J74" i="14"/>
  <c r="L13" i="26"/>
  <c r="O71" i="14"/>
  <c r="M71" i="14"/>
  <c r="P71" i="14"/>
  <c r="I71" i="14"/>
  <c r="F71" i="14"/>
  <c r="Q71" i="14"/>
  <c r="H71" i="14"/>
  <c r="N71" i="14"/>
  <c r="K71" i="14"/>
  <c r="L71" i="14"/>
  <c r="E71" i="14"/>
  <c r="J71" i="14"/>
  <c r="G71" i="14"/>
  <c r="U71" i="14"/>
  <c r="AE175" i="5" l="1"/>
  <c r="AE176" i="5" s="1"/>
  <c r="AD175" i="5"/>
  <c r="AD176" i="5" s="1"/>
  <c r="AC175" i="5"/>
  <c r="AC176" i="5" s="1"/>
  <c r="AC184" i="5" s="1"/>
  <c r="S75" i="17"/>
  <c r="V75" i="17" s="1"/>
  <c r="P106" i="17"/>
  <c r="L106" i="17"/>
  <c r="H106" i="17"/>
  <c r="Q106" i="17"/>
  <c r="N106" i="17"/>
  <c r="I106" i="17"/>
  <c r="M106" i="17"/>
  <c r="O106" i="17"/>
  <c r="G106" i="17"/>
  <c r="U106" i="17"/>
  <c r="K106" i="17"/>
  <c r="F106" i="17"/>
  <c r="J106" i="17"/>
  <c r="E106" i="17"/>
  <c r="V106" i="16"/>
  <c r="S76" i="16"/>
  <c r="V76" i="16" s="1"/>
  <c r="S64" i="17"/>
  <c r="S69" i="17" s="1"/>
  <c r="E69" i="17"/>
  <c r="E174" i="25"/>
  <c r="E180" i="25" s="1"/>
  <c r="H79" i="11"/>
  <c r="U62" i="16"/>
  <c r="S56" i="17"/>
  <c r="S58" i="16"/>
  <c r="V58" i="16" s="1"/>
  <c r="V62" i="16" s="1"/>
  <c r="E62" i="16"/>
  <c r="U79" i="13"/>
  <c r="S71" i="14"/>
  <c r="V71" i="14" s="1"/>
  <c r="S73" i="13"/>
  <c r="V73" i="13" s="1"/>
  <c r="V79" i="13" s="1"/>
  <c r="E79" i="13"/>
  <c r="M91" i="25"/>
  <c r="S77" i="14"/>
  <c r="V77" i="14" s="1"/>
  <c r="O78" i="16"/>
  <c r="I78" i="16"/>
  <c r="Q78" i="16"/>
  <c r="P78" i="16"/>
  <c r="H78" i="16"/>
  <c r="G78" i="16"/>
  <c r="U78" i="16"/>
  <c r="M78" i="16"/>
  <c r="L78" i="16"/>
  <c r="N78" i="16"/>
  <c r="K78" i="16"/>
  <c r="F78" i="16"/>
  <c r="E78" i="16"/>
  <c r="J78" i="16"/>
  <c r="O13" i="26"/>
  <c r="S74" i="14"/>
  <c r="I19" i="24"/>
  <c r="S106" i="17" l="1"/>
  <c r="V106" i="17" s="1"/>
  <c r="J76" i="17"/>
  <c r="H76" i="17"/>
  <c r="P76" i="17"/>
  <c r="K76" i="17"/>
  <c r="F76" i="17"/>
  <c r="M76" i="17"/>
  <c r="N76" i="17"/>
  <c r="I76" i="17"/>
  <c r="Q76" i="17"/>
  <c r="U76" i="17"/>
  <c r="O76" i="17"/>
  <c r="G76" i="17"/>
  <c r="L76" i="17"/>
  <c r="E76" i="17"/>
  <c r="V64" i="17"/>
  <c r="V69" i="17" s="1"/>
  <c r="M74" i="16"/>
  <c r="E74" i="16"/>
  <c r="O74" i="16"/>
  <c r="H74" i="16"/>
  <c r="U74" i="16"/>
  <c r="F74" i="16"/>
  <c r="Q74" i="16"/>
  <c r="I74" i="16"/>
  <c r="P74" i="16"/>
  <c r="K74" i="16"/>
  <c r="G74" i="16"/>
  <c r="N74" i="16"/>
  <c r="J74" i="16"/>
  <c r="L74" i="16"/>
  <c r="M293" i="25"/>
  <c r="M92" i="25"/>
  <c r="E91" i="25"/>
  <c r="V74" i="14"/>
  <c r="F58" i="17"/>
  <c r="F62" i="17" s="1"/>
  <c r="M58" i="17"/>
  <c r="M62" i="17" s="1"/>
  <c r="U58" i="17"/>
  <c r="O58" i="17"/>
  <c r="O62" i="17" s="1"/>
  <c r="E58" i="17"/>
  <c r="Q58" i="17"/>
  <c r="Q62" i="17" s="1"/>
  <c r="I58" i="17"/>
  <c r="I62" i="17" s="1"/>
  <c r="L58" i="17"/>
  <c r="L62" i="17" s="1"/>
  <c r="N58" i="17"/>
  <c r="N62" i="17" s="1"/>
  <c r="H58" i="17"/>
  <c r="H62" i="17" s="1"/>
  <c r="K58" i="17"/>
  <c r="K62" i="17" s="1"/>
  <c r="P58" i="17"/>
  <c r="P62" i="17" s="1"/>
  <c r="J58" i="17"/>
  <c r="J62" i="17" s="1"/>
  <c r="G58" i="17"/>
  <c r="G62" i="17" s="1"/>
  <c r="S62" i="16"/>
  <c r="S79" i="13"/>
  <c r="O73" i="14"/>
  <c r="O79" i="14" s="1"/>
  <c r="L73" i="14"/>
  <c r="L79" i="14" s="1"/>
  <c r="J73" i="14"/>
  <c r="J79" i="14" s="1"/>
  <c r="G73" i="14"/>
  <c r="G79" i="14" s="1"/>
  <c r="K73" i="14"/>
  <c r="K79" i="14" s="1"/>
  <c r="F73" i="14"/>
  <c r="F79" i="14" s="1"/>
  <c r="U73" i="14"/>
  <c r="Q73" i="14"/>
  <c r="Q79" i="14" s="1"/>
  <c r="M73" i="14"/>
  <c r="M79" i="14" s="1"/>
  <c r="I73" i="14"/>
  <c r="I79" i="14" s="1"/>
  <c r="P73" i="14"/>
  <c r="P79" i="14" s="1"/>
  <c r="N73" i="14"/>
  <c r="N79" i="14" s="1"/>
  <c r="E73" i="14"/>
  <c r="H73" i="14"/>
  <c r="H79" i="14" s="1"/>
  <c r="K19" i="24"/>
  <c r="P77" i="16"/>
  <c r="L77" i="16"/>
  <c r="J77" i="16"/>
  <c r="N77" i="16"/>
  <c r="F77" i="16"/>
  <c r="U77" i="16"/>
  <c r="G77" i="16"/>
  <c r="K77" i="16"/>
  <c r="O77" i="16"/>
  <c r="H77" i="16"/>
  <c r="E77" i="16"/>
  <c r="Q77" i="16"/>
  <c r="I77" i="16"/>
  <c r="M77" i="16"/>
  <c r="S78" i="16"/>
  <c r="V56" i="17"/>
  <c r="I71" i="16"/>
  <c r="E71" i="16"/>
  <c r="G71" i="16"/>
  <c r="P71" i="16"/>
  <c r="J71" i="16"/>
  <c r="F71" i="16"/>
  <c r="K71" i="16"/>
  <c r="N71" i="16"/>
  <c r="H71" i="16"/>
  <c r="U71" i="16"/>
  <c r="Q71" i="16"/>
  <c r="M71" i="16"/>
  <c r="L71" i="16"/>
  <c r="O71" i="16"/>
  <c r="S76" i="17" l="1"/>
  <c r="V76" i="17" s="1"/>
  <c r="S77" i="16"/>
  <c r="G77" i="17" s="1"/>
  <c r="S71" i="16"/>
  <c r="V71" i="16" s="1"/>
  <c r="S73" i="14"/>
  <c r="E79" i="14"/>
  <c r="U78" i="17"/>
  <c r="I78" i="17"/>
  <c r="Q78" i="17"/>
  <c r="O78" i="17"/>
  <c r="H78" i="17"/>
  <c r="M78" i="17"/>
  <c r="F78" i="17"/>
  <c r="J78" i="17"/>
  <c r="G78" i="17"/>
  <c r="L78" i="17"/>
  <c r="E78" i="17"/>
  <c r="P78" i="17"/>
  <c r="K78" i="17"/>
  <c r="N78" i="17"/>
  <c r="E293" i="25"/>
  <c r="E92" i="25"/>
  <c r="V78" i="16"/>
  <c r="U79" i="14"/>
  <c r="S58" i="17"/>
  <c r="S62" i="17" s="1"/>
  <c r="E62" i="17"/>
  <c r="S74" i="16"/>
  <c r="V74" i="16" s="1"/>
  <c r="U62" i="17"/>
  <c r="M77" i="17" l="1"/>
  <c r="K77" i="17"/>
  <c r="V77" i="16"/>
  <c r="F77" i="17"/>
  <c r="N77" i="17"/>
  <c r="P77" i="17"/>
  <c r="O77" i="17"/>
  <c r="E77" i="17"/>
  <c r="I77" i="17"/>
  <c r="J77" i="17"/>
  <c r="V58" i="17"/>
  <c r="V62" i="17" s="1"/>
  <c r="Q77" i="17"/>
  <c r="H77" i="17"/>
  <c r="U77" i="17"/>
  <c r="L77" i="17"/>
  <c r="S78" i="17"/>
  <c r="V78" i="17" s="1"/>
  <c r="S79" i="14"/>
  <c r="U73" i="16"/>
  <c r="E73" i="16"/>
  <c r="P73" i="16"/>
  <c r="P79" i="16" s="1"/>
  <c r="G73" i="16"/>
  <c r="G79" i="16" s="1"/>
  <c r="Q73" i="16"/>
  <c r="Q79" i="16" s="1"/>
  <c r="F73" i="16"/>
  <c r="F79" i="16" s="1"/>
  <c r="M73" i="16"/>
  <c r="M79" i="16" s="1"/>
  <c r="L73" i="16"/>
  <c r="L79" i="16" s="1"/>
  <c r="H73" i="16"/>
  <c r="H79" i="16" s="1"/>
  <c r="O73" i="16"/>
  <c r="O79" i="16" s="1"/>
  <c r="K73" i="16"/>
  <c r="K79" i="16" s="1"/>
  <c r="N73" i="16"/>
  <c r="N79" i="16" s="1"/>
  <c r="J73" i="16"/>
  <c r="J79" i="16" s="1"/>
  <c r="I73" i="16"/>
  <c r="I79" i="16" s="1"/>
  <c r="U74" i="17"/>
  <c r="O74" i="17"/>
  <c r="Q74" i="17"/>
  <c r="J74" i="17"/>
  <c r="P74" i="17"/>
  <c r="H74" i="17"/>
  <c r="L74" i="17"/>
  <c r="I74" i="17"/>
  <c r="G74" i="17"/>
  <c r="E74" i="17"/>
  <c r="N74" i="17"/>
  <c r="M74" i="17"/>
  <c r="F74" i="17"/>
  <c r="K74" i="17"/>
  <c r="G71" i="17"/>
  <c r="U71" i="17"/>
  <c r="M71" i="17"/>
  <c r="H71" i="17"/>
  <c r="N71" i="17"/>
  <c r="O71" i="17"/>
  <c r="P71" i="17"/>
  <c r="K71" i="17"/>
  <c r="I71" i="17"/>
  <c r="F71" i="17"/>
  <c r="E71" i="17"/>
  <c r="L71" i="17"/>
  <c r="Q71" i="17"/>
  <c r="J71" i="17"/>
  <c r="V73" i="14"/>
  <c r="V79" i="14" s="1"/>
  <c r="E686" i="9" l="1"/>
  <c r="F686" i="9" s="1"/>
  <c r="K141" i="13"/>
  <c r="E713" i="9"/>
  <c r="F713" i="9" s="1"/>
  <c r="K136" i="5"/>
  <c r="S77" i="17"/>
  <c r="V77" i="17" s="1"/>
  <c r="U79" i="16"/>
  <c r="S73" i="16"/>
  <c r="E79" i="16"/>
  <c r="S71" i="17"/>
  <c r="V71" i="17" s="1"/>
  <c r="S74" i="17"/>
  <c r="V74" i="17" s="1"/>
  <c r="E793" i="9" l="1"/>
  <c r="F793" i="9" s="1"/>
  <c r="I16" i="26"/>
  <c r="E820" i="9"/>
  <c r="F820" i="9" s="1"/>
  <c r="L136" i="5"/>
  <c r="K142" i="13"/>
  <c r="G73" i="17"/>
  <c r="G79" i="17" s="1"/>
  <c r="H73" i="17"/>
  <c r="H79" i="17" s="1"/>
  <c r="K73" i="17"/>
  <c r="K79" i="17" s="1"/>
  <c r="J73" i="17"/>
  <c r="J79" i="17" s="1"/>
  <c r="I73" i="17"/>
  <c r="I79" i="17" s="1"/>
  <c r="L73" i="17"/>
  <c r="L79" i="17" s="1"/>
  <c r="M73" i="17"/>
  <c r="M79" i="17" s="1"/>
  <c r="N73" i="17"/>
  <c r="N79" i="17" s="1"/>
  <c r="E73" i="17"/>
  <c r="U73" i="17"/>
  <c r="P73" i="17"/>
  <c r="P79" i="17" s="1"/>
  <c r="Q73" i="17"/>
  <c r="Q79" i="17" s="1"/>
  <c r="F73" i="17"/>
  <c r="F79" i="17" s="1"/>
  <c r="O73" i="17"/>
  <c r="O79" i="17" s="1"/>
  <c r="S79" i="16"/>
  <c r="V73" i="16"/>
  <c r="V79" i="16" s="1"/>
  <c r="O141" i="13" l="1"/>
  <c r="O142" i="13" s="1"/>
  <c r="J16" i="26"/>
  <c r="O165" i="14"/>
  <c r="K141" i="14"/>
  <c r="S164" i="14"/>
  <c r="L168" i="11" s="1"/>
  <c r="S73" i="17"/>
  <c r="V73" i="17" s="1"/>
  <c r="V79" i="17" s="1"/>
  <c r="E79" i="17"/>
  <c r="U79" i="17"/>
  <c r="E165" i="14" l="1"/>
  <c r="M141" i="13"/>
  <c r="K142" i="14"/>
  <c r="S141" i="14"/>
  <c r="S79" i="17"/>
  <c r="M142" i="13" l="1"/>
  <c r="S165" i="14"/>
  <c r="L169" i="11" s="1"/>
  <c r="L141" i="11"/>
  <c r="U141" i="16"/>
  <c r="S142" i="14"/>
  <c r="V141" i="16" l="1"/>
  <c r="V142" i="16" s="1"/>
  <c r="U142" i="16"/>
  <c r="I277" i="25"/>
  <c r="L142" i="11"/>
  <c r="I100" i="25" l="1"/>
  <c r="S8" i="6" l="1"/>
  <c r="S10" i="6"/>
  <c r="S7" i="6"/>
  <c r="S9" i="6"/>
  <c r="S14" i="6" l="1"/>
  <c r="T7" i="6"/>
  <c r="T10" i="6"/>
  <c r="S17" i="6"/>
  <c r="T9" i="6"/>
  <c r="S16" i="6"/>
  <c r="Z10" i="6"/>
  <c r="T8" i="6"/>
  <c r="Z8" i="6" s="1"/>
  <c r="S15" i="6"/>
  <c r="T16" i="6" l="1"/>
  <c r="C36" i="6"/>
  <c r="H14" i="10" s="1"/>
  <c r="J14" i="10" s="1"/>
  <c r="Z9" i="6"/>
  <c r="T15" i="6"/>
  <c r="C35" i="6"/>
  <c r="H13" i="10" s="1"/>
  <c r="J13" i="10" s="1"/>
  <c r="T17" i="6"/>
  <c r="C37" i="6"/>
  <c r="H15" i="10" s="1"/>
  <c r="J15" i="10" s="1"/>
  <c r="T14" i="6"/>
  <c r="C34" i="6"/>
  <c r="Z14" i="6"/>
  <c r="S18" i="6"/>
  <c r="Q19" i="24" s="1"/>
  <c r="Q20" i="24" s="1"/>
  <c r="Z7" i="6"/>
  <c r="H22" i="10" l="1"/>
  <c r="H29" i="10" s="1"/>
  <c r="N14" i="12"/>
  <c r="P14" i="12" s="1"/>
  <c r="L13" i="10"/>
  <c r="J20" i="10"/>
  <c r="N12" i="12"/>
  <c r="P12" i="12" s="1"/>
  <c r="H20" i="10"/>
  <c r="H37" i="10"/>
  <c r="H36" i="10" s="1"/>
  <c r="C41" i="6"/>
  <c r="H12" i="10"/>
  <c r="E8" i="25"/>
  <c r="R18" i="24"/>
  <c r="L15" i="10"/>
  <c r="J22" i="10"/>
  <c r="J29" i="10" s="1"/>
  <c r="Z11" i="6"/>
  <c r="J21" i="10"/>
  <c r="L14" i="10"/>
  <c r="T18" i="6"/>
  <c r="Z17" i="6"/>
  <c r="H21" i="10"/>
  <c r="N13" i="12"/>
  <c r="P13" i="12" s="1"/>
  <c r="Z15" i="6"/>
  <c r="AB15" i="6" s="1"/>
  <c r="AB18" i="6" s="1"/>
  <c r="Z16" i="6"/>
  <c r="Z18" i="6" l="1"/>
  <c r="AB19" i="6" s="1"/>
  <c r="J12" i="10"/>
  <c r="H16" i="10"/>
  <c r="N11" i="12"/>
  <c r="P11" i="12" s="1"/>
  <c r="P15" i="12" s="1"/>
  <c r="J36" i="11"/>
  <c r="D38" i="6"/>
  <c r="H19" i="10"/>
  <c r="N13" i="10"/>
  <c r="L20" i="10"/>
  <c r="G8" i="25"/>
  <c r="E18" i="25"/>
  <c r="N14" i="10"/>
  <c r="L21" i="10"/>
  <c r="L22" i="10"/>
  <c r="L29" i="10" s="1"/>
  <c r="N15" i="10"/>
  <c r="E22" i="25" l="1"/>
  <c r="E116" i="25"/>
  <c r="E110" i="25"/>
  <c r="H28" i="10"/>
  <c r="H30" i="10" s="1"/>
  <c r="H23" i="10"/>
  <c r="H24" i="10"/>
  <c r="E1050" i="9"/>
  <c r="F1050" i="9" s="1"/>
  <c r="J46" i="5"/>
  <c r="E642" i="9" s="1"/>
  <c r="F642" i="9" s="1"/>
  <c r="G124" i="12"/>
  <c r="L47" i="5"/>
  <c r="E857" i="9" s="1"/>
  <c r="F857" i="9" s="1"/>
  <c r="J47" i="5"/>
  <c r="E643" i="9" s="1"/>
  <c r="F643" i="9" s="1"/>
  <c r="N46" i="5"/>
  <c r="E1070" i="9" s="1"/>
  <c r="F1070" i="9" s="1"/>
  <c r="K46" i="5"/>
  <c r="E749" i="9" s="1"/>
  <c r="F749" i="9" s="1"/>
  <c r="H23" i="5"/>
  <c r="H46" i="5"/>
  <c r="E428" i="9" s="1"/>
  <c r="F428" i="9" s="1"/>
  <c r="L34" i="5"/>
  <c r="E846" i="9" s="1"/>
  <c r="F846" i="9" s="1"/>
  <c r="L23" i="5"/>
  <c r="M47" i="5"/>
  <c r="E964" i="9" s="1"/>
  <c r="F964" i="9" s="1"/>
  <c r="M23" i="5"/>
  <c r="E943" i="9" s="1"/>
  <c r="F943" i="9" s="1"/>
  <c r="H47" i="5"/>
  <c r="E429" i="9" s="1"/>
  <c r="F429" i="9" s="1"/>
  <c r="P42" i="5"/>
  <c r="G283" i="12"/>
  <c r="G265" i="12"/>
  <c r="L42" i="5"/>
  <c r="E1157" i="9"/>
  <c r="F1157" i="9" s="1"/>
  <c r="G9" i="12"/>
  <c r="G68" i="12"/>
  <c r="G86" i="12"/>
  <c r="M46" i="5"/>
  <c r="E963" i="9" s="1"/>
  <c r="F963" i="9" s="1"/>
  <c r="G211" i="12"/>
  <c r="J42" i="5"/>
  <c r="K34" i="5"/>
  <c r="L35" i="5"/>
  <c r="G80" i="12"/>
  <c r="I42" i="5"/>
  <c r="G130" i="12"/>
  <c r="F47" i="5"/>
  <c r="G136" i="12"/>
  <c r="N34" i="5"/>
  <c r="E1060" i="9" s="1"/>
  <c r="F1060" i="9" s="1"/>
  <c r="E953" i="9"/>
  <c r="F953" i="9" s="1"/>
  <c r="L46" i="5"/>
  <c r="E856" i="9" s="1"/>
  <c r="F856" i="9" s="1"/>
  <c r="E1167" i="9"/>
  <c r="F1167" i="9" s="1"/>
  <c r="L36" i="5"/>
  <c r="J23" i="5"/>
  <c r="G223" i="12"/>
  <c r="G160" i="12"/>
  <c r="G186" i="12"/>
  <c r="R19" i="24"/>
  <c r="R20" i="24" s="1"/>
  <c r="G47" i="5"/>
  <c r="E322" i="9" s="1"/>
  <c r="F322" i="9" s="1"/>
  <c r="L37" i="5"/>
  <c r="M42" i="5"/>
  <c r="G229" i="12"/>
  <c r="G180" i="12"/>
  <c r="I23" i="5"/>
  <c r="N47" i="5"/>
  <c r="E1071" i="9" s="1"/>
  <c r="F1071" i="9" s="1"/>
  <c r="I46" i="5"/>
  <c r="E535" i="9" s="1"/>
  <c r="F535" i="9" s="1"/>
  <c r="G235" i="12"/>
  <c r="K47" i="5"/>
  <c r="E750" i="9" s="1"/>
  <c r="F750" i="9" s="1"/>
  <c r="G154" i="12"/>
  <c r="G46" i="5"/>
  <c r="E321" i="9" s="1"/>
  <c r="F321" i="9" s="1"/>
  <c r="O42" i="5"/>
  <c r="K42" i="5"/>
  <c r="G253" i="12"/>
  <c r="G148" i="12"/>
  <c r="K23" i="5"/>
  <c r="F42" i="5"/>
  <c r="G42" i="5"/>
  <c r="G198" i="12"/>
  <c r="G166" i="12"/>
  <c r="G217" i="12"/>
  <c r="O47" i="5"/>
  <c r="E1178" i="9" s="1"/>
  <c r="F1178" i="9" s="1"/>
  <c r="G247" i="12"/>
  <c r="H42" i="5"/>
  <c r="G34" i="12"/>
  <c r="G204" i="12"/>
  <c r="P47" i="5"/>
  <c r="E1285" i="9" s="1"/>
  <c r="F1285" i="9" s="1"/>
  <c r="G92" i="12"/>
  <c r="G174" i="12"/>
  <c r="G27" i="12"/>
  <c r="G259" i="12"/>
  <c r="O46" i="5"/>
  <c r="E1177" i="9" s="1"/>
  <c r="F1177" i="9" s="1"/>
  <c r="G15" i="12"/>
  <c r="G118" i="12"/>
  <c r="G46" i="12"/>
  <c r="G61" i="12"/>
  <c r="G277" i="12"/>
  <c r="I47" i="5"/>
  <c r="E536" i="9" s="1"/>
  <c r="F536" i="9" s="1"/>
  <c r="G112" i="12"/>
  <c r="F46" i="5"/>
  <c r="G40" i="12"/>
  <c r="P46" i="5"/>
  <c r="E1284" i="9" s="1"/>
  <c r="F1284" i="9" s="1"/>
  <c r="G192" i="12"/>
  <c r="N42" i="5"/>
  <c r="G18" i="25"/>
  <c r="I8" i="25"/>
  <c r="G125" i="25"/>
  <c r="G136" i="25" s="1"/>
  <c r="G67" i="25"/>
  <c r="J36" i="13"/>
  <c r="S19" i="12"/>
  <c r="S22" i="12"/>
  <c r="G241" i="12" s="1"/>
  <c r="S20" i="12"/>
  <c r="G52" i="12" s="1"/>
  <c r="S21" i="12"/>
  <c r="G98" i="12" s="1"/>
  <c r="P13" i="10"/>
  <c r="P20" i="10" s="1"/>
  <c r="N20" i="10"/>
  <c r="P15" i="10"/>
  <c r="P22" i="10" s="1"/>
  <c r="P29" i="10" s="1"/>
  <c r="N22" i="10"/>
  <c r="N29" i="10" s="1"/>
  <c r="Q18" i="25"/>
  <c r="P14" i="10"/>
  <c r="P21" i="10" s="1"/>
  <c r="N21" i="10"/>
  <c r="L12" i="10"/>
  <c r="J16" i="10"/>
  <c r="J19" i="10"/>
  <c r="S33" i="5" l="1"/>
  <c r="S21" i="5"/>
  <c r="H32" i="10"/>
  <c r="E210" i="9"/>
  <c r="F210" i="9" s="1"/>
  <c r="S42" i="5"/>
  <c r="S36" i="5"/>
  <c r="E848" i="9"/>
  <c r="F848" i="9" s="1"/>
  <c r="S35" i="5"/>
  <c r="E847" i="9"/>
  <c r="F847" i="9" s="1"/>
  <c r="I265" i="12"/>
  <c r="G268" i="12"/>
  <c r="I268" i="12" s="1"/>
  <c r="G207" i="12"/>
  <c r="I207" i="12" s="1"/>
  <c r="I204" i="12"/>
  <c r="K31" i="5"/>
  <c r="E729" i="9"/>
  <c r="F729" i="9" s="1"/>
  <c r="E515" i="9"/>
  <c r="F515" i="9" s="1"/>
  <c r="I31" i="5"/>
  <c r="E739" i="9"/>
  <c r="F739" i="9" s="1"/>
  <c r="K40" i="5"/>
  <c r="G286" i="12"/>
  <c r="I286" i="12" s="1"/>
  <c r="I283" i="12"/>
  <c r="E1369" i="9"/>
  <c r="F1369" i="9" s="1"/>
  <c r="I61" i="12"/>
  <c r="G64" i="12"/>
  <c r="I64" i="12" s="1"/>
  <c r="G37" i="12"/>
  <c r="I37" i="12" s="1"/>
  <c r="I34" i="12"/>
  <c r="I148" i="12"/>
  <c r="G151" i="12"/>
  <c r="I151" i="12" s="1"/>
  <c r="G183" i="12"/>
  <c r="I183" i="12" s="1"/>
  <c r="I180" i="12"/>
  <c r="J50" i="5"/>
  <c r="E638" i="9"/>
  <c r="F638" i="9" s="1"/>
  <c r="E1280" i="9"/>
  <c r="F1280" i="9" s="1"/>
  <c r="P50" i="5"/>
  <c r="I124" i="12"/>
  <c r="G127" i="12"/>
  <c r="I127" i="12" s="1"/>
  <c r="E849" i="9"/>
  <c r="F849" i="9" s="1"/>
  <c r="S37" i="5"/>
  <c r="E1166" i="9"/>
  <c r="F1166" i="9" s="1"/>
  <c r="O40" i="5"/>
  <c r="E1144" i="9"/>
  <c r="F1144" i="9" s="1"/>
  <c r="G280" i="12"/>
  <c r="I280" i="12" s="1"/>
  <c r="I277" i="12"/>
  <c r="E424" i="9"/>
  <c r="F424" i="9" s="1"/>
  <c r="H50" i="5"/>
  <c r="I211" i="12"/>
  <c r="G214" i="12"/>
  <c r="I214" i="12" s="1"/>
  <c r="E1066" i="9"/>
  <c r="F1066" i="9" s="1"/>
  <c r="N50" i="5"/>
  <c r="E745" i="9"/>
  <c r="F745" i="9" s="1"/>
  <c r="K50" i="5"/>
  <c r="E941" i="9"/>
  <c r="F941" i="9" s="1"/>
  <c r="M31" i="5"/>
  <c r="I86" i="12"/>
  <c r="G89" i="12"/>
  <c r="I89" i="12" s="1"/>
  <c r="E836" i="9"/>
  <c r="F836" i="9" s="1"/>
  <c r="L31" i="5"/>
  <c r="H33" i="10"/>
  <c r="H39" i="10" s="1"/>
  <c r="H40" i="10" s="1"/>
  <c r="H55" i="10" s="1"/>
  <c r="H57" i="10" s="1"/>
  <c r="H59" i="10" s="1"/>
  <c r="H60" i="10" s="1"/>
  <c r="J56" i="10" s="1"/>
  <c r="J28" i="10"/>
  <c r="J30" i="10" s="1"/>
  <c r="J24" i="10"/>
  <c r="L36" i="11"/>
  <c r="J23" i="10"/>
  <c r="I247" i="12"/>
  <c r="G250" i="12"/>
  <c r="I250" i="12" s="1"/>
  <c r="I166" i="12"/>
  <c r="G169" i="12"/>
  <c r="I169" i="12" s="1"/>
  <c r="I154" i="12"/>
  <c r="G157" i="12"/>
  <c r="I157" i="12" s="1"/>
  <c r="I136" i="12"/>
  <c r="G139" i="12"/>
  <c r="I139" i="12" s="1"/>
  <c r="G71" i="12"/>
  <c r="I71" i="12" s="1"/>
  <c r="I68" i="12"/>
  <c r="K33" i="13"/>
  <c r="L21" i="13"/>
  <c r="K21" i="13"/>
  <c r="J33" i="13"/>
  <c r="J21" i="13"/>
  <c r="I33" i="13"/>
  <c r="H33" i="13"/>
  <c r="L33" i="13"/>
  <c r="G33" i="13"/>
  <c r="G21" i="13"/>
  <c r="F21" i="13"/>
  <c r="F33" i="13"/>
  <c r="D4" i="5"/>
  <c r="H11" i="11"/>
  <c r="H21" i="13"/>
  <c r="I21" i="13"/>
  <c r="J152" i="13"/>
  <c r="E1384" i="9"/>
  <c r="F1384" i="9" s="1"/>
  <c r="I253" i="12"/>
  <c r="G256" i="12"/>
  <c r="I256" i="12" s="1"/>
  <c r="G189" i="12"/>
  <c r="I189" i="12" s="1"/>
  <c r="I186" i="12"/>
  <c r="E215" i="9"/>
  <c r="F215" i="9" s="1"/>
  <c r="S47" i="5"/>
  <c r="I9" i="12"/>
  <c r="G12" i="12"/>
  <c r="I12" i="12" s="1"/>
  <c r="G102" i="12"/>
  <c r="I98" i="12"/>
  <c r="G43" i="12"/>
  <c r="I43" i="12" s="1"/>
  <c r="I40" i="12"/>
  <c r="I259" i="12"/>
  <c r="G262" i="12"/>
  <c r="I262" i="12" s="1"/>
  <c r="N31" i="5"/>
  <c r="E1048" i="9"/>
  <c r="F1048" i="9" s="1"/>
  <c r="G112" i="25"/>
  <c r="G115" i="25" s="1"/>
  <c r="G116" i="25" s="1"/>
  <c r="G143" i="25"/>
  <c r="G158" i="25" s="1"/>
  <c r="G164" i="25"/>
  <c r="F50" i="5"/>
  <c r="E214" i="9"/>
  <c r="F214" i="9" s="1"/>
  <c r="S46" i="5"/>
  <c r="G28" i="12"/>
  <c r="I28" i="12" s="1"/>
  <c r="I27" i="12"/>
  <c r="G201" i="12"/>
  <c r="I201" i="12" s="1"/>
  <c r="I198" i="12"/>
  <c r="G238" i="12"/>
  <c r="I238" i="12" s="1"/>
  <c r="I235" i="12"/>
  <c r="I160" i="12"/>
  <c r="G163" i="12"/>
  <c r="I163" i="12" s="1"/>
  <c r="I130" i="12"/>
  <c r="G133" i="12"/>
  <c r="I133" i="12" s="1"/>
  <c r="H31" i="5"/>
  <c r="E408" i="9"/>
  <c r="F408" i="9" s="1"/>
  <c r="G244" i="12"/>
  <c r="I244" i="12" s="1"/>
  <c r="I241" i="12"/>
  <c r="E922" i="9"/>
  <c r="F922" i="9" s="1"/>
  <c r="I15" i="12"/>
  <c r="G18" i="12"/>
  <c r="I18" i="12" s="1"/>
  <c r="O50" i="5"/>
  <c r="E1173" i="9"/>
  <c r="F1173" i="9" s="1"/>
  <c r="E1037" i="9"/>
  <c r="F1037" i="9" s="1"/>
  <c r="E1059" i="9"/>
  <c r="F1059" i="9" s="1"/>
  <c r="N40" i="5"/>
  <c r="L19" i="10"/>
  <c r="N12" i="10"/>
  <c r="L16" i="10"/>
  <c r="G21" i="12"/>
  <c r="S23" i="12"/>
  <c r="I192" i="12"/>
  <c r="G195" i="12"/>
  <c r="I195" i="12" s="1"/>
  <c r="P40" i="5"/>
  <c r="E1251" i="9"/>
  <c r="F1251" i="9" s="1"/>
  <c r="E1273" i="9"/>
  <c r="F1273" i="9" s="1"/>
  <c r="I217" i="12"/>
  <c r="G220" i="12"/>
  <c r="I220" i="12" s="1"/>
  <c r="Q36" i="13"/>
  <c r="S36" i="13" s="1"/>
  <c r="K8" i="25"/>
  <c r="I125" i="25"/>
  <c r="I136" i="25" s="1"/>
  <c r="I18" i="25"/>
  <c r="I112" i="12"/>
  <c r="G115" i="12"/>
  <c r="I115" i="12" s="1"/>
  <c r="I174" i="12"/>
  <c r="G177" i="12"/>
  <c r="I177" i="12" s="1"/>
  <c r="E317" i="9"/>
  <c r="F317" i="9" s="1"/>
  <c r="G50" i="5"/>
  <c r="E952" i="9"/>
  <c r="F952" i="9" s="1"/>
  <c r="M40" i="5"/>
  <c r="I223" i="12"/>
  <c r="G226" i="12"/>
  <c r="I226" i="12" s="1"/>
  <c r="E531" i="9"/>
  <c r="F531" i="9" s="1"/>
  <c r="I50" i="5"/>
  <c r="E845" i="9"/>
  <c r="F845" i="9" s="1"/>
  <c r="L40" i="5"/>
  <c r="P31" i="5"/>
  <c r="E1262" i="9"/>
  <c r="F1262" i="9" s="1"/>
  <c r="G49" i="12"/>
  <c r="I49" i="12" s="1"/>
  <c r="I46" i="12"/>
  <c r="I229" i="12"/>
  <c r="G232" i="12"/>
  <c r="I232" i="12" s="1"/>
  <c r="G58" i="12"/>
  <c r="I58" i="12" s="1"/>
  <c r="I52" i="12"/>
  <c r="E999" i="9"/>
  <c r="F999" i="9" s="1"/>
  <c r="G121" i="12"/>
  <c r="I121" i="12" s="1"/>
  <c r="I118" i="12"/>
  <c r="E959" i="9"/>
  <c r="F959" i="9" s="1"/>
  <c r="M50" i="5"/>
  <c r="E1155" i="9"/>
  <c r="F1155" i="9" s="1"/>
  <c r="O31" i="5"/>
  <c r="G22" i="25"/>
  <c r="S22" i="25" s="1"/>
  <c r="S18" i="25"/>
  <c r="G110" i="25"/>
  <c r="E1264" i="9"/>
  <c r="F1264" i="9" s="1"/>
  <c r="Q23" i="5"/>
  <c r="E1371" i="9" s="1"/>
  <c r="F1371" i="9" s="1"/>
  <c r="G95" i="12"/>
  <c r="I95" i="12" s="1"/>
  <c r="I92" i="12"/>
  <c r="Q34" i="5"/>
  <c r="E1381" i="9" s="1"/>
  <c r="F1381" i="9" s="1"/>
  <c r="E1274" i="9"/>
  <c r="F1274" i="9" s="1"/>
  <c r="E622" i="9"/>
  <c r="F622" i="9" s="1"/>
  <c r="J31" i="5"/>
  <c r="I80" i="12"/>
  <c r="G83" i="12"/>
  <c r="I83" i="12" s="1"/>
  <c r="L50" i="5"/>
  <c r="E852" i="9"/>
  <c r="F852" i="9" s="1"/>
  <c r="Q22" i="25"/>
  <c r="E7" i="24" l="1"/>
  <c r="G7" i="24" s="1"/>
  <c r="E8" i="24"/>
  <c r="G8" i="24" s="1"/>
  <c r="E1380" i="9"/>
  <c r="F1380" i="9" s="1"/>
  <c r="M52" i="5"/>
  <c r="E1029" i="9"/>
  <c r="F1029" i="9" s="1"/>
  <c r="G31" i="12"/>
  <c r="H46" i="10"/>
  <c r="K52" i="5"/>
  <c r="H52" i="5"/>
  <c r="S23" i="5"/>
  <c r="U23" i="13" s="1"/>
  <c r="Q31" i="5"/>
  <c r="E1130" i="9"/>
  <c r="F1130" i="9" s="1"/>
  <c r="E1237" i="9"/>
  <c r="F1237" i="9" s="1"/>
  <c r="E1023" i="9"/>
  <c r="F1023" i="9" s="1"/>
  <c r="E1105" i="9"/>
  <c r="F1105" i="9" s="1"/>
  <c r="E998" i="9"/>
  <c r="F998" i="9" s="1"/>
  <c r="E1212" i="9"/>
  <c r="F1212" i="9" s="1"/>
  <c r="E1111" i="9"/>
  <c r="F1111" i="9" s="1"/>
  <c r="E1004" i="9"/>
  <c r="F1004" i="9" s="1"/>
  <c r="E1218" i="9"/>
  <c r="F1218" i="9" s="1"/>
  <c r="U21" i="13"/>
  <c r="H21" i="11"/>
  <c r="V21" i="5"/>
  <c r="Y21" i="5"/>
  <c r="Q40" i="5"/>
  <c r="I31" i="12"/>
  <c r="E1104" i="9"/>
  <c r="F1104" i="9" s="1"/>
  <c r="E1211" i="9"/>
  <c r="F1211" i="9" s="1"/>
  <c r="E997" i="9"/>
  <c r="F997" i="9" s="1"/>
  <c r="Q132" i="5"/>
  <c r="E1357" i="9" s="1"/>
  <c r="F1357" i="9" s="1"/>
  <c r="E1005" i="9"/>
  <c r="F1005" i="9" s="1"/>
  <c r="E1219" i="9"/>
  <c r="F1219" i="9" s="1"/>
  <c r="E1112" i="9"/>
  <c r="F1112" i="9" s="1"/>
  <c r="E1011" i="9"/>
  <c r="F1011" i="9" s="1"/>
  <c r="E1118" i="9"/>
  <c r="F1118" i="9" s="1"/>
  <c r="E1225" i="9"/>
  <c r="F1225" i="9" s="1"/>
  <c r="O52" i="5"/>
  <c r="F46" i="13"/>
  <c r="G46" i="13"/>
  <c r="M46" i="13"/>
  <c r="V46" i="5"/>
  <c r="I46" i="13"/>
  <c r="Q46" i="13"/>
  <c r="H46" i="11"/>
  <c r="Y46" i="5"/>
  <c r="P46" i="13"/>
  <c r="H46" i="13"/>
  <c r="K46" i="13"/>
  <c r="N46" i="13"/>
  <c r="U46" i="13"/>
  <c r="E46" i="13"/>
  <c r="O46" i="13"/>
  <c r="J46" i="13"/>
  <c r="L46" i="13"/>
  <c r="I133" i="13"/>
  <c r="J133" i="13"/>
  <c r="E1244" i="9"/>
  <c r="F1244" i="9" s="1"/>
  <c r="E1030" i="9"/>
  <c r="F1030" i="9" s="1"/>
  <c r="E1137" i="9"/>
  <c r="F1137" i="9" s="1"/>
  <c r="E1038" i="9"/>
  <c r="F1038" i="9" s="1"/>
  <c r="E1252" i="9"/>
  <c r="F1252" i="9" s="1"/>
  <c r="E1145" i="9"/>
  <c r="F1145" i="9" s="1"/>
  <c r="V33" i="5"/>
  <c r="E1358" i="9"/>
  <c r="F1358" i="9" s="1"/>
  <c r="H33" i="11"/>
  <c r="U33" i="13"/>
  <c r="Y33" i="5"/>
  <c r="E1235" i="9"/>
  <c r="F1235" i="9" s="1"/>
  <c r="E1128" i="9"/>
  <c r="F1128" i="9" s="1"/>
  <c r="E1021" i="9"/>
  <c r="F1021" i="9" s="1"/>
  <c r="G82" i="5"/>
  <c r="E244" i="9" s="1"/>
  <c r="F244" i="9" s="1"/>
  <c r="H82" i="5"/>
  <c r="E351" i="9" s="1"/>
  <c r="F351" i="9" s="1"/>
  <c r="I82" i="5"/>
  <c r="E458" i="9" s="1"/>
  <c r="F458" i="9" s="1"/>
  <c r="F82" i="5"/>
  <c r="E1120" i="9"/>
  <c r="F1120" i="9" s="1"/>
  <c r="E1013" i="9"/>
  <c r="F1013" i="9" s="1"/>
  <c r="E1227" i="9"/>
  <c r="F1227" i="9" s="1"/>
  <c r="E1233" i="9"/>
  <c r="F1233" i="9" s="1"/>
  <c r="E1019" i="9"/>
  <c r="F1019" i="9" s="1"/>
  <c r="E1126" i="9"/>
  <c r="F1126" i="9" s="1"/>
  <c r="E1247" i="9"/>
  <c r="F1247" i="9" s="1"/>
  <c r="E1140" i="9"/>
  <c r="F1140" i="9" s="1"/>
  <c r="E1033" i="9"/>
  <c r="F1033" i="9" s="1"/>
  <c r="I102" i="12"/>
  <c r="H133" i="13"/>
  <c r="K133" i="13"/>
  <c r="G9" i="24"/>
  <c r="G81" i="5"/>
  <c r="H81" i="5"/>
  <c r="I81" i="5"/>
  <c r="F81" i="5"/>
  <c r="H10" i="11"/>
  <c r="J30" i="11"/>
  <c r="J29" i="11"/>
  <c r="K21" i="14"/>
  <c r="J33" i="14"/>
  <c r="O33" i="13"/>
  <c r="N33" i="13"/>
  <c r="G33" i="14"/>
  <c r="P21" i="13"/>
  <c r="N21" i="13"/>
  <c r="J21" i="14"/>
  <c r="F21" i="14"/>
  <c r="M21" i="13"/>
  <c r="M33" i="13"/>
  <c r="D4" i="13"/>
  <c r="V11" i="14" s="1"/>
  <c r="I33" i="14"/>
  <c r="G21" i="14"/>
  <c r="J37" i="10"/>
  <c r="J36" i="10" s="1"/>
  <c r="F33" i="14"/>
  <c r="O21" i="13"/>
  <c r="J11" i="11"/>
  <c r="J106" i="11" s="1"/>
  <c r="I21" i="14"/>
  <c r="H21" i="14"/>
  <c r="L21" i="14"/>
  <c r="P33" i="13"/>
  <c r="L33" i="14"/>
  <c r="K33" i="14"/>
  <c r="H33" i="14"/>
  <c r="E1016" i="9"/>
  <c r="F1016" i="9" s="1"/>
  <c r="E1230" i="9"/>
  <c r="F1230" i="9" s="1"/>
  <c r="E1123" i="9"/>
  <c r="F1123" i="9" s="1"/>
  <c r="S34" i="5"/>
  <c r="S40" i="5" s="1"/>
  <c r="U18" i="25"/>
  <c r="I22" i="25"/>
  <c r="I110" i="25"/>
  <c r="E1255" i="9"/>
  <c r="F1255" i="9" s="1"/>
  <c r="E1041" i="9"/>
  <c r="F1041" i="9" s="1"/>
  <c r="E1148" i="9"/>
  <c r="F1148" i="9" s="1"/>
  <c r="U157" i="5"/>
  <c r="V11" i="13"/>
  <c r="J36" i="16"/>
  <c r="J36" i="14"/>
  <c r="J36" i="17"/>
  <c r="I67" i="25"/>
  <c r="E892" i="9"/>
  <c r="F892" i="9" s="1"/>
  <c r="E1110" i="9"/>
  <c r="F1110" i="9" s="1"/>
  <c r="E1003" i="9"/>
  <c r="F1003" i="9" s="1"/>
  <c r="E1217" i="9"/>
  <c r="F1217" i="9" s="1"/>
  <c r="E1133" i="9"/>
  <c r="F1133" i="9" s="1"/>
  <c r="E1240" i="9"/>
  <c r="F1240" i="9" s="1"/>
  <c r="E1026" i="9"/>
  <c r="F1026" i="9" s="1"/>
  <c r="I112" i="25"/>
  <c r="I115" i="25" s="1"/>
  <c r="I116" i="25" s="1"/>
  <c r="I143" i="25"/>
  <c r="I158" i="25" s="1"/>
  <c r="I164" i="25"/>
  <c r="G24" i="12"/>
  <c r="I24" i="12" s="1"/>
  <c r="I21" i="12"/>
  <c r="H47" i="11"/>
  <c r="U47" i="13"/>
  <c r="V47" i="5"/>
  <c r="Y47" i="5"/>
  <c r="F133" i="13"/>
  <c r="F40" i="13"/>
  <c r="J32" i="10"/>
  <c r="N52" i="5"/>
  <c r="U37" i="13"/>
  <c r="H37" i="11"/>
  <c r="V37" i="5"/>
  <c r="Y37" i="5"/>
  <c r="H35" i="11"/>
  <c r="Y35" i="5"/>
  <c r="U35" i="13"/>
  <c r="V35" i="5"/>
  <c r="E1210" i="9"/>
  <c r="F1210" i="9" s="1"/>
  <c r="E996" i="9"/>
  <c r="F996" i="9" s="1"/>
  <c r="E1103" i="9"/>
  <c r="F1103" i="9" s="1"/>
  <c r="I92" i="5"/>
  <c r="P92" i="5"/>
  <c r="K92" i="5"/>
  <c r="G92" i="5"/>
  <c r="N92" i="5"/>
  <c r="O92" i="5"/>
  <c r="F92" i="5"/>
  <c r="L92" i="5"/>
  <c r="H92" i="5"/>
  <c r="M92" i="5"/>
  <c r="J92" i="5"/>
  <c r="E1241" i="9"/>
  <c r="F1241" i="9" s="1"/>
  <c r="E1134" i="9"/>
  <c r="F1134" i="9" s="1"/>
  <c r="E1027" i="9"/>
  <c r="F1027" i="9" s="1"/>
  <c r="E930" i="9"/>
  <c r="F930" i="9" s="1"/>
  <c r="U36" i="14"/>
  <c r="P12" i="10"/>
  <c r="N19" i="10"/>
  <c r="N16" i="10"/>
  <c r="E1028" i="9"/>
  <c r="F1028" i="9" s="1"/>
  <c r="E1135" i="9"/>
  <c r="F1135" i="9" s="1"/>
  <c r="E1242" i="9"/>
  <c r="F1242" i="9" s="1"/>
  <c r="E1014" i="9"/>
  <c r="F1014" i="9" s="1"/>
  <c r="E1228" i="9"/>
  <c r="F1228" i="9" s="1"/>
  <c r="E1121" i="9"/>
  <c r="F1121" i="9" s="1"/>
  <c r="H47" i="10"/>
  <c r="H53" i="10"/>
  <c r="H61" i="10" s="1"/>
  <c r="H62" i="10" s="1"/>
  <c r="E1119" i="9"/>
  <c r="F1119" i="9" s="1"/>
  <c r="E1226" i="9"/>
  <c r="F1226" i="9" s="1"/>
  <c r="E1012" i="9"/>
  <c r="F1012" i="9" s="1"/>
  <c r="F89" i="5"/>
  <c r="I89" i="5"/>
  <c r="E465" i="9" s="1"/>
  <c r="F465" i="9" s="1"/>
  <c r="E1214" i="9"/>
  <c r="F1214" i="9" s="1"/>
  <c r="L89" i="5"/>
  <c r="E1107" i="9"/>
  <c r="F1107" i="9" s="1"/>
  <c r="H89" i="5"/>
  <c r="E358" i="9" s="1"/>
  <c r="F358" i="9" s="1"/>
  <c r="J89" i="5"/>
  <c r="E1000" i="9"/>
  <c r="F1000" i="9" s="1"/>
  <c r="M89" i="5"/>
  <c r="E893" i="9" s="1"/>
  <c r="F893" i="9" s="1"/>
  <c r="G89" i="5"/>
  <c r="E251" i="9" s="1"/>
  <c r="F251" i="9" s="1"/>
  <c r="K89" i="5"/>
  <c r="H36" i="11"/>
  <c r="E67" i="25" s="1"/>
  <c r="U36" i="13"/>
  <c r="V36" i="13" s="1"/>
  <c r="V36" i="5"/>
  <c r="Y36" i="5"/>
  <c r="K125" i="25"/>
  <c r="K136" i="25" s="1"/>
  <c r="K18" i="25"/>
  <c r="M8" i="25"/>
  <c r="L28" i="10"/>
  <c r="L30" i="10" s="1"/>
  <c r="L23" i="10"/>
  <c r="N36" i="11"/>
  <c r="L24" i="10"/>
  <c r="L32" i="10" s="1"/>
  <c r="E1234" i="9"/>
  <c r="F1234" i="9" s="1"/>
  <c r="E1020" i="9"/>
  <c r="F1020" i="9" s="1"/>
  <c r="E1127" i="9"/>
  <c r="F1127" i="9" s="1"/>
  <c r="G133" i="13"/>
  <c r="H42" i="13"/>
  <c r="M42" i="13"/>
  <c r="Y42" i="5"/>
  <c r="Q42" i="13"/>
  <c r="U42" i="13"/>
  <c r="J42" i="13"/>
  <c r="H42" i="11"/>
  <c r="S50" i="5"/>
  <c r="K42" i="13"/>
  <c r="N42" i="13"/>
  <c r="O42" i="13"/>
  <c r="G42" i="13"/>
  <c r="P42" i="13"/>
  <c r="I42" i="13"/>
  <c r="F42" i="13"/>
  <c r="V42" i="5"/>
  <c r="E42" i="13"/>
  <c r="L42" i="13"/>
  <c r="E1022" i="9"/>
  <c r="F1022" i="9" s="1"/>
  <c r="E1129" i="9"/>
  <c r="F1129" i="9" s="1"/>
  <c r="E1236" i="9"/>
  <c r="F1236" i="9" s="1"/>
  <c r="E1032" i="9"/>
  <c r="F1032" i="9" s="1"/>
  <c r="E1139" i="9"/>
  <c r="F1139" i="9" s="1"/>
  <c r="E1246" i="9"/>
  <c r="F1246" i="9" s="1"/>
  <c r="E1245" i="9"/>
  <c r="F1245" i="9" s="1"/>
  <c r="E1138" i="9"/>
  <c r="F1138" i="9" s="1"/>
  <c r="E1031" i="9"/>
  <c r="F1031" i="9" s="1"/>
  <c r="L133" i="13"/>
  <c r="E1040" i="9"/>
  <c r="F1040" i="9" s="1"/>
  <c r="E1147" i="9"/>
  <c r="F1147" i="9" s="1"/>
  <c r="E1254" i="9"/>
  <c r="F1254" i="9" s="1"/>
  <c r="P52" i="5"/>
  <c r="S31" i="5" l="1"/>
  <c r="J5" i="26" s="1"/>
  <c r="O29" i="13"/>
  <c r="E29" i="13"/>
  <c r="G29" i="13"/>
  <c r="I29" i="13"/>
  <c r="F29" i="13"/>
  <c r="Q29" i="13"/>
  <c r="P29" i="13"/>
  <c r="N29" i="13"/>
  <c r="J29" i="13"/>
  <c r="L29" i="13"/>
  <c r="K29" i="13"/>
  <c r="M29" i="13"/>
  <c r="H29" i="13"/>
  <c r="U50" i="13"/>
  <c r="H23" i="11"/>
  <c r="E51" i="25" s="1"/>
  <c r="V50" i="5"/>
  <c r="S133" i="5"/>
  <c r="Y133" i="5" s="1"/>
  <c r="V23" i="5"/>
  <c r="V31" i="5" s="1"/>
  <c r="Y23" i="5"/>
  <c r="Y31" i="5" s="1"/>
  <c r="Y50" i="5"/>
  <c r="J49" i="11"/>
  <c r="U31" i="13"/>
  <c r="E1006" i="9"/>
  <c r="F1006" i="9" s="1"/>
  <c r="E1113" i="9"/>
  <c r="F1113" i="9" s="1"/>
  <c r="K6" i="26"/>
  <c r="J6" i="26"/>
  <c r="E6" i="26"/>
  <c r="L6" i="26"/>
  <c r="I6" i="26"/>
  <c r="I8" i="24"/>
  <c r="K8" i="24" s="1"/>
  <c r="N6" i="26"/>
  <c r="M6" i="26"/>
  <c r="F6" i="26"/>
  <c r="C6" i="26"/>
  <c r="D6" i="26"/>
  <c r="G6" i="26"/>
  <c r="H6" i="26"/>
  <c r="G267" i="25"/>
  <c r="E50" i="13"/>
  <c r="S42" i="13"/>
  <c r="K67" i="25"/>
  <c r="Q36" i="16"/>
  <c r="S36" i="16" s="1"/>
  <c r="U36" i="17" s="1"/>
  <c r="J90" i="5"/>
  <c r="H14" i="26" s="1"/>
  <c r="E572" i="9"/>
  <c r="F572" i="9" s="1"/>
  <c r="E1238" i="9"/>
  <c r="F1238" i="9" s="1"/>
  <c r="E921" i="9"/>
  <c r="F921" i="9" s="1"/>
  <c r="S124" i="5"/>
  <c r="P133" i="13"/>
  <c r="J44" i="11"/>
  <c r="J135" i="11"/>
  <c r="E1018" i="9"/>
  <c r="F1018" i="9" s="1"/>
  <c r="N118" i="5"/>
  <c r="S132" i="5"/>
  <c r="E1036" i="9"/>
  <c r="F1036" i="9" s="1"/>
  <c r="M125" i="25"/>
  <c r="M136" i="25" s="1"/>
  <c r="M18" i="25"/>
  <c r="S120" i="5"/>
  <c r="E917" i="9"/>
  <c r="F917" i="9" s="1"/>
  <c r="E573" i="9"/>
  <c r="F573" i="9" s="1"/>
  <c r="J99" i="5"/>
  <c r="E889" i="9"/>
  <c r="F889" i="9" s="1"/>
  <c r="S85" i="5"/>
  <c r="E887" i="9"/>
  <c r="F887" i="9" s="1"/>
  <c r="E934" i="9"/>
  <c r="F934" i="9" s="1"/>
  <c r="S109" i="5"/>
  <c r="J48" i="11"/>
  <c r="J26" i="11"/>
  <c r="E80" i="25"/>
  <c r="J46" i="11"/>
  <c r="E1125" i="9"/>
  <c r="F1125" i="9" s="1"/>
  <c r="O118" i="5"/>
  <c r="E925" i="9"/>
  <c r="F925" i="9" s="1"/>
  <c r="S128" i="5"/>
  <c r="K110" i="25"/>
  <c r="W18" i="25"/>
  <c r="K22" i="25"/>
  <c r="E1024" i="9"/>
  <c r="F1024" i="9" s="1"/>
  <c r="E894" i="9"/>
  <c r="F894" i="9" s="1"/>
  <c r="J33" i="10"/>
  <c r="J39" i="10" s="1"/>
  <c r="J40" i="10" s="1"/>
  <c r="J55" i="10" s="1"/>
  <c r="J57" i="10" s="1"/>
  <c r="J59" i="10" s="1"/>
  <c r="J60" i="10" s="1"/>
  <c r="L56" i="10" s="1"/>
  <c r="J45" i="11"/>
  <c r="E911" i="9"/>
  <c r="F911" i="9" s="1"/>
  <c r="S112" i="5"/>
  <c r="M118" i="5"/>
  <c r="E890" i="9"/>
  <c r="F890" i="9" s="1"/>
  <c r="S86" i="5"/>
  <c r="E891" i="9"/>
  <c r="F891" i="9" s="1"/>
  <c r="S87" i="5"/>
  <c r="K143" i="25"/>
  <c r="K158" i="25" s="1"/>
  <c r="K112" i="25"/>
  <c r="K115" i="25" s="1"/>
  <c r="K116" i="25" s="1"/>
  <c r="K164" i="25"/>
  <c r="E786" i="9"/>
  <c r="F786" i="9" s="1"/>
  <c r="L90" i="5"/>
  <c r="J14" i="26" s="1"/>
  <c r="G83" i="25"/>
  <c r="E912" i="9"/>
  <c r="F912" i="9" s="1"/>
  <c r="S113" i="5"/>
  <c r="E931" i="9"/>
  <c r="F931" i="9" s="1"/>
  <c r="S134" i="5"/>
  <c r="J10" i="11"/>
  <c r="J33" i="11"/>
  <c r="J21" i="11"/>
  <c r="J16" i="11"/>
  <c r="J28" i="11"/>
  <c r="E136" i="9"/>
  <c r="F136" i="9" s="1"/>
  <c r="S81" i="5"/>
  <c r="F90" i="5"/>
  <c r="E914" i="9"/>
  <c r="F914" i="9" s="1"/>
  <c r="S115" i="5"/>
  <c r="E904" i="9"/>
  <c r="F904" i="9" s="1"/>
  <c r="S102" i="5"/>
  <c r="E897" i="9"/>
  <c r="F897" i="9" s="1"/>
  <c r="S95" i="5"/>
  <c r="N28" i="10"/>
  <c r="N30" i="10" s="1"/>
  <c r="N24" i="10"/>
  <c r="N32" i="10" s="1"/>
  <c r="N23" i="10"/>
  <c r="P36" i="11"/>
  <c r="H99" i="5"/>
  <c r="E359" i="9"/>
  <c r="F359" i="9" s="1"/>
  <c r="S92" i="5"/>
  <c r="F99" i="5"/>
  <c r="E145" i="9"/>
  <c r="F145" i="9" s="1"/>
  <c r="G133" i="14"/>
  <c r="G57" i="25"/>
  <c r="E457" i="9"/>
  <c r="F457" i="9" s="1"/>
  <c r="I90" i="5"/>
  <c r="G14" i="26" s="1"/>
  <c r="E899" i="9"/>
  <c r="F899" i="9" s="1"/>
  <c r="N110" i="5"/>
  <c r="L18" i="26" s="1"/>
  <c r="E1008" i="9"/>
  <c r="F1008" i="9" s="1"/>
  <c r="K19" i="26"/>
  <c r="M151" i="5"/>
  <c r="E935" i="9"/>
  <c r="F935" i="9" s="1"/>
  <c r="S138" i="5"/>
  <c r="M139" i="5"/>
  <c r="P19" i="10"/>
  <c r="P16" i="10"/>
  <c r="E933" i="9"/>
  <c r="F933" i="9" s="1"/>
  <c r="S108" i="5"/>
  <c r="E144" i="9"/>
  <c r="F144" i="9" s="1"/>
  <c r="S89" i="5"/>
  <c r="E1108" i="9"/>
  <c r="F1108" i="9" s="1"/>
  <c r="F40" i="14"/>
  <c r="F133" i="14"/>
  <c r="N133" i="13"/>
  <c r="J24" i="11"/>
  <c r="E350" i="9"/>
  <c r="F350" i="9" s="1"/>
  <c r="H90" i="5"/>
  <c r="F14" i="26" s="1"/>
  <c r="E906" i="9"/>
  <c r="F906" i="9" s="1"/>
  <c r="S104" i="5"/>
  <c r="P110" i="5"/>
  <c r="E1222" i="9"/>
  <c r="F1222" i="9" s="1"/>
  <c r="S46" i="13"/>
  <c r="E995" i="9"/>
  <c r="F995" i="9" s="1"/>
  <c r="E1102" i="9"/>
  <c r="F1102" i="9" s="1"/>
  <c r="E1209" i="9"/>
  <c r="F1209" i="9" s="1"/>
  <c r="L19" i="26"/>
  <c r="E1042" i="9"/>
  <c r="F1042" i="9" s="1"/>
  <c r="N139" i="5"/>
  <c r="N151" i="5"/>
  <c r="E916" i="9"/>
  <c r="F916" i="9" s="1"/>
  <c r="S117" i="5"/>
  <c r="F13" i="5"/>
  <c r="G13" i="5"/>
  <c r="G15" i="5" s="1"/>
  <c r="L13" i="5"/>
  <c r="L15" i="5" s="1"/>
  <c r="J13" i="5"/>
  <c r="J15" i="5" s="1"/>
  <c r="I13" i="5"/>
  <c r="I15" i="5" s="1"/>
  <c r="E787" i="9"/>
  <c r="F787" i="9" s="1"/>
  <c r="L99" i="5"/>
  <c r="E915" i="9"/>
  <c r="F915" i="9" s="1"/>
  <c r="S116" i="5"/>
  <c r="K7" i="26"/>
  <c r="J7" i="26"/>
  <c r="C7" i="26"/>
  <c r="I7" i="26"/>
  <c r="N7" i="26"/>
  <c r="G7" i="26"/>
  <c r="D7" i="26"/>
  <c r="F7" i="26"/>
  <c r="H7" i="26"/>
  <c r="M7" i="26"/>
  <c r="L7" i="26"/>
  <c r="E7" i="26"/>
  <c r="I9" i="24"/>
  <c r="K9" i="24" s="1"/>
  <c r="S114" i="5"/>
  <c r="E913" i="9"/>
  <c r="F913" i="9" s="1"/>
  <c r="E907" i="9"/>
  <c r="F907" i="9" s="1"/>
  <c r="S105" i="5"/>
  <c r="E1001" i="9"/>
  <c r="F1001" i="9" s="1"/>
  <c r="Q36" i="14"/>
  <c r="S36" i="14" s="1"/>
  <c r="U22" i="25"/>
  <c r="O133" i="13"/>
  <c r="J38" i="11"/>
  <c r="E243" i="9"/>
  <c r="F243" i="9" s="1"/>
  <c r="G90" i="5"/>
  <c r="E14" i="26" s="1"/>
  <c r="E1106" i="9"/>
  <c r="F1106" i="9" s="1"/>
  <c r="E901" i="9"/>
  <c r="F901" i="9" s="1"/>
  <c r="M110" i="5"/>
  <c r="S101" i="5"/>
  <c r="E923" i="9"/>
  <c r="F923" i="9" s="1"/>
  <c r="S126" i="5"/>
  <c r="E898" i="9"/>
  <c r="F898" i="9" s="1"/>
  <c r="S96" i="5"/>
  <c r="P151" i="5"/>
  <c r="N19" i="26"/>
  <c r="E1256" i="9"/>
  <c r="F1256" i="9" s="1"/>
  <c r="P139" i="5"/>
  <c r="E252" i="9"/>
  <c r="F252" i="9" s="1"/>
  <c r="G99" i="5"/>
  <c r="E66" i="25"/>
  <c r="J35" i="11"/>
  <c r="E919" i="9"/>
  <c r="F919" i="9" s="1"/>
  <c r="S122" i="5"/>
  <c r="J133" i="14"/>
  <c r="G58" i="25"/>
  <c r="E1115" i="9"/>
  <c r="F1115" i="9" s="1"/>
  <c r="O110" i="5"/>
  <c r="I7" i="24"/>
  <c r="K7" i="24" s="1"/>
  <c r="C5" i="26"/>
  <c r="D5" i="26"/>
  <c r="G5" i="26"/>
  <c r="N5" i="26"/>
  <c r="K5" i="26"/>
  <c r="M5" i="26"/>
  <c r="O139" i="5"/>
  <c r="E1149" i="9"/>
  <c r="F1149" i="9" s="1"/>
  <c r="M19" i="26"/>
  <c r="O151" i="5"/>
  <c r="E76" i="25"/>
  <c r="J42" i="11"/>
  <c r="H50" i="11"/>
  <c r="E679" i="9"/>
  <c r="F679" i="9" s="1"/>
  <c r="K90" i="5"/>
  <c r="I14" i="26" s="1"/>
  <c r="E680" i="9"/>
  <c r="F680" i="9" s="1"/>
  <c r="K99" i="5"/>
  <c r="E81" i="25"/>
  <c r="J47" i="11"/>
  <c r="U34" i="13"/>
  <c r="U40" i="13" s="1"/>
  <c r="Y34" i="5"/>
  <c r="Y40" i="5" s="1"/>
  <c r="H34" i="11"/>
  <c r="V34" i="5"/>
  <c r="V40" i="5" s="1"/>
  <c r="H133" i="14"/>
  <c r="I133" i="14"/>
  <c r="J22" i="11"/>
  <c r="S82" i="5"/>
  <c r="E137" i="9"/>
  <c r="F137" i="9" s="1"/>
  <c r="E924" i="9"/>
  <c r="F924" i="9" s="1"/>
  <c r="S127" i="5"/>
  <c r="L33" i="10"/>
  <c r="L39" i="10" s="1"/>
  <c r="L40" i="10" s="1"/>
  <c r="L55" i="10" s="1"/>
  <c r="L57" i="10" s="1"/>
  <c r="L59" i="10" s="1"/>
  <c r="L60" i="10" s="1"/>
  <c r="N56" i="10" s="1"/>
  <c r="E920" i="9"/>
  <c r="F920" i="9" s="1"/>
  <c r="S123" i="5"/>
  <c r="E1215" i="9"/>
  <c r="F1215" i="9" s="1"/>
  <c r="K133" i="14"/>
  <c r="J25" i="11"/>
  <c r="E926" i="9"/>
  <c r="F926" i="9" s="1"/>
  <c r="S129" i="5"/>
  <c r="E905" i="9"/>
  <c r="F905" i="9" s="1"/>
  <c r="S103" i="5"/>
  <c r="J21" i="16"/>
  <c r="O33" i="14"/>
  <c r="G21" i="16"/>
  <c r="H21" i="16"/>
  <c r="M33" i="14"/>
  <c r="L21" i="16"/>
  <c r="N21" i="14"/>
  <c r="H33" i="16"/>
  <c r="I21" i="16"/>
  <c r="P21" i="14"/>
  <c r="M21" i="14"/>
  <c r="L33" i="16"/>
  <c r="O21" i="14"/>
  <c r="L11" i="11"/>
  <c r="L29" i="11" s="1"/>
  <c r="I33" i="16"/>
  <c r="D4" i="14"/>
  <c r="V11" i="16" s="1"/>
  <c r="F33" i="16"/>
  <c r="F21" i="16"/>
  <c r="G33" i="16"/>
  <c r="K33" i="16"/>
  <c r="L37" i="10"/>
  <c r="L36" i="10" s="1"/>
  <c r="P33" i="14"/>
  <c r="K21" i="16"/>
  <c r="J33" i="16"/>
  <c r="N33" i="14"/>
  <c r="E1131" i="9"/>
  <c r="F1131" i="9" s="1"/>
  <c r="I99" i="5"/>
  <c r="E466" i="9"/>
  <c r="F466" i="9" s="1"/>
  <c r="E68" i="25"/>
  <c r="J37" i="11"/>
  <c r="E896" i="9"/>
  <c r="F896" i="9" s="1"/>
  <c r="S94" i="5"/>
  <c r="E909" i="9"/>
  <c r="F909" i="9" s="1"/>
  <c r="S107" i="5"/>
  <c r="L133" i="14"/>
  <c r="M133" i="13"/>
  <c r="J93" i="11"/>
  <c r="J43" i="11"/>
  <c r="E64" i="25"/>
  <c r="P50" i="13"/>
  <c r="E1232" i="9"/>
  <c r="F1232" i="9" s="1"/>
  <c r="P118" i="5"/>
  <c r="E49" i="25"/>
  <c r="I135" i="13" l="1"/>
  <c r="H135" i="13"/>
  <c r="E135" i="13"/>
  <c r="N135" i="13"/>
  <c r="O135" i="13"/>
  <c r="L135" i="13"/>
  <c r="M135" i="13"/>
  <c r="J135" i="13"/>
  <c r="K135" i="13"/>
  <c r="Q135" i="13"/>
  <c r="G135" i="13"/>
  <c r="F135" i="13"/>
  <c r="P135" i="13"/>
  <c r="I144" i="5"/>
  <c r="E25" i="24"/>
  <c r="G25" i="24" s="1"/>
  <c r="N17" i="26"/>
  <c r="E23" i="24"/>
  <c r="G23" i="24" s="1"/>
  <c r="N18" i="26"/>
  <c r="E22" i="24"/>
  <c r="G22" i="24" s="1"/>
  <c r="I5" i="26"/>
  <c r="F5" i="26"/>
  <c r="E5" i="26"/>
  <c r="L5" i="26"/>
  <c r="H5" i="26"/>
  <c r="M17" i="26"/>
  <c r="M18" i="26"/>
  <c r="L17" i="26"/>
  <c r="J23" i="11"/>
  <c r="J31" i="11" s="1"/>
  <c r="G29" i="25" s="1"/>
  <c r="G285" i="25" s="1"/>
  <c r="S29" i="13"/>
  <c r="H31" i="11"/>
  <c r="E29" i="25" s="1"/>
  <c r="E285" i="25" s="1"/>
  <c r="V133" i="5"/>
  <c r="E59" i="25"/>
  <c r="U133" i="13"/>
  <c r="H133" i="11"/>
  <c r="E243" i="25" s="1"/>
  <c r="E1136" i="9"/>
  <c r="F1136" i="9" s="1"/>
  <c r="L46" i="10"/>
  <c r="L47" i="10" s="1"/>
  <c r="V36" i="14"/>
  <c r="U36" i="16"/>
  <c r="V36" i="16" s="1"/>
  <c r="I57" i="25"/>
  <c r="E65" i="25"/>
  <c r="E71" i="25" s="1"/>
  <c r="J34" i="11"/>
  <c r="J40" i="11" s="1"/>
  <c r="G30" i="25" s="1"/>
  <c r="G286" i="25" s="1"/>
  <c r="G107" i="13"/>
  <c r="P107" i="13"/>
  <c r="Y107" i="5"/>
  <c r="M107" i="13"/>
  <c r="L107" i="13"/>
  <c r="H107" i="13"/>
  <c r="Q107" i="13"/>
  <c r="I107" i="13"/>
  <c r="H107" i="11"/>
  <c r="N107" i="13"/>
  <c r="F107" i="13"/>
  <c r="K107" i="13"/>
  <c r="J107" i="13"/>
  <c r="U107" i="13"/>
  <c r="O107" i="13"/>
  <c r="V107" i="5"/>
  <c r="E107" i="13"/>
  <c r="F15" i="26"/>
  <c r="F21" i="26" s="1"/>
  <c r="H144" i="5"/>
  <c r="H146" i="5" s="1"/>
  <c r="H149" i="5" s="1"/>
  <c r="H169" i="5" s="1"/>
  <c r="V81" i="5"/>
  <c r="O81" i="13"/>
  <c r="N81" i="13"/>
  <c r="U81" i="13"/>
  <c r="M81" i="13"/>
  <c r="K81" i="13"/>
  <c r="L81" i="13"/>
  <c r="P81" i="13"/>
  <c r="H81" i="13"/>
  <c r="E81" i="13"/>
  <c r="F81" i="13"/>
  <c r="I81" i="13"/>
  <c r="H81" i="11"/>
  <c r="Y81" i="5"/>
  <c r="Q81" i="13"/>
  <c r="G81" i="13"/>
  <c r="J81" i="13"/>
  <c r="L49" i="11"/>
  <c r="L46" i="11"/>
  <c r="G80" i="25"/>
  <c r="V85" i="5"/>
  <c r="Y85" i="5"/>
  <c r="U85" i="13"/>
  <c r="H85" i="11"/>
  <c r="G50" i="25"/>
  <c r="L22" i="11"/>
  <c r="I15" i="26"/>
  <c r="I21" i="26" s="1"/>
  <c r="K144" i="5"/>
  <c r="K146" i="5" s="1"/>
  <c r="K149" i="5" s="1"/>
  <c r="K169" i="5" s="1"/>
  <c r="J15" i="26"/>
  <c r="J21" i="26" s="1"/>
  <c r="L144" i="5"/>
  <c r="G24" i="13"/>
  <c r="J24" i="13"/>
  <c r="L24" i="11"/>
  <c r="G52" i="25"/>
  <c r="M24" i="13"/>
  <c r="M67" i="25"/>
  <c r="Q36" i="17"/>
  <c r="S36" i="17" s="1"/>
  <c r="V36" i="17" s="1"/>
  <c r="K17" i="26"/>
  <c r="S118" i="5"/>
  <c r="I23" i="24" s="1"/>
  <c r="K23" i="24" s="1"/>
  <c r="L135" i="11"/>
  <c r="G245" i="25"/>
  <c r="H127" i="11"/>
  <c r="Y127" i="5"/>
  <c r="U127" i="13"/>
  <c r="V127" i="5"/>
  <c r="I133" i="16"/>
  <c r="O133" i="14"/>
  <c r="E1213" i="9"/>
  <c r="F1213" i="9" s="1"/>
  <c r="P28" i="10"/>
  <c r="P30" i="10" s="1"/>
  <c r="P23" i="10"/>
  <c r="P24" i="10"/>
  <c r="P32" i="10" s="1"/>
  <c r="O33" i="16"/>
  <c r="D4" i="16"/>
  <c r="V11" i="17" s="1"/>
  <c r="H21" i="17"/>
  <c r="F33" i="17"/>
  <c r="L33" i="17"/>
  <c r="M33" i="16"/>
  <c r="I21" i="17"/>
  <c r="L21" i="17"/>
  <c r="N11" i="11"/>
  <c r="N29" i="11" s="1"/>
  <c r="N21" i="16"/>
  <c r="K33" i="17"/>
  <c r="K21" i="17"/>
  <c r="G21" i="17"/>
  <c r="J33" i="17"/>
  <c r="J133" i="17" s="1"/>
  <c r="M21" i="16"/>
  <c r="J21" i="17"/>
  <c r="O21" i="16"/>
  <c r="F21" i="17"/>
  <c r="H33" i="17"/>
  <c r="N33" i="16"/>
  <c r="P33" i="16"/>
  <c r="P21" i="16"/>
  <c r="I33" i="17"/>
  <c r="G33" i="17"/>
  <c r="N37" i="10"/>
  <c r="N36" i="10" s="1"/>
  <c r="O28" i="13"/>
  <c r="K28" i="13"/>
  <c r="N28" i="13"/>
  <c r="H28" i="13"/>
  <c r="G56" i="25"/>
  <c r="M28" i="13"/>
  <c r="G28" i="13"/>
  <c r="L28" i="11"/>
  <c r="P28" i="13"/>
  <c r="E28" i="13"/>
  <c r="E31" i="13" s="1"/>
  <c r="F28" i="13"/>
  <c r="F31" i="13" s="1"/>
  <c r="J28" i="13"/>
  <c r="I28" i="13"/>
  <c r="L28" i="13"/>
  <c r="H112" i="11"/>
  <c r="Y112" i="5"/>
  <c r="U112" i="13"/>
  <c r="V112" i="5"/>
  <c r="G54" i="25"/>
  <c r="P26" i="13"/>
  <c r="L26" i="11"/>
  <c r="H15" i="26"/>
  <c r="H21" i="26" s="1"/>
  <c r="J144" i="5"/>
  <c r="L44" i="11"/>
  <c r="G78" i="25"/>
  <c r="G53" i="25"/>
  <c r="G25" i="13"/>
  <c r="L25" i="11"/>
  <c r="M25" i="13"/>
  <c r="J25" i="13"/>
  <c r="H101" i="11"/>
  <c r="V101" i="5"/>
  <c r="Y101" i="5"/>
  <c r="U101" i="13"/>
  <c r="N37" i="13"/>
  <c r="K37" i="13"/>
  <c r="G68" i="25"/>
  <c r="L37" i="11"/>
  <c r="L16" i="11"/>
  <c r="L10" i="11"/>
  <c r="E509" i="9"/>
  <c r="F509" i="9" s="1"/>
  <c r="I17" i="5"/>
  <c r="S139" i="5"/>
  <c r="I25" i="24" s="1"/>
  <c r="K25" i="24" s="1"/>
  <c r="N33" i="10"/>
  <c r="N39" i="10" s="1"/>
  <c r="N40" i="10" s="1"/>
  <c r="N55" i="10" s="1"/>
  <c r="W22" i="25"/>
  <c r="L48" i="11"/>
  <c r="G82" i="25"/>
  <c r="J42" i="14"/>
  <c r="N42" i="14"/>
  <c r="F42" i="14"/>
  <c r="I42" i="14"/>
  <c r="V42" i="13"/>
  <c r="H42" i="14"/>
  <c r="Q42" i="14"/>
  <c r="M42" i="14"/>
  <c r="U42" i="14"/>
  <c r="K42" i="14"/>
  <c r="P42" i="14"/>
  <c r="L42" i="14"/>
  <c r="G42" i="14"/>
  <c r="E42" i="14"/>
  <c r="O42" i="14"/>
  <c r="J133" i="16"/>
  <c r="L133" i="16"/>
  <c r="Y103" i="5"/>
  <c r="U103" i="13"/>
  <c r="H103" i="11"/>
  <c r="V103" i="5"/>
  <c r="E31" i="25"/>
  <c r="E616" i="9"/>
  <c r="F616" i="9" s="1"/>
  <c r="J19" i="5"/>
  <c r="J52" i="5" s="1"/>
  <c r="J146" i="5" s="1"/>
  <c r="J149" i="5" s="1"/>
  <c r="J169" i="5" s="1"/>
  <c r="H138" i="11"/>
  <c r="V138" i="5"/>
  <c r="V139" i="5" s="1"/>
  <c r="Y138" i="5"/>
  <c r="Y139" i="5" s="1"/>
  <c r="U138" i="13"/>
  <c r="K16" i="14"/>
  <c r="G41" i="25"/>
  <c r="H16" i="14"/>
  <c r="L30" i="11"/>
  <c r="L43" i="11"/>
  <c r="G77" i="25"/>
  <c r="N133" i="14"/>
  <c r="V123" i="5"/>
  <c r="H123" i="11"/>
  <c r="U123" i="13"/>
  <c r="Y123" i="5"/>
  <c r="G93" i="13"/>
  <c r="O93" i="13"/>
  <c r="H93" i="13"/>
  <c r="K93" i="13"/>
  <c r="J93" i="13"/>
  <c r="I93" i="13"/>
  <c r="L93" i="13"/>
  <c r="N93" i="13"/>
  <c r="Q93" i="13"/>
  <c r="G220" i="25"/>
  <c r="E93" i="13"/>
  <c r="L93" i="11"/>
  <c r="M93" i="13"/>
  <c r="P93" i="13"/>
  <c r="F93" i="13"/>
  <c r="G15" i="26"/>
  <c r="G21" i="26" s="1"/>
  <c r="L53" i="10"/>
  <c r="L61" i="10" s="1"/>
  <c r="L62" i="10" s="1"/>
  <c r="G69" i="25"/>
  <c r="L38" i="11"/>
  <c r="H105" i="11"/>
  <c r="U105" i="13"/>
  <c r="V105" i="5"/>
  <c r="Y105" i="5"/>
  <c r="L17" i="5"/>
  <c r="E832" i="9" s="1"/>
  <c r="F832" i="9" s="1"/>
  <c r="E830" i="9"/>
  <c r="F830" i="9" s="1"/>
  <c r="E888" i="9"/>
  <c r="F888" i="9" s="1"/>
  <c r="S84" i="5"/>
  <c r="V95" i="5"/>
  <c r="U95" i="13"/>
  <c r="H95" i="11"/>
  <c r="Y95" i="5"/>
  <c r="G49" i="25"/>
  <c r="L21" i="11"/>
  <c r="J133" i="11"/>
  <c r="G243" i="25" s="1"/>
  <c r="Q21" i="13"/>
  <c r="H40" i="11"/>
  <c r="E30" i="25" s="1"/>
  <c r="G76" i="25"/>
  <c r="L42" i="11"/>
  <c r="J50" i="11"/>
  <c r="P133" i="14"/>
  <c r="E1320" i="9"/>
  <c r="F1320" i="9" s="1"/>
  <c r="N57" i="10"/>
  <c r="N59" i="10" s="1"/>
  <c r="N60" i="10" s="1"/>
  <c r="P56" i="10" s="1"/>
  <c r="E84" i="25"/>
  <c r="Y96" i="5"/>
  <c r="U96" i="13"/>
  <c r="H96" i="11"/>
  <c r="V96" i="5"/>
  <c r="G19" i="5"/>
  <c r="G52" i="5" s="1"/>
  <c r="E295" i="9"/>
  <c r="F295" i="9" s="1"/>
  <c r="I46" i="14"/>
  <c r="E46" i="14"/>
  <c r="V46" i="13"/>
  <c r="U46" i="14"/>
  <c r="Q46" i="14"/>
  <c r="G46" i="14"/>
  <c r="H46" i="14"/>
  <c r="P46" i="14"/>
  <c r="O46" i="14"/>
  <c r="J46" i="14"/>
  <c r="N46" i="14"/>
  <c r="M46" i="14"/>
  <c r="F46" i="14"/>
  <c r="K46" i="14"/>
  <c r="L46" i="14"/>
  <c r="S151" i="5"/>
  <c r="H155" i="11" s="1"/>
  <c r="Q33" i="13"/>
  <c r="G64" i="25"/>
  <c r="L33" i="11"/>
  <c r="G79" i="25"/>
  <c r="L45" i="11"/>
  <c r="H128" i="11"/>
  <c r="V128" i="5"/>
  <c r="U128" i="13"/>
  <c r="Y128" i="5"/>
  <c r="V109" i="5"/>
  <c r="Y109" i="5"/>
  <c r="U109" i="13"/>
  <c r="H109" i="11"/>
  <c r="Y120" i="5"/>
  <c r="U120" i="13"/>
  <c r="V120" i="5"/>
  <c r="H120" i="11"/>
  <c r="V124" i="5"/>
  <c r="Y124" i="5"/>
  <c r="H124" i="11"/>
  <c r="U124" i="13"/>
  <c r="L106" i="11"/>
  <c r="F15" i="5"/>
  <c r="S13" i="5"/>
  <c r="O19" i="26"/>
  <c r="L102" i="13"/>
  <c r="J102" i="13"/>
  <c r="O102" i="13"/>
  <c r="K102" i="13"/>
  <c r="G102" i="13"/>
  <c r="P102" i="13"/>
  <c r="H102" i="13"/>
  <c r="E102" i="13"/>
  <c r="H102" i="11"/>
  <c r="U102" i="13"/>
  <c r="F102" i="13"/>
  <c r="N102" i="13"/>
  <c r="V102" i="5"/>
  <c r="Q102" i="13"/>
  <c r="Y102" i="5"/>
  <c r="M102" i="13"/>
  <c r="I102" i="13"/>
  <c r="M110" i="25"/>
  <c r="Y18" i="25"/>
  <c r="M22" i="25"/>
  <c r="Y22" i="25" s="1"/>
  <c r="Y122" i="5"/>
  <c r="U122" i="13"/>
  <c r="V122" i="5"/>
  <c r="H122" i="11"/>
  <c r="K133" i="16"/>
  <c r="H133" i="16"/>
  <c r="U129" i="13"/>
  <c r="Y129" i="5"/>
  <c r="H129" i="11"/>
  <c r="V129" i="5"/>
  <c r="H126" i="11"/>
  <c r="U126" i="13"/>
  <c r="Y126" i="5"/>
  <c r="V126" i="5"/>
  <c r="N114" i="13"/>
  <c r="V114" i="5"/>
  <c r="K114" i="13"/>
  <c r="O114" i="13"/>
  <c r="P114" i="13"/>
  <c r="L114" i="13"/>
  <c r="Q114" i="13"/>
  <c r="M114" i="13"/>
  <c r="Y114" i="5"/>
  <c r="F114" i="13"/>
  <c r="H114" i="11"/>
  <c r="J114" i="13"/>
  <c r="U114" i="13"/>
  <c r="G114" i="13"/>
  <c r="I114" i="13"/>
  <c r="H114" i="13"/>
  <c r="E114" i="13"/>
  <c r="O7" i="26"/>
  <c r="U117" i="13"/>
  <c r="V117" i="5"/>
  <c r="Y117" i="5"/>
  <c r="H117" i="11"/>
  <c r="U134" i="13"/>
  <c r="Y134" i="5"/>
  <c r="H134" i="11"/>
  <c r="V134" i="5"/>
  <c r="M112" i="25"/>
  <c r="M115" i="25" s="1"/>
  <c r="M116" i="25" s="1"/>
  <c r="M143" i="25"/>
  <c r="M158" i="25" s="1"/>
  <c r="M164" i="25"/>
  <c r="G66" i="25"/>
  <c r="L35" i="11"/>
  <c r="O35" i="13"/>
  <c r="K35" i="13"/>
  <c r="Y104" i="5"/>
  <c r="U104" i="13"/>
  <c r="H104" i="11"/>
  <c r="V104" i="5"/>
  <c r="Y89" i="5"/>
  <c r="V89" i="5"/>
  <c r="U89" i="13"/>
  <c r="H89" i="11"/>
  <c r="D15" i="26"/>
  <c r="F144" i="5"/>
  <c r="H115" i="11"/>
  <c r="Y115" i="5"/>
  <c r="V115" i="5"/>
  <c r="U115" i="13"/>
  <c r="U87" i="13"/>
  <c r="H87" i="11"/>
  <c r="J87" i="11" s="1"/>
  <c r="L87" i="11" s="1"/>
  <c r="N87" i="11" s="1"/>
  <c r="P87" i="11" s="1"/>
  <c r="P87" i="13"/>
  <c r="V87" i="5"/>
  <c r="Y87" i="5"/>
  <c r="J46" i="10"/>
  <c r="M90" i="5"/>
  <c r="K14" i="26" s="1"/>
  <c r="I47" i="13"/>
  <c r="I50" i="13" s="1"/>
  <c r="M47" i="13"/>
  <c r="M50" i="13" s="1"/>
  <c r="N47" i="13"/>
  <c r="N50" i="13" s="1"/>
  <c r="G81" i="25"/>
  <c r="K47" i="13"/>
  <c r="K50" i="13" s="1"/>
  <c r="H47" i="13"/>
  <c r="H50" i="13" s="1"/>
  <c r="L47" i="13"/>
  <c r="L50" i="13" s="1"/>
  <c r="L47" i="11"/>
  <c r="G47" i="13"/>
  <c r="G50" i="13" s="1"/>
  <c r="J47" i="13"/>
  <c r="J50" i="13" s="1"/>
  <c r="O47" i="13"/>
  <c r="O50" i="13" s="1"/>
  <c r="F47" i="13"/>
  <c r="Y92" i="5"/>
  <c r="U92" i="13"/>
  <c r="V92" i="5"/>
  <c r="H92" i="11"/>
  <c r="Y113" i="5"/>
  <c r="U113" i="13"/>
  <c r="H113" i="11"/>
  <c r="V113" i="5"/>
  <c r="P113" i="13"/>
  <c r="K113" i="13"/>
  <c r="G113" i="13"/>
  <c r="J113" i="13"/>
  <c r="H113" i="13"/>
  <c r="I113" i="13"/>
  <c r="M113" i="13"/>
  <c r="N113" i="13"/>
  <c r="L113" i="13"/>
  <c r="F113" i="13"/>
  <c r="E113" i="13"/>
  <c r="Q113" i="13"/>
  <c r="O113" i="13"/>
  <c r="H132" i="11"/>
  <c r="V132" i="5"/>
  <c r="Y132" i="5"/>
  <c r="U132" i="13"/>
  <c r="G133" i="16"/>
  <c r="H94" i="11"/>
  <c r="U94" i="13"/>
  <c r="V94" i="5"/>
  <c r="Y94" i="5"/>
  <c r="F133" i="16"/>
  <c r="F40" i="16"/>
  <c r="M133" i="14"/>
  <c r="U82" i="13"/>
  <c r="Y82" i="5"/>
  <c r="V82" i="5"/>
  <c r="H82" i="11"/>
  <c r="E15" i="26"/>
  <c r="E21" i="26" s="1"/>
  <c r="G144" i="5"/>
  <c r="K18" i="26"/>
  <c r="S110" i="5"/>
  <c r="I22" i="24" s="1"/>
  <c r="K22" i="24" s="1"/>
  <c r="Q116" i="13"/>
  <c r="G116" i="13"/>
  <c r="P116" i="13"/>
  <c r="J116" i="13"/>
  <c r="M116" i="13"/>
  <c r="O116" i="13"/>
  <c r="L116" i="13"/>
  <c r="F116" i="13"/>
  <c r="K116" i="13"/>
  <c r="H116" i="11"/>
  <c r="E116" i="13"/>
  <c r="H116" i="13"/>
  <c r="Y116" i="5"/>
  <c r="N116" i="13"/>
  <c r="I116" i="13"/>
  <c r="V116" i="5"/>
  <c r="U116" i="13"/>
  <c r="V108" i="5"/>
  <c r="H108" i="11"/>
  <c r="Y108" i="5"/>
  <c r="U108" i="13"/>
  <c r="D14" i="26"/>
  <c r="Y86" i="5"/>
  <c r="U86" i="13"/>
  <c r="V86" i="5"/>
  <c r="H86" i="11"/>
  <c r="L14" i="26"/>
  <c r="E994" i="9"/>
  <c r="F994" i="9" s="1"/>
  <c r="O6" i="26"/>
  <c r="I87" i="13" l="1"/>
  <c r="O87" i="13"/>
  <c r="G87" i="13"/>
  <c r="F87" i="13"/>
  <c r="K87" i="13"/>
  <c r="E87" i="13"/>
  <c r="J87" i="13"/>
  <c r="S135" i="13"/>
  <c r="N87" i="13"/>
  <c r="H87" i="13"/>
  <c r="M87" i="13"/>
  <c r="L87" i="13"/>
  <c r="Q87" i="13"/>
  <c r="O5" i="26"/>
  <c r="O18" i="26"/>
  <c r="N23" i="13"/>
  <c r="N31" i="13" s="1"/>
  <c r="O23" i="13"/>
  <c r="O31" i="13" s="1"/>
  <c r="M23" i="13"/>
  <c r="M31" i="13" s="1"/>
  <c r="G23" i="13"/>
  <c r="P23" i="13"/>
  <c r="P31" i="13" s="1"/>
  <c r="H23" i="13"/>
  <c r="H31" i="13" s="1"/>
  <c r="K23" i="13"/>
  <c r="L23" i="11"/>
  <c r="M23" i="14" s="1"/>
  <c r="J23" i="13"/>
  <c r="J31" i="13" s="1"/>
  <c r="L23" i="13"/>
  <c r="L31" i="13" s="1"/>
  <c r="G51" i="25"/>
  <c r="G59" i="25" s="1"/>
  <c r="I23" i="13"/>
  <c r="I31" i="13" s="1"/>
  <c r="O17" i="26"/>
  <c r="E29" i="14"/>
  <c r="P29" i="14"/>
  <c r="V29" i="13"/>
  <c r="N29" i="14"/>
  <c r="H29" i="14"/>
  <c r="Q29" i="14"/>
  <c r="I29" i="14"/>
  <c r="K29" i="14"/>
  <c r="O29" i="14"/>
  <c r="U29" i="14"/>
  <c r="G29" i="14"/>
  <c r="M29" i="14"/>
  <c r="J29" i="14"/>
  <c r="F29" i="14"/>
  <c r="L29" i="14"/>
  <c r="S97" i="5"/>
  <c r="E1220" i="9"/>
  <c r="F1220" i="9" s="1"/>
  <c r="K31" i="13"/>
  <c r="G31" i="13"/>
  <c r="P50" i="14"/>
  <c r="E1243" i="9"/>
  <c r="F1243" i="9" s="1"/>
  <c r="Q35" i="13"/>
  <c r="F152" i="14" s="1"/>
  <c r="Q25" i="13"/>
  <c r="S25" i="13" s="1"/>
  <c r="U25" i="14" s="1"/>
  <c r="Q24" i="13"/>
  <c r="S24" i="13" s="1"/>
  <c r="V24" i="13" s="1"/>
  <c r="S93" i="13"/>
  <c r="K93" i="14" s="1"/>
  <c r="S107" i="13"/>
  <c r="G107" i="14" s="1"/>
  <c r="D21" i="26"/>
  <c r="Q37" i="13"/>
  <c r="G152" i="14" s="1"/>
  <c r="N46" i="10"/>
  <c r="I133" i="17"/>
  <c r="Q47" i="13"/>
  <c r="Q50" i="13" s="1"/>
  <c r="K57" i="25"/>
  <c r="H118" i="11"/>
  <c r="E254" i="25"/>
  <c r="J115" i="11"/>
  <c r="S102" i="13"/>
  <c r="V102" i="13" s="1"/>
  <c r="U13" i="13"/>
  <c r="V13" i="5"/>
  <c r="Y13" i="5"/>
  <c r="G84" i="25"/>
  <c r="J28" i="14"/>
  <c r="F28" i="14"/>
  <c r="I28" i="14"/>
  <c r="E28" i="14"/>
  <c r="N28" i="11"/>
  <c r="H28" i="14"/>
  <c r="P28" i="14"/>
  <c r="G28" i="14"/>
  <c r="I56" i="25"/>
  <c r="K28" i="14"/>
  <c r="N28" i="14"/>
  <c r="L28" i="14"/>
  <c r="O28" i="14"/>
  <c r="M28" i="14"/>
  <c r="F133" i="17"/>
  <c r="F40" i="17"/>
  <c r="S114" i="13"/>
  <c r="S116" i="13"/>
  <c r="V116" i="13" s="1"/>
  <c r="F50" i="13"/>
  <c r="F19" i="5"/>
  <c r="E188" i="9"/>
  <c r="F188" i="9" s="1"/>
  <c r="E223" i="25"/>
  <c r="J96" i="11"/>
  <c r="E264" i="25"/>
  <c r="J103" i="11"/>
  <c r="N48" i="11"/>
  <c r="I82" i="25"/>
  <c r="N37" i="11"/>
  <c r="I68" i="25"/>
  <c r="N37" i="14"/>
  <c r="K37" i="14"/>
  <c r="I53" i="25"/>
  <c r="J25" i="14"/>
  <c r="M25" i="14"/>
  <c r="N25" i="11"/>
  <c r="G25" i="14"/>
  <c r="N22" i="11"/>
  <c r="I50" i="25"/>
  <c r="E255" i="25"/>
  <c r="J116" i="11"/>
  <c r="E242" i="25"/>
  <c r="J132" i="11"/>
  <c r="J53" i="10"/>
  <c r="J61" i="10" s="1"/>
  <c r="J62" i="10" s="1"/>
  <c r="J47" i="10"/>
  <c r="I267" i="25"/>
  <c r="N106" i="11"/>
  <c r="J109" i="11"/>
  <c r="E270" i="25"/>
  <c r="I64" i="25"/>
  <c r="Q33" i="14"/>
  <c r="N33" i="11"/>
  <c r="E286" i="25"/>
  <c r="E266" i="25"/>
  <c r="J105" i="11"/>
  <c r="E269" i="25"/>
  <c r="J108" i="11"/>
  <c r="N23" i="14"/>
  <c r="N23" i="11"/>
  <c r="P23" i="14"/>
  <c r="J23" i="14"/>
  <c r="I51" i="25"/>
  <c r="O23" i="14"/>
  <c r="E253" i="25"/>
  <c r="J114" i="11"/>
  <c r="E1101" i="9"/>
  <c r="F1101" i="9" s="1"/>
  <c r="O90" i="5"/>
  <c r="E222" i="25"/>
  <c r="J95" i="11"/>
  <c r="N38" i="11"/>
  <c r="I69" i="25"/>
  <c r="N53" i="10"/>
  <c r="N61" i="10" s="1"/>
  <c r="N62" i="10" s="1"/>
  <c r="N47" i="10"/>
  <c r="O133" i="16"/>
  <c r="I34" i="13"/>
  <c r="O34" i="13"/>
  <c r="G34" i="13"/>
  <c r="L34" i="11"/>
  <c r="L40" i="11" s="1"/>
  <c r="I30" i="25" s="1"/>
  <c r="G65" i="25"/>
  <c r="G71" i="25" s="1"/>
  <c r="L34" i="13"/>
  <c r="K34" i="13"/>
  <c r="J34" i="13"/>
  <c r="H34" i="13"/>
  <c r="P34" i="13"/>
  <c r="N34" i="13"/>
  <c r="M34" i="13"/>
  <c r="S113" i="13"/>
  <c r="V113" i="13" s="1"/>
  <c r="E252" i="25"/>
  <c r="J113" i="11"/>
  <c r="E256" i="25"/>
  <c r="J117" i="11"/>
  <c r="S33" i="13"/>
  <c r="U84" i="13"/>
  <c r="V84" i="5"/>
  <c r="Y84" i="5"/>
  <c r="H84" i="11"/>
  <c r="U139" i="13"/>
  <c r="J112" i="11"/>
  <c r="E251" i="25"/>
  <c r="G133" i="17"/>
  <c r="P33" i="10"/>
  <c r="P39" i="10" s="1"/>
  <c r="P40" i="10" s="1"/>
  <c r="P55" i="10" s="1"/>
  <c r="P57" i="10" s="1"/>
  <c r="P59" i="10" s="1"/>
  <c r="P60" i="10" s="1"/>
  <c r="P46" i="10"/>
  <c r="E185" i="25"/>
  <c r="J81" i="11"/>
  <c r="N47" i="14"/>
  <c r="N50" i="14" s="1"/>
  <c r="I81" i="25"/>
  <c r="K47" i="14"/>
  <c r="K50" i="14" s="1"/>
  <c r="G47" i="14"/>
  <c r="G50" i="14" s="1"/>
  <c r="M47" i="14"/>
  <c r="M50" i="14" s="1"/>
  <c r="I47" i="14"/>
  <c r="I50" i="14" s="1"/>
  <c r="H47" i="14"/>
  <c r="H50" i="14" s="1"/>
  <c r="L47" i="14"/>
  <c r="L50" i="14" s="1"/>
  <c r="J47" i="14"/>
  <c r="J50" i="14" s="1"/>
  <c r="N47" i="11"/>
  <c r="F47" i="14"/>
  <c r="F50" i="14" s="1"/>
  <c r="O47" i="14"/>
  <c r="O50" i="14" s="1"/>
  <c r="K35" i="14"/>
  <c r="I66" i="25"/>
  <c r="N35" i="11"/>
  <c r="O35" i="14"/>
  <c r="E234" i="25"/>
  <c r="J124" i="11"/>
  <c r="E1327" i="9"/>
  <c r="F1327" i="9" s="1"/>
  <c r="N43" i="11"/>
  <c r="I77" i="25"/>
  <c r="Q28" i="13"/>
  <c r="S28" i="13" s="1"/>
  <c r="K133" i="17"/>
  <c r="P21" i="17"/>
  <c r="D4" i="17"/>
  <c r="P11" i="11"/>
  <c r="O21" i="17"/>
  <c r="N21" i="17"/>
  <c r="P37" i="10"/>
  <c r="P36" i="10" s="1"/>
  <c r="N33" i="17"/>
  <c r="M21" i="17"/>
  <c r="M33" i="17"/>
  <c r="O33" i="17"/>
  <c r="P33" i="17"/>
  <c r="N24" i="11"/>
  <c r="J24" i="14"/>
  <c r="M24" i="14"/>
  <c r="G24" i="14"/>
  <c r="I52" i="25"/>
  <c r="J85" i="11"/>
  <c r="E190" i="25"/>
  <c r="E221" i="25"/>
  <c r="J94" i="11"/>
  <c r="E236" i="25"/>
  <c r="J126" i="11"/>
  <c r="E239" i="25"/>
  <c r="J129" i="11"/>
  <c r="S21" i="13"/>
  <c r="I58" i="25"/>
  <c r="N30" i="11"/>
  <c r="U110" i="13"/>
  <c r="N44" i="11"/>
  <c r="I78" i="25"/>
  <c r="J107" i="11"/>
  <c r="E268" i="25"/>
  <c r="J86" i="11"/>
  <c r="E191" i="25"/>
  <c r="E186" i="25"/>
  <c r="J82" i="11"/>
  <c r="J92" i="11"/>
  <c r="E219" i="25"/>
  <c r="E193" i="25"/>
  <c r="J89" i="11"/>
  <c r="J122" i="11"/>
  <c r="E232" i="25"/>
  <c r="S46" i="14"/>
  <c r="N93" i="11"/>
  <c r="I220" i="25"/>
  <c r="J138" i="11"/>
  <c r="H139" i="11"/>
  <c r="I18" i="5"/>
  <c r="S17" i="5"/>
  <c r="E511" i="9"/>
  <c r="F511" i="9" s="1"/>
  <c r="Y110" i="5"/>
  <c r="P133" i="16"/>
  <c r="N16" i="11"/>
  <c r="N10" i="11"/>
  <c r="S88" i="5"/>
  <c r="E237" i="25"/>
  <c r="J127" i="11"/>
  <c r="S81" i="13"/>
  <c r="V81" i="13" s="1"/>
  <c r="V110" i="5"/>
  <c r="N133" i="16"/>
  <c r="E230" i="25"/>
  <c r="J120" i="11"/>
  <c r="N21" i="11"/>
  <c r="I49" i="25"/>
  <c r="Q21" i="14"/>
  <c r="L133" i="11"/>
  <c r="I243" i="25" s="1"/>
  <c r="E831" i="9"/>
  <c r="F831" i="9" s="1"/>
  <c r="L18" i="5"/>
  <c r="E833" i="9" s="1"/>
  <c r="F833" i="9" s="1"/>
  <c r="E1366" i="9"/>
  <c r="F1366" i="9" s="1"/>
  <c r="E262" i="25"/>
  <c r="H110" i="11"/>
  <c r="J101" i="11"/>
  <c r="P26" i="16"/>
  <c r="I54" i="25"/>
  <c r="N26" i="11"/>
  <c r="P26" i="14"/>
  <c r="P26" i="17"/>
  <c r="H133" i="17"/>
  <c r="I245" i="25"/>
  <c r="N135" i="11"/>
  <c r="G146" i="5"/>
  <c r="G149" i="5" s="1"/>
  <c r="G169" i="5" s="1"/>
  <c r="G31" i="25"/>
  <c r="G287" i="25" s="1"/>
  <c r="F14" i="14"/>
  <c r="H13" i="14"/>
  <c r="F13" i="14"/>
  <c r="G14" i="14"/>
  <c r="H14" i="14"/>
  <c r="J14" i="14"/>
  <c r="L13" i="14"/>
  <c r="I13" i="14"/>
  <c r="E13" i="14"/>
  <c r="K14" i="14"/>
  <c r="K13" i="14"/>
  <c r="K15" i="14" s="1"/>
  <c r="L14" i="14"/>
  <c r="I14" i="14"/>
  <c r="G13" i="14"/>
  <c r="J13" i="14"/>
  <c r="J15" i="14" s="1"/>
  <c r="E233" i="25"/>
  <c r="J123" i="11"/>
  <c r="E50" i="14"/>
  <c r="S42" i="14"/>
  <c r="Q26" i="13"/>
  <c r="S26" i="13" s="1"/>
  <c r="M133" i="16"/>
  <c r="I80" i="25"/>
  <c r="N46" i="11"/>
  <c r="U118" i="13"/>
  <c r="V118" i="5"/>
  <c r="J128" i="11"/>
  <c r="E238" i="25"/>
  <c r="Y118" i="5"/>
  <c r="E265" i="25"/>
  <c r="J104" i="11"/>
  <c r="J134" i="11"/>
  <c r="E244" i="25"/>
  <c r="E263" i="25"/>
  <c r="J102" i="11"/>
  <c r="I79" i="25"/>
  <c r="N45" i="11"/>
  <c r="N42" i="11"/>
  <c r="I76" i="25"/>
  <c r="L50" i="11"/>
  <c r="E287" i="25"/>
  <c r="I41" i="25"/>
  <c r="K16" i="16"/>
  <c r="H16" i="16"/>
  <c r="N16" i="14"/>
  <c r="Q16" i="14" s="1"/>
  <c r="S16" i="14" s="1"/>
  <c r="L133" i="17"/>
  <c r="I83" i="25"/>
  <c r="N49" i="11"/>
  <c r="K82" i="13" l="1"/>
  <c r="G82" i="13"/>
  <c r="J82" i="13"/>
  <c r="F82" i="13"/>
  <c r="N82" i="13"/>
  <c r="E82" i="13"/>
  <c r="I82" i="13"/>
  <c r="P82" i="13"/>
  <c r="O82" i="13"/>
  <c r="Q82" i="13"/>
  <c r="L82" i="13"/>
  <c r="H82" i="13"/>
  <c r="M82" i="13"/>
  <c r="K95" i="13"/>
  <c r="I95" i="13"/>
  <c r="Q95" i="13"/>
  <c r="M95" i="13"/>
  <c r="L95" i="13"/>
  <c r="H95" i="13"/>
  <c r="G95" i="13"/>
  <c r="E95" i="13"/>
  <c r="O95" i="13"/>
  <c r="F95" i="13"/>
  <c r="P95" i="13"/>
  <c r="J95" i="13"/>
  <c r="N95" i="13"/>
  <c r="L92" i="13"/>
  <c r="M92" i="13"/>
  <c r="F92" i="13"/>
  <c r="Q92" i="13"/>
  <c r="E92" i="13"/>
  <c r="I92" i="13"/>
  <c r="H92" i="13"/>
  <c r="P92" i="13"/>
  <c r="K92" i="13"/>
  <c r="J92" i="13"/>
  <c r="O92" i="13"/>
  <c r="N92" i="13"/>
  <c r="G92" i="13"/>
  <c r="V135" i="13"/>
  <c r="F135" i="14"/>
  <c r="Q135" i="14"/>
  <c r="K135" i="14"/>
  <c r="G135" i="14"/>
  <c r="U135" i="14"/>
  <c r="I135" i="14"/>
  <c r="P135" i="14"/>
  <c r="J135" i="14"/>
  <c r="O135" i="14"/>
  <c r="E135" i="14"/>
  <c r="M135" i="14"/>
  <c r="L135" i="14"/>
  <c r="N135" i="14"/>
  <c r="H135" i="14"/>
  <c r="S87" i="13"/>
  <c r="V87" i="13" s="1"/>
  <c r="G94" i="13"/>
  <c r="M94" i="13"/>
  <c r="I94" i="13"/>
  <c r="P94" i="13"/>
  <c r="L94" i="13"/>
  <c r="H94" i="13"/>
  <c r="Q94" i="13"/>
  <c r="K94" i="13"/>
  <c r="E94" i="13"/>
  <c r="F94" i="13"/>
  <c r="J94" i="13"/>
  <c r="N94" i="13"/>
  <c r="O94" i="13"/>
  <c r="L31" i="11"/>
  <c r="I29" i="25" s="1"/>
  <c r="I285" i="25" s="1"/>
  <c r="L23" i="14"/>
  <c r="L31" i="14" s="1"/>
  <c r="K23" i="14"/>
  <c r="H23" i="14"/>
  <c r="H31" i="14" s="1"/>
  <c r="G23" i="14"/>
  <c r="I23" i="14"/>
  <c r="I31" i="14" s="1"/>
  <c r="P132" i="13"/>
  <c r="I132" i="13"/>
  <c r="F132" i="13"/>
  <c r="L132" i="13"/>
  <c r="H132" i="13"/>
  <c r="G132" i="13"/>
  <c r="K132" i="13"/>
  <c r="Q132" i="13"/>
  <c r="J132" i="13"/>
  <c r="O132" i="13"/>
  <c r="M132" i="13"/>
  <c r="E132" i="13"/>
  <c r="N132" i="13"/>
  <c r="E107" i="14"/>
  <c r="O31" i="14"/>
  <c r="E31" i="14"/>
  <c r="Q23" i="13"/>
  <c r="S23" i="13" s="1"/>
  <c r="V23" i="13" s="1"/>
  <c r="F93" i="14"/>
  <c r="O129" i="13"/>
  <c r="E129" i="13"/>
  <c r="K129" i="13"/>
  <c r="N129" i="13"/>
  <c r="G129" i="13"/>
  <c r="M129" i="13"/>
  <c r="H129" i="13"/>
  <c r="I129" i="13"/>
  <c r="P129" i="13"/>
  <c r="L129" i="13"/>
  <c r="J129" i="13"/>
  <c r="F129" i="13"/>
  <c r="Q129" i="13"/>
  <c r="M14" i="26"/>
  <c r="V25" i="13"/>
  <c r="F31" i="14"/>
  <c r="N134" i="13"/>
  <c r="L134" i="13"/>
  <c r="E134" i="13"/>
  <c r="P134" i="13"/>
  <c r="F134" i="13"/>
  <c r="O134" i="13"/>
  <c r="M134" i="13"/>
  <c r="K134" i="13"/>
  <c r="H134" i="13"/>
  <c r="Q134" i="13"/>
  <c r="G134" i="13"/>
  <c r="J134" i="13"/>
  <c r="I134" i="13"/>
  <c r="I107" i="14"/>
  <c r="M107" i="14"/>
  <c r="K89" i="13"/>
  <c r="L89" i="13"/>
  <c r="P89" i="13"/>
  <c r="N89" i="13"/>
  <c r="F89" i="13"/>
  <c r="J89" i="13"/>
  <c r="O89" i="13"/>
  <c r="M89" i="13"/>
  <c r="H89" i="13"/>
  <c r="Q89" i="13"/>
  <c r="I89" i="13"/>
  <c r="G89" i="13"/>
  <c r="E89" i="13"/>
  <c r="S29" i="14"/>
  <c r="F107" i="14"/>
  <c r="O107" i="14"/>
  <c r="U107" i="14"/>
  <c r="K107" i="14"/>
  <c r="V107" i="13"/>
  <c r="L107" i="14"/>
  <c r="Q107" i="14"/>
  <c r="P107" i="14"/>
  <c r="H107" i="14"/>
  <c r="N107" i="14"/>
  <c r="J107" i="14"/>
  <c r="G93" i="14"/>
  <c r="Q35" i="14"/>
  <c r="F152" i="16" s="1"/>
  <c r="Q93" i="14"/>
  <c r="N93" i="14"/>
  <c r="V93" i="13"/>
  <c r="M93" i="14"/>
  <c r="L93" i="14"/>
  <c r="S37" i="13"/>
  <c r="U37" i="14" s="1"/>
  <c r="S35" i="13"/>
  <c r="U35" i="14" s="1"/>
  <c r="E93" i="14"/>
  <c r="I93" i="14"/>
  <c r="U93" i="14"/>
  <c r="I84" i="25"/>
  <c r="P93" i="14"/>
  <c r="O93" i="14"/>
  <c r="J93" i="14"/>
  <c r="H93" i="14"/>
  <c r="N31" i="14"/>
  <c r="E1350" i="9"/>
  <c r="F1350" i="9" s="1"/>
  <c r="S125" i="5"/>
  <c r="S50" i="13"/>
  <c r="K31" i="14"/>
  <c r="U24" i="14"/>
  <c r="S47" i="13"/>
  <c r="U47" i="14" s="1"/>
  <c r="U50" i="14" s="1"/>
  <c r="Q24" i="14"/>
  <c r="S24" i="14" s="1"/>
  <c r="U24" i="16" s="1"/>
  <c r="I15" i="14"/>
  <c r="I59" i="25"/>
  <c r="O133" i="17"/>
  <c r="Q37" i="14"/>
  <c r="G152" i="16" s="1"/>
  <c r="Q34" i="13"/>
  <c r="Q40" i="13" s="1"/>
  <c r="F15" i="14"/>
  <c r="S16" i="5"/>
  <c r="U16" i="13" s="1"/>
  <c r="Q25" i="14"/>
  <c r="S25" i="14" s="1"/>
  <c r="V25" i="14" s="1"/>
  <c r="I286" i="25"/>
  <c r="L15" i="14"/>
  <c r="Y88" i="5"/>
  <c r="V88" i="5"/>
  <c r="U88" i="13"/>
  <c r="H88" i="11"/>
  <c r="L92" i="11"/>
  <c r="G219" i="25"/>
  <c r="L126" i="11"/>
  <c r="G236" i="25"/>
  <c r="N126" i="13"/>
  <c r="F126" i="13"/>
  <c r="L126" i="13"/>
  <c r="O126" i="13"/>
  <c r="J126" i="13"/>
  <c r="I126" i="13"/>
  <c r="E126" i="13"/>
  <c r="M126" i="13"/>
  <c r="K126" i="13"/>
  <c r="P126" i="13"/>
  <c r="Q126" i="13"/>
  <c r="G126" i="13"/>
  <c r="H126" i="13"/>
  <c r="P24" i="11"/>
  <c r="J24" i="16"/>
  <c r="M24" i="16"/>
  <c r="K52" i="25"/>
  <c r="G24" i="16"/>
  <c r="K77" i="25"/>
  <c r="P43" i="11"/>
  <c r="M77" i="25" s="1"/>
  <c r="I40" i="13"/>
  <c r="M31" i="14"/>
  <c r="G255" i="25"/>
  <c r="L116" i="11"/>
  <c r="E103" i="13"/>
  <c r="L103" i="11"/>
  <c r="G264" i="25"/>
  <c r="N103" i="13"/>
  <c r="H103" i="13"/>
  <c r="P103" i="13"/>
  <c r="L103" i="13"/>
  <c r="M103" i="13"/>
  <c r="I103" i="13"/>
  <c r="O103" i="13"/>
  <c r="G103" i="13"/>
  <c r="F103" i="13"/>
  <c r="Q103" i="13"/>
  <c r="J103" i="13"/>
  <c r="K103" i="13"/>
  <c r="P93" i="11"/>
  <c r="M220" i="25" s="1"/>
  <c r="K220" i="25"/>
  <c r="G186" i="25"/>
  <c r="L82" i="11"/>
  <c r="P44" i="11"/>
  <c r="M78" i="25" s="1"/>
  <c r="K78" i="25"/>
  <c r="N133" i="17"/>
  <c r="AC179" i="5"/>
  <c r="U97" i="13"/>
  <c r="H97" i="11"/>
  <c r="V97" i="5"/>
  <c r="Y97" i="5"/>
  <c r="Q47" i="14"/>
  <c r="Q50" i="14" s="1"/>
  <c r="L112" i="11"/>
  <c r="G251" i="25"/>
  <c r="J118" i="11"/>
  <c r="P112" i="13"/>
  <c r="E112" i="13"/>
  <c r="L112" i="13"/>
  <c r="O112" i="13"/>
  <c r="N112" i="13"/>
  <c r="F112" i="13"/>
  <c r="H112" i="13"/>
  <c r="G112" i="13"/>
  <c r="M112" i="13"/>
  <c r="K112" i="13"/>
  <c r="I112" i="13"/>
  <c r="Q112" i="13"/>
  <c r="J112" i="13"/>
  <c r="F117" i="13"/>
  <c r="L117" i="11"/>
  <c r="G256" i="25"/>
  <c r="O117" i="13"/>
  <c r="L117" i="13"/>
  <c r="Q117" i="13"/>
  <c r="H117" i="13"/>
  <c r="N117" i="13"/>
  <c r="G117" i="13"/>
  <c r="P117" i="13"/>
  <c r="M117" i="13"/>
  <c r="E117" i="13"/>
  <c r="I117" i="13"/>
  <c r="J117" i="13"/>
  <c r="K117" i="13"/>
  <c r="M40" i="13"/>
  <c r="M25" i="16"/>
  <c r="G25" i="16"/>
  <c r="J25" i="16"/>
  <c r="K53" i="25"/>
  <c r="P25" i="11"/>
  <c r="K16" i="17"/>
  <c r="K41" i="25"/>
  <c r="H16" i="17"/>
  <c r="N16" i="16"/>
  <c r="Q16" i="16" s="1"/>
  <c r="V46" i="14"/>
  <c r="G46" i="16"/>
  <c r="H46" i="16"/>
  <c r="E46" i="16"/>
  <c r="L46" i="16"/>
  <c r="J46" i="16"/>
  <c r="Q46" i="16"/>
  <c r="F46" i="16"/>
  <c r="P46" i="16"/>
  <c r="M46" i="16"/>
  <c r="O46" i="16"/>
  <c r="K46" i="16"/>
  <c r="Q46" i="17"/>
  <c r="U46" i="16"/>
  <c r="I46" i="16"/>
  <c r="N46" i="16"/>
  <c r="N40" i="13"/>
  <c r="P38" i="11"/>
  <c r="M69" i="25" s="1"/>
  <c r="K69" i="25"/>
  <c r="K64" i="25"/>
  <c r="P33" i="11"/>
  <c r="Q33" i="16"/>
  <c r="Q116" i="14"/>
  <c r="K116" i="14"/>
  <c r="H116" i="14"/>
  <c r="O116" i="14"/>
  <c r="P116" i="14"/>
  <c r="L116" i="14"/>
  <c r="J116" i="14"/>
  <c r="G116" i="14"/>
  <c r="U116" i="14"/>
  <c r="N116" i="14"/>
  <c r="E116" i="14"/>
  <c r="M116" i="14"/>
  <c r="F116" i="14"/>
  <c r="I116" i="14"/>
  <c r="G263" i="25"/>
  <c r="L102" i="11"/>
  <c r="Q26" i="14"/>
  <c r="S26" i="14" s="1"/>
  <c r="L128" i="11"/>
  <c r="G238" i="25"/>
  <c r="G128" i="13"/>
  <c r="J128" i="13"/>
  <c r="F128" i="13"/>
  <c r="I128" i="13"/>
  <c r="N128" i="13"/>
  <c r="P128" i="13"/>
  <c r="Q128" i="13"/>
  <c r="H128" i="13"/>
  <c r="M128" i="13"/>
  <c r="E128" i="13"/>
  <c r="L128" i="13"/>
  <c r="O128" i="13"/>
  <c r="K128" i="13"/>
  <c r="P40" i="13"/>
  <c r="L95" i="11"/>
  <c r="G222" i="25"/>
  <c r="G223" i="25"/>
  <c r="L96" i="11"/>
  <c r="N96" i="13"/>
  <c r="K96" i="13"/>
  <c r="G96" i="13"/>
  <c r="O96" i="13"/>
  <c r="J96" i="13"/>
  <c r="L96" i="13"/>
  <c r="I96" i="13"/>
  <c r="H96" i="13"/>
  <c r="E96" i="13"/>
  <c r="M96" i="13"/>
  <c r="F96" i="13"/>
  <c r="P96" i="13"/>
  <c r="Q96" i="13"/>
  <c r="G221" i="25"/>
  <c r="L94" i="11"/>
  <c r="L134" i="11"/>
  <c r="G244" i="25"/>
  <c r="G15" i="14"/>
  <c r="H15" i="14"/>
  <c r="G232" i="25"/>
  <c r="L122" i="11"/>
  <c r="G122" i="13"/>
  <c r="E122" i="13"/>
  <c r="M122" i="13"/>
  <c r="I122" i="13"/>
  <c r="O122" i="13"/>
  <c r="J122" i="13"/>
  <c r="L122" i="13"/>
  <c r="N122" i="13"/>
  <c r="Q122" i="13"/>
  <c r="P122" i="13"/>
  <c r="K122" i="13"/>
  <c r="H122" i="13"/>
  <c r="F122" i="13"/>
  <c r="P30" i="11"/>
  <c r="M58" i="25" s="1"/>
  <c r="K58" i="25"/>
  <c r="G234" i="25"/>
  <c r="L124" i="11"/>
  <c r="J124" i="13"/>
  <c r="L124" i="13"/>
  <c r="Q124" i="13"/>
  <c r="H124" i="13"/>
  <c r="N124" i="13"/>
  <c r="I124" i="13"/>
  <c r="E124" i="13"/>
  <c r="O124" i="13"/>
  <c r="F124" i="13"/>
  <c r="M124" i="13"/>
  <c r="K124" i="13"/>
  <c r="P124" i="13"/>
  <c r="G124" i="13"/>
  <c r="P47" i="11"/>
  <c r="I47" i="16"/>
  <c r="K47" i="16"/>
  <c r="K81" i="25"/>
  <c r="G47" i="16"/>
  <c r="M47" i="16"/>
  <c r="J47" i="16"/>
  <c r="H47" i="16"/>
  <c r="N47" i="16"/>
  <c r="L47" i="16"/>
  <c r="O47" i="16"/>
  <c r="F47" i="16"/>
  <c r="H40" i="13"/>
  <c r="G31" i="14"/>
  <c r="K108" i="13"/>
  <c r="G269" i="25"/>
  <c r="L108" i="11"/>
  <c r="N108" i="13"/>
  <c r="I108" i="13"/>
  <c r="L108" i="13"/>
  <c r="P108" i="13"/>
  <c r="M108" i="13"/>
  <c r="O108" i="13"/>
  <c r="F108" i="13"/>
  <c r="H108" i="13"/>
  <c r="J108" i="13"/>
  <c r="Q108" i="13"/>
  <c r="E108" i="13"/>
  <c r="G108" i="13"/>
  <c r="S33" i="14"/>
  <c r="G233" i="25"/>
  <c r="L123" i="11"/>
  <c r="G123" i="13"/>
  <c r="Q123" i="13"/>
  <c r="F123" i="13"/>
  <c r="P123" i="13"/>
  <c r="I123" i="13"/>
  <c r="L123" i="13"/>
  <c r="H123" i="13"/>
  <c r="K123" i="13"/>
  <c r="N123" i="13"/>
  <c r="M123" i="13"/>
  <c r="J123" i="13"/>
  <c r="O123" i="13"/>
  <c r="E123" i="13"/>
  <c r="K80" i="25"/>
  <c r="P46" i="11"/>
  <c r="M80" i="25" s="1"/>
  <c r="K54" i="25"/>
  <c r="Q26" i="16"/>
  <c r="S26" i="16" s="1"/>
  <c r="U26" i="17" s="1"/>
  <c r="P26" i="11"/>
  <c r="J104" i="13"/>
  <c r="L104" i="11"/>
  <c r="G265" i="25"/>
  <c r="E104" i="13"/>
  <c r="G104" i="13"/>
  <c r="H104" i="13"/>
  <c r="P104" i="13"/>
  <c r="L104" i="13"/>
  <c r="K104" i="13"/>
  <c r="M104" i="13"/>
  <c r="F104" i="13"/>
  <c r="O104" i="13"/>
  <c r="N104" i="13"/>
  <c r="Q104" i="13"/>
  <c r="I104" i="13"/>
  <c r="L87" i="14"/>
  <c r="Q87" i="14"/>
  <c r="N87" i="14"/>
  <c r="K87" i="14"/>
  <c r="G87" i="14"/>
  <c r="P87" i="14"/>
  <c r="M87" i="14"/>
  <c r="F87" i="14"/>
  <c r="O87" i="14"/>
  <c r="H87" i="14"/>
  <c r="E87" i="14"/>
  <c r="I87" i="14"/>
  <c r="U87" i="14"/>
  <c r="J87" i="14"/>
  <c r="S21" i="14"/>
  <c r="L86" i="11"/>
  <c r="G191" i="25"/>
  <c r="I86" i="13"/>
  <c r="L86" i="13"/>
  <c r="K86" i="13"/>
  <c r="G86" i="13"/>
  <c r="M86" i="13"/>
  <c r="P86" i="13"/>
  <c r="F86" i="13"/>
  <c r="Q86" i="13"/>
  <c r="H86" i="13"/>
  <c r="N86" i="13"/>
  <c r="E86" i="13"/>
  <c r="J86" i="13"/>
  <c r="O86" i="13"/>
  <c r="P16" i="11"/>
  <c r="P10" i="11"/>
  <c r="G185" i="25"/>
  <c r="L81" i="11"/>
  <c r="E189" i="25"/>
  <c r="J84" i="11"/>
  <c r="J40" i="13"/>
  <c r="E1208" i="9"/>
  <c r="F1208" i="9" s="1"/>
  <c r="P90" i="5"/>
  <c r="E20" i="24" s="1"/>
  <c r="G20" i="24" s="1"/>
  <c r="V114" i="13"/>
  <c r="F114" i="14"/>
  <c r="O114" i="14"/>
  <c r="G114" i="14"/>
  <c r="K114" i="14"/>
  <c r="H114" i="14"/>
  <c r="L114" i="14"/>
  <c r="E114" i="14"/>
  <c r="U114" i="14"/>
  <c r="I114" i="14"/>
  <c r="J114" i="14"/>
  <c r="M114" i="14"/>
  <c r="N114" i="14"/>
  <c r="Q114" i="14"/>
  <c r="P114" i="14"/>
  <c r="L19" i="5"/>
  <c r="G190" i="25"/>
  <c r="L85" i="11"/>
  <c r="J85" i="13"/>
  <c r="P85" i="13"/>
  <c r="I85" i="13"/>
  <c r="G85" i="13"/>
  <c r="L85" i="13"/>
  <c r="M85" i="13"/>
  <c r="F85" i="13"/>
  <c r="Q85" i="13"/>
  <c r="N85" i="13"/>
  <c r="K85" i="13"/>
  <c r="H85" i="13"/>
  <c r="O85" i="13"/>
  <c r="E85" i="13"/>
  <c r="K40" i="13"/>
  <c r="J31" i="14"/>
  <c r="E13" i="13"/>
  <c r="I14" i="13"/>
  <c r="F14" i="13"/>
  <c r="F13" i="13"/>
  <c r="K13" i="13"/>
  <c r="J14" i="13"/>
  <c r="H13" i="13"/>
  <c r="J13" i="13"/>
  <c r="L13" i="13"/>
  <c r="G13" i="13"/>
  <c r="G14" i="13"/>
  <c r="K14" i="13"/>
  <c r="L14" i="13"/>
  <c r="I13" i="13"/>
  <c r="I15" i="13" s="1"/>
  <c r="H14" i="13"/>
  <c r="L102" i="14"/>
  <c r="J102" i="14"/>
  <c r="U102" i="14"/>
  <c r="I102" i="14"/>
  <c r="P102" i="14"/>
  <c r="K102" i="14"/>
  <c r="N102" i="14"/>
  <c r="G102" i="14"/>
  <c r="E102" i="14"/>
  <c r="H102" i="14"/>
  <c r="Q102" i="14"/>
  <c r="F102" i="14"/>
  <c r="M102" i="14"/>
  <c r="O102" i="14"/>
  <c r="L109" i="11"/>
  <c r="G270" i="25"/>
  <c r="I109" i="13"/>
  <c r="H109" i="13"/>
  <c r="F109" i="13"/>
  <c r="Q109" i="13"/>
  <c r="G109" i="13"/>
  <c r="J109" i="13"/>
  <c r="K109" i="13"/>
  <c r="N109" i="13"/>
  <c r="M109" i="13"/>
  <c r="L109" i="13"/>
  <c r="O109" i="13"/>
  <c r="P109" i="13"/>
  <c r="E109" i="13"/>
  <c r="P29" i="11"/>
  <c r="M57" i="25" s="1"/>
  <c r="K83" i="25"/>
  <c r="P49" i="11"/>
  <c r="M83" i="25" s="1"/>
  <c r="V26" i="13"/>
  <c r="U26" i="14"/>
  <c r="E96" i="25"/>
  <c r="L89" i="11"/>
  <c r="G193" i="25"/>
  <c r="L40" i="13"/>
  <c r="E271" i="25"/>
  <c r="E296" i="25" s="1"/>
  <c r="E512" i="9"/>
  <c r="F512" i="9" s="1"/>
  <c r="E1368" i="9"/>
  <c r="F1368" i="9" s="1"/>
  <c r="I19" i="5"/>
  <c r="I52" i="5" s="1"/>
  <c r="I146" i="5" s="1"/>
  <c r="I149" i="5" s="1"/>
  <c r="I169" i="5" s="1"/>
  <c r="L107" i="11"/>
  <c r="G268" i="25"/>
  <c r="V21" i="13"/>
  <c r="U21" i="14"/>
  <c r="G252" i="25"/>
  <c r="L113" i="11"/>
  <c r="K267" i="25"/>
  <c r="P106" i="11"/>
  <c r="M267" i="25" s="1"/>
  <c r="P22" i="11"/>
  <c r="M50" i="25" s="1"/>
  <c r="K50" i="25"/>
  <c r="F52" i="5"/>
  <c r="F146" i="5" s="1"/>
  <c r="F149" i="5" s="1"/>
  <c r="F169" i="5" s="1"/>
  <c r="F173" i="5" s="1"/>
  <c r="G171" i="5" s="1"/>
  <c r="G173" i="5" s="1"/>
  <c r="H171" i="5" s="1"/>
  <c r="H173" i="5" s="1"/>
  <c r="I171" i="5" s="1"/>
  <c r="G254" i="25"/>
  <c r="L115" i="11"/>
  <c r="E115" i="13"/>
  <c r="J115" i="13"/>
  <c r="N115" i="13"/>
  <c r="M115" i="13"/>
  <c r="K115" i="13"/>
  <c r="P115" i="13"/>
  <c r="I115" i="13"/>
  <c r="G115" i="13"/>
  <c r="F115" i="13"/>
  <c r="L115" i="13"/>
  <c r="Q115" i="13"/>
  <c r="O115" i="13"/>
  <c r="H115" i="13"/>
  <c r="L101" i="11"/>
  <c r="J110" i="11"/>
  <c r="G262" i="25"/>
  <c r="P101" i="13"/>
  <c r="L101" i="13"/>
  <c r="G101" i="13"/>
  <c r="E101" i="13"/>
  <c r="I101" i="13"/>
  <c r="H101" i="13"/>
  <c r="K101" i="13"/>
  <c r="Q101" i="13"/>
  <c r="O101" i="13"/>
  <c r="J101" i="13"/>
  <c r="N101" i="13"/>
  <c r="F101" i="13"/>
  <c r="M101" i="13"/>
  <c r="P21" i="11"/>
  <c r="Q21" i="16"/>
  <c r="N133" i="11"/>
  <c r="K243" i="25" s="1"/>
  <c r="N31" i="11"/>
  <c r="K29" i="25" s="1"/>
  <c r="K285" i="25" s="1"/>
  <c r="K49" i="25"/>
  <c r="M17" i="13"/>
  <c r="J17" i="13"/>
  <c r="E17" i="13"/>
  <c r="H17" i="13"/>
  <c r="Y17" i="5"/>
  <c r="K17" i="13"/>
  <c r="N17" i="13"/>
  <c r="V17" i="5"/>
  <c r="H17" i="11"/>
  <c r="E42" i="25" s="1"/>
  <c r="U17" i="13"/>
  <c r="Q17" i="13"/>
  <c r="L17" i="13"/>
  <c r="P17" i="13"/>
  <c r="G17" i="13"/>
  <c r="I17" i="13"/>
  <c r="O17" i="13"/>
  <c r="F17" i="13"/>
  <c r="P42" i="11"/>
  <c r="K76" i="25"/>
  <c r="N50" i="11"/>
  <c r="K79" i="25"/>
  <c r="P45" i="11"/>
  <c r="M79" i="25" s="1"/>
  <c r="E15" i="14"/>
  <c r="S13" i="14"/>
  <c r="U13" i="16" s="1"/>
  <c r="P135" i="11"/>
  <c r="M245" i="25" s="1"/>
  <c r="K245" i="25"/>
  <c r="G230" i="25"/>
  <c r="L120" i="11"/>
  <c r="E120" i="13"/>
  <c r="F120" i="13"/>
  <c r="G120" i="13"/>
  <c r="N120" i="13"/>
  <c r="O120" i="13"/>
  <c r="L120" i="13"/>
  <c r="Q120" i="13"/>
  <c r="I120" i="13"/>
  <c r="H120" i="13"/>
  <c r="J120" i="13"/>
  <c r="K120" i="13"/>
  <c r="M120" i="13"/>
  <c r="P120" i="13"/>
  <c r="Q81" i="14"/>
  <c r="H81" i="14"/>
  <c r="O81" i="14"/>
  <c r="G81" i="14"/>
  <c r="L81" i="14"/>
  <c r="M81" i="14"/>
  <c r="E81" i="14"/>
  <c r="K81" i="14"/>
  <c r="I81" i="14"/>
  <c r="N81" i="14"/>
  <c r="J81" i="14"/>
  <c r="F81" i="14"/>
  <c r="P81" i="14"/>
  <c r="U81" i="14"/>
  <c r="E99" i="25"/>
  <c r="E276" i="25"/>
  <c r="P133" i="17"/>
  <c r="K35" i="16"/>
  <c r="O35" i="16"/>
  <c r="P35" i="11"/>
  <c r="K66" i="25"/>
  <c r="Q133" i="13"/>
  <c r="S133" i="13" s="1"/>
  <c r="V33" i="13"/>
  <c r="U33" i="14"/>
  <c r="I65" i="25"/>
  <c r="I71" i="25" s="1"/>
  <c r="N34" i="11"/>
  <c r="N40" i="11" s="1"/>
  <c r="K30" i="25" s="1"/>
  <c r="P31" i="14"/>
  <c r="G266" i="25"/>
  <c r="L105" i="11"/>
  <c r="Q105" i="13"/>
  <c r="M105" i="13"/>
  <c r="L105" i="13"/>
  <c r="P105" i="13"/>
  <c r="E105" i="13"/>
  <c r="H105" i="13"/>
  <c r="J105" i="13"/>
  <c r="F105" i="13"/>
  <c r="O105" i="13"/>
  <c r="N105" i="13"/>
  <c r="I105" i="13"/>
  <c r="K105" i="13"/>
  <c r="G105" i="13"/>
  <c r="P37" i="11"/>
  <c r="K37" i="16"/>
  <c r="N37" i="16"/>
  <c r="K68" i="25"/>
  <c r="M28" i="16"/>
  <c r="F28" i="16"/>
  <c r="K28" i="16"/>
  <c r="K56" i="25"/>
  <c r="N28" i="16"/>
  <c r="E28" i="16"/>
  <c r="P28" i="11"/>
  <c r="O28" i="16"/>
  <c r="I28" i="16"/>
  <c r="P28" i="16"/>
  <c r="G28" i="16"/>
  <c r="J28" i="16"/>
  <c r="L28" i="16"/>
  <c r="H28" i="16"/>
  <c r="E257" i="25"/>
  <c r="E297" i="25" s="1"/>
  <c r="I31" i="25"/>
  <c r="P47" i="10"/>
  <c r="P53" i="10"/>
  <c r="P61" i="10" s="1"/>
  <c r="P62" i="10" s="1"/>
  <c r="G237" i="25"/>
  <c r="L127" i="11"/>
  <c r="L127" i="13"/>
  <c r="N127" i="13"/>
  <c r="M127" i="13"/>
  <c r="I127" i="13"/>
  <c r="Q127" i="13"/>
  <c r="J127" i="13"/>
  <c r="E127" i="13"/>
  <c r="O127" i="13"/>
  <c r="P127" i="13"/>
  <c r="G127" i="13"/>
  <c r="H127" i="13"/>
  <c r="K127" i="13"/>
  <c r="F127" i="13"/>
  <c r="J139" i="11"/>
  <c r="L138" i="11"/>
  <c r="H138" i="13"/>
  <c r="M138" i="13"/>
  <c r="O138" i="13"/>
  <c r="K138" i="13"/>
  <c r="G138" i="13"/>
  <c r="J138" i="13"/>
  <c r="F138" i="13"/>
  <c r="E138" i="13"/>
  <c r="P138" i="13"/>
  <c r="L138" i="13"/>
  <c r="I138" i="13"/>
  <c r="Q138" i="13"/>
  <c r="N138" i="13"/>
  <c r="L129" i="11"/>
  <c r="G239" i="25"/>
  <c r="V28" i="13"/>
  <c r="U28" i="14"/>
  <c r="U113" i="14"/>
  <c r="G113" i="14"/>
  <c r="J113" i="14"/>
  <c r="I113" i="14"/>
  <c r="M113" i="14"/>
  <c r="N113" i="14"/>
  <c r="H113" i="14"/>
  <c r="F113" i="14"/>
  <c r="L113" i="14"/>
  <c r="E113" i="14"/>
  <c r="O113" i="14"/>
  <c r="P113" i="14"/>
  <c r="K113" i="14"/>
  <c r="Q113" i="14"/>
  <c r="G40" i="13"/>
  <c r="L114" i="11"/>
  <c r="G253" i="25"/>
  <c r="P23" i="11"/>
  <c r="O23" i="16"/>
  <c r="L23" i="16"/>
  <c r="K51" i="25"/>
  <c r="P23" i="16"/>
  <c r="I23" i="16"/>
  <c r="J23" i="16"/>
  <c r="N23" i="16"/>
  <c r="K23" i="16"/>
  <c r="M23" i="16"/>
  <c r="H23" i="16"/>
  <c r="G23" i="16"/>
  <c r="L132" i="11"/>
  <c r="G242" i="25"/>
  <c r="E97" i="25"/>
  <c r="U16" i="16"/>
  <c r="G42" i="16"/>
  <c r="K42" i="16"/>
  <c r="N42" i="16"/>
  <c r="Q42" i="17"/>
  <c r="O42" i="16"/>
  <c r="L42" i="16"/>
  <c r="P42" i="16"/>
  <c r="U42" i="16"/>
  <c r="V42" i="14"/>
  <c r="F42" i="16"/>
  <c r="M42" i="16"/>
  <c r="E42" i="16"/>
  <c r="J42" i="16"/>
  <c r="Q42" i="16"/>
  <c r="H42" i="16"/>
  <c r="I42" i="16"/>
  <c r="M133" i="17"/>
  <c r="S35" i="14"/>
  <c r="U35" i="16" s="1"/>
  <c r="O40" i="13"/>
  <c r="I13" i="16"/>
  <c r="K14" i="16"/>
  <c r="H14" i="16"/>
  <c r="J14" i="16"/>
  <c r="L13" i="16"/>
  <c r="G13" i="16"/>
  <c r="F13" i="16"/>
  <c r="H13" i="16"/>
  <c r="K13" i="16"/>
  <c r="J13" i="16"/>
  <c r="L14" i="16"/>
  <c r="G14" i="16"/>
  <c r="F14" i="16"/>
  <c r="I14" i="16"/>
  <c r="E13" i="16"/>
  <c r="P48" i="11"/>
  <c r="M82" i="25" s="1"/>
  <c r="K82" i="25"/>
  <c r="Q28" i="14"/>
  <c r="S28" i="14" s="1"/>
  <c r="S92" i="13" l="1"/>
  <c r="S135" i="14"/>
  <c r="V135" i="14" s="1"/>
  <c r="S82" i="13"/>
  <c r="S95" i="13"/>
  <c r="S132" i="13"/>
  <c r="Q23" i="14"/>
  <c r="S23" i="14" s="1"/>
  <c r="S94" i="13"/>
  <c r="E6" i="24"/>
  <c r="G6" i="24" s="1"/>
  <c r="G11" i="24" s="1"/>
  <c r="Q31" i="13"/>
  <c r="S31" i="13"/>
  <c r="U23" i="14"/>
  <c r="S129" i="13"/>
  <c r="S134" i="13"/>
  <c r="S89" i="13"/>
  <c r="O29" i="16"/>
  <c r="O31" i="16" s="1"/>
  <c r="H29" i="16"/>
  <c r="H31" i="16" s="1"/>
  <c r="G29" i="16"/>
  <c r="G31" i="16" s="1"/>
  <c r="Q29" i="16"/>
  <c r="I29" i="16"/>
  <c r="I31" i="16" s="1"/>
  <c r="F29" i="16"/>
  <c r="F31" i="16" s="1"/>
  <c r="E29" i="16"/>
  <c r="M29" i="16"/>
  <c r="M31" i="16" s="1"/>
  <c r="K29" i="16"/>
  <c r="K31" i="16" s="1"/>
  <c r="N29" i="16"/>
  <c r="N31" i="16" s="1"/>
  <c r="Q29" i="17"/>
  <c r="J29" i="16"/>
  <c r="J31" i="16" s="1"/>
  <c r="L29" i="16"/>
  <c r="L31" i="16" s="1"/>
  <c r="P29" i="16"/>
  <c r="P31" i="16" s="1"/>
  <c r="U29" i="16"/>
  <c r="V29" i="14"/>
  <c r="V24" i="14"/>
  <c r="S107" i="14"/>
  <c r="I107" i="16" s="1"/>
  <c r="L52" i="5"/>
  <c r="L146" i="5" s="1"/>
  <c r="L149" i="5" s="1"/>
  <c r="L169" i="5" s="1"/>
  <c r="H50" i="16"/>
  <c r="N118" i="13"/>
  <c r="I50" i="16"/>
  <c r="P118" i="13"/>
  <c r="K118" i="13"/>
  <c r="V37" i="13"/>
  <c r="V47" i="13"/>
  <c r="V50" i="13" s="1"/>
  <c r="S93" i="14"/>
  <c r="G93" i="16" s="1"/>
  <c r="N50" i="16"/>
  <c r="I118" i="13"/>
  <c r="M50" i="16"/>
  <c r="L118" i="13"/>
  <c r="S47" i="14"/>
  <c r="U47" i="16" s="1"/>
  <c r="U50" i="16" s="1"/>
  <c r="G50" i="16"/>
  <c r="O118" i="13"/>
  <c r="M118" i="13"/>
  <c r="Y16" i="5"/>
  <c r="U125" i="13"/>
  <c r="Y125" i="5"/>
  <c r="AC181" i="5"/>
  <c r="V125" i="5"/>
  <c r="H125" i="11"/>
  <c r="V16" i="5"/>
  <c r="J50" i="16"/>
  <c r="S37" i="14"/>
  <c r="U37" i="16" s="1"/>
  <c r="F118" i="13"/>
  <c r="L50" i="16"/>
  <c r="H15" i="13"/>
  <c r="H165" i="13" s="1"/>
  <c r="Q118" i="13"/>
  <c r="S18" i="5"/>
  <c r="U18" i="13" s="1"/>
  <c r="S34" i="13"/>
  <c r="K50" i="16"/>
  <c r="F50" i="16"/>
  <c r="U25" i="16"/>
  <c r="S109" i="13"/>
  <c r="G109" i="14" s="1"/>
  <c r="L15" i="13"/>
  <c r="Q25" i="16"/>
  <c r="S25" i="16" s="1"/>
  <c r="S16" i="16"/>
  <c r="U16" i="17" s="1"/>
  <c r="H118" i="13"/>
  <c r="S116" i="14"/>
  <c r="M116" i="16" s="1"/>
  <c r="S42" i="16"/>
  <c r="J42" i="17" s="1"/>
  <c r="K15" i="13"/>
  <c r="Q24" i="16"/>
  <c r="S24" i="16" s="1"/>
  <c r="V24" i="16" s="1"/>
  <c r="I173" i="5"/>
  <c r="J171" i="5" s="1"/>
  <c r="J173" i="5" s="1"/>
  <c r="K171" i="5" s="1"/>
  <c r="K173" i="5" s="1"/>
  <c r="L171" i="5" s="1"/>
  <c r="H16" i="11"/>
  <c r="H16" i="13" s="1"/>
  <c r="S124" i="13"/>
  <c r="J124" i="14" s="1"/>
  <c r="G118" i="13"/>
  <c r="Q47" i="16"/>
  <c r="Q50" i="16" s="1"/>
  <c r="Q23" i="16"/>
  <c r="S23" i="16" s="1"/>
  <c r="K15" i="16"/>
  <c r="O50" i="16"/>
  <c r="K84" i="25"/>
  <c r="M110" i="13"/>
  <c r="P110" i="13"/>
  <c r="Q37" i="16"/>
  <c r="G152" i="17" s="1"/>
  <c r="F110" i="13"/>
  <c r="G15" i="13"/>
  <c r="K286" i="25"/>
  <c r="V26" i="14"/>
  <c r="U26" i="16"/>
  <c r="V26" i="16" s="1"/>
  <c r="V16" i="16"/>
  <c r="I253" i="25"/>
  <c r="N114" i="11"/>
  <c r="N151" i="13"/>
  <c r="N139" i="13"/>
  <c r="S13" i="16"/>
  <c r="E15" i="16"/>
  <c r="Q151" i="13"/>
  <c r="Q139" i="13"/>
  <c r="L139" i="11"/>
  <c r="N138" i="11"/>
  <c r="S105" i="13"/>
  <c r="K110" i="13"/>
  <c r="V31" i="13"/>
  <c r="J15" i="13"/>
  <c r="E1315" i="9"/>
  <c r="F1315" i="9" s="1"/>
  <c r="Q90" i="5"/>
  <c r="N14" i="26" s="1"/>
  <c r="O14" i="26" s="1"/>
  <c r="S83" i="5"/>
  <c r="S86" i="13"/>
  <c r="I191" i="25"/>
  <c r="N86" i="11"/>
  <c r="S122" i="13"/>
  <c r="M25" i="17"/>
  <c r="M53" i="25"/>
  <c r="G25" i="17"/>
  <c r="J25" i="17"/>
  <c r="G97" i="25"/>
  <c r="G99" i="25"/>
  <c r="G276" i="25"/>
  <c r="U133" i="14"/>
  <c r="V133" i="13"/>
  <c r="S120" i="13"/>
  <c r="K59" i="25"/>
  <c r="H110" i="13"/>
  <c r="N89" i="11"/>
  <c r="I193" i="25"/>
  <c r="I270" i="25"/>
  <c r="N109" i="11"/>
  <c r="S114" i="14"/>
  <c r="S33" i="16"/>
  <c r="G257" i="25"/>
  <c r="G297" i="25" s="1"/>
  <c r="L151" i="13"/>
  <c r="L139" i="13"/>
  <c r="I110" i="13"/>
  <c r="N107" i="11"/>
  <c r="I268" i="25"/>
  <c r="S85" i="13"/>
  <c r="N122" i="11"/>
  <c r="I232" i="25"/>
  <c r="M64" i="25"/>
  <c r="Q33" i="17"/>
  <c r="L118" i="11"/>
  <c r="I97" i="25" s="1"/>
  <c r="N112" i="11"/>
  <c r="I251" i="25"/>
  <c r="J24" i="17"/>
  <c r="G24" i="17"/>
  <c r="M24" i="17"/>
  <c r="M52" i="25"/>
  <c r="I139" i="13"/>
  <c r="I151" i="13"/>
  <c r="F14" i="17"/>
  <c r="J14" i="17"/>
  <c r="H13" i="17"/>
  <c r="J13" i="17"/>
  <c r="L13" i="17"/>
  <c r="L14" i="17"/>
  <c r="F13" i="17"/>
  <c r="K14" i="17"/>
  <c r="G14" i="17"/>
  <c r="I13" i="17"/>
  <c r="K13" i="17"/>
  <c r="I14" i="17"/>
  <c r="G13" i="17"/>
  <c r="E13" i="17"/>
  <c r="H14" i="17"/>
  <c r="I15" i="16"/>
  <c r="P151" i="13"/>
  <c r="P139" i="13"/>
  <c r="N127" i="11"/>
  <c r="I237" i="25"/>
  <c r="N37" i="17"/>
  <c r="M68" i="25"/>
  <c r="K37" i="17"/>
  <c r="I230" i="25"/>
  <c r="N120" i="11"/>
  <c r="K31" i="25"/>
  <c r="K287" i="25" s="1"/>
  <c r="S101" i="13"/>
  <c r="E110" i="13"/>
  <c r="I190" i="25"/>
  <c r="N85" i="11"/>
  <c r="G189" i="25"/>
  <c r="L84" i="11"/>
  <c r="L84" i="13"/>
  <c r="N84" i="13"/>
  <c r="J84" i="13"/>
  <c r="E84" i="13"/>
  <c r="F84" i="13"/>
  <c r="O84" i="13"/>
  <c r="I84" i="13"/>
  <c r="G84" i="13"/>
  <c r="H84" i="13"/>
  <c r="Q84" i="13"/>
  <c r="M84" i="13"/>
  <c r="P84" i="13"/>
  <c r="K84" i="13"/>
  <c r="I186" i="25"/>
  <c r="N82" i="11"/>
  <c r="O28" i="17"/>
  <c r="E28" i="17"/>
  <c r="M56" i="25"/>
  <c r="F28" i="17"/>
  <c r="K28" i="17"/>
  <c r="I28" i="17"/>
  <c r="H28" i="17"/>
  <c r="G28" i="17"/>
  <c r="M28" i="17"/>
  <c r="N28" i="17"/>
  <c r="J28" i="17"/>
  <c r="L28" i="17"/>
  <c r="P28" i="17"/>
  <c r="O35" i="17"/>
  <c r="K35" i="17"/>
  <c r="M66" i="25"/>
  <c r="S21" i="16"/>
  <c r="G110" i="13"/>
  <c r="F15" i="13"/>
  <c r="U21" i="16"/>
  <c r="V21" i="14"/>
  <c r="S31" i="14"/>
  <c r="P50" i="16"/>
  <c r="E139" i="13"/>
  <c r="E151" i="13"/>
  <c r="S138" i="13"/>
  <c r="J15" i="16"/>
  <c r="F151" i="13"/>
  <c r="F139" i="13"/>
  <c r="I266" i="25"/>
  <c r="N105" i="11"/>
  <c r="Q35" i="16"/>
  <c r="F152" i="17" s="1"/>
  <c r="M76" i="25"/>
  <c r="P50" i="11"/>
  <c r="Q21" i="17"/>
  <c r="P133" i="11"/>
  <c r="M243" i="25" s="1"/>
  <c r="P31" i="11"/>
  <c r="M29" i="25" s="1"/>
  <c r="M285" i="25" s="1"/>
  <c r="M49" i="25"/>
  <c r="L110" i="13"/>
  <c r="Q31" i="14"/>
  <c r="S123" i="13"/>
  <c r="I223" i="25"/>
  <c r="N96" i="11"/>
  <c r="N128" i="11"/>
  <c r="I238" i="25"/>
  <c r="U23" i="16"/>
  <c r="I236" i="25"/>
  <c r="N126" i="11"/>
  <c r="J151" i="13"/>
  <c r="J139" i="13"/>
  <c r="I185" i="25"/>
  <c r="N81" i="11"/>
  <c r="N123" i="11"/>
  <c r="I233" i="25"/>
  <c r="M47" i="17"/>
  <c r="I47" i="17"/>
  <c r="K47" i="17"/>
  <c r="L47" i="17"/>
  <c r="H47" i="17"/>
  <c r="J47" i="17"/>
  <c r="O47" i="17"/>
  <c r="F47" i="17"/>
  <c r="G47" i="17"/>
  <c r="M81" i="25"/>
  <c r="N47" i="17"/>
  <c r="S128" i="13"/>
  <c r="G139" i="13"/>
  <c r="G151" i="13"/>
  <c r="G271" i="25"/>
  <c r="G296" i="25" s="1"/>
  <c r="I252" i="25"/>
  <c r="N113" i="11"/>
  <c r="S102" i="14"/>
  <c r="S13" i="13"/>
  <c r="E15" i="13"/>
  <c r="S104" i="13"/>
  <c r="H15" i="16"/>
  <c r="F15" i="16"/>
  <c r="S113" i="14"/>
  <c r="K151" i="13"/>
  <c r="K139" i="13"/>
  <c r="S127" i="13"/>
  <c r="Q28" i="16"/>
  <c r="S28" i="16" s="1"/>
  <c r="N110" i="13"/>
  <c r="G96" i="25"/>
  <c r="Q133" i="14"/>
  <c r="S133" i="14" s="1"/>
  <c r="U133" i="16" s="1"/>
  <c r="V33" i="14"/>
  <c r="U33" i="16"/>
  <c r="N124" i="11"/>
  <c r="I234" i="25"/>
  <c r="S96" i="13"/>
  <c r="N102" i="11"/>
  <c r="I263" i="25"/>
  <c r="J97" i="11"/>
  <c r="E224" i="25"/>
  <c r="E225" i="25" s="1"/>
  <c r="E295" i="25" s="1"/>
  <c r="N103" i="11"/>
  <c r="I264" i="25"/>
  <c r="I219" i="25"/>
  <c r="N92" i="11"/>
  <c r="S50" i="14"/>
  <c r="U28" i="16"/>
  <c r="V28" i="14"/>
  <c r="N132" i="11"/>
  <c r="I242" i="25"/>
  <c r="G15" i="16"/>
  <c r="M51" i="25"/>
  <c r="N23" i="17"/>
  <c r="K23" i="17"/>
  <c r="O23" i="17"/>
  <c r="I23" i="17"/>
  <c r="J23" i="17"/>
  <c r="P23" i="17"/>
  <c r="M23" i="17"/>
  <c r="L23" i="17"/>
  <c r="H23" i="17"/>
  <c r="G23" i="17"/>
  <c r="O151" i="13"/>
  <c r="O139" i="13"/>
  <c r="K65" i="25"/>
  <c r="K71" i="25" s="1"/>
  <c r="P34" i="11"/>
  <c r="P40" i="11" s="1"/>
  <c r="M30" i="25" s="1"/>
  <c r="M286" i="25" s="1"/>
  <c r="J110" i="13"/>
  <c r="L110" i="11"/>
  <c r="I96" i="25" s="1"/>
  <c r="N101" i="11"/>
  <c r="I262" i="25"/>
  <c r="M41" i="25"/>
  <c r="N16" i="17"/>
  <c r="Q16" i="17" s="1"/>
  <c r="S16" i="17" s="1"/>
  <c r="S87" i="14"/>
  <c r="V87" i="14" s="1"/>
  <c r="I265" i="25"/>
  <c r="N104" i="11"/>
  <c r="I244" i="25"/>
  <c r="N134" i="11"/>
  <c r="I222" i="25"/>
  <c r="N95" i="11"/>
  <c r="E50" i="16"/>
  <c r="S46" i="16"/>
  <c r="N117" i="11"/>
  <c r="I256" i="25"/>
  <c r="S103" i="13"/>
  <c r="S126" i="13"/>
  <c r="I287" i="25"/>
  <c r="S81" i="14"/>
  <c r="L15" i="16"/>
  <c r="N129" i="11"/>
  <c r="I239" i="25"/>
  <c r="M139" i="13"/>
  <c r="M151" i="13"/>
  <c r="S17" i="13"/>
  <c r="O110" i="13"/>
  <c r="S115" i="13"/>
  <c r="N108" i="11"/>
  <c r="I269" i="25"/>
  <c r="S112" i="13"/>
  <c r="E118" i="13"/>
  <c r="N116" i="11"/>
  <c r="I255" i="25"/>
  <c r="E192" i="25"/>
  <c r="Q214" i="25" s="1"/>
  <c r="J88" i="11"/>
  <c r="S40" i="13"/>
  <c r="H151" i="13"/>
  <c r="H139" i="13"/>
  <c r="Q110" i="13"/>
  <c r="I254" i="25"/>
  <c r="N115" i="11"/>
  <c r="Q26" i="17"/>
  <c r="S26" i="17" s="1"/>
  <c r="V26" i="17" s="1"/>
  <c r="M54" i="25"/>
  <c r="S108" i="13"/>
  <c r="I221" i="25"/>
  <c r="N94" i="11"/>
  <c r="S117" i="13"/>
  <c r="J118" i="13"/>
  <c r="O82" i="14" l="1"/>
  <c r="H82" i="14"/>
  <c r="P82" i="14"/>
  <c r="U82" i="14"/>
  <c r="I82" i="14"/>
  <c r="E82" i="14"/>
  <c r="K82" i="14"/>
  <c r="L82" i="14"/>
  <c r="J82" i="14"/>
  <c r="M82" i="14"/>
  <c r="N82" i="14"/>
  <c r="G82" i="14"/>
  <c r="V82" i="13"/>
  <c r="F82" i="14"/>
  <c r="Q82" i="14"/>
  <c r="Q135" i="16"/>
  <c r="P135" i="16"/>
  <c r="N135" i="16"/>
  <c r="L135" i="16"/>
  <c r="I135" i="16"/>
  <c r="M135" i="16"/>
  <c r="J135" i="16"/>
  <c r="K135" i="16"/>
  <c r="U135" i="16"/>
  <c r="F135" i="16"/>
  <c r="O135" i="16"/>
  <c r="G135" i="16"/>
  <c r="E135" i="16"/>
  <c r="H135" i="16"/>
  <c r="F95" i="14"/>
  <c r="M95" i="14"/>
  <c r="I95" i="14"/>
  <c r="V95" i="13"/>
  <c r="N95" i="14"/>
  <c r="H95" i="14"/>
  <c r="L95" i="14"/>
  <c r="O95" i="14"/>
  <c r="J95" i="14"/>
  <c r="U95" i="14"/>
  <c r="P95" i="14"/>
  <c r="E95" i="14"/>
  <c r="Q95" i="14"/>
  <c r="G95" i="14"/>
  <c r="K95" i="14"/>
  <c r="V92" i="13"/>
  <c r="F92" i="14"/>
  <c r="N92" i="14"/>
  <c r="E92" i="14"/>
  <c r="J92" i="14"/>
  <c r="U92" i="14"/>
  <c r="P92" i="14"/>
  <c r="I92" i="14"/>
  <c r="Q92" i="14"/>
  <c r="L92" i="14"/>
  <c r="O92" i="14"/>
  <c r="H92" i="14"/>
  <c r="M92" i="14"/>
  <c r="K92" i="14"/>
  <c r="G92" i="14"/>
  <c r="V23" i="14"/>
  <c r="K94" i="14"/>
  <c r="P94" i="14"/>
  <c r="I94" i="14"/>
  <c r="J94" i="14"/>
  <c r="L94" i="14"/>
  <c r="Q94" i="14"/>
  <c r="M94" i="14"/>
  <c r="V94" i="13"/>
  <c r="E94" i="14"/>
  <c r="U94" i="14"/>
  <c r="N94" i="14"/>
  <c r="O94" i="14"/>
  <c r="G94" i="14"/>
  <c r="H94" i="14"/>
  <c r="F94" i="14"/>
  <c r="V34" i="13"/>
  <c r="J34" i="14"/>
  <c r="O34" i="14"/>
  <c r="P34" i="14"/>
  <c r="K34" i="14"/>
  <c r="L34" i="14"/>
  <c r="H34" i="14"/>
  <c r="G34" i="14"/>
  <c r="I34" i="14"/>
  <c r="M34" i="14"/>
  <c r="N34" i="14"/>
  <c r="V132" i="13"/>
  <c r="O132" i="14"/>
  <c r="P132" i="14"/>
  <c r="G132" i="14"/>
  <c r="J132" i="14"/>
  <c r="K132" i="14"/>
  <c r="L132" i="14"/>
  <c r="E132" i="14"/>
  <c r="I132" i="14"/>
  <c r="M132" i="14"/>
  <c r="U132" i="14"/>
  <c r="F132" i="14"/>
  <c r="H132" i="14"/>
  <c r="N132" i="14"/>
  <c r="Q132" i="14"/>
  <c r="U31" i="14"/>
  <c r="E11" i="24"/>
  <c r="H129" i="14"/>
  <c r="Q129" i="14"/>
  <c r="K129" i="14"/>
  <c r="V129" i="13"/>
  <c r="P129" i="14"/>
  <c r="F129" i="14"/>
  <c r="E129" i="14"/>
  <c r="L129" i="14"/>
  <c r="J129" i="14"/>
  <c r="N129" i="14"/>
  <c r="U129" i="14"/>
  <c r="O129" i="14"/>
  <c r="M129" i="14"/>
  <c r="I129" i="14"/>
  <c r="G129" i="14"/>
  <c r="M109" i="14"/>
  <c r="V37" i="14"/>
  <c r="E107" i="16"/>
  <c r="K16" i="13"/>
  <c r="N16" i="13" s="1"/>
  <c r="Q16" i="13" s="1"/>
  <c r="U107" i="16"/>
  <c r="J109" i="14"/>
  <c r="V109" i="13"/>
  <c r="E41" i="25"/>
  <c r="N107" i="16"/>
  <c r="F109" i="14"/>
  <c r="O107" i="16"/>
  <c r="L109" i="14"/>
  <c r="I109" i="14"/>
  <c r="M107" i="16"/>
  <c r="K107" i="16"/>
  <c r="H107" i="16"/>
  <c r="V107" i="14"/>
  <c r="E109" i="14"/>
  <c r="K109" i="14"/>
  <c r="H109" i="14"/>
  <c r="Q109" i="14"/>
  <c r="U109" i="14"/>
  <c r="L107" i="16"/>
  <c r="J107" i="16"/>
  <c r="G107" i="16"/>
  <c r="N109" i="14"/>
  <c r="P109" i="14"/>
  <c r="O109" i="14"/>
  <c r="P107" i="16"/>
  <c r="F107" i="16"/>
  <c r="Q107" i="16"/>
  <c r="O134" i="14"/>
  <c r="P134" i="14"/>
  <c r="G134" i="14"/>
  <c r="K134" i="14"/>
  <c r="V134" i="13"/>
  <c r="L134" i="14"/>
  <c r="F134" i="14"/>
  <c r="H134" i="14"/>
  <c r="I134" i="14"/>
  <c r="J134" i="14"/>
  <c r="E134" i="14"/>
  <c r="U134" i="14"/>
  <c r="N134" i="14"/>
  <c r="M134" i="14"/>
  <c r="Q134" i="14"/>
  <c r="E89" i="14"/>
  <c r="K89" i="14"/>
  <c r="Q89" i="14"/>
  <c r="U89" i="14"/>
  <c r="F89" i="14"/>
  <c r="L89" i="14"/>
  <c r="G89" i="14"/>
  <c r="H89" i="14"/>
  <c r="M89" i="14"/>
  <c r="V89" i="13"/>
  <c r="P89" i="14"/>
  <c r="I89" i="14"/>
  <c r="J89" i="14"/>
  <c r="N89" i="14"/>
  <c r="O89" i="14"/>
  <c r="S29" i="16"/>
  <c r="S31" i="16" s="1"/>
  <c r="E31" i="16"/>
  <c r="N42" i="17"/>
  <c r="V25" i="16"/>
  <c r="V40" i="13"/>
  <c r="L173" i="5"/>
  <c r="M171" i="5" s="1"/>
  <c r="H93" i="16"/>
  <c r="Q93" i="16"/>
  <c r="J93" i="16"/>
  <c r="K93" i="16"/>
  <c r="V42" i="16"/>
  <c r="O42" i="17"/>
  <c r="O93" i="16"/>
  <c r="M93" i="16"/>
  <c r="V47" i="14"/>
  <c r="V50" i="14" s="1"/>
  <c r="H124" i="14"/>
  <c r="V93" i="14"/>
  <c r="V18" i="5"/>
  <c r="F93" i="16"/>
  <c r="U93" i="16"/>
  <c r="N93" i="16"/>
  <c r="L93" i="16"/>
  <c r="O116" i="16"/>
  <c r="Y18" i="5"/>
  <c r="I93" i="16"/>
  <c r="E93" i="16"/>
  <c r="P93" i="16"/>
  <c r="G42" i="17"/>
  <c r="M42" i="17"/>
  <c r="L42" i="17"/>
  <c r="I42" i="17"/>
  <c r="F42" i="17"/>
  <c r="E42" i="17"/>
  <c r="K42" i="17"/>
  <c r="H42" i="17"/>
  <c r="U42" i="17"/>
  <c r="P42" i="17"/>
  <c r="S47" i="16"/>
  <c r="V47" i="16" s="1"/>
  <c r="V116" i="14"/>
  <c r="F116" i="16"/>
  <c r="N116" i="16"/>
  <c r="H18" i="11"/>
  <c r="J18" i="11" s="1"/>
  <c r="Q14" i="5"/>
  <c r="S14" i="5" s="1"/>
  <c r="U34" i="14"/>
  <c r="U40" i="14" s="1"/>
  <c r="J116" i="16"/>
  <c r="L116" i="16"/>
  <c r="P116" i="16"/>
  <c r="U124" i="14"/>
  <c r="E116" i="16"/>
  <c r="E188" i="25"/>
  <c r="E235" i="25"/>
  <c r="J125" i="11"/>
  <c r="H116" i="16"/>
  <c r="G116" i="16"/>
  <c r="Q35" i="17"/>
  <c r="S35" i="17" s="1"/>
  <c r="S37" i="16"/>
  <c r="U37" i="17" s="1"/>
  <c r="I116" i="16"/>
  <c r="G165" i="13"/>
  <c r="S90" i="5"/>
  <c r="I20" i="24" s="1"/>
  <c r="H141" i="13"/>
  <c r="H142" i="13" s="1"/>
  <c r="Q37" i="17"/>
  <c r="S37" i="17" s="1"/>
  <c r="U25" i="17"/>
  <c r="K116" i="16"/>
  <c r="Q124" i="14"/>
  <c r="Q24" i="17"/>
  <c r="S24" i="17" s="1"/>
  <c r="F124" i="14"/>
  <c r="V124" i="13"/>
  <c r="N124" i="14"/>
  <c r="O124" i="14"/>
  <c r="K124" i="14"/>
  <c r="L124" i="14"/>
  <c r="G124" i="14"/>
  <c r="M124" i="14"/>
  <c r="E124" i="14"/>
  <c r="Q25" i="17"/>
  <c r="S25" i="17" s="1"/>
  <c r="I124" i="14"/>
  <c r="P124" i="14"/>
  <c r="S35" i="16"/>
  <c r="U35" i="17" s="1"/>
  <c r="Q116" i="16"/>
  <c r="Q47" i="17"/>
  <c r="Q50" i="17" s="1"/>
  <c r="K15" i="17"/>
  <c r="I15" i="17"/>
  <c r="Q23" i="17"/>
  <c r="S23" i="17" s="1"/>
  <c r="U24" i="17"/>
  <c r="F15" i="17"/>
  <c r="S118" i="13"/>
  <c r="Q28" i="17"/>
  <c r="S28" i="17" s="1"/>
  <c r="J15" i="17"/>
  <c r="U116" i="16"/>
  <c r="I257" i="25"/>
  <c r="I297" i="25" s="1"/>
  <c r="V16" i="17"/>
  <c r="K256" i="25"/>
  <c r="P117" i="11"/>
  <c r="M256" i="25" s="1"/>
  <c r="L96" i="14"/>
  <c r="J96" i="14"/>
  <c r="O96" i="14"/>
  <c r="K96" i="14"/>
  <c r="F96" i="14"/>
  <c r="H96" i="14"/>
  <c r="M96" i="14"/>
  <c r="U96" i="14"/>
  <c r="N96" i="14"/>
  <c r="P96" i="14"/>
  <c r="G96" i="14"/>
  <c r="E96" i="14"/>
  <c r="I96" i="14"/>
  <c r="Q96" i="14"/>
  <c r="V96" i="13"/>
  <c r="K238" i="25"/>
  <c r="P128" i="11"/>
  <c r="M238" i="25" s="1"/>
  <c r="U31" i="16"/>
  <c r="S84" i="13"/>
  <c r="I101" i="14"/>
  <c r="N101" i="14"/>
  <c r="K101" i="14"/>
  <c r="O101" i="14"/>
  <c r="L101" i="14"/>
  <c r="F101" i="14"/>
  <c r="E101" i="14"/>
  <c r="H101" i="14"/>
  <c r="M101" i="14"/>
  <c r="Q101" i="14"/>
  <c r="U101" i="14"/>
  <c r="J101" i="14"/>
  <c r="G101" i="14"/>
  <c r="P101" i="14"/>
  <c r="V101" i="13"/>
  <c r="G85" i="14"/>
  <c r="U85" i="14"/>
  <c r="M85" i="14"/>
  <c r="E85" i="14"/>
  <c r="O85" i="14"/>
  <c r="L85" i="14"/>
  <c r="K85" i="14"/>
  <c r="P85" i="14"/>
  <c r="I85" i="14"/>
  <c r="N85" i="14"/>
  <c r="Q85" i="14"/>
  <c r="J85" i="14"/>
  <c r="F85" i="14"/>
  <c r="H85" i="14"/>
  <c r="V85" i="13"/>
  <c r="K254" i="25"/>
  <c r="P115" i="11"/>
  <c r="M254" i="25" s="1"/>
  <c r="S50" i="16"/>
  <c r="P124" i="11"/>
  <c r="M234" i="25" s="1"/>
  <c r="K234" i="25"/>
  <c r="V113" i="14"/>
  <c r="L113" i="16"/>
  <c r="E113" i="16"/>
  <c r="G113" i="16"/>
  <c r="Q113" i="16"/>
  <c r="U113" i="16"/>
  <c r="N113" i="16"/>
  <c r="J113" i="16"/>
  <c r="M113" i="16"/>
  <c r="K113" i="16"/>
  <c r="F113" i="16"/>
  <c r="H113" i="16"/>
  <c r="O113" i="16"/>
  <c r="P113" i="16"/>
  <c r="I113" i="16"/>
  <c r="F104" i="14"/>
  <c r="Q104" i="14"/>
  <c r="M104" i="14"/>
  <c r="G104" i="14"/>
  <c r="I104" i="14"/>
  <c r="L104" i="14"/>
  <c r="J104" i="14"/>
  <c r="H104" i="14"/>
  <c r="N104" i="14"/>
  <c r="U104" i="14"/>
  <c r="O104" i="14"/>
  <c r="E104" i="14"/>
  <c r="P104" i="14"/>
  <c r="K104" i="14"/>
  <c r="V104" i="13"/>
  <c r="Q133" i="17"/>
  <c r="S133" i="17" s="1"/>
  <c r="S33" i="17"/>
  <c r="V114" i="14"/>
  <c r="M114" i="16"/>
  <c r="K114" i="16"/>
  <c r="N114" i="16"/>
  <c r="E114" i="16"/>
  <c r="Q114" i="16"/>
  <c r="P114" i="16"/>
  <c r="L114" i="16"/>
  <c r="U114" i="16"/>
  <c r="I114" i="16"/>
  <c r="F114" i="16"/>
  <c r="G114" i="16"/>
  <c r="H114" i="16"/>
  <c r="J114" i="16"/>
  <c r="O114" i="16"/>
  <c r="V13" i="16"/>
  <c r="U13" i="17"/>
  <c r="M115" i="14"/>
  <c r="L115" i="14"/>
  <c r="J115" i="14"/>
  <c r="F115" i="14"/>
  <c r="I115" i="14"/>
  <c r="E115" i="14"/>
  <c r="H115" i="14"/>
  <c r="N115" i="14"/>
  <c r="P115" i="14"/>
  <c r="Q115" i="14"/>
  <c r="K115" i="14"/>
  <c r="G115" i="14"/>
  <c r="O115" i="14"/>
  <c r="U115" i="14"/>
  <c r="V115" i="13"/>
  <c r="L112" i="14"/>
  <c r="U112" i="14"/>
  <c r="G112" i="14"/>
  <c r="F112" i="14"/>
  <c r="J112" i="14"/>
  <c r="N112" i="14"/>
  <c r="O112" i="14"/>
  <c r="P112" i="14"/>
  <c r="H112" i="14"/>
  <c r="K112" i="14"/>
  <c r="Q112" i="14"/>
  <c r="I112" i="14"/>
  <c r="E112" i="14"/>
  <c r="M112" i="14"/>
  <c r="V112" i="13"/>
  <c r="P95" i="11"/>
  <c r="M222" i="25" s="1"/>
  <c r="K222" i="25"/>
  <c r="I271" i="25"/>
  <c r="I296" i="25" s="1"/>
  <c r="H120" i="14"/>
  <c r="Q120" i="14"/>
  <c r="N120" i="14"/>
  <c r="F120" i="14"/>
  <c r="P120" i="14"/>
  <c r="M120" i="14"/>
  <c r="J120" i="14"/>
  <c r="E120" i="14"/>
  <c r="G120" i="14"/>
  <c r="U120" i="14"/>
  <c r="O120" i="14"/>
  <c r="K120" i="14"/>
  <c r="L120" i="14"/>
  <c r="I120" i="14"/>
  <c r="V120" i="13"/>
  <c r="K219" i="25"/>
  <c r="P92" i="11"/>
  <c r="P94" i="11"/>
  <c r="M221" i="25" s="1"/>
  <c r="K221" i="25"/>
  <c r="E108" i="14"/>
  <c r="L108" i="14"/>
  <c r="N108" i="14"/>
  <c r="O108" i="14"/>
  <c r="U108" i="14"/>
  <c r="M108" i="14"/>
  <c r="J108" i="14"/>
  <c r="I108" i="14"/>
  <c r="K108" i="14"/>
  <c r="P108" i="14"/>
  <c r="H108" i="14"/>
  <c r="Q108" i="14"/>
  <c r="F108" i="14"/>
  <c r="G108" i="14"/>
  <c r="V108" i="13"/>
  <c r="I17" i="14"/>
  <c r="P17" i="14"/>
  <c r="J17" i="14"/>
  <c r="L17" i="14"/>
  <c r="F17" i="14"/>
  <c r="G17" i="14"/>
  <c r="M17" i="14"/>
  <c r="E17" i="14"/>
  <c r="N17" i="14"/>
  <c r="H17" i="14"/>
  <c r="V17" i="13"/>
  <c r="K17" i="14"/>
  <c r="Q17" i="14"/>
  <c r="O17" i="14"/>
  <c r="U17" i="14"/>
  <c r="V81" i="14"/>
  <c r="K81" i="16"/>
  <c r="O81" i="16"/>
  <c r="P81" i="16"/>
  <c r="F81" i="16"/>
  <c r="H81" i="16"/>
  <c r="L81" i="16"/>
  <c r="G81" i="16"/>
  <c r="N81" i="16"/>
  <c r="U81" i="16"/>
  <c r="M81" i="16"/>
  <c r="Q81" i="16"/>
  <c r="I81" i="16"/>
  <c r="E81" i="16"/>
  <c r="J81" i="16"/>
  <c r="K262" i="25"/>
  <c r="N110" i="11"/>
  <c r="K96" i="25" s="1"/>
  <c r="P101" i="11"/>
  <c r="K264" i="25"/>
  <c r="P103" i="11"/>
  <c r="M264" i="25" s="1"/>
  <c r="M59" i="25"/>
  <c r="I189" i="25"/>
  <c r="N84" i="11"/>
  <c r="P120" i="11"/>
  <c r="K230" i="25"/>
  <c r="P107" i="11"/>
  <c r="M268" i="25" s="1"/>
  <c r="K268" i="25"/>
  <c r="V33" i="16"/>
  <c r="Q133" i="16"/>
  <c r="S133" i="16" s="1"/>
  <c r="U133" i="17" s="1"/>
  <c r="V133" i="17" s="1"/>
  <c r="U33" i="17"/>
  <c r="S164" i="5"/>
  <c r="H168" i="11" s="1"/>
  <c r="P132" i="11"/>
  <c r="M242" i="25" s="1"/>
  <c r="K242" i="25"/>
  <c r="U13" i="14"/>
  <c r="V13" i="14" s="1"/>
  <c r="V13" i="13"/>
  <c r="I128" i="14"/>
  <c r="Q128" i="14"/>
  <c r="O128" i="14"/>
  <c r="E128" i="14"/>
  <c r="L128" i="14"/>
  <c r="U128" i="14"/>
  <c r="F128" i="14"/>
  <c r="G128" i="14"/>
  <c r="N128" i="14"/>
  <c r="J128" i="14"/>
  <c r="H128" i="14"/>
  <c r="M128" i="14"/>
  <c r="K128" i="14"/>
  <c r="P128" i="14"/>
  <c r="V128" i="13"/>
  <c r="V21" i="16"/>
  <c r="U21" i="17"/>
  <c r="K253" i="25"/>
  <c r="P114" i="11"/>
  <c r="M253" i="25" s="1"/>
  <c r="P134" i="11"/>
  <c r="M244" i="25" s="1"/>
  <c r="K244" i="25"/>
  <c r="O102" i="16"/>
  <c r="H102" i="16"/>
  <c r="Q102" i="16"/>
  <c r="E102" i="16"/>
  <c r="I102" i="16"/>
  <c r="J102" i="16"/>
  <c r="L102" i="16"/>
  <c r="U102" i="16"/>
  <c r="F102" i="16"/>
  <c r="G102" i="16"/>
  <c r="P102" i="16"/>
  <c r="K102" i="16"/>
  <c r="M102" i="16"/>
  <c r="N102" i="16"/>
  <c r="K236" i="25"/>
  <c r="P126" i="11"/>
  <c r="M236" i="25" s="1"/>
  <c r="Q31" i="16"/>
  <c r="P85" i="11"/>
  <c r="M190" i="25" s="1"/>
  <c r="K190" i="25"/>
  <c r="V102" i="14"/>
  <c r="V133" i="14"/>
  <c r="N126" i="14"/>
  <c r="G126" i="14"/>
  <c r="Q126" i="14"/>
  <c r="M126" i="14"/>
  <c r="F126" i="14"/>
  <c r="U126" i="14"/>
  <c r="H126" i="14"/>
  <c r="E126" i="14"/>
  <c r="K126" i="14"/>
  <c r="O126" i="14"/>
  <c r="J126" i="14"/>
  <c r="I126" i="14"/>
  <c r="L126" i="14"/>
  <c r="P126" i="14"/>
  <c r="V126" i="13"/>
  <c r="L97" i="11"/>
  <c r="G224" i="25"/>
  <c r="G225" i="25" s="1"/>
  <c r="G295" i="25" s="1"/>
  <c r="K97" i="13"/>
  <c r="H97" i="13"/>
  <c r="J97" i="13"/>
  <c r="N97" i="13"/>
  <c r="G97" i="13"/>
  <c r="Q97" i="13"/>
  <c r="Q99" i="13" s="1"/>
  <c r="O97" i="13"/>
  <c r="E97" i="13"/>
  <c r="P97" i="13"/>
  <c r="F97" i="13"/>
  <c r="L97" i="13"/>
  <c r="M97" i="13"/>
  <c r="I97" i="13"/>
  <c r="K252" i="25"/>
  <c r="P113" i="11"/>
  <c r="M252" i="25" s="1"/>
  <c r="H123" i="14"/>
  <c r="F123" i="14"/>
  <c r="O123" i="14"/>
  <c r="N123" i="14"/>
  <c r="P123" i="14"/>
  <c r="M123" i="14"/>
  <c r="J123" i="14"/>
  <c r="G123" i="14"/>
  <c r="I123" i="14"/>
  <c r="U123" i="14"/>
  <c r="K123" i="14"/>
  <c r="Q123" i="14"/>
  <c r="E123" i="14"/>
  <c r="L123" i="14"/>
  <c r="V123" i="13"/>
  <c r="S21" i="17"/>
  <c r="L15" i="17"/>
  <c r="P109" i="11"/>
  <c r="M270" i="25" s="1"/>
  <c r="K270" i="25"/>
  <c r="F122" i="14"/>
  <c r="H122" i="14"/>
  <c r="J122" i="14"/>
  <c r="U122" i="14"/>
  <c r="N122" i="14"/>
  <c r="E122" i="14"/>
  <c r="G122" i="14"/>
  <c r="L122" i="14"/>
  <c r="M122" i="14"/>
  <c r="K122" i="14"/>
  <c r="O122" i="14"/>
  <c r="Q122" i="14"/>
  <c r="I122" i="14"/>
  <c r="P122" i="14"/>
  <c r="V122" i="13"/>
  <c r="N105" i="14"/>
  <c r="K105" i="14"/>
  <c r="L105" i="14"/>
  <c r="F105" i="14"/>
  <c r="J105" i="14"/>
  <c r="H105" i="14"/>
  <c r="M105" i="14"/>
  <c r="I105" i="14"/>
  <c r="G105" i="14"/>
  <c r="U105" i="14"/>
  <c r="E105" i="14"/>
  <c r="O105" i="14"/>
  <c r="P105" i="14"/>
  <c r="Q105" i="14"/>
  <c r="V105" i="13"/>
  <c r="H117" i="14"/>
  <c r="G117" i="14"/>
  <c r="P117" i="14"/>
  <c r="N117" i="14"/>
  <c r="M117" i="14"/>
  <c r="U117" i="14"/>
  <c r="Q117" i="14"/>
  <c r="F117" i="14"/>
  <c r="K117" i="14"/>
  <c r="I117" i="14"/>
  <c r="L117" i="14"/>
  <c r="O117" i="14"/>
  <c r="J117" i="14"/>
  <c r="E117" i="14"/>
  <c r="V117" i="13"/>
  <c r="K269" i="25"/>
  <c r="P108" i="11"/>
  <c r="M269" i="25" s="1"/>
  <c r="J103" i="14"/>
  <c r="E103" i="14"/>
  <c r="L103" i="14"/>
  <c r="U103" i="14"/>
  <c r="M103" i="14"/>
  <c r="P103" i="14"/>
  <c r="K103" i="14"/>
  <c r="Q103" i="14"/>
  <c r="I103" i="14"/>
  <c r="H103" i="14"/>
  <c r="F103" i="14"/>
  <c r="G103" i="14"/>
  <c r="O103" i="14"/>
  <c r="N103" i="14"/>
  <c r="V103" i="13"/>
  <c r="P104" i="11"/>
  <c r="M265" i="25" s="1"/>
  <c r="K265" i="25"/>
  <c r="P123" i="11"/>
  <c r="M233" i="25" s="1"/>
  <c r="K233" i="25"/>
  <c r="M31" i="25"/>
  <c r="P138" i="14"/>
  <c r="K138" i="14"/>
  <c r="I138" i="14"/>
  <c r="L138" i="14"/>
  <c r="U138" i="14"/>
  <c r="O138" i="14"/>
  <c r="N138" i="14"/>
  <c r="F138" i="14"/>
  <c r="H138" i="14"/>
  <c r="Q138" i="14"/>
  <c r="M138" i="14"/>
  <c r="J138" i="14"/>
  <c r="G138" i="14"/>
  <c r="E138" i="14"/>
  <c r="V138" i="13"/>
  <c r="V139" i="13" s="1"/>
  <c r="K232" i="25"/>
  <c r="P122" i="11"/>
  <c r="M232" i="25" s="1"/>
  <c r="K191" i="25"/>
  <c r="P86" i="11"/>
  <c r="M191" i="25" s="1"/>
  <c r="N139" i="11"/>
  <c r="P138" i="11"/>
  <c r="P139" i="11" s="1"/>
  <c r="K255" i="25"/>
  <c r="P116" i="11"/>
  <c r="M255" i="25" s="1"/>
  <c r="P96" i="11"/>
  <c r="M223" i="25" s="1"/>
  <c r="K223" i="25"/>
  <c r="P129" i="11"/>
  <c r="M239" i="25" s="1"/>
  <c r="K239" i="25"/>
  <c r="M84" i="25"/>
  <c r="S151" i="13"/>
  <c r="J155" i="11" s="1"/>
  <c r="H15" i="17"/>
  <c r="I276" i="25"/>
  <c r="I278" i="25" s="1"/>
  <c r="I299" i="25" s="1"/>
  <c r="I99" i="25"/>
  <c r="G192" i="25"/>
  <c r="S214" i="25" s="1"/>
  <c r="L88" i="11"/>
  <c r="J88" i="13"/>
  <c r="F88" i="13"/>
  <c r="I88" i="13"/>
  <c r="K88" i="13"/>
  <c r="N88" i="13"/>
  <c r="H88" i="13"/>
  <c r="L88" i="13"/>
  <c r="Q88" i="13"/>
  <c r="O88" i="13"/>
  <c r="E88" i="13"/>
  <c r="P88" i="13"/>
  <c r="G88" i="13"/>
  <c r="M88" i="13"/>
  <c r="H87" i="16"/>
  <c r="N87" i="16"/>
  <c r="Q87" i="16"/>
  <c r="U87" i="16"/>
  <c r="M87" i="16"/>
  <c r="F87" i="16"/>
  <c r="O87" i="16"/>
  <c r="K87" i="16"/>
  <c r="L87" i="16"/>
  <c r="G87" i="16"/>
  <c r="I87" i="16"/>
  <c r="J87" i="16"/>
  <c r="E87" i="16"/>
  <c r="P87" i="16"/>
  <c r="M65" i="25"/>
  <c r="M71" i="25" s="1"/>
  <c r="P102" i="11"/>
  <c r="M263" i="25" s="1"/>
  <c r="K263" i="25"/>
  <c r="U28" i="17"/>
  <c r="V28" i="16"/>
  <c r="K185" i="25"/>
  <c r="P81" i="11"/>
  <c r="S139" i="13"/>
  <c r="K186" i="25"/>
  <c r="P82" i="11"/>
  <c r="M186" i="25" s="1"/>
  <c r="E141" i="13"/>
  <c r="E15" i="17"/>
  <c r="S13" i="17"/>
  <c r="V13" i="17" s="1"/>
  <c r="K251" i="25"/>
  <c r="P112" i="11"/>
  <c r="N118" i="11"/>
  <c r="K97" i="25" s="1"/>
  <c r="K193" i="25"/>
  <c r="P89" i="11"/>
  <c r="M193" i="25" s="1"/>
  <c r="O86" i="14"/>
  <c r="I86" i="14"/>
  <c r="E86" i="14"/>
  <c r="J86" i="14"/>
  <c r="K86" i="14"/>
  <c r="M86" i="14"/>
  <c r="F86" i="14"/>
  <c r="L86" i="14"/>
  <c r="Q86" i="14"/>
  <c r="G86" i="14"/>
  <c r="H86" i="14"/>
  <c r="U86" i="14"/>
  <c r="P86" i="14"/>
  <c r="N86" i="14"/>
  <c r="V86" i="13"/>
  <c r="G46" i="17"/>
  <c r="V46" i="16"/>
  <c r="F46" i="17"/>
  <c r="U46" i="17"/>
  <c r="J46" i="17"/>
  <c r="J50" i="17" s="1"/>
  <c r="K46" i="17"/>
  <c r="H46" i="17"/>
  <c r="E46" i="17"/>
  <c r="O46" i="17"/>
  <c r="N46" i="17"/>
  <c r="M46" i="17"/>
  <c r="P46" i="17"/>
  <c r="I46" i="17"/>
  <c r="L46" i="17"/>
  <c r="U23" i="17"/>
  <c r="V23" i="16"/>
  <c r="U127" i="14"/>
  <c r="J127" i="14"/>
  <c r="I127" i="14"/>
  <c r="H127" i="14"/>
  <c r="N127" i="14"/>
  <c r="M127" i="14"/>
  <c r="L127" i="14"/>
  <c r="E127" i="14"/>
  <c r="P127" i="14"/>
  <c r="F127" i="14"/>
  <c r="Q127" i="14"/>
  <c r="O127" i="14"/>
  <c r="G127" i="14"/>
  <c r="K127" i="14"/>
  <c r="V127" i="13"/>
  <c r="P105" i="11"/>
  <c r="M266" i="25" s="1"/>
  <c r="K266" i="25"/>
  <c r="V31" i="14"/>
  <c r="S110" i="13"/>
  <c r="K237" i="25"/>
  <c r="P127" i="11"/>
  <c r="M237" i="25" s="1"/>
  <c r="G15" i="17"/>
  <c r="H83" i="11"/>
  <c r="V83" i="5"/>
  <c r="V90" i="5" s="1"/>
  <c r="U83" i="13"/>
  <c r="Y83" i="5"/>
  <c r="Y90" i="5" s="1"/>
  <c r="S92" i="14" l="1"/>
  <c r="S135" i="16"/>
  <c r="V135" i="16" s="1"/>
  <c r="S82" i="14"/>
  <c r="S95" i="14"/>
  <c r="I40" i="14"/>
  <c r="K40" i="14"/>
  <c r="Q34" i="14"/>
  <c r="Q40" i="14" s="1"/>
  <c r="G40" i="14"/>
  <c r="P40" i="14"/>
  <c r="S132" i="14"/>
  <c r="N40" i="14"/>
  <c r="H40" i="14"/>
  <c r="O40" i="14"/>
  <c r="M40" i="14"/>
  <c r="L40" i="14"/>
  <c r="J40" i="14"/>
  <c r="S94" i="14"/>
  <c r="S129" i="14"/>
  <c r="N50" i="17"/>
  <c r="E50" i="17"/>
  <c r="S107" i="16"/>
  <c r="K107" i="17" s="1"/>
  <c r="S109" i="14"/>
  <c r="V109" i="14" s="1"/>
  <c r="AC178" i="5"/>
  <c r="S134" i="14"/>
  <c r="S89" i="14"/>
  <c r="O29" i="17"/>
  <c r="O31" i="17" s="1"/>
  <c r="F29" i="17"/>
  <c r="F31" i="17" s="1"/>
  <c r="N29" i="17"/>
  <c r="N31" i="17" s="1"/>
  <c r="J29" i="17"/>
  <c r="J31" i="17" s="1"/>
  <c r="G29" i="17"/>
  <c r="G31" i="17" s="1"/>
  <c r="M29" i="17"/>
  <c r="M31" i="17" s="1"/>
  <c r="L29" i="17"/>
  <c r="L31" i="17" s="1"/>
  <c r="U29" i="17"/>
  <c r="U31" i="17" s="1"/>
  <c r="P29" i="17"/>
  <c r="P31" i="17" s="1"/>
  <c r="K29" i="17"/>
  <c r="K31" i="17" s="1"/>
  <c r="I29" i="17"/>
  <c r="I31" i="17" s="1"/>
  <c r="E29" i="17"/>
  <c r="V29" i="16"/>
  <c r="V31" i="16" s="1"/>
  <c r="H29" i="17"/>
  <c r="H31" i="17" s="1"/>
  <c r="M50" i="17"/>
  <c r="E43" i="25"/>
  <c r="L50" i="17"/>
  <c r="K50" i="17"/>
  <c r="O50" i="17"/>
  <c r="S93" i="16"/>
  <c r="N93" i="17" s="1"/>
  <c r="F50" i="17"/>
  <c r="H50" i="17"/>
  <c r="Q19" i="5"/>
  <c r="U47" i="17"/>
  <c r="U50" i="17" s="1"/>
  <c r="V37" i="17"/>
  <c r="S116" i="16"/>
  <c r="K116" i="17" s="1"/>
  <c r="S42" i="17"/>
  <c r="V42" i="17" s="1"/>
  <c r="G50" i="17"/>
  <c r="V37" i="16"/>
  <c r="V25" i="17"/>
  <c r="V23" i="17"/>
  <c r="I50" i="17"/>
  <c r="P50" i="17"/>
  <c r="S47" i="17"/>
  <c r="L125" i="13"/>
  <c r="G188" i="25"/>
  <c r="G235" i="25"/>
  <c r="M125" i="13"/>
  <c r="N125" i="13"/>
  <c r="L125" i="11"/>
  <c r="S124" i="14"/>
  <c r="O124" i="16" s="1"/>
  <c r="V24" i="17"/>
  <c r="S127" i="14"/>
  <c r="H127" i="16" s="1"/>
  <c r="V28" i="17"/>
  <c r="Q31" i="17"/>
  <c r="K99" i="25"/>
  <c r="K276" i="25"/>
  <c r="K278" i="25" s="1"/>
  <c r="K299" i="25" s="1"/>
  <c r="G151" i="14"/>
  <c r="G139" i="14"/>
  <c r="P151" i="14"/>
  <c r="P139" i="14"/>
  <c r="S126" i="14"/>
  <c r="G118" i="14"/>
  <c r="S114" i="16"/>
  <c r="V114" i="16" s="1"/>
  <c r="V14" i="5"/>
  <c r="U14" i="13"/>
  <c r="Y14" i="5"/>
  <c r="F110" i="14"/>
  <c r="J151" i="14"/>
  <c r="J139" i="14"/>
  <c r="K118" i="14"/>
  <c r="L110" i="14"/>
  <c r="G43" i="25"/>
  <c r="L18" i="11"/>
  <c r="G18" i="13"/>
  <c r="G19" i="13" s="1"/>
  <c r="F18" i="13"/>
  <c r="F19" i="13" s="1"/>
  <c r="K18" i="13"/>
  <c r="K19" i="13" s="1"/>
  <c r="I18" i="13"/>
  <c r="I19" i="13" s="1"/>
  <c r="H18" i="13"/>
  <c r="H19" i="13" s="1"/>
  <c r="E18" i="13"/>
  <c r="J18" i="13"/>
  <c r="J19" i="13" s="1"/>
  <c r="J15" i="11"/>
  <c r="M151" i="14"/>
  <c r="M139" i="14"/>
  <c r="M287" i="25"/>
  <c r="M230" i="25"/>
  <c r="M262" i="25"/>
  <c r="M271" i="25" s="1"/>
  <c r="M296" i="25" s="1"/>
  <c r="P110" i="11"/>
  <c r="M96" i="25" s="1"/>
  <c r="Q118" i="14"/>
  <c r="O110" i="14"/>
  <c r="M251" i="25"/>
  <c r="M257" i="25" s="1"/>
  <c r="M297" i="25" s="1"/>
  <c r="P118" i="11"/>
  <c r="M97" i="25" s="1"/>
  <c r="S87" i="16"/>
  <c r="Q139" i="14"/>
  <c r="Q151" i="14"/>
  <c r="S128" i="14"/>
  <c r="P84" i="11"/>
  <c r="M189" i="25" s="1"/>
  <c r="K189" i="25"/>
  <c r="S17" i="14"/>
  <c r="S108" i="14"/>
  <c r="P118" i="14"/>
  <c r="V50" i="16"/>
  <c r="V110" i="13"/>
  <c r="K110" i="14"/>
  <c r="S96" i="14"/>
  <c r="V96" i="14" s="1"/>
  <c r="U90" i="13"/>
  <c r="M185" i="25"/>
  <c r="K20" i="24"/>
  <c r="H151" i="14"/>
  <c r="H139" i="14"/>
  <c r="S117" i="14"/>
  <c r="I224" i="25"/>
  <c r="I225" i="25" s="1"/>
  <c r="I295" i="25" s="1"/>
  <c r="N97" i="11"/>
  <c r="K271" i="25"/>
  <c r="K296" i="25" s="1"/>
  <c r="N118" i="14"/>
  <c r="P110" i="14"/>
  <c r="N110" i="14"/>
  <c r="N88" i="11"/>
  <c r="I192" i="25"/>
  <c r="U214" i="25" s="1"/>
  <c r="F151" i="14"/>
  <c r="F139" i="14"/>
  <c r="V21" i="17"/>
  <c r="E1150" i="9"/>
  <c r="F1150" i="9" s="1"/>
  <c r="O142" i="5"/>
  <c r="M20" i="26"/>
  <c r="O20" i="26" s="1"/>
  <c r="S141" i="5"/>
  <c r="H118" i="14"/>
  <c r="S104" i="14"/>
  <c r="S113" i="16"/>
  <c r="V113" i="16" s="1"/>
  <c r="G110" i="14"/>
  <c r="I110" i="14"/>
  <c r="N139" i="14"/>
  <c r="N151" i="14"/>
  <c r="S97" i="13"/>
  <c r="S81" i="16"/>
  <c r="S115" i="14"/>
  <c r="V115" i="14" s="1"/>
  <c r="V33" i="17"/>
  <c r="K257" i="25"/>
  <c r="K297" i="25" s="1"/>
  <c r="J110" i="14"/>
  <c r="I84" i="14"/>
  <c r="L84" i="14"/>
  <c r="N84" i="14"/>
  <c r="J84" i="14"/>
  <c r="K84" i="14"/>
  <c r="O84" i="14"/>
  <c r="E84" i="14"/>
  <c r="M84" i="14"/>
  <c r="H84" i="14"/>
  <c r="G84" i="14"/>
  <c r="U84" i="14"/>
  <c r="P84" i="14"/>
  <c r="F84" i="14"/>
  <c r="Q84" i="14"/>
  <c r="V84" i="13"/>
  <c r="J83" i="11"/>
  <c r="E187" i="25"/>
  <c r="E194" i="25" s="1"/>
  <c r="E294" i="25" s="1"/>
  <c r="H90" i="11"/>
  <c r="S86" i="14"/>
  <c r="V86" i="14" s="1"/>
  <c r="S88" i="13"/>
  <c r="O139" i="14"/>
  <c r="O151" i="14"/>
  <c r="S122" i="14"/>
  <c r="M118" i="14"/>
  <c r="I118" i="14"/>
  <c r="U110" i="14"/>
  <c r="E142" i="13"/>
  <c r="U139" i="14"/>
  <c r="S102" i="16"/>
  <c r="S112" i="14"/>
  <c r="V112" i="14" s="1"/>
  <c r="E118" i="14"/>
  <c r="F118" i="14"/>
  <c r="S85" i="14"/>
  <c r="V85" i="14" s="1"/>
  <c r="Q110" i="14"/>
  <c r="S16" i="13"/>
  <c r="L151" i="14"/>
  <c r="L139" i="14"/>
  <c r="S123" i="14"/>
  <c r="S120" i="14"/>
  <c r="V118" i="13"/>
  <c r="J118" i="14"/>
  <c r="M110" i="14"/>
  <c r="I151" i="14"/>
  <c r="I139" i="14"/>
  <c r="V133" i="16"/>
  <c r="M219" i="25"/>
  <c r="U118" i="14"/>
  <c r="L118" i="14"/>
  <c r="H110" i="14"/>
  <c r="S46" i="17"/>
  <c r="V46" i="17" s="1"/>
  <c r="M276" i="25"/>
  <c r="M278" i="25" s="1"/>
  <c r="M299" i="25" s="1"/>
  <c r="M99" i="25"/>
  <c r="E139" i="14"/>
  <c r="E151" i="14"/>
  <c r="S138" i="14"/>
  <c r="V138" i="14" s="1"/>
  <c r="V139" i="14" s="1"/>
  <c r="K139" i="14"/>
  <c r="K151" i="14"/>
  <c r="S103" i="14"/>
  <c r="S105" i="14"/>
  <c r="O118" i="14"/>
  <c r="E110" i="14"/>
  <c r="S101" i="14"/>
  <c r="V101" i="14" s="1"/>
  <c r="S40" i="14" l="1"/>
  <c r="P82" i="16"/>
  <c r="E82" i="16"/>
  <c r="L82" i="16"/>
  <c r="I82" i="16"/>
  <c r="G82" i="16"/>
  <c r="Q82" i="16"/>
  <c r="U82" i="16"/>
  <c r="O82" i="16"/>
  <c r="H82" i="16"/>
  <c r="V82" i="14"/>
  <c r="K82" i="16"/>
  <c r="N82" i="16"/>
  <c r="F82" i="16"/>
  <c r="M82" i="16"/>
  <c r="J82" i="16"/>
  <c r="O135" i="17"/>
  <c r="E135" i="17"/>
  <c r="M135" i="17"/>
  <c r="I135" i="17"/>
  <c r="L135" i="17"/>
  <c r="U135" i="17"/>
  <c r="P135" i="17"/>
  <c r="J135" i="17"/>
  <c r="K135" i="17"/>
  <c r="G135" i="17"/>
  <c r="F135" i="17"/>
  <c r="H135" i="17"/>
  <c r="Q135" i="17"/>
  <c r="N135" i="17"/>
  <c r="V95" i="14"/>
  <c r="K95" i="16"/>
  <c r="J95" i="16"/>
  <c r="U95" i="16"/>
  <c r="P95" i="16"/>
  <c r="L95" i="16"/>
  <c r="Q95" i="16"/>
  <c r="I95" i="16"/>
  <c r="H95" i="16"/>
  <c r="F95" i="16"/>
  <c r="M95" i="16"/>
  <c r="O95" i="16"/>
  <c r="E95" i="16"/>
  <c r="N95" i="16"/>
  <c r="G95" i="16"/>
  <c r="V92" i="14"/>
  <c r="M92" i="16"/>
  <c r="H92" i="16"/>
  <c r="G92" i="16"/>
  <c r="U92" i="16"/>
  <c r="L92" i="16"/>
  <c r="Q92" i="16"/>
  <c r="F92" i="16"/>
  <c r="O92" i="16"/>
  <c r="P92" i="16"/>
  <c r="I92" i="16"/>
  <c r="E92" i="16"/>
  <c r="K92" i="16"/>
  <c r="J92" i="16"/>
  <c r="N92" i="16"/>
  <c r="S34" i="14"/>
  <c r="V94" i="14"/>
  <c r="K94" i="16"/>
  <c r="O94" i="16"/>
  <c r="N94" i="16"/>
  <c r="U94" i="16"/>
  <c r="E94" i="16"/>
  <c r="F94" i="16"/>
  <c r="L94" i="16"/>
  <c r="H94" i="16"/>
  <c r="I94" i="16"/>
  <c r="P94" i="16"/>
  <c r="J94" i="16"/>
  <c r="Q94" i="16"/>
  <c r="G94" i="16"/>
  <c r="M94" i="16"/>
  <c r="J34" i="16"/>
  <c r="V132" i="14"/>
  <c r="U132" i="16"/>
  <c r="E132" i="16"/>
  <c r="J132" i="16"/>
  <c r="K132" i="16"/>
  <c r="M132" i="16"/>
  <c r="F132" i="16"/>
  <c r="Q132" i="16"/>
  <c r="H132" i="16"/>
  <c r="I132" i="16"/>
  <c r="P132" i="16"/>
  <c r="O132" i="16"/>
  <c r="G132" i="16"/>
  <c r="L132" i="16"/>
  <c r="N132" i="16"/>
  <c r="K34" i="16"/>
  <c r="M34" i="16"/>
  <c r="H34" i="16"/>
  <c r="P34" i="16"/>
  <c r="G34" i="16"/>
  <c r="E26" i="24"/>
  <c r="G26" i="24" s="1"/>
  <c r="J107" i="17"/>
  <c r="M107" i="17"/>
  <c r="P107" i="17"/>
  <c r="E107" i="17"/>
  <c r="Q107" i="17"/>
  <c r="H107" i="17"/>
  <c r="F107" i="17"/>
  <c r="V107" i="16"/>
  <c r="N107" i="17"/>
  <c r="I107" i="17"/>
  <c r="U107" i="17"/>
  <c r="O107" i="17"/>
  <c r="G107" i="17"/>
  <c r="L107" i="17"/>
  <c r="V129" i="14"/>
  <c r="L129" i="16"/>
  <c r="M129" i="16"/>
  <c r="U129" i="16"/>
  <c r="H129" i="16"/>
  <c r="E129" i="16"/>
  <c r="N129" i="16"/>
  <c r="F129" i="16"/>
  <c r="J129" i="16"/>
  <c r="G129" i="16"/>
  <c r="I129" i="16"/>
  <c r="P129" i="16"/>
  <c r="O129" i="16"/>
  <c r="Q129" i="16"/>
  <c r="K129" i="16"/>
  <c r="P109" i="16"/>
  <c r="N109" i="16"/>
  <c r="F109" i="16"/>
  <c r="K109" i="16"/>
  <c r="L109" i="16"/>
  <c r="H109" i="16"/>
  <c r="G109" i="16"/>
  <c r="O109" i="16"/>
  <c r="E109" i="16"/>
  <c r="M109" i="16"/>
  <c r="I109" i="16"/>
  <c r="Q109" i="16"/>
  <c r="U109" i="16"/>
  <c r="J109" i="16"/>
  <c r="V134" i="14"/>
  <c r="P134" i="16"/>
  <c r="U134" i="16"/>
  <c r="Q134" i="16"/>
  <c r="G134" i="16"/>
  <c r="L134" i="16"/>
  <c r="E134" i="16"/>
  <c r="N134" i="16"/>
  <c r="K134" i="16"/>
  <c r="I134" i="16"/>
  <c r="J134" i="16"/>
  <c r="O134" i="16"/>
  <c r="F134" i="16"/>
  <c r="M134" i="16"/>
  <c r="H134" i="16"/>
  <c r="P89" i="16"/>
  <c r="J89" i="16"/>
  <c r="M89" i="16"/>
  <c r="N89" i="16"/>
  <c r="H89" i="16"/>
  <c r="I89" i="16"/>
  <c r="K89" i="16"/>
  <c r="E89" i="16"/>
  <c r="O89" i="16"/>
  <c r="L89" i="16"/>
  <c r="Q89" i="16"/>
  <c r="U89" i="16"/>
  <c r="G89" i="16"/>
  <c r="F89" i="16"/>
  <c r="V89" i="14"/>
  <c r="S29" i="17"/>
  <c r="E31" i="17"/>
  <c r="H116" i="17"/>
  <c r="M116" i="17"/>
  <c r="O116" i="17"/>
  <c r="F127" i="16"/>
  <c r="L116" i="17"/>
  <c r="P116" i="17"/>
  <c r="E116" i="17"/>
  <c r="V127" i="14"/>
  <c r="Q116" i="17"/>
  <c r="I116" i="17"/>
  <c r="N116" i="17"/>
  <c r="Q127" i="16"/>
  <c r="V116" i="16"/>
  <c r="J116" i="17"/>
  <c r="U116" i="17"/>
  <c r="G116" i="17"/>
  <c r="F116" i="17"/>
  <c r="V47" i="17"/>
  <c r="V50" i="17" s="1"/>
  <c r="G127" i="16"/>
  <c r="O93" i="17"/>
  <c r="P93" i="17"/>
  <c r="L93" i="17"/>
  <c r="V93" i="16"/>
  <c r="K93" i="17"/>
  <c r="J93" i="17"/>
  <c r="M93" i="17"/>
  <c r="Q93" i="17"/>
  <c r="E93" i="17"/>
  <c r="H93" i="17"/>
  <c r="U93" i="17"/>
  <c r="N124" i="16"/>
  <c r="F93" i="17"/>
  <c r="G93" i="17"/>
  <c r="I93" i="17"/>
  <c r="S15" i="5"/>
  <c r="V15" i="5" s="1"/>
  <c r="V19" i="5" s="1"/>
  <c r="V52" i="5" s="1"/>
  <c r="E1365" i="9"/>
  <c r="F1365" i="9" s="1"/>
  <c r="L124" i="16"/>
  <c r="S50" i="17"/>
  <c r="G124" i="16"/>
  <c r="P124" i="16"/>
  <c r="K127" i="16"/>
  <c r="N127" i="16"/>
  <c r="E124" i="16"/>
  <c r="F124" i="16"/>
  <c r="I124" i="16"/>
  <c r="H124" i="16"/>
  <c r="U124" i="16"/>
  <c r="Q124" i="16"/>
  <c r="J124" i="16"/>
  <c r="V124" i="14"/>
  <c r="M124" i="16"/>
  <c r="K124" i="16"/>
  <c r="J127" i="16"/>
  <c r="I235" i="25"/>
  <c r="N125" i="11"/>
  <c r="I188" i="25"/>
  <c r="M127" i="16"/>
  <c r="I127" i="16"/>
  <c r="U127" i="16"/>
  <c r="E127" i="16"/>
  <c r="P127" i="16"/>
  <c r="L127" i="16"/>
  <c r="S125" i="13"/>
  <c r="O127" i="16"/>
  <c r="P18" i="13"/>
  <c r="N18" i="13"/>
  <c r="Y141" i="5"/>
  <c r="Y142" i="5" s="1"/>
  <c r="V141" i="5"/>
  <c r="V142" i="5" s="1"/>
  <c r="U141" i="13"/>
  <c r="H141" i="11"/>
  <c r="H87" i="17"/>
  <c r="O87" i="17"/>
  <c r="L87" i="17"/>
  <c r="G87" i="17"/>
  <c r="M87" i="17"/>
  <c r="E87" i="17"/>
  <c r="Q87" i="17"/>
  <c r="P87" i="17"/>
  <c r="U87" i="17"/>
  <c r="N87" i="17"/>
  <c r="I87" i="17"/>
  <c r="J87" i="17"/>
  <c r="K87" i="17"/>
  <c r="F87" i="17"/>
  <c r="G131" i="13"/>
  <c r="G52" i="13"/>
  <c r="Q81" i="17"/>
  <c r="O81" i="17"/>
  <c r="E81" i="17"/>
  <c r="U81" i="17"/>
  <c r="F81" i="17"/>
  <c r="N81" i="17"/>
  <c r="J81" i="17"/>
  <c r="M81" i="17"/>
  <c r="L81" i="17"/>
  <c r="G81" i="17"/>
  <c r="I81" i="17"/>
  <c r="H81" i="17"/>
  <c r="K81" i="17"/>
  <c r="P81" i="17"/>
  <c r="P97" i="11"/>
  <c r="K224" i="25"/>
  <c r="K225" i="25" s="1"/>
  <c r="K295" i="25" s="1"/>
  <c r="E17" i="16"/>
  <c r="V17" i="14"/>
  <c r="M17" i="16"/>
  <c r="P17" i="16"/>
  <c r="N17" i="16"/>
  <c r="H17" i="16"/>
  <c r="Q17" i="17"/>
  <c r="I17" i="16"/>
  <c r="O17" i="16"/>
  <c r="L17" i="16"/>
  <c r="J17" i="16"/>
  <c r="Q17" i="16"/>
  <c r="K17" i="16"/>
  <c r="G17" i="16"/>
  <c r="U17" i="16"/>
  <c r="F17" i="16"/>
  <c r="J122" i="16"/>
  <c r="U122" i="16"/>
  <c r="L122" i="16"/>
  <c r="F122" i="16"/>
  <c r="P122" i="16"/>
  <c r="Q122" i="16"/>
  <c r="O122" i="16"/>
  <c r="E122" i="16"/>
  <c r="K122" i="16"/>
  <c r="H122" i="16"/>
  <c r="G122" i="16"/>
  <c r="I122" i="16"/>
  <c r="N122" i="16"/>
  <c r="M122" i="16"/>
  <c r="S142" i="5"/>
  <c r="K192" i="25"/>
  <c r="W214" i="25" s="1"/>
  <c r="P88" i="11"/>
  <c r="M192" i="25" s="1"/>
  <c r="Y214" i="25" s="1"/>
  <c r="L18" i="13"/>
  <c r="F152" i="13"/>
  <c r="Q52" i="5"/>
  <c r="V126" i="14"/>
  <c r="E126" i="16"/>
  <c r="J126" i="16"/>
  <c r="U126" i="16"/>
  <c r="F126" i="16"/>
  <c r="Q126" i="16"/>
  <c r="I126" i="16"/>
  <c r="G126" i="16"/>
  <c r="N126" i="16"/>
  <c r="L126" i="16"/>
  <c r="H126" i="16"/>
  <c r="O126" i="16"/>
  <c r="K126" i="16"/>
  <c r="P126" i="16"/>
  <c r="M126" i="16"/>
  <c r="P104" i="16"/>
  <c r="L104" i="16"/>
  <c r="H104" i="16"/>
  <c r="I104" i="16"/>
  <c r="F104" i="16"/>
  <c r="U104" i="16"/>
  <c r="J104" i="16"/>
  <c r="K104" i="16"/>
  <c r="O104" i="16"/>
  <c r="G104" i="16"/>
  <c r="E104" i="16"/>
  <c r="Q104" i="16"/>
  <c r="N104" i="16"/>
  <c r="M104" i="16"/>
  <c r="U101" i="16"/>
  <c r="F101" i="16"/>
  <c r="J101" i="16"/>
  <c r="P101" i="16"/>
  <c r="O101" i="16"/>
  <c r="E101" i="16"/>
  <c r="G101" i="16"/>
  <c r="K101" i="16"/>
  <c r="N101" i="16"/>
  <c r="M101" i="16"/>
  <c r="Q101" i="16"/>
  <c r="H101" i="16"/>
  <c r="I101" i="16"/>
  <c r="L101" i="16"/>
  <c r="O123" i="16"/>
  <c r="F123" i="16"/>
  <c r="I123" i="16"/>
  <c r="K123" i="16"/>
  <c r="Q123" i="16"/>
  <c r="J123" i="16"/>
  <c r="U123" i="16"/>
  <c r="P123" i="16"/>
  <c r="E123" i="16"/>
  <c r="H123" i="16"/>
  <c r="G123" i="16"/>
  <c r="L123" i="16"/>
  <c r="M123" i="16"/>
  <c r="N123" i="16"/>
  <c r="V102" i="16"/>
  <c r="I102" i="17"/>
  <c r="M102" i="17"/>
  <c r="H102" i="17"/>
  <c r="L102" i="17"/>
  <c r="F102" i="17"/>
  <c r="P102" i="17"/>
  <c r="Q102" i="17"/>
  <c r="E102" i="17"/>
  <c r="J102" i="17"/>
  <c r="U102" i="17"/>
  <c r="O102" i="17"/>
  <c r="G102" i="17"/>
  <c r="N102" i="17"/>
  <c r="K102" i="17"/>
  <c r="V104" i="14"/>
  <c r="P117" i="16"/>
  <c r="K117" i="16"/>
  <c r="L117" i="16"/>
  <c r="I117" i="16"/>
  <c r="Q117" i="16"/>
  <c r="E117" i="16"/>
  <c r="G117" i="16"/>
  <c r="O117" i="16"/>
  <c r="U117" i="16"/>
  <c r="N117" i="16"/>
  <c r="J117" i="16"/>
  <c r="H117" i="16"/>
  <c r="M117" i="16"/>
  <c r="F117" i="16"/>
  <c r="N96" i="16"/>
  <c r="Q96" i="16"/>
  <c r="K96" i="16"/>
  <c r="U96" i="16"/>
  <c r="E96" i="16"/>
  <c r="O96" i="16"/>
  <c r="M96" i="16"/>
  <c r="I96" i="16"/>
  <c r="F96" i="16"/>
  <c r="L96" i="16"/>
  <c r="G96" i="16"/>
  <c r="P96" i="16"/>
  <c r="J96" i="16"/>
  <c r="H96" i="16"/>
  <c r="G128" i="16"/>
  <c r="P128" i="16"/>
  <c r="E128" i="16"/>
  <c r="M128" i="16"/>
  <c r="O128" i="16"/>
  <c r="J128" i="16"/>
  <c r="Q128" i="16"/>
  <c r="I128" i="16"/>
  <c r="K128" i="16"/>
  <c r="F128" i="16"/>
  <c r="U128" i="16"/>
  <c r="N128" i="16"/>
  <c r="H128" i="16"/>
  <c r="L128" i="16"/>
  <c r="O18" i="13"/>
  <c r="S110" i="14"/>
  <c r="I105" i="16"/>
  <c r="J105" i="16"/>
  <c r="G105" i="16"/>
  <c r="U105" i="16"/>
  <c r="L105" i="16"/>
  <c r="P105" i="16"/>
  <c r="E105" i="16"/>
  <c r="O105" i="16"/>
  <c r="K105" i="16"/>
  <c r="N105" i="16"/>
  <c r="M105" i="16"/>
  <c r="Q105" i="16"/>
  <c r="H105" i="16"/>
  <c r="F105" i="16"/>
  <c r="V122" i="14"/>
  <c r="U88" i="14"/>
  <c r="Q88" i="14"/>
  <c r="O88" i="14"/>
  <c r="H88" i="14"/>
  <c r="I88" i="14"/>
  <c r="J88" i="14"/>
  <c r="M88" i="14"/>
  <c r="F88" i="14"/>
  <c r="E88" i="14"/>
  <c r="N88" i="14"/>
  <c r="P88" i="14"/>
  <c r="K88" i="14"/>
  <c r="L88" i="14"/>
  <c r="G88" i="14"/>
  <c r="V88" i="13"/>
  <c r="K115" i="16"/>
  <c r="P115" i="16"/>
  <c r="F115" i="16"/>
  <c r="U115" i="16"/>
  <c r="Q115" i="16"/>
  <c r="M115" i="16"/>
  <c r="E115" i="16"/>
  <c r="G115" i="16"/>
  <c r="L115" i="16"/>
  <c r="J115" i="16"/>
  <c r="O115" i="16"/>
  <c r="H115" i="16"/>
  <c r="I115" i="16"/>
  <c r="N115" i="16"/>
  <c r="J19" i="11"/>
  <c r="G40" i="25"/>
  <c r="G44" i="25" s="1"/>
  <c r="M18" i="13"/>
  <c r="V123" i="14"/>
  <c r="V103" i="14"/>
  <c r="Q103" i="16"/>
  <c r="E103" i="16"/>
  <c r="U103" i="16"/>
  <c r="G103" i="16"/>
  <c r="P103" i="16"/>
  <c r="L103" i="16"/>
  <c r="M103" i="16"/>
  <c r="J103" i="16"/>
  <c r="O103" i="16"/>
  <c r="N103" i="16"/>
  <c r="F103" i="16"/>
  <c r="H103" i="16"/>
  <c r="K103" i="16"/>
  <c r="I103" i="16"/>
  <c r="O85" i="16"/>
  <c r="U85" i="16"/>
  <c r="P85" i="16"/>
  <c r="M85" i="16"/>
  <c r="N85" i="16"/>
  <c r="F85" i="16"/>
  <c r="K85" i="16"/>
  <c r="I85" i="16"/>
  <c r="E85" i="16"/>
  <c r="G85" i="16"/>
  <c r="J85" i="16"/>
  <c r="H85" i="16"/>
  <c r="L85" i="16"/>
  <c r="Q85" i="16"/>
  <c r="N86" i="16"/>
  <c r="Q86" i="16"/>
  <c r="L86" i="16"/>
  <c r="U86" i="16"/>
  <c r="E86" i="16"/>
  <c r="I86" i="16"/>
  <c r="K86" i="16"/>
  <c r="P86" i="16"/>
  <c r="M86" i="16"/>
  <c r="O86" i="16"/>
  <c r="J86" i="16"/>
  <c r="H86" i="16"/>
  <c r="G86" i="16"/>
  <c r="F86" i="16"/>
  <c r="J131" i="13"/>
  <c r="J52" i="13"/>
  <c r="V105" i="14"/>
  <c r="V87" i="16"/>
  <c r="E94" i="25"/>
  <c r="S84" i="14"/>
  <c r="E19" i="13"/>
  <c r="I43" i="25"/>
  <c r="N18" i="11"/>
  <c r="G18" i="14"/>
  <c r="G19" i="14" s="1"/>
  <c r="I18" i="14"/>
  <c r="I19" i="14" s="1"/>
  <c r="H18" i="14"/>
  <c r="H19" i="14" s="1"/>
  <c r="E18" i="14"/>
  <c r="J18" i="14"/>
  <c r="J19" i="14" s="1"/>
  <c r="K18" i="14"/>
  <c r="K19" i="14" s="1"/>
  <c r="F18" i="14"/>
  <c r="F19" i="14" s="1"/>
  <c r="L15" i="11"/>
  <c r="V117" i="14"/>
  <c r="V118" i="14" s="1"/>
  <c r="J120" i="16"/>
  <c r="E120" i="16"/>
  <c r="P120" i="16"/>
  <c r="F120" i="16"/>
  <c r="I120" i="16"/>
  <c r="N120" i="16"/>
  <c r="L120" i="16"/>
  <c r="M120" i="16"/>
  <c r="O120" i="16"/>
  <c r="G120" i="16"/>
  <c r="Q120" i="16"/>
  <c r="K120" i="16"/>
  <c r="U120" i="16"/>
  <c r="H120" i="16"/>
  <c r="V81" i="16"/>
  <c r="H52" i="13"/>
  <c r="H131" i="13"/>
  <c r="V128" i="14"/>
  <c r="E113" i="17"/>
  <c r="Q113" i="17"/>
  <c r="L113" i="17"/>
  <c r="N113" i="17"/>
  <c r="P113" i="17"/>
  <c r="J113" i="17"/>
  <c r="G113" i="17"/>
  <c r="M113" i="17"/>
  <c r="F113" i="17"/>
  <c r="I113" i="17"/>
  <c r="O113" i="17"/>
  <c r="K113" i="17"/>
  <c r="H113" i="17"/>
  <c r="U113" i="17"/>
  <c r="Q138" i="16"/>
  <c r="O138" i="16"/>
  <c r="F138" i="16"/>
  <c r="J138" i="16"/>
  <c r="I138" i="16"/>
  <c r="G138" i="16"/>
  <c r="E138" i="16"/>
  <c r="K138" i="16"/>
  <c r="P138" i="16"/>
  <c r="H138" i="16"/>
  <c r="U138" i="16"/>
  <c r="L138" i="16"/>
  <c r="N138" i="16"/>
  <c r="M138" i="16"/>
  <c r="S118" i="14"/>
  <c r="V120" i="14"/>
  <c r="L83" i="11"/>
  <c r="G187" i="25"/>
  <c r="G194" i="25" s="1"/>
  <c r="G294" i="25" s="1"/>
  <c r="J90" i="11"/>
  <c r="P83" i="13"/>
  <c r="P90" i="13" s="1"/>
  <c r="G83" i="13"/>
  <c r="G90" i="13" s="1"/>
  <c r="E83" i="13"/>
  <c r="L83" i="13"/>
  <c r="L90" i="13" s="1"/>
  <c r="M83" i="13"/>
  <c r="M90" i="13" s="1"/>
  <c r="J83" i="13"/>
  <c r="J90" i="13" s="1"/>
  <c r="N83" i="13"/>
  <c r="N90" i="13" s="1"/>
  <c r="F83" i="13"/>
  <c r="F90" i="13" s="1"/>
  <c r="O83" i="13"/>
  <c r="O90" i="13" s="1"/>
  <c r="K83" i="13"/>
  <c r="K90" i="13" s="1"/>
  <c r="Q83" i="13"/>
  <c r="Q90" i="13" s="1"/>
  <c r="I83" i="13"/>
  <c r="I90" i="13" s="1"/>
  <c r="H83" i="13"/>
  <c r="H90" i="13" s="1"/>
  <c r="I131" i="13"/>
  <c r="I52" i="13"/>
  <c r="F112" i="16"/>
  <c r="K112" i="16"/>
  <c r="P112" i="16"/>
  <c r="G112" i="16"/>
  <c r="I112" i="16"/>
  <c r="U112" i="16"/>
  <c r="E112" i="16"/>
  <c r="L112" i="16"/>
  <c r="N112" i="16"/>
  <c r="O112" i="16"/>
  <c r="M112" i="16"/>
  <c r="Q112" i="16"/>
  <c r="J112" i="16"/>
  <c r="H112" i="16"/>
  <c r="K131" i="13"/>
  <c r="K52" i="13"/>
  <c r="M97" i="14"/>
  <c r="K97" i="14"/>
  <c r="L97" i="14"/>
  <c r="J97" i="14"/>
  <c r="U97" i="14"/>
  <c r="O97" i="14"/>
  <c r="G97" i="14"/>
  <c r="N97" i="14"/>
  <c r="P97" i="14"/>
  <c r="H97" i="14"/>
  <c r="Q97" i="14"/>
  <c r="I97" i="14"/>
  <c r="E97" i="14"/>
  <c r="F97" i="14"/>
  <c r="V97" i="13"/>
  <c r="S151" i="14"/>
  <c r="L155" i="11" s="1"/>
  <c r="S139" i="14"/>
  <c r="U16" i="14"/>
  <c r="V16" i="14" s="1"/>
  <c r="V16" i="13"/>
  <c r="V108" i="14"/>
  <c r="P108" i="16"/>
  <c r="O108" i="16"/>
  <c r="K108" i="16"/>
  <c r="I108" i="16"/>
  <c r="Q108" i="16"/>
  <c r="N108" i="16"/>
  <c r="U108" i="16"/>
  <c r="F108" i="16"/>
  <c r="L108" i="16"/>
  <c r="G108" i="16"/>
  <c r="J108" i="16"/>
  <c r="M108" i="16"/>
  <c r="E108" i="16"/>
  <c r="H108" i="16"/>
  <c r="F52" i="13"/>
  <c r="F131" i="13"/>
  <c r="M114" i="17"/>
  <c r="G114" i="17"/>
  <c r="O114" i="17"/>
  <c r="L114" i="17"/>
  <c r="P114" i="17"/>
  <c r="F114" i="17"/>
  <c r="U114" i="17"/>
  <c r="I114" i="17"/>
  <c r="H114" i="17"/>
  <c r="E114" i="17"/>
  <c r="J114" i="17"/>
  <c r="Q114" i="17"/>
  <c r="K114" i="17"/>
  <c r="N114" i="17"/>
  <c r="S95" i="16" l="1"/>
  <c r="S92" i="16"/>
  <c r="S82" i="16"/>
  <c r="S135" i="17"/>
  <c r="V135" i="17" s="1"/>
  <c r="I34" i="16"/>
  <c r="I40" i="16" s="1"/>
  <c r="U34" i="16"/>
  <c r="U40" i="16" s="1"/>
  <c r="O34" i="16"/>
  <c r="O40" i="16" s="1"/>
  <c r="L34" i="16"/>
  <c r="L40" i="16" s="1"/>
  <c r="V34" i="14"/>
  <c r="V40" i="14" s="1"/>
  <c r="N34" i="16"/>
  <c r="N40" i="16" s="1"/>
  <c r="H40" i="16"/>
  <c r="S94" i="16"/>
  <c r="M40" i="16"/>
  <c r="G40" i="16"/>
  <c r="K40" i="16"/>
  <c r="J40" i="16"/>
  <c r="P40" i="16"/>
  <c r="S132" i="16"/>
  <c r="S107" i="17"/>
  <c r="V107" i="17" s="1"/>
  <c r="S129" i="16"/>
  <c r="Y15" i="5"/>
  <c r="Y19" i="5" s="1"/>
  <c r="Y52" i="5" s="1"/>
  <c r="S109" i="16"/>
  <c r="V109" i="16" s="1"/>
  <c r="S134" i="16"/>
  <c r="S89" i="16"/>
  <c r="V89" i="16" s="1"/>
  <c r="V29" i="17"/>
  <c r="V31" i="17" s="1"/>
  <c r="S31" i="17"/>
  <c r="J118" i="16"/>
  <c r="S116" i="17"/>
  <c r="V116" i="17" s="1"/>
  <c r="U15" i="13"/>
  <c r="U19" i="13" s="1"/>
  <c r="U52" i="13" s="1"/>
  <c r="S93" i="17"/>
  <c r="V93" i="17" s="1"/>
  <c r="S19" i="5"/>
  <c r="Q131" i="5" s="1"/>
  <c r="H15" i="11"/>
  <c r="H19" i="11" s="1"/>
  <c r="S127" i="16"/>
  <c r="V127" i="16" s="1"/>
  <c r="S124" i="16"/>
  <c r="V124" i="16" s="1"/>
  <c r="N125" i="14"/>
  <c r="P125" i="14"/>
  <c r="K125" i="14"/>
  <c r="I125" i="14"/>
  <c r="V125" i="13"/>
  <c r="M125" i="14"/>
  <c r="J125" i="14"/>
  <c r="Q125" i="14"/>
  <c r="F125" i="14"/>
  <c r="H125" i="14"/>
  <c r="U125" i="14"/>
  <c r="O125" i="14"/>
  <c r="L125" i="14"/>
  <c r="G125" i="14"/>
  <c r="E125" i="14"/>
  <c r="K188" i="25"/>
  <c r="P125" i="11"/>
  <c r="K235" i="25"/>
  <c r="V110" i="14"/>
  <c r="L18" i="14"/>
  <c r="L19" i="14" s="1"/>
  <c r="L131" i="14" s="1"/>
  <c r="S114" i="17"/>
  <c r="V114" i="17" s="1"/>
  <c r="P151" i="16"/>
  <c r="P139" i="16"/>
  <c r="S120" i="16"/>
  <c r="G131" i="14"/>
  <c r="G52" i="14"/>
  <c r="U84" i="16"/>
  <c r="J84" i="16"/>
  <c r="Q84" i="16"/>
  <c r="O84" i="16"/>
  <c r="G84" i="16"/>
  <c r="L84" i="16"/>
  <c r="I84" i="16"/>
  <c r="M84" i="16"/>
  <c r="N84" i="16"/>
  <c r="H84" i="16"/>
  <c r="K84" i="16"/>
  <c r="F84" i="16"/>
  <c r="E84" i="16"/>
  <c r="P84" i="16"/>
  <c r="H118" i="16"/>
  <c r="S117" i="16"/>
  <c r="V117" i="16" s="1"/>
  <c r="P110" i="16"/>
  <c r="L19" i="13"/>
  <c r="Q18" i="13"/>
  <c r="S18" i="13" s="1"/>
  <c r="S122" i="16"/>
  <c r="V122" i="16" s="1"/>
  <c r="I187" i="25"/>
  <c r="I194" i="25" s="1"/>
  <c r="I294" i="25" s="1"/>
  <c r="N83" i="11"/>
  <c r="L90" i="11"/>
  <c r="I94" i="25" s="1"/>
  <c r="K151" i="16"/>
  <c r="K139" i="16"/>
  <c r="O118" i="16"/>
  <c r="J110" i="16"/>
  <c r="E151" i="16"/>
  <c r="S138" i="16"/>
  <c r="V138" i="16" s="1"/>
  <c r="V139" i="16" s="1"/>
  <c r="E139" i="16"/>
  <c r="S85" i="16"/>
  <c r="V85" i="16" s="1"/>
  <c r="L110" i="16"/>
  <c r="F110" i="16"/>
  <c r="G151" i="16"/>
  <c r="G139" i="16"/>
  <c r="N18" i="14"/>
  <c r="L118" i="16"/>
  <c r="S105" i="16"/>
  <c r="V105" i="16" s="1"/>
  <c r="S102" i="17"/>
  <c r="V102" i="17" s="1"/>
  <c r="I110" i="16"/>
  <c r="U110" i="16"/>
  <c r="I139" i="16"/>
  <c r="I151" i="16"/>
  <c r="M18" i="14"/>
  <c r="S86" i="16"/>
  <c r="V86" i="16" s="1"/>
  <c r="G118" i="16"/>
  <c r="H110" i="16"/>
  <c r="S17" i="16"/>
  <c r="E277" i="25"/>
  <c r="E278" i="25" s="1"/>
  <c r="E299" i="25" s="1"/>
  <c r="H142" i="11"/>
  <c r="S97" i="14"/>
  <c r="V97" i="14" s="1"/>
  <c r="J139" i="16"/>
  <c r="J151" i="16"/>
  <c r="I40" i="25"/>
  <c r="I44" i="25" s="1"/>
  <c r="L19" i="11"/>
  <c r="P18" i="14"/>
  <c r="S115" i="16"/>
  <c r="V115" i="16" s="1"/>
  <c r="S123" i="16"/>
  <c r="V123" i="16" s="1"/>
  <c r="Q110" i="16"/>
  <c r="I26" i="24"/>
  <c r="K26" i="24" s="1"/>
  <c r="U142" i="13"/>
  <c r="F139" i="16"/>
  <c r="F151" i="16"/>
  <c r="F131" i="14"/>
  <c r="F52" i="14"/>
  <c r="O18" i="14"/>
  <c r="M118" i="16"/>
  <c r="S88" i="14"/>
  <c r="M110" i="16"/>
  <c r="O151" i="16"/>
  <c r="O139" i="16"/>
  <c r="K52" i="14"/>
  <c r="K131" i="14"/>
  <c r="K43" i="25"/>
  <c r="P18" i="11"/>
  <c r="I18" i="16"/>
  <c r="I19" i="16" s="1"/>
  <c r="F18" i="16"/>
  <c r="G18" i="16"/>
  <c r="G19" i="16" s="1"/>
  <c r="E18" i="16"/>
  <c r="E19" i="16" s="1"/>
  <c r="K18" i="16"/>
  <c r="K19" i="16" s="1"/>
  <c r="J18" i="16"/>
  <c r="J19" i="16" s="1"/>
  <c r="H18" i="16"/>
  <c r="H19" i="16" s="1"/>
  <c r="N15" i="11"/>
  <c r="G28" i="25"/>
  <c r="J98" i="11"/>
  <c r="J131" i="11"/>
  <c r="G241" i="25" s="1"/>
  <c r="J52" i="11"/>
  <c r="Q118" i="16"/>
  <c r="N110" i="16"/>
  <c r="S104" i="16"/>
  <c r="S126" i="16"/>
  <c r="M224" i="25"/>
  <c r="M225" i="25" s="1"/>
  <c r="M295" i="25" s="1"/>
  <c r="S108" i="16"/>
  <c r="S112" i="16"/>
  <c r="V112" i="16" s="1"/>
  <c r="E118" i="16"/>
  <c r="S83" i="13"/>
  <c r="E90" i="13"/>
  <c r="S90" i="13" s="1"/>
  <c r="N139" i="16"/>
  <c r="N151" i="16"/>
  <c r="Q151" i="16"/>
  <c r="Q139" i="16"/>
  <c r="J52" i="14"/>
  <c r="J131" i="14"/>
  <c r="U118" i="16"/>
  <c r="K110" i="16"/>
  <c r="M151" i="16"/>
  <c r="M139" i="16"/>
  <c r="L151" i="16"/>
  <c r="L139" i="16"/>
  <c r="V84" i="14"/>
  <c r="E19" i="14"/>
  <c r="E131" i="13"/>
  <c r="E52" i="13"/>
  <c r="F118" i="16"/>
  <c r="G110" i="16"/>
  <c r="S81" i="17"/>
  <c r="V81" i="17" s="1"/>
  <c r="U139" i="16"/>
  <c r="H131" i="14"/>
  <c r="H52" i="14"/>
  <c r="N118" i="16"/>
  <c r="P118" i="16"/>
  <c r="E110" i="16"/>
  <c r="S101" i="16"/>
  <c r="Q152" i="5"/>
  <c r="S152" i="5" s="1"/>
  <c r="H156" i="11" s="1"/>
  <c r="K152" i="13"/>
  <c r="S87" i="17"/>
  <c r="V87" i="17" s="1"/>
  <c r="G94" i="25"/>
  <c r="H139" i="16"/>
  <c r="H151" i="16"/>
  <c r="S113" i="17"/>
  <c r="V113" i="17" s="1"/>
  <c r="I52" i="14"/>
  <c r="I131" i="14"/>
  <c r="S103" i="16"/>
  <c r="I118" i="16"/>
  <c r="K118" i="16"/>
  <c r="S128" i="16"/>
  <c r="V128" i="16" s="1"/>
  <c r="S96" i="16"/>
  <c r="O110" i="16"/>
  <c r="J95" i="17" l="1"/>
  <c r="V95" i="16"/>
  <c r="K95" i="17"/>
  <c r="U95" i="17"/>
  <c r="O95" i="17"/>
  <c r="N95" i="17"/>
  <c r="H95" i="17"/>
  <c r="F95" i="17"/>
  <c r="G95" i="17"/>
  <c r="E95" i="17"/>
  <c r="L95" i="17"/>
  <c r="P95" i="17"/>
  <c r="I95" i="17"/>
  <c r="Q95" i="17"/>
  <c r="M95" i="17"/>
  <c r="V82" i="16"/>
  <c r="M82" i="17"/>
  <c r="O82" i="17"/>
  <c r="L82" i="17"/>
  <c r="N82" i="17"/>
  <c r="G82" i="17"/>
  <c r="I82" i="17"/>
  <c r="F82" i="17"/>
  <c r="J82" i="17"/>
  <c r="P82" i="17"/>
  <c r="U82" i="17"/>
  <c r="H82" i="17"/>
  <c r="E82" i="17"/>
  <c r="Q82" i="17"/>
  <c r="K82" i="17"/>
  <c r="V92" i="16"/>
  <c r="U92" i="17"/>
  <c r="F92" i="17"/>
  <c r="M92" i="17"/>
  <c r="I92" i="17"/>
  <c r="H92" i="17"/>
  <c r="Q92" i="17"/>
  <c r="J92" i="17"/>
  <c r="O92" i="17"/>
  <c r="P92" i="17"/>
  <c r="K92" i="17"/>
  <c r="L92" i="17"/>
  <c r="N92" i="17"/>
  <c r="G92" i="17"/>
  <c r="E92" i="17"/>
  <c r="Q34" i="16"/>
  <c r="Q40" i="16" s="1"/>
  <c r="V132" i="16"/>
  <c r="H132" i="17"/>
  <c r="J132" i="17"/>
  <c r="I132" i="17"/>
  <c r="L132" i="17"/>
  <c r="U132" i="17"/>
  <c r="K132" i="17"/>
  <c r="G132" i="17"/>
  <c r="O132" i="17"/>
  <c r="N132" i="17"/>
  <c r="E132" i="17"/>
  <c r="M132" i="17"/>
  <c r="P132" i="17"/>
  <c r="F132" i="17"/>
  <c r="Q132" i="17"/>
  <c r="S40" i="16"/>
  <c r="E94" i="17"/>
  <c r="P94" i="17"/>
  <c r="Q94" i="17"/>
  <c r="F94" i="17"/>
  <c r="K94" i="17"/>
  <c r="G94" i="17"/>
  <c r="H94" i="17"/>
  <c r="L94" i="17"/>
  <c r="M94" i="17"/>
  <c r="O94" i="17"/>
  <c r="I94" i="17"/>
  <c r="U94" i="17"/>
  <c r="V94" i="16"/>
  <c r="J94" i="17"/>
  <c r="N94" i="17"/>
  <c r="S34" i="16"/>
  <c r="K109" i="17"/>
  <c r="H109" i="17"/>
  <c r="U109" i="17"/>
  <c r="M109" i="17"/>
  <c r="N109" i="17"/>
  <c r="O109" i="17"/>
  <c r="P109" i="17"/>
  <c r="Q109" i="17"/>
  <c r="L109" i="17"/>
  <c r="J109" i="17"/>
  <c r="G109" i="17"/>
  <c r="G127" i="17"/>
  <c r="I109" i="17"/>
  <c r="E109" i="17"/>
  <c r="F109" i="17"/>
  <c r="G129" i="17"/>
  <c r="H129" i="17"/>
  <c r="O129" i="17"/>
  <c r="N129" i="17"/>
  <c r="K129" i="17"/>
  <c r="F129" i="17"/>
  <c r="E129" i="17"/>
  <c r="I129" i="17"/>
  <c r="M129" i="17"/>
  <c r="P129" i="17"/>
  <c r="Q129" i="17"/>
  <c r="J129" i="17"/>
  <c r="L129" i="17"/>
  <c r="U129" i="17"/>
  <c r="V129" i="16"/>
  <c r="G4" i="26"/>
  <c r="G8" i="26" s="1"/>
  <c r="G22" i="26" s="1"/>
  <c r="C4" i="26"/>
  <c r="C8" i="26" s="1"/>
  <c r="C22" i="26" s="1"/>
  <c r="G271" i="12"/>
  <c r="I271" i="12" s="1"/>
  <c r="N4" i="26"/>
  <c r="N8" i="26" s="1"/>
  <c r="L4" i="26"/>
  <c r="L8" i="26" s="1"/>
  <c r="I124" i="17"/>
  <c r="J4" i="26"/>
  <c r="J8" i="26" s="1"/>
  <c r="J22" i="26" s="1"/>
  <c r="E124" i="17"/>
  <c r="P124" i="17"/>
  <c r="G124" i="17"/>
  <c r="L124" i="17"/>
  <c r="U134" i="17"/>
  <c r="K134" i="17"/>
  <c r="O134" i="17"/>
  <c r="L134" i="17"/>
  <c r="V134" i="16"/>
  <c r="E134" i="17"/>
  <c r="I134" i="17"/>
  <c r="H134" i="17"/>
  <c r="Q134" i="17"/>
  <c r="J134" i="17"/>
  <c r="P134" i="17"/>
  <c r="F134" i="17"/>
  <c r="M134" i="17"/>
  <c r="N134" i="17"/>
  <c r="G134" i="17"/>
  <c r="G89" i="17"/>
  <c r="H89" i="17"/>
  <c r="M89" i="17"/>
  <c r="Q89" i="17"/>
  <c r="K89" i="17"/>
  <c r="L89" i="17"/>
  <c r="P89" i="17"/>
  <c r="I89" i="17"/>
  <c r="U89" i="17"/>
  <c r="O89" i="17"/>
  <c r="J89" i="17"/>
  <c r="F89" i="17"/>
  <c r="N89" i="17"/>
  <c r="E89" i="17"/>
  <c r="I6" i="24"/>
  <c r="I11" i="24" s="1"/>
  <c r="M11" i="24" s="1"/>
  <c r="D4" i="26"/>
  <c r="D8" i="26" s="1"/>
  <c r="D22" i="26" s="1"/>
  <c r="F124" i="17"/>
  <c r="Q124" i="17"/>
  <c r="K127" i="17"/>
  <c r="H127" i="17"/>
  <c r="Q127" i="17"/>
  <c r="S52" i="5"/>
  <c r="AC185" i="5" s="1"/>
  <c r="U150" i="5" s="1"/>
  <c r="M4" i="26"/>
  <c r="M8" i="26" s="1"/>
  <c r="K4" i="26"/>
  <c r="K8" i="26" s="1"/>
  <c r="E4" i="26"/>
  <c r="E8" i="26" s="1"/>
  <c r="E22" i="26" s="1"/>
  <c r="I4" i="26"/>
  <c r="I8" i="26" s="1"/>
  <c r="I22" i="26" s="1"/>
  <c r="M124" i="17"/>
  <c r="N124" i="17"/>
  <c r="K124" i="17"/>
  <c r="O124" i="17"/>
  <c r="F4" i="26"/>
  <c r="F8" i="26" s="1"/>
  <c r="F22" i="26" s="1"/>
  <c r="G105" i="12"/>
  <c r="I105" i="12" s="1"/>
  <c r="H4" i="26"/>
  <c r="H8" i="26" s="1"/>
  <c r="H22" i="26" s="1"/>
  <c r="J124" i="17"/>
  <c r="U124" i="17"/>
  <c r="H124" i="17"/>
  <c r="E40" i="25"/>
  <c r="E44" i="25" s="1"/>
  <c r="I127" i="17"/>
  <c r="F127" i="17"/>
  <c r="U127" i="17"/>
  <c r="L127" i="17"/>
  <c r="J127" i="17"/>
  <c r="M127" i="17"/>
  <c r="O127" i="17"/>
  <c r="P127" i="17"/>
  <c r="N127" i="17"/>
  <c r="E127" i="17"/>
  <c r="L52" i="14"/>
  <c r="M235" i="25"/>
  <c r="M188" i="25"/>
  <c r="S125" i="14"/>
  <c r="M18" i="16"/>
  <c r="S110" i="16"/>
  <c r="U18" i="14"/>
  <c r="V18" i="13"/>
  <c r="N14" i="13"/>
  <c r="N15" i="13" s="1"/>
  <c r="M14" i="13"/>
  <c r="P14" i="13"/>
  <c r="P15" i="13" s="1"/>
  <c r="O14" i="13"/>
  <c r="O15" i="13" s="1"/>
  <c r="K131" i="16"/>
  <c r="K52" i="16"/>
  <c r="V118" i="16"/>
  <c r="G83" i="14"/>
  <c r="G90" i="14" s="1"/>
  <c r="Q83" i="14"/>
  <c r="Q90" i="14" s="1"/>
  <c r="O83" i="14"/>
  <c r="O90" i="14" s="1"/>
  <c r="H83" i="14"/>
  <c r="H90" i="14" s="1"/>
  <c r="L83" i="14"/>
  <c r="L90" i="14" s="1"/>
  <c r="I83" i="14"/>
  <c r="I90" i="14" s="1"/>
  <c r="K83" i="14"/>
  <c r="K90" i="14" s="1"/>
  <c r="P83" i="14"/>
  <c r="P90" i="14" s="1"/>
  <c r="U83" i="14"/>
  <c r="U90" i="14" s="1"/>
  <c r="M83" i="14"/>
  <c r="M90" i="14" s="1"/>
  <c r="F83" i="14"/>
  <c r="F90" i="14" s="1"/>
  <c r="E83" i="14"/>
  <c r="N83" i="14"/>
  <c r="N90" i="14" s="1"/>
  <c r="J83" i="14"/>
  <c r="J90" i="14" s="1"/>
  <c r="V83" i="13"/>
  <c r="V90" i="13" s="1"/>
  <c r="G115" i="17"/>
  <c r="K115" i="17"/>
  <c r="O115" i="17"/>
  <c r="E115" i="17"/>
  <c r="N115" i="17"/>
  <c r="I115" i="17"/>
  <c r="U115" i="17"/>
  <c r="Q115" i="17"/>
  <c r="M115" i="17"/>
  <c r="H115" i="17"/>
  <c r="F115" i="17"/>
  <c r="J115" i="17"/>
  <c r="L115" i="17"/>
  <c r="P115" i="17"/>
  <c r="E131" i="16"/>
  <c r="E52" i="16"/>
  <c r="S118" i="16"/>
  <c r="J130" i="11"/>
  <c r="U79" i="11"/>
  <c r="W55" i="24"/>
  <c r="U52" i="11"/>
  <c r="U69" i="11"/>
  <c r="U62" i="11"/>
  <c r="U118" i="11"/>
  <c r="U110" i="11"/>
  <c r="E17" i="17"/>
  <c r="L17" i="17"/>
  <c r="H17" i="17"/>
  <c r="U17" i="17"/>
  <c r="O17" i="17"/>
  <c r="N17" i="17"/>
  <c r="G17" i="17"/>
  <c r="K17" i="17"/>
  <c r="I17" i="17"/>
  <c r="J17" i="17"/>
  <c r="F17" i="17"/>
  <c r="V17" i="16"/>
  <c r="P17" i="17"/>
  <c r="M17" i="17"/>
  <c r="S84" i="16"/>
  <c r="V84" i="16" s="1"/>
  <c r="V103" i="16"/>
  <c r="Q103" i="17"/>
  <c r="G103" i="17"/>
  <c r="N103" i="17"/>
  <c r="L103" i="17"/>
  <c r="J103" i="17"/>
  <c r="M103" i="17"/>
  <c r="K103" i="17"/>
  <c r="E103" i="17"/>
  <c r="F103" i="17"/>
  <c r="O103" i="17"/>
  <c r="U103" i="17"/>
  <c r="H103" i="17"/>
  <c r="P103" i="17"/>
  <c r="I103" i="17"/>
  <c r="V101" i="16"/>
  <c r="Q101" i="17"/>
  <c r="G101" i="17"/>
  <c r="O101" i="17"/>
  <c r="H101" i="17"/>
  <c r="J101" i="17"/>
  <c r="L101" i="17"/>
  <c r="F101" i="17"/>
  <c r="M101" i="17"/>
  <c r="N101" i="17"/>
  <c r="E101" i="17"/>
  <c r="P101" i="17"/>
  <c r="U101" i="17"/>
  <c r="I101" i="17"/>
  <c r="K101" i="17"/>
  <c r="I131" i="16"/>
  <c r="I52" i="16"/>
  <c r="E131" i="14"/>
  <c r="E52" i="14"/>
  <c r="N112" i="17"/>
  <c r="I112" i="17"/>
  <c r="J112" i="17"/>
  <c r="P112" i="17"/>
  <c r="K112" i="17"/>
  <c r="E112" i="17"/>
  <c r="G112" i="17"/>
  <c r="Q112" i="17"/>
  <c r="U112" i="17"/>
  <c r="H112" i="17"/>
  <c r="M112" i="17"/>
  <c r="O112" i="17"/>
  <c r="F112" i="17"/>
  <c r="L112" i="17"/>
  <c r="O18" i="16"/>
  <c r="G131" i="16"/>
  <c r="G52" i="16"/>
  <c r="S139" i="16"/>
  <c r="K187" i="25"/>
  <c r="K194" i="25" s="1"/>
  <c r="K294" i="25" s="1"/>
  <c r="P83" i="11"/>
  <c r="N90" i="11"/>
  <c r="K94" i="25" s="1"/>
  <c r="E28" i="25"/>
  <c r="H52" i="11"/>
  <c r="V108" i="16"/>
  <c r="H108" i="17"/>
  <c r="U108" i="17"/>
  <c r="E108" i="17"/>
  <c r="M108" i="17"/>
  <c r="J108" i="17"/>
  <c r="L108" i="17"/>
  <c r="O108" i="17"/>
  <c r="N108" i="17"/>
  <c r="P108" i="17"/>
  <c r="F108" i="17"/>
  <c r="G108" i="17"/>
  <c r="K108" i="17"/>
  <c r="I108" i="17"/>
  <c r="Q108" i="17"/>
  <c r="M98" i="13"/>
  <c r="M99" i="13" s="1"/>
  <c r="H98" i="13"/>
  <c r="H99" i="13" s="1"/>
  <c r="K98" i="13"/>
  <c r="K99" i="13" s="1"/>
  <c r="P98" i="13"/>
  <c r="P99" i="13" s="1"/>
  <c r="I98" i="13"/>
  <c r="I99" i="13" s="1"/>
  <c r="G98" i="13"/>
  <c r="G99" i="13" s="1"/>
  <c r="F98" i="13"/>
  <c r="F99" i="13" s="1"/>
  <c r="J98" i="13"/>
  <c r="J99" i="13" s="1"/>
  <c r="L98" i="13"/>
  <c r="L99" i="13" s="1"/>
  <c r="O98" i="13"/>
  <c r="O99" i="13" s="1"/>
  <c r="N98" i="13"/>
  <c r="N99" i="13" s="1"/>
  <c r="E98" i="13"/>
  <c r="J99" i="11"/>
  <c r="P18" i="16"/>
  <c r="L98" i="11"/>
  <c r="L99" i="11" s="1"/>
  <c r="I95" i="25" s="1"/>
  <c r="L131" i="11"/>
  <c r="I241" i="25" s="1"/>
  <c r="I28" i="25"/>
  <c r="L52" i="11"/>
  <c r="K138" i="17"/>
  <c r="H138" i="17"/>
  <c r="Q138" i="17"/>
  <c r="F138" i="17"/>
  <c r="O138" i="17"/>
  <c r="E138" i="17"/>
  <c r="G138" i="17"/>
  <c r="I138" i="17"/>
  <c r="J138" i="17"/>
  <c r="U138" i="17"/>
  <c r="U139" i="17" s="1"/>
  <c r="L138" i="17"/>
  <c r="N138" i="17"/>
  <c r="P138" i="17"/>
  <c r="M138" i="17"/>
  <c r="G284" i="25"/>
  <c r="G288" i="25" s="1"/>
  <c r="G32" i="25"/>
  <c r="G35" i="25" s="1"/>
  <c r="L18" i="16"/>
  <c r="L19" i="16" s="1"/>
  <c r="S151" i="16"/>
  <c r="N155" i="11" s="1"/>
  <c r="E122" i="17"/>
  <c r="K122" i="17"/>
  <c r="O122" i="17"/>
  <c r="N122" i="17"/>
  <c r="Q122" i="17"/>
  <c r="P122" i="17"/>
  <c r="U122" i="17"/>
  <c r="M122" i="17"/>
  <c r="G122" i="17"/>
  <c r="L122" i="17"/>
  <c r="I122" i="17"/>
  <c r="J122" i="17"/>
  <c r="H122" i="17"/>
  <c r="F122" i="17"/>
  <c r="K40" i="25"/>
  <c r="K44" i="25" s="1"/>
  <c r="N19" i="11"/>
  <c r="N18" i="16"/>
  <c r="J131" i="16"/>
  <c r="J52" i="16"/>
  <c r="F19" i="16"/>
  <c r="O120" i="17"/>
  <c r="L120" i="17"/>
  <c r="U120" i="17"/>
  <c r="P120" i="17"/>
  <c r="J120" i="17"/>
  <c r="M120" i="17"/>
  <c r="G120" i="17"/>
  <c r="Q120" i="17"/>
  <c r="F120" i="17"/>
  <c r="N120" i="17"/>
  <c r="K120" i="17"/>
  <c r="I120" i="17"/>
  <c r="H120" i="17"/>
  <c r="E120" i="17"/>
  <c r="E1356" i="9"/>
  <c r="F1356" i="9" s="1"/>
  <c r="S131" i="5"/>
  <c r="L131" i="13"/>
  <c r="L52" i="13"/>
  <c r="M43" i="25"/>
  <c r="G18" i="17"/>
  <c r="K18" i="17"/>
  <c r="E18" i="17"/>
  <c r="F18" i="17"/>
  <c r="H18" i="17"/>
  <c r="I18" i="17"/>
  <c r="J18" i="17"/>
  <c r="P15" i="11"/>
  <c r="Q86" i="17"/>
  <c r="E86" i="17"/>
  <c r="G86" i="17"/>
  <c r="J86" i="17"/>
  <c r="K86" i="17"/>
  <c r="I86" i="17"/>
  <c r="O86" i="17"/>
  <c r="H86" i="17"/>
  <c r="L86" i="17"/>
  <c r="M86" i="17"/>
  <c r="N86" i="17"/>
  <c r="P86" i="17"/>
  <c r="U86" i="17"/>
  <c r="F86" i="17"/>
  <c r="H105" i="17"/>
  <c r="L105" i="17"/>
  <c r="U105" i="17"/>
  <c r="K105" i="17"/>
  <c r="E105" i="17"/>
  <c r="J105" i="17"/>
  <c r="F105" i="17"/>
  <c r="P105" i="17"/>
  <c r="M105" i="17"/>
  <c r="Q105" i="17"/>
  <c r="I105" i="17"/>
  <c r="N105" i="17"/>
  <c r="G105" i="17"/>
  <c r="O105" i="17"/>
  <c r="V126" i="16"/>
  <c r="Q126" i="17"/>
  <c r="H126" i="17"/>
  <c r="U126" i="17"/>
  <c r="K126" i="17"/>
  <c r="I126" i="17"/>
  <c r="F126" i="17"/>
  <c r="O126" i="17"/>
  <c r="E126" i="17"/>
  <c r="N126" i="17"/>
  <c r="L126" i="17"/>
  <c r="G126" i="17"/>
  <c r="P126" i="17"/>
  <c r="M126" i="17"/>
  <c r="J126" i="17"/>
  <c r="F97" i="16"/>
  <c r="M97" i="16"/>
  <c r="J97" i="16"/>
  <c r="P97" i="16"/>
  <c r="E97" i="16"/>
  <c r="L97" i="16"/>
  <c r="H97" i="16"/>
  <c r="N97" i="16"/>
  <c r="O97" i="16"/>
  <c r="G97" i="16"/>
  <c r="U97" i="16"/>
  <c r="Q97" i="16"/>
  <c r="K97" i="16"/>
  <c r="I97" i="16"/>
  <c r="Q18" i="14"/>
  <c r="S18" i="14" s="1"/>
  <c r="P117" i="17"/>
  <c r="K117" i="17"/>
  <c r="L117" i="17"/>
  <c r="Q117" i="17"/>
  <c r="I117" i="17"/>
  <c r="M117" i="17"/>
  <c r="N117" i="17"/>
  <c r="O117" i="17"/>
  <c r="E117" i="17"/>
  <c r="G117" i="17"/>
  <c r="J117" i="17"/>
  <c r="U117" i="17"/>
  <c r="F117" i="17"/>
  <c r="H117" i="17"/>
  <c r="H52" i="16"/>
  <c r="H131" i="16"/>
  <c r="U90" i="11"/>
  <c r="V104" i="16"/>
  <c r="L104" i="17"/>
  <c r="G104" i="17"/>
  <c r="P104" i="17"/>
  <c r="U104" i="17"/>
  <c r="K104" i="17"/>
  <c r="N104" i="17"/>
  <c r="J104" i="17"/>
  <c r="I104" i="17"/>
  <c r="Q104" i="17"/>
  <c r="F104" i="17"/>
  <c r="H104" i="17"/>
  <c r="E104" i="17"/>
  <c r="O104" i="17"/>
  <c r="M104" i="17"/>
  <c r="P88" i="16"/>
  <c r="I88" i="16"/>
  <c r="M88" i="16"/>
  <c r="U88" i="16"/>
  <c r="L88" i="16"/>
  <c r="O88" i="16"/>
  <c r="H88" i="16"/>
  <c r="N88" i="16"/>
  <c r="F88" i="16"/>
  <c r="Q88" i="16"/>
  <c r="J88" i="16"/>
  <c r="G88" i="16"/>
  <c r="E88" i="16"/>
  <c r="K88" i="16"/>
  <c r="E100" i="25"/>
  <c r="V88" i="14"/>
  <c r="H96" i="17"/>
  <c r="J96" i="17"/>
  <c r="Q96" i="17"/>
  <c r="P96" i="17"/>
  <c r="O96" i="17"/>
  <c r="E96" i="17"/>
  <c r="U96" i="17"/>
  <c r="G96" i="17"/>
  <c r="K96" i="17"/>
  <c r="M96" i="17"/>
  <c r="F96" i="17"/>
  <c r="L96" i="17"/>
  <c r="N96" i="17"/>
  <c r="I96" i="17"/>
  <c r="Q128" i="17"/>
  <c r="E128" i="17"/>
  <c r="I128" i="17"/>
  <c r="N128" i="17"/>
  <c r="U128" i="17"/>
  <c r="J128" i="17"/>
  <c r="H128" i="17"/>
  <c r="O128" i="17"/>
  <c r="M128" i="17"/>
  <c r="F128" i="17"/>
  <c r="L128" i="17"/>
  <c r="K128" i="17"/>
  <c r="G128" i="17"/>
  <c r="P128" i="17"/>
  <c r="K123" i="17"/>
  <c r="J123" i="17"/>
  <c r="E123" i="17"/>
  <c r="O123" i="17"/>
  <c r="N123" i="17"/>
  <c r="L123" i="17"/>
  <c r="F123" i="17"/>
  <c r="U123" i="17"/>
  <c r="G123" i="17"/>
  <c r="I123" i="17"/>
  <c r="Q123" i="17"/>
  <c r="P123" i="17"/>
  <c r="M123" i="17"/>
  <c r="H123" i="17"/>
  <c r="G85" i="17"/>
  <c r="K85" i="17"/>
  <c r="N85" i="17"/>
  <c r="F85" i="17"/>
  <c r="E85" i="17"/>
  <c r="J85" i="17"/>
  <c r="U85" i="17"/>
  <c r="H85" i="17"/>
  <c r="P85" i="17"/>
  <c r="I85" i="17"/>
  <c r="M85" i="17"/>
  <c r="Q85" i="17"/>
  <c r="L85" i="17"/>
  <c r="O85" i="17"/>
  <c r="V120" i="16"/>
  <c r="V96" i="16"/>
  <c r="S95" i="17" l="1"/>
  <c r="V95" i="17" s="1"/>
  <c r="S92" i="17"/>
  <c r="V92" i="17" s="1"/>
  <c r="S82" i="17"/>
  <c r="V82" i="17" s="1"/>
  <c r="U34" i="17"/>
  <c r="U40" i="17" s="1"/>
  <c r="I34" i="17"/>
  <c r="I40" i="17" s="1"/>
  <c r="L34" i="17"/>
  <c r="L40" i="17" s="1"/>
  <c r="V34" i="16"/>
  <c r="V40" i="16" s="1"/>
  <c r="O34" i="17"/>
  <c r="O40" i="17" s="1"/>
  <c r="N34" i="17"/>
  <c r="N40" i="17" s="1"/>
  <c r="H34" i="17"/>
  <c r="H40" i="17" s="1"/>
  <c r="M34" i="17"/>
  <c r="M40" i="17" s="1"/>
  <c r="J34" i="17"/>
  <c r="J40" i="17" s="1"/>
  <c r="G34" i="17"/>
  <c r="K34" i="17"/>
  <c r="K40" i="17" s="1"/>
  <c r="P34" i="17"/>
  <c r="P40" i="17" s="1"/>
  <c r="S132" i="17"/>
  <c r="V132" i="17" s="1"/>
  <c r="S94" i="17"/>
  <c r="V94" i="17" s="1"/>
  <c r="S109" i="17"/>
  <c r="V109" i="17" s="1"/>
  <c r="S129" i="17"/>
  <c r="V129" i="17" s="1"/>
  <c r="G274" i="12"/>
  <c r="I274" i="12" s="1"/>
  <c r="G108" i="12"/>
  <c r="I108" i="12" s="1"/>
  <c r="S134" i="17"/>
  <c r="V134" i="17" s="1"/>
  <c r="S89" i="17"/>
  <c r="V89" i="17" s="1"/>
  <c r="K6" i="24"/>
  <c r="K11" i="24" s="1"/>
  <c r="U151" i="5"/>
  <c r="S124" i="17"/>
  <c r="V124" i="17" s="1"/>
  <c r="O4" i="26"/>
  <c r="O8" i="26" s="1"/>
  <c r="O19" i="13"/>
  <c r="O52" i="13" s="1"/>
  <c r="O165" i="13"/>
  <c r="P19" i="13"/>
  <c r="P131" i="13" s="1"/>
  <c r="P165" i="13"/>
  <c r="S127" i="17"/>
  <c r="V127" i="17" s="1"/>
  <c r="N19" i="13"/>
  <c r="N131" i="13" s="1"/>
  <c r="N165" i="13"/>
  <c r="G125" i="16"/>
  <c r="I125" i="16"/>
  <c r="O125" i="16"/>
  <c r="U125" i="16"/>
  <c r="M125" i="16"/>
  <c r="K125" i="16"/>
  <c r="H125" i="16"/>
  <c r="F125" i="16"/>
  <c r="N125" i="16"/>
  <c r="E125" i="16"/>
  <c r="P125" i="16"/>
  <c r="L125" i="16"/>
  <c r="Q125" i="16"/>
  <c r="J125" i="16"/>
  <c r="V125" i="14"/>
  <c r="Q14" i="13"/>
  <c r="Q15" i="13" s="1"/>
  <c r="Q19" i="13" s="1"/>
  <c r="E152" i="14" s="1"/>
  <c r="O18" i="17"/>
  <c r="S108" i="17"/>
  <c r="V108" i="17" s="1"/>
  <c r="S86" i="17"/>
  <c r="V86" i="17" s="1"/>
  <c r="S104" i="17"/>
  <c r="V104" i="17" s="1"/>
  <c r="V110" i="16"/>
  <c r="U80" i="11"/>
  <c r="S128" i="17"/>
  <c r="V128" i="17" s="1"/>
  <c r="E1114" i="9"/>
  <c r="F1114" i="9" s="1"/>
  <c r="O99" i="5"/>
  <c r="E927" i="9"/>
  <c r="F927" i="9" s="1"/>
  <c r="M136" i="5"/>
  <c r="S105" i="17"/>
  <c r="V105" i="17" s="1"/>
  <c r="S138" i="17"/>
  <c r="V138" i="17" s="1"/>
  <c r="V139" i="17" s="1"/>
  <c r="E139" i="17"/>
  <c r="E151" i="17"/>
  <c r="K110" i="17"/>
  <c r="G110" i="17"/>
  <c r="F19" i="17"/>
  <c r="K118" i="17"/>
  <c r="S88" i="16"/>
  <c r="V88" i="16" s="1"/>
  <c r="M14" i="14"/>
  <c r="M15" i="14" s="1"/>
  <c r="M19" i="14" s="1"/>
  <c r="V18" i="14"/>
  <c r="U18" i="16"/>
  <c r="N14" i="14"/>
  <c r="N15" i="14" s="1"/>
  <c r="N19" i="14" s="1"/>
  <c r="O14" i="14"/>
  <c r="O15" i="14" s="1"/>
  <c r="O19" i="14" s="1"/>
  <c r="P14" i="14"/>
  <c r="P15" i="14" s="1"/>
  <c r="P19" i="14" s="1"/>
  <c r="R22" i="24"/>
  <c r="K28" i="25"/>
  <c r="N131" i="11"/>
  <c r="K241" i="25" s="1"/>
  <c r="N98" i="11"/>
  <c r="N99" i="11" s="1"/>
  <c r="K95" i="25" s="1"/>
  <c r="N52" i="11"/>
  <c r="O151" i="17"/>
  <c r="O139" i="17"/>
  <c r="G95" i="25"/>
  <c r="U99" i="11"/>
  <c r="I110" i="17"/>
  <c r="Q110" i="17"/>
  <c r="J19" i="17"/>
  <c r="L118" i="17"/>
  <c r="G118" i="17"/>
  <c r="E1007" i="9"/>
  <c r="F1007" i="9" s="1"/>
  <c r="N99" i="5"/>
  <c r="L15" i="26" s="1"/>
  <c r="E900" i="9"/>
  <c r="F900" i="9" s="1"/>
  <c r="M99" i="5"/>
  <c r="F151" i="17"/>
  <c r="F139" i="17"/>
  <c r="S98" i="13"/>
  <c r="E99" i="13"/>
  <c r="S99" i="13" s="1"/>
  <c r="S112" i="17"/>
  <c r="V112" i="17" s="1"/>
  <c r="E118" i="17"/>
  <c r="U110" i="17"/>
  <c r="I19" i="17"/>
  <c r="J118" i="17"/>
  <c r="S96" i="17"/>
  <c r="V96" i="17" s="1"/>
  <c r="Q151" i="17"/>
  <c r="Q139" i="17"/>
  <c r="P110" i="17"/>
  <c r="K19" i="17"/>
  <c r="F118" i="17"/>
  <c r="S85" i="17"/>
  <c r="V85" i="17" s="1"/>
  <c r="S117" i="17"/>
  <c r="V117" i="17" s="1"/>
  <c r="U131" i="13"/>
  <c r="Y131" i="5"/>
  <c r="H131" i="11"/>
  <c r="E241" i="25" s="1"/>
  <c r="V131" i="5"/>
  <c r="M151" i="17"/>
  <c r="M139" i="17"/>
  <c r="H139" i="17"/>
  <c r="H151" i="17"/>
  <c r="P118" i="17"/>
  <c r="E110" i="17"/>
  <c r="S101" i="17"/>
  <c r="V101" i="17" s="1"/>
  <c r="G19" i="17"/>
  <c r="H118" i="17"/>
  <c r="P151" i="17"/>
  <c r="P139" i="17"/>
  <c r="K151" i="17"/>
  <c r="K139" i="17"/>
  <c r="N110" i="17"/>
  <c r="M118" i="17"/>
  <c r="S83" i="14"/>
  <c r="E90" i="14"/>
  <c r="S90" i="14" s="1"/>
  <c r="P18" i="17"/>
  <c r="S120" i="17"/>
  <c r="V120" i="17" s="1"/>
  <c r="N151" i="17"/>
  <c r="N139" i="17"/>
  <c r="T62" i="11"/>
  <c r="T79" i="11"/>
  <c r="T52" i="11"/>
  <c r="T69" i="11"/>
  <c r="V55" i="24"/>
  <c r="T118" i="11"/>
  <c r="T110" i="11"/>
  <c r="T90" i="11"/>
  <c r="T141" i="11"/>
  <c r="M110" i="17"/>
  <c r="Q118" i="17"/>
  <c r="O131" i="13"/>
  <c r="L18" i="17"/>
  <c r="S122" i="17"/>
  <c r="V122" i="17" s="1"/>
  <c r="L151" i="17"/>
  <c r="L139" i="17"/>
  <c r="X55" i="24"/>
  <c r="E32" i="25"/>
  <c r="E284" i="25"/>
  <c r="E288" i="25" s="1"/>
  <c r="F110" i="17"/>
  <c r="M84" i="17"/>
  <c r="E84" i="17"/>
  <c r="K84" i="17"/>
  <c r="G84" i="17"/>
  <c r="H84" i="17"/>
  <c r="I84" i="17"/>
  <c r="J84" i="17"/>
  <c r="F84" i="17"/>
  <c r="U84" i="17"/>
  <c r="O84" i="17"/>
  <c r="N84" i="17"/>
  <c r="Q84" i="17"/>
  <c r="L84" i="17"/>
  <c r="P84" i="17"/>
  <c r="K130" i="13"/>
  <c r="N130" i="13"/>
  <c r="M130" i="13"/>
  <c r="H130" i="13"/>
  <c r="I130" i="13"/>
  <c r="F130" i="13"/>
  <c r="G130" i="13"/>
  <c r="O130" i="13"/>
  <c r="E130" i="13"/>
  <c r="L130" i="13"/>
  <c r="P130" i="13"/>
  <c r="G240" i="25"/>
  <c r="G246" i="25" s="1"/>
  <c r="G298" i="25" s="1"/>
  <c r="J130" i="13"/>
  <c r="J136" i="11"/>
  <c r="M40" i="25"/>
  <c r="P19" i="11"/>
  <c r="M18" i="17"/>
  <c r="F52" i="16"/>
  <c r="F131" i="16"/>
  <c r="L130" i="11"/>
  <c r="L110" i="17"/>
  <c r="H19" i="17"/>
  <c r="I118" i="17"/>
  <c r="M15" i="13"/>
  <c r="C23" i="26"/>
  <c r="D23" i="26" s="1"/>
  <c r="E23" i="26" s="1"/>
  <c r="F23" i="26" s="1"/>
  <c r="G23" i="26" s="1"/>
  <c r="H23" i="26" s="1"/>
  <c r="I23" i="26" s="1"/>
  <c r="J23" i="26" s="1"/>
  <c r="C27" i="26"/>
  <c r="D25" i="26" s="1"/>
  <c r="D27" i="26" s="1"/>
  <c r="E25" i="26" s="1"/>
  <c r="E27" i="26" s="1"/>
  <c r="F25" i="26" s="1"/>
  <c r="F27" i="26" s="1"/>
  <c r="G25" i="26" s="1"/>
  <c r="G27" i="26" s="1"/>
  <c r="H25" i="26" s="1"/>
  <c r="H27" i="26" s="1"/>
  <c r="I25" i="26" s="1"/>
  <c r="I27" i="26" s="1"/>
  <c r="J25" i="26" s="1"/>
  <c r="J27" i="26" s="1"/>
  <c r="K25" i="26" s="1"/>
  <c r="N18" i="17"/>
  <c r="J139" i="17"/>
  <c r="J151" i="17"/>
  <c r="I32" i="25"/>
  <c r="I35" i="25" s="1"/>
  <c r="I284" i="25"/>
  <c r="I288" i="25" s="1"/>
  <c r="M187" i="25"/>
  <c r="M194" i="25" s="1"/>
  <c r="M294" i="25" s="1"/>
  <c r="P90" i="11"/>
  <c r="M94" i="25" s="1"/>
  <c r="J110" i="17"/>
  <c r="S103" i="17"/>
  <c r="V103" i="17" s="1"/>
  <c r="N118" i="17"/>
  <c r="L131" i="16"/>
  <c r="L52" i="16"/>
  <c r="I139" i="17"/>
  <c r="I151" i="17"/>
  <c r="H110" i="17"/>
  <c r="S17" i="17"/>
  <c r="V17" i="17" s="1"/>
  <c r="E19" i="17"/>
  <c r="S115" i="17"/>
  <c r="V115" i="17" s="1"/>
  <c r="Q18" i="16"/>
  <c r="S18" i="16" s="1"/>
  <c r="S123" i="17"/>
  <c r="V123" i="17" s="1"/>
  <c r="S97" i="16"/>
  <c r="S126" i="17"/>
  <c r="V126" i="17" s="1"/>
  <c r="G34" i="25"/>
  <c r="G139" i="17"/>
  <c r="G151" i="17"/>
  <c r="U118" i="17"/>
  <c r="O110" i="17"/>
  <c r="O118" i="17"/>
  <c r="G40" i="17" l="1"/>
  <c r="Q34" i="17"/>
  <c r="Q40" i="17" s="1"/>
  <c r="M15" i="26"/>
  <c r="Q52" i="13"/>
  <c r="Q152" i="13" s="1"/>
  <c r="S152" i="13" s="1"/>
  <c r="J156" i="11" s="1"/>
  <c r="N52" i="13"/>
  <c r="P52" i="13"/>
  <c r="J164" i="13"/>
  <c r="M165" i="13"/>
  <c r="S165" i="13" s="1"/>
  <c r="J169" i="11" s="1"/>
  <c r="K16" i="26"/>
  <c r="I34" i="25"/>
  <c r="J136" i="13"/>
  <c r="L136" i="13"/>
  <c r="L144" i="13" s="1"/>
  <c r="L146" i="13" s="1"/>
  <c r="L149" i="13" s="1"/>
  <c r="L169" i="13" s="1"/>
  <c r="O136" i="13"/>
  <c r="O144" i="13" s="1"/>
  <c r="O146" i="13" s="1"/>
  <c r="O149" i="13" s="1"/>
  <c r="O169" i="13" s="1"/>
  <c r="G136" i="13"/>
  <c r="G144" i="13" s="1"/>
  <c r="G146" i="13" s="1"/>
  <c r="G149" i="13" s="1"/>
  <c r="G169" i="13" s="1"/>
  <c r="F136" i="13"/>
  <c r="F144" i="13" s="1"/>
  <c r="F146" i="13" s="1"/>
  <c r="F149" i="13" s="1"/>
  <c r="F169" i="13" s="1"/>
  <c r="K136" i="13"/>
  <c r="K144" i="13" s="1"/>
  <c r="K146" i="13" s="1"/>
  <c r="K149" i="13" s="1"/>
  <c r="K169" i="13" s="1"/>
  <c r="I136" i="13"/>
  <c r="I144" i="13" s="1"/>
  <c r="I146" i="13" s="1"/>
  <c r="I149" i="13" s="1"/>
  <c r="I169" i="13" s="1"/>
  <c r="H136" i="13"/>
  <c r="H144" i="13" s="1"/>
  <c r="H146" i="13" s="1"/>
  <c r="H149" i="13" s="1"/>
  <c r="H169" i="13" s="1"/>
  <c r="S125" i="16"/>
  <c r="S14" i="13"/>
  <c r="V14" i="13" s="1"/>
  <c r="V110" i="17"/>
  <c r="O131" i="14"/>
  <c r="O52" i="14"/>
  <c r="S139" i="17"/>
  <c r="H97" i="17"/>
  <c r="U97" i="17"/>
  <c r="O97" i="17"/>
  <c r="G97" i="17"/>
  <c r="N97" i="17"/>
  <c r="F97" i="17"/>
  <c r="P97" i="17"/>
  <c r="K97" i="17"/>
  <c r="M97" i="17"/>
  <c r="I97" i="17"/>
  <c r="J97" i="17"/>
  <c r="L97" i="17"/>
  <c r="E97" i="17"/>
  <c r="Q97" i="17"/>
  <c r="E1221" i="9"/>
  <c r="F1221" i="9" s="1"/>
  <c r="P99" i="5"/>
  <c r="E21" i="24" s="1"/>
  <c r="G21" i="24" s="1"/>
  <c r="Q18" i="17"/>
  <c r="S18" i="17" s="1"/>
  <c r="N131" i="14"/>
  <c r="N52" i="14"/>
  <c r="N130" i="11"/>
  <c r="Y55" i="24"/>
  <c r="V18" i="16"/>
  <c r="U18" i="17"/>
  <c r="N14" i="16"/>
  <c r="N15" i="16" s="1"/>
  <c r="N19" i="16" s="1"/>
  <c r="P14" i="16"/>
  <c r="P15" i="16" s="1"/>
  <c r="P19" i="16" s="1"/>
  <c r="O14" i="16"/>
  <c r="O15" i="16" s="1"/>
  <c r="O19" i="16" s="1"/>
  <c r="M14" i="16"/>
  <c r="E34" i="25"/>
  <c r="E35" i="25"/>
  <c r="V83" i="14"/>
  <c r="V90" i="14" s="1"/>
  <c r="Q83" i="16"/>
  <c r="Q90" i="16" s="1"/>
  <c r="J83" i="16"/>
  <c r="J90" i="16" s="1"/>
  <c r="L83" i="16"/>
  <c r="L90" i="16" s="1"/>
  <c r="E83" i="16"/>
  <c r="U83" i="16"/>
  <c r="U90" i="16" s="1"/>
  <c r="H83" i="16"/>
  <c r="H90" i="16" s="1"/>
  <c r="F83" i="16"/>
  <c r="F90" i="16" s="1"/>
  <c r="O83" i="16"/>
  <c r="O90" i="16" s="1"/>
  <c r="M83" i="16"/>
  <c r="M90" i="16" s="1"/>
  <c r="G83" i="16"/>
  <c r="G90" i="16" s="1"/>
  <c r="N83" i="16"/>
  <c r="N90" i="16" s="1"/>
  <c r="K83" i="16"/>
  <c r="K90" i="16" s="1"/>
  <c r="I83" i="16"/>
  <c r="I90" i="16" s="1"/>
  <c r="P83" i="16"/>
  <c r="P90" i="16" s="1"/>
  <c r="P98" i="11"/>
  <c r="P99" i="11" s="1"/>
  <c r="M95" i="25" s="1"/>
  <c r="M28" i="25"/>
  <c r="P131" i="11"/>
  <c r="M241" i="25" s="1"/>
  <c r="P52" i="11"/>
  <c r="I131" i="17"/>
  <c r="I52" i="17"/>
  <c r="M19" i="13"/>
  <c r="S15" i="13"/>
  <c r="M44" i="25"/>
  <c r="O40" i="25" s="1"/>
  <c r="T80" i="11"/>
  <c r="S118" i="17"/>
  <c r="M131" i="14"/>
  <c r="M52" i="14"/>
  <c r="V97" i="16"/>
  <c r="K131" i="17"/>
  <c r="K52" i="17"/>
  <c r="K284" i="25"/>
  <c r="K288" i="25" s="1"/>
  <c r="K32" i="25"/>
  <c r="K35" i="25" s="1"/>
  <c r="Q88" i="17"/>
  <c r="G88" i="17"/>
  <c r="P88" i="17"/>
  <c r="I88" i="17"/>
  <c r="O88" i="17"/>
  <c r="H88" i="17"/>
  <c r="N88" i="17"/>
  <c r="M88" i="17"/>
  <c r="E88" i="17"/>
  <c r="U88" i="17"/>
  <c r="K88" i="17"/>
  <c r="F88" i="17"/>
  <c r="J88" i="17"/>
  <c r="L88" i="17"/>
  <c r="S130" i="13"/>
  <c r="E136" i="13"/>
  <c r="G131" i="17"/>
  <c r="G52" i="17"/>
  <c r="S110" i="17"/>
  <c r="V118" i="17"/>
  <c r="E131" i="17"/>
  <c r="E52" i="17"/>
  <c r="H131" i="17"/>
  <c r="H52" i="17"/>
  <c r="J131" i="17"/>
  <c r="J52" i="17"/>
  <c r="E1034" i="9"/>
  <c r="F1034" i="9" s="1"/>
  <c r="N136" i="5"/>
  <c r="U136" i="11"/>
  <c r="G98" i="25"/>
  <c r="F98" i="14"/>
  <c r="F99" i="14" s="1"/>
  <c r="Q98" i="14"/>
  <c r="Q99" i="14" s="1"/>
  <c r="N98" i="14"/>
  <c r="N99" i="14" s="1"/>
  <c r="M98" i="14"/>
  <c r="M99" i="14" s="1"/>
  <c r="P98" i="14"/>
  <c r="P99" i="14" s="1"/>
  <c r="G98" i="14"/>
  <c r="G99" i="14" s="1"/>
  <c r="E98" i="14"/>
  <c r="U98" i="14"/>
  <c r="U99" i="14" s="1"/>
  <c r="L98" i="14"/>
  <c r="L99" i="14" s="1"/>
  <c r="J98" i="14"/>
  <c r="J99" i="14" s="1"/>
  <c r="O98" i="14"/>
  <c r="O99" i="14" s="1"/>
  <c r="H98" i="14"/>
  <c r="H99" i="14" s="1"/>
  <c r="K98" i="14"/>
  <c r="K99" i="14" s="1"/>
  <c r="I98" i="14"/>
  <c r="I99" i="14" s="1"/>
  <c r="F52" i="17"/>
  <c r="F131" i="17"/>
  <c r="L19" i="17"/>
  <c r="S84" i="17"/>
  <c r="V84" i="17" s="1"/>
  <c r="N136" i="13"/>
  <c r="N144" i="13" s="1"/>
  <c r="E1141" i="9"/>
  <c r="F1141" i="9" s="1"/>
  <c r="O136" i="5"/>
  <c r="I240" i="25"/>
  <c r="I246" i="25" s="1"/>
  <c r="I298" i="25" s="1"/>
  <c r="I300" i="25" s="1"/>
  <c r="I302" i="25" s="1"/>
  <c r="L136" i="11"/>
  <c r="P136" i="13"/>
  <c r="P144" i="13" s="1"/>
  <c r="Q14" i="14"/>
  <c r="M144" i="5"/>
  <c r="K15" i="26"/>
  <c r="P131" i="14"/>
  <c r="P52" i="14"/>
  <c r="S151" i="17"/>
  <c r="P155" i="11" s="1"/>
  <c r="S34" i="17" l="1"/>
  <c r="V34" i="17" s="1"/>
  <c r="V40" i="17" s="1"/>
  <c r="S40" i="17"/>
  <c r="K152" i="14"/>
  <c r="N146" i="13"/>
  <c r="N149" i="13" s="1"/>
  <c r="N169" i="13" s="1"/>
  <c r="N144" i="5"/>
  <c r="N146" i="5" s="1"/>
  <c r="N149" i="5" s="1"/>
  <c r="N169" i="5" s="1"/>
  <c r="P146" i="13"/>
  <c r="P149" i="13" s="1"/>
  <c r="P169" i="13" s="1"/>
  <c r="M146" i="5"/>
  <c r="M149" i="5" s="1"/>
  <c r="M169" i="5" s="1"/>
  <c r="M173" i="5" s="1"/>
  <c r="N171" i="5" s="1"/>
  <c r="J141" i="13"/>
  <c r="S164" i="13"/>
  <c r="J168" i="11" s="1"/>
  <c r="U14" i="14"/>
  <c r="K34" i="25"/>
  <c r="G125" i="17"/>
  <c r="K125" i="17"/>
  <c r="N125" i="17"/>
  <c r="U125" i="17"/>
  <c r="F125" i="17"/>
  <c r="I125" i="17"/>
  <c r="Q125" i="17"/>
  <c r="E125" i="17"/>
  <c r="H125" i="17"/>
  <c r="V125" i="16"/>
  <c r="O125" i="17"/>
  <c r="J125" i="17"/>
  <c r="M125" i="17"/>
  <c r="L125" i="17"/>
  <c r="P125" i="17"/>
  <c r="S154" i="5"/>
  <c r="H158" i="11" s="1"/>
  <c r="O14" i="17"/>
  <c r="O15" i="17" s="1"/>
  <c r="O19" i="17" s="1"/>
  <c r="V18" i="17"/>
  <c r="N14" i="17"/>
  <c r="N15" i="17" s="1"/>
  <c r="N19" i="17" s="1"/>
  <c r="P14" i="17"/>
  <c r="P15" i="17" s="1"/>
  <c r="P19" i="17" s="1"/>
  <c r="M14" i="17"/>
  <c r="S83" i="16"/>
  <c r="E90" i="16"/>
  <c r="S90" i="16" s="1"/>
  <c r="M15" i="16"/>
  <c r="O131" i="16"/>
  <c r="O52" i="16"/>
  <c r="L16" i="26"/>
  <c r="L21" i="26" s="1"/>
  <c r="L22" i="26" s="1"/>
  <c r="U15" i="14"/>
  <c r="U19" i="14" s="1"/>
  <c r="U52" i="14" s="1"/>
  <c r="V15" i="13"/>
  <c r="V19" i="13" s="1"/>
  <c r="N131" i="16"/>
  <c r="N52" i="16"/>
  <c r="S88" i="17"/>
  <c r="V88" i="17" s="1"/>
  <c r="M131" i="13"/>
  <c r="M136" i="13" s="1"/>
  <c r="M144" i="13" s="1"/>
  <c r="M52" i="13"/>
  <c r="S19" i="13"/>
  <c r="K21" i="26"/>
  <c r="K22" i="26" s="1"/>
  <c r="P131" i="16"/>
  <c r="P52" i="16"/>
  <c r="S98" i="14"/>
  <c r="E99" i="14"/>
  <c r="S99" i="14" s="1"/>
  <c r="S97" i="17"/>
  <c r="V97" i="17" s="1"/>
  <c r="O43" i="25"/>
  <c r="O44" i="25"/>
  <c r="O41" i="25"/>
  <c r="O42" i="25"/>
  <c r="S98" i="5"/>
  <c r="E1328" i="9"/>
  <c r="F1328" i="9" s="1"/>
  <c r="Q99" i="5"/>
  <c r="N15" i="26" s="1"/>
  <c r="O15" i="26" s="1"/>
  <c r="E1248" i="9"/>
  <c r="F1248" i="9" s="1"/>
  <c r="P136" i="5"/>
  <c r="S130" i="5"/>
  <c r="S14" i="14"/>
  <c r="Q15" i="14"/>
  <c r="L131" i="17"/>
  <c r="L52" i="17"/>
  <c r="I98" i="25"/>
  <c r="I101" i="25" s="1"/>
  <c r="I103" i="25" s="1"/>
  <c r="L144" i="11"/>
  <c r="P130" i="11"/>
  <c r="Z55" i="24"/>
  <c r="K240" i="25"/>
  <c r="K246" i="25" s="1"/>
  <c r="K298" i="25" s="1"/>
  <c r="K300" i="25" s="1"/>
  <c r="K302" i="25" s="1"/>
  <c r="N136" i="11"/>
  <c r="I303" i="25"/>
  <c r="I313" i="25"/>
  <c r="E144" i="13"/>
  <c r="M16" i="26"/>
  <c r="M21" i="26" s="1"/>
  <c r="M22" i="26" s="1"/>
  <c r="O144" i="5"/>
  <c r="O146" i="5" s="1"/>
  <c r="O149" i="5" s="1"/>
  <c r="O169" i="5" s="1"/>
  <c r="H130" i="14"/>
  <c r="O130" i="14"/>
  <c r="J130" i="14"/>
  <c r="G130" i="14"/>
  <c r="Q130" i="14"/>
  <c r="U130" i="14"/>
  <c r="E130" i="14"/>
  <c r="I130" i="14"/>
  <c r="L130" i="14"/>
  <c r="M130" i="14"/>
  <c r="F130" i="14"/>
  <c r="P130" i="14"/>
  <c r="N130" i="14"/>
  <c r="K130" i="14"/>
  <c r="M32" i="25"/>
  <c r="M34" i="25" s="1"/>
  <c r="M284" i="25"/>
  <c r="M288" i="25" s="1"/>
  <c r="Q14" i="16"/>
  <c r="Q15" i="16" s="1"/>
  <c r="Q19" i="16" s="1"/>
  <c r="P144" i="5" l="1"/>
  <c r="P146" i="5" s="1"/>
  <c r="P149" i="5" s="1"/>
  <c r="P169" i="5" s="1"/>
  <c r="E24" i="24"/>
  <c r="G24" i="24" s="1"/>
  <c r="G28" i="24" s="1"/>
  <c r="G34" i="24" s="1"/>
  <c r="J142" i="13"/>
  <c r="S141" i="13"/>
  <c r="N173" i="5"/>
  <c r="O171" i="5" s="1"/>
  <c r="O173" i="5" s="1"/>
  <c r="P171" i="5" s="1"/>
  <c r="J136" i="14"/>
  <c r="J144" i="14" s="1"/>
  <c r="J146" i="14" s="1"/>
  <c r="J149" i="14" s="1"/>
  <c r="J169" i="14" s="1"/>
  <c r="O136" i="14"/>
  <c r="O144" i="14" s="1"/>
  <c r="O146" i="14" s="1"/>
  <c r="O149" i="14" s="1"/>
  <c r="O169" i="14" s="1"/>
  <c r="I136" i="14"/>
  <c r="I144" i="14" s="1"/>
  <c r="I146" i="14" s="1"/>
  <c r="I149" i="14" s="1"/>
  <c r="I169" i="14" s="1"/>
  <c r="G136" i="14"/>
  <c r="G144" i="14" s="1"/>
  <c r="G146" i="14" s="1"/>
  <c r="G149" i="14" s="1"/>
  <c r="G169" i="14" s="1"/>
  <c r="N136" i="14"/>
  <c r="N144" i="14" s="1"/>
  <c r="N146" i="14" s="1"/>
  <c r="N149" i="14" s="1"/>
  <c r="N169" i="14" s="1"/>
  <c r="H136" i="14"/>
  <c r="H144" i="14" s="1"/>
  <c r="H146" i="14" s="1"/>
  <c r="H149" i="14" s="1"/>
  <c r="H169" i="14" s="1"/>
  <c r="K136" i="14"/>
  <c r="K144" i="14" s="1"/>
  <c r="K146" i="14" s="1"/>
  <c r="K149" i="14" s="1"/>
  <c r="K169" i="14" s="1"/>
  <c r="P136" i="14"/>
  <c r="P144" i="14" s="1"/>
  <c r="P146" i="14" s="1"/>
  <c r="P149" i="14" s="1"/>
  <c r="P169" i="14" s="1"/>
  <c r="L136" i="14"/>
  <c r="L144" i="14" s="1"/>
  <c r="L146" i="14" s="1"/>
  <c r="L149" i="14" s="1"/>
  <c r="L169" i="14" s="1"/>
  <c r="F136" i="14"/>
  <c r="F144" i="14" s="1"/>
  <c r="F146" i="14" s="1"/>
  <c r="F149" i="14" s="1"/>
  <c r="F169" i="14" s="1"/>
  <c r="M136" i="14"/>
  <c r="M144" i="14" s="1"/>
  <c r="M146" i="14" s="1"/>
  <c r="M149" i="14" s="1"/>
  <c r="M169" i="14" s="1"/>
  <c r="S125" i="17"/>
  <c r="V125" i="17" s="1"/>
  <c r="M146" i="13"/>
  <c r="M149" i="13" s="1"/>
  <c r="M169" i="13" s="1"/>
  <c r="O32" i="25"/>
  <c r="M240" i="25"/>
  <c r="M246" i="25" s="1"/>
  <c r="M298" i="25" s="1"/>
  <c r="M300" i="25" s="1"/>
  <c r="M302" i="25" s="1"/>
  <c r="P136" i="11"/>
  <c r="H98" i="11"/>
  <c r="H99" i="11" s="1"/>
  <c r="Y98" i="5"/>
  <c r="Y99" i="5" s="1"/>
  <c r="V98" i="5"/>
  <c r="V99" i="5" s="1"/>
  <c r="AC180" i="5"/>
  <c r="AC182" i="5" s="1"/>
  <c r="AC183" i="5" s="1"/>
  <c r="V150" i="5" s="1"/>
  <c r="U98" i="13"/>
  <c r="E146" i="13"/>
  <c r="E149" i="13" s="1"/>
  <c r="I105" i="25"/>
  <c r="U103" i="25"/>
  <c r="K23" i="26"/>
  <c r="L23" i="26" s="1"/>
  <c r="M23" i="26" s="1"/>
  <c r="K27" i="26"/>
  <c r="L25" i="26" s="1"/>
  <c r="L27" i="26" s="1"/>
  <c r="M25" i="26" s="1"/>
  <c r="M27" i="26" s="1"/>
  <c r="N25" i="26" s="1"/>
  <c r="M15" i="17"/>
  <c r="Q14" i="17"/>
  <c r="Q15" i="17" s="1"/>
  <c r="Q19" i="17" s="1"/>
  <c r="Q52" i="17" s="1"/>
  <c r="U130" i="13"/>
  <c r="Y130" i="5"/>
  <c r="Y136" i="5" s="1"/>
  <c r="H130" i="11"/>
  <c r="V130" i="5"/>
  <c r="V136" i="5" s="1"/>
  <c r="S52" i="13"/>
  <c r="V52" i="13" s="1"/>
  <c r="Q131" i="13"/>
  <c r="P131" i="17"/>
  <c r="P52" i="17"/>
  <c r="O28" i="25"/>
  <c r="S15" i="14"/>
  <c r="Q19" i="14"/>
  <c r="N131" i="17"/>
  <c r="N52" i="17"/>
  <c r="X56" i="24"/>
  <c r="X58" i="24" s="1"/>
  <c r="L146" i="11"/>
  <c r="S130" i="14"/>
  <c r="V130" i="14" s="1"/>
  <c r="E136" i="14"/>
  <c r="V14" i="14"/>
  <c r="U14" i="16"/>
  <c r="M35" i="25"/>
  <c r="O29" i="25"/>
  <c r="O30" i="25"/>
  <c r="K98" i="25"/>
  <c r="K101" i="25" s="1"/>
  <c r="K103" i="25" s="1"/>
  <c r="N144" i="11"/>
  <c r="E1355" i="9"/>
  <c r="F1355" i="9" s="1"/>
  <c r="Q136" i="5"/>
  <c r="S136" i="5" s="1"/>
  <c r="S14" i="16"/>
  <c r="O131" i="17"/>
  <c r="O52" i="17"/>
  <c r="E152" i="17"/>
  <c r="Q52" i="16"/>
  <c r="K303" i="25"/>
  <c r="K313" i="25"/>
  <c r="O31" i="25"/>
  <c r="M19" i="16"/>
  <c r="S19" i="16" s="1"/>
  <c r="S15" i="16"/>
  <c r="S99" i="5"/>
  <c r="V98" i="14"/>
  <c r="V99" i="14" s="1"/>
  <c r="K98" i="16"/>
  <c r="K99" i="16" s="1"/>
  <c r="O98" i="16"/>
  <c r="O99" i="16" s="1"/>
  <c r="P98" i="16"/>
  <c r="P99" i="16" s="1"/>
  <c r="Q98" i="16"/>
  <c r="Q99" i="16" s="1"/>
  <c r="E98" i="16"/>
  <c r="N98" i="16"/>
  <c r="N99" i="16" s="1"/>
  <c r="L98" i="16"/>
  <c r="L99" i="16" s="1"/>
  <c r="J98" i="16"/>
  <c r="J99" i="16" s="1"/>
  <c r="F98" i="16"/>
  <c r="F99" i="16" s="1"/>
  <c r="I98" i="16"/>
  <c r="I99" i="16" s="1"/>
  <c r="U98" i="16"/>
  <c r="M98" i="16"/>
  <c r="M99" i="16" s="1"/>
  <c r="H98" i="16"/>
  <c r="H99" i="16" s="1"/>
  <c r="G98" i="16"/>
  <c r="G99" i="16" s="1"/>
  <c r="V83" i="16"/>
  <c r="V90" i="16" s="1"/>
  <c r="O83" i="17"/>
  <c r="O90" i="17" s="1"/>
  <c r="M83" i="17"/>
  <c r="M90" i="17" s="1"/>
  <c r="J83" i="17"/>
  <c r="J90" i="17" s="1"/>
  <c r="F83" i="17"/>
  <c r="F90" i="17" s="1"/>
  <c r="L83" i="17"/>
  <c r="L90" i="17" s="1"/>
  <c r="K83" i="17"/>
  <c r="K90" i="17" s="1"/>
  <c r="I83" i="17"/>
  <c r="I90" i="17" s="1"/>
  <c r="U83" i="17"/>
  <c r="U90" i="17" s="1"/>
  <c r="H83" i="17"/>
  <c r="H90" i="17" s="1"/>
  <c r="E83" i="17"/>
  <c r="Q83" i="17"/>
  <c r="Q90" i="17" s="1"/>
  <c r="G83" i="17"/>
  <c r="G90" i="17" s="1"/>
  <c r="P83" i="17"/>
  <c r="P90" i="17" s="1"/>
  <c r="N83" i="17"/>
  <c r="N90" i="17" s="1"/>
  <c r="E28" i="24" l="1"/>
  <c r="E34" i="24" s="1"/>
  <c r="E37" i="24" s="1"/>
  <c r="U141" i="14"/>
  <c r="J141" i="11"/>
  <c r="V141" i="13"/>
  <c r="V142" i="13" s="1"/>
  <c r="S142" i="13"/>
  <c r="J144" i="13"/>
  <c r="J146" i="13" s="1"/>
  <c r="J149" i="13" s="1"/>
  <c r="J169" i="13" s="1"/>
  <c r="Y144" i="5"/>
  <c r="Y146" i="5" s="1"/>
  <c r="P173" i="5"/>
  <c r="E171" i="13" s="1"/>
  <c r="Q144" i="5"/>
  <c r="Q157" i="5" s="1"/>
  <c r="V130" i="13"/>
  <c r="U136" i="13"/>
  <c r="V98" i="13"/>
  <c r="V99" i="13" s="1"/>
  <c r="U99" i="13"/>
  <c r="Q152" i="17"/>
  <c r="S52" i="16"/>
  <c r="V15" i="14"/>
  <c r="V19" i="14" s="1"/>
  <c r="U15" i="16"/>
  <c r="U19" i="16" s="1"/>
  <c r="U52" i="16" s="1"/>
  <c r="U99" i="16"/>
  <c r="I21" i="24"/>
  <c r="V151" i="5"/>
  <c r="S14" i="17"/>
  <c r="M19" i="17"/>
  <c r="S15" i="17"/>
  <c r="E95" i="25"/>
  <c r="T99" i="11"/>
  <c r="S83" i="17"/>
  <c r="V83" i="17" s="1"/>
  <c r="V90" i="17" s="1"/>
  <c r="E90" i="17"/>
  <c r="S90" i="17" s="1"/>
  <c r="U14" i="17"/>
  <c r="V14" i="16"/>
  <c r="M98" i="25"/>
  <c r="M101" i="25" s="1"/>
  <c r="M103" i="25" s="1"/>
  <c r="P144" i="11"/>
  <c r="I24" i="24"/>
  <c r="K24" i="24" s="1"/>
  <c r="S144" i="5"/>
  <c r="E144" i="14"/>
  <c r="M313" i="25"/>
  <c r="M303" i="25"/>
  <c r="M130" i="16"/>
  <c r="U130" i="16"/>
  <c r="P130" i="16"/>
  <c r="J130" i="16"/>
  <c r="I130" i="16"/>
  <c r="G130" i="16"/>
  <c r="F130" i="16"/>
  <c r="Q130" i="16"/>
  <c r="H130" i="16"/>
  <c r="N130" i="16"/>
  <c r="K130" i="16"/>
  <c r="L130" i="16"/>
  <c r="O130" i="16"/>
  <c r="E130" i="16"/>
  <c r="S131" i="13"/>
  <c r="Q136" i="13"/>
  <c r="Q152" i="16"/>
  <c r="K152" i="17"/>
  <c r="S152" i="17" s="1"/>
  <c r="P156" i="11" s="1"/>
  <c r="Y56" i="24"/>
  <c r="Y58" i="24" s="1"/>
  <c r="N146" i="11"/>
  <c r="L153" i="11"/>
  <c r="M131" i="16"/>
  <c r="Q131" i="16" s="1"/>
  <c r="M52" i="16"/>
  <c r="S98" i="16"/>
  <c r="E99" i="16"/>
  <c r="S99" i="16" s="1"/>
  <c r="N16" i="26"/>
  <c r="W103" i="25"/>
  <c r="K105" i="25"/>
  <c r="V144" i="5"/>
  <c r="V146" i="5" s="1"/>
  <c r="S19" i="14"/>
  <c r="E152" i="16"/>
  <c r="Q52" i="14"/>
  <c r="U15" i="17"/>
  <c r="U19" i="17" s="1"/>
  <c r="U52" i="17" s="1"/>
  <c r="E240" i="25"/>
  <c r="E246" i="25" s="1"/>
  <c r="E298" i="25" s="1"/>
  <c r="E300" i="25" s="1"/>
  <c r="E302" i="25" s="1"/>
  <c r="H136" i="11"/>
  <c r="G277" i="25" l="1"/>
  <c r="G278" i="25" s="1"/>
  <c r="G299" i="25" s="1"/>
  <c r="G300" i="25" s="1"/>
  <c r="G302" i="25" s="1"/>
  <c r="J142" i="11"/>
  <c r="U141" i="11"/>
  <c r="V141" i="14"/>
  <c r="V142" i="14" s="1"/>
  <c r="U142" i="14"/>
  <c r="H136" i="16"/>
  <c r="H144" i="16" s="1"/>
  <c r="H146" i="16" s="1"/>
  <c r="H149" i="16" s="1"/>
  <c r="H169" i="16" s="1"/>
  <c r="G136" i="16"/>
  <c r="G144" i="16" s="1"/>
  <c r="G146" i="16" s="1"/>
  <c r="G149" i="16" s="1"/>
  <c r="G169" i="16" s="1"/>
  <c r="F136" i="16"/>
  <c r="F144" i="16" s="1"/>
  <c r="F146" i="16" s="1"/>
  <c r="F149" i="16" s="1"/>
  <c r="F169" i="16" s="1"/>
  <c r="I136" i="16"/>
  <c r="I144" i="16" s="1"/>
  <c r="I146" i="16" s="1"/>
  <c r="I149" i="16" s="1"/>
  <c r="I169" i="16" s="1"/>
  <c r="N153" i="11"/>
  <c r="J136" i="16"/>
  <c r="J144" i="16" s="1"/>
  <c r="J146" i="16" s="1"/>
  <c r="J149" i="16" s="1"/>
  <c r="J169" i="16" s="1"/>
  <c r="P136" i="16"/>
  <c r="P144" i="16" s="1"/>
  <c r="P146" i="16" s="1"/>
  <c r="P149" i="16" s="1"/>
  <c r="P169" i="16" s="1"/>
  <c r="O136" i="16"/>
  <c r="O144" i="16" s="1"/>
  <c r="O146" i="16" s="1"/>
  <c r="O149" i="16" s="1"/>
  <c r="O169" i="16" s="1"/>
  <c r="L136" i="16"/>
  <c r="L144" i="16" s="1"/>
  <c r="L146" i="16" s="1"/>
  <c r="L149" i="16" s="1"/>
  <c r="L169" i="16" s="1"/>
  <c r="K136" i="16"/>
  <c r="K144" i="16" s="1"/>
  <c r="K146" i="16" s="1"/>
  <c r="K149" i="16" s="1"/>
  <c r="N136" i="16"/>
  <c r="N144" i="16" s="1"/>
  <c r="N146" i="16" s="1"/>
  <c r="N149" i="16" s="1"/>
  <c r="N169" i="16" s="1"/>
  <c r="Q146" i="5"/>
  <c r="Q149" i="5" s="1"/>
  <c r="S149" i="5" s="1"/>
  <c r="H153" i="11" s="1"/>
  <c r="U144" i="13"/>
  <c r="U146" i="13" s="1"/>
  <c r="V14" i="17"/>
  <c r="E146" i="14"/>
  <c r="E149" i="14" s="1"/>
  <c r="V15" i="17"/>
  <c r="V19" i="17" s="1"/>
  <c r="V52" i="16"/>
  <c r="Q131" i="14"/>
  <c r="S52" i="14"/>
  <c r="V52" i="14" s="1"/>
  <c r="Q136" i="16"/>
  <c r="Q144" i="16" s="1"/>
  <c r="K174" i="5"/>
  <c r="O174" i="5"/>
  <c r="P174" i="5"/>
  <c r="H174" i="5"/>
  <c r="G174" i="5"/>
  <c r="N174" i="5"/>
  <c r="F174" i="5"/>
  <c r="M174" i="5"/>
  <c r="J174" i="5"/>
  <c r="L174" i="5"/>
  <c r="I174" i="5"/>
  <c r="E174" i="5"/>
  <c r="S146" i="5"/>
  <c r="S147" i="5" s="1"/>
  <c r="M131" i="17"/>
  <c r="M52" i="17"/>
  <c r="S19" i="17"/>
  <c r="Z56" i="24"/>
  <c r="Z58" i="24" s="1"/>
  <c r="P146" i="11"/>
  <c r="S157" i="5"/>
  <c r="H161" i="11" s="1"/>
  <c r="E157" i="13"/>
  <c r="Y103" i="25"/>
  <c r="M105" i="25"/>
  <c r="K21" i="24"/>
  <c r="K28" i="24" s="1"/>
  <c r="K34" i="24" s="1"/>
  <c r="I28" i="24"/>
  <c r="M28" i="24" s="1"/>
  <c r="O16" i="26"/>
  <c r="O21" i="26" s="1"/>
  <c r="O22" i="26" s="1"/>
  <c r="N21" i="26"/>
  <c r="N22" i="26" s="1"/>
  <c r="E313" i="25"/>
  <c r="E314" i="25" s="1"/>
  <c r="E303" i="25"/>
  <c r="Q144" i="13"/>
  <c r="S136" i="13"/>
  <c r="U98" i="17"/>
  <c r="U99" i="17" s="1"/>
  <c r="H98" i="17"/>
  <c r="H99" i="17" s="1"/>
  <c r="P98" i="17"/>
  <c r="P99" i="17" s="1"/>
  <c r="F98" i="17"/>
  <c r="F99" i="17" s="1"/>
  <c r="M98" i="17"/>
  <c r="M99" i="17" s="1"/>
  <c r="Q98" i="17"/>
  <c r="Q99" i="17" s="1"/>
  <c r="E98" i="17"/>
  <c r="I98" i="17"/>
  <c r="I99" i="17" s="1"/>
  <c r="O98" i="17"/>
  <c r="O99" i="17" s="1"/>
  <c r="J98" i="17"/>
  <c r="J99" i="17" s="1"/>
  <c r="K98" i="17"/>
  <c r="K99" i="17" s="1"/>
  <c r="L98" i="17"/>
  <c r="L99" i="17" s="1"/>
  <c r="N98" i="17"/>
  <c r="N99" i="17" s="1"/>
  <c r="G98" i="17"/>
  <c r="G99" i="17" s="1"/>
  <c r="U131" i="14"/>
  <c r="V131" i="13"/>
  <c r="V136" i="13" s="1"/>
  <c r="V144" i="13" s="1"/>
  <c r="V146" i="13" s="1"/>
  <c r="V15" i="16"/>
  <c r="V19" i="16" s="1"/>
  <c r="S130" i="16"/>
  <c r="E136" i="16"/>
  <c r="E98" i="25"/>
  <c r="E101" i="25" s="1"/>
  <c r="E103" i="25" s="1"/>
  <c r="T136" i="11"/>
  <c r="H144" i="11"/>
  <c r="Q152" i="14"/>
  <c r="S152" i="14" s="1"/>
  <c r="L156" i="11" s="1"/>
  <c r="K152" i="16"/>
  <c r="S131" i="16"/>
  <c r="U131" i="17" s="1"/>
  <c r="M136" i="16"/>
  <c r="M144" i="16" s="1"/>
  <c r="M146" i="16" s="1"/>
  <c r="M149" i="16" s="1"/>
  <c r="M169" i="16" s="1"/>
  <c r="V98" i="16"/>
  <c r="V99" i="16" s="1"/>
  <c r="G100" i="25" l="1"/>
  <c r="G101" i="25" s="1"/>
  <c r="G103" i="25" s="1"/>
  <c r="J144" i="11"/>
  <c r="G313" i="25"/>
  <c r="G303" i="25"/>
  <c r="K169" i="16"/>
  <c r="P153" i="11"/>
  <c r="H173" i="11"/>
  <c r="H177" i="11" s="1"/>
  <c r="V64" i="24" s="1"/>
  <c r="Q131" i="17"/>
  <c r="S131" i="17" s="1"/>
  <c r="V131" i="17" s="1"/>
  <c r="S52" i="17"/>
  <c r="V52" i="17" s="1"/>
  <c r="S136" i="16"/>
  <c r="E144" i="16"/>
  <c r="R23" i="24"/>
  <c r="E38" i="24"/>
  <c r="I34" i="24"/>
  <c r="I37" i="24" s="1"/>
  <c r="I38" i="24" s="1"/>
  <c r="S98" i="17"/>
  <c r="V98" i="17" s="1"/>
  <c r="V99" i="17" s="1"/>
  <c r="E99" i="17"/>
  <c r="S99" i="17" s="1"/>
  <c r="V130" i="16"/>
  <c r="U130" i="17"/>
  <c r="E130" i="17"/>
  <c r="Q130" i="17"/>
  <c r="O130" i="17"/>
  <c r="F130" i="17"/>
  <c r="I130" i="17"/>
  <c r="M130" i="17"/>
  <c r="K130" i="17"/>
  <c r="H130" i="17"/>
  <c r="L130" i="17"/>
  <c r="N130" i="17"/>
  <c r="J130" i="17"/>
  <c r="P130" i="17"/>
  <c r="G130" i="17"/>
  <c r="Q157" i="16"/>
  <c r="Q146" i="16"/>
  <c r="Q149" i="16" s="1"/>
  <c r="U136" i="14"/>
  <c r="U144" i="14" s="1"/>
  <c r="U146" i="14" s="1"/>
  <c r="S131" i="14"/>
  <c r="U131" i="16" s="1"/>
  <c r="Q136" i="14"/>
  <c r="N23" i="26"/>
  <c r="N27" i="26"/>
  <c r="T144" i="11"/>
  <c r="V56" i="24"/>
  <c r="V58" i="24" s="1"/>
  <c r="V61" i="24" s="1"/>
  <c r="V62" i="24" s="1"/>
  <c r="H146" i="11"/>
  <c r="E169" i="13"/>
  <c r="E173" i="13" s="1"/>
  <c r="E105" i="25"/>
  <c r="Q103" i="25"/>
  <c r="Q157" i="13"/>
  <c r="E157" i="14" s="1"/>
  <c r="Q146" i="13"/>
  <c r="Q149" i="13" s="1"/>
  <c r="S149" i="13" s="1"/>
  <c r="S144" i="13"/>
  <c r="S146" i="13" s="1"/>
  <c r="S152" i="16"/>
  <c r="N156" i="11" s="1"/>
  <c r="E315" i="25"/>
  <c r="G312" i="25"/>
  <c r="E317" i="25"/>
  <c r="G314" i="25" l="1"/>
  <c r="G317" i="25" s="1"/>
  <c r="W56" i="24"/>
  <c r="W58" i="24" s="1"/>
  <c r="U144" i="11"/>
  <c r="J146" i="11"/>
  <c r="J180" i="11" s="1"/>
  <c r="G105" i="25"/>
  <c r="S103" i="25"/>
  <c r="F136" i="17"/>
  <c r="F144" i="17" s="1"/>
  <c r="F146" i="17" s="1"/>
  <c r="F149" i="17" s="1"/>
  <c r="F169" i="17" s="1"/>
  <c r="E157" i="17"/>
  <c r="I136" i="17"/>
  <c r="I144" i="17" s="1"/>
  <c r="I146" i="17" s="1"/>
  <c r="I149" i="17" s="1"/>
  <c r="I169" i="17" s="1"/>
  <c r="O136" i="17"/>
  <c r="O144" i="17" s="1"/>
  <c r="O146" i="17" s="1"/>
  <c r="O149" i="17" s="1"/>
  <c r="O169" i="17" s="1"/>
  <c r="U136" i="17"/>
  <c r="U144" i="17" s="1"/>
  <c r="U146" i="17" s="1"/>
  <c r="J136" i="17"/>
  <c r="J144" i="17" s="1"/>
  <c r="J146" i="17" s="1"/>
  <c r="J149" i="17" s="1"/>
  <c r="J169" i="17" s="1"/>
  <c r="F171" i="13"/>
  <c r="F173" i="13" s="1"/>
  <c r="Q136" i="17"/>
  <c r="Q144" i="17" s="1"/>
  <c r="Q146" i="17" s="1"/>
  <c r="Q149" i="17" s="1"/>
  <c r="H136" i="17"/>
  <c r="H144" i="17" s="1"/>
  <c r="H146" i="17" s="1"/>
  <c r="H149" i="17" s="1"/>
  <c r="H169" i="17" s="1"/>
  <c r="G136" i="17"/>
  <c r="G144" i="17" s="1"/>
  <c r="G146" i="17" s="1"/>
  <c r="G149" i="17" s="1"/>
  <c r="G169" i="17" s="1"/>
  <c r="N136" i="17"/>
  <c r="N144" i="17" s="1"/>
  <c r="N146" i="17" s="1"/>
  <c r="N149" i="17" s="1"/>
  <c r="N169" i="17" s="1"/>
  <c r="K136" i="17"/>
  <c r="K144" i="17" s="1"/>
  <c r="K146" i="17" s="1"/>
  <c r="K149" i="17" s="1"/>
  <c r="K169" i="17" s="1"/>
  <c r="P136" i="17"/>
  <c r="P144" i="17" s="1"/>
  <c r="P146" i="17" s="1"/>
  <c r="P149" i="17" s="1"/>
  <c r="P169" i="17" s="1"/>
  <c r="L136" i="17"/>
  <c r="L144" i="17" s="1"/>
  <c r="L146" i="17" s="1"/>
  <c r="L149" i="17" s="1"/>
  <c r="L169" i="17" s="1"/>
  <c r="M136" i="17"/>
  <c r="M144" i="17" s="1"/>
  <c r="M146" i="17" s="1"/>
  <c r="M149" i="17" s="1"/>
  <c r="M169" i="17" s="1"/>
  <c r="J175" i="11"/>
  <c r="E306" i="25"/>
  <c r="E307" i="25" s="1"/>
  <c r="H181" i="11"/>
  <c r="V131" i="16"/>
  <c r="V136" i="16" s="1"/>
  <c r="V144" i="16" s="1"/>
  <c r="V146" i="16" s="1"/>
  <c r="U136" i="16"/>
  <c r="U144" i="16" s="1"/>
  <c r="U146" i="16" s="1"/>
  <c r="E146" i="16"/>
  <c r="E149" i="16" s="1"/>
  <c r="S149" i="16" s="1"/>
  <c r="S144" i="16"/>
  <c r="S146" i="16" s="1"/>
  <c r="N180" i="11" s="1"/>
  <c r="Q144" i="14"/>
  <c r="S136" i="14"/>
  <c r="V131" i="14"/>
  <c r="V136" i="14" s="1"/>
  <c r="V144" i="14" s="1"/>
  <c r="V146" i="14" s="1"/>
  <c r="S157" i="13"/>
  <c r="J161" i="11" s="1"/>
  <c r="S130" i="17"/>
  <c r="V130" i="17" s="1"/>
  <c r="V136" i="17" s="1"/>
  <c r="V144" i="17" s="1"/>
  <c r="V146" i="17" s="1"/>
  <c r="E136" i="17"/>
  <c r="E169" i="14"/>
  <c r="T146" i="11"/>
  <c r="H180" i="11"/>
  <c r="H149" i="11"/>
  <c r="G315" i="25" l="1"/>
  <c r="I312" i="25"/>
  <c r="I314" i="25" s="1"/>
  <c r="I317" i="25" s="1"/>
  <c r="U146" i="11"/>
  <c r="J153" i="11"/>
  <c r="J173" i="11" s="1"/>
  <c r="J177" i="11" s="1"/>
  <c r="Q157" i="17"/>
  <c r="S157" i="17" s="1"/>
  <c r="P161" i="11" s="1"/>
  <c r="G171" i="13"/>
  <c r="G173" i="13" s="1"/>
  <c r="G305" i="25"/>
  <c r="Q157" i="14"/>
  <c r="S144" i="14"/>
  <c r="S146" i="14" s="1"/>
  <c r="Q146" i="14"/>
  <c r="Q149" i="14" s="1"/>
  <c r="S149" i="14" s="1"/>
  <c r="L180" i="11" s="1"/>
  <c r="S136" i="17"/>
  <c r="E144" i="17"/>
  <c r="J148" i="11"/>
  <c r="H150" i="11"/>
  <c r="I315" i="25" l="1"/>
  <c r="K312" i="25"/>
  <c r="K314" i="25" s="1"/>
  <c r="M312" i="25" s="1"/>
  <c r="M314" i="25" s="1"/>
  <c r="G306" i="25"/>
  <c r="I305" i="25" s="1"/>
  <c r="L175" i="11"/>
  <c r="W64" i="24"/>
  <c r="P173" i="11"/>
  <c r="H171" i="13"/>
  <c r="H173" i="13" s="1"/>
  <c r="E157" i="16"/>
  <c r="S157" i="14"/>
  <c r="L161" i="11" s="1"/>
  <c r="W60" i="24"/>
  <c r="W61" i="24" s="1"/>
  <c r="W62" i="24" s="1"/>
  <c r="J149" i="11"/>
  <c r="S144" i="17"/>
  <c r="S146" i="17" s="1"/>
  <c r="P180" i="11" s="1"/>
  <c r="E146" i="17"/>
  <c r="E149" i="17" s="1"/>
  <c r="K315" i="25" l="1"/>
  <c r="K317" i="25"/>
  <c r="G307" i="25"/>
  <c r="I171" i="13"/>
  <c r="I173" i="13" s="1"/>
  <c r="L173" i="11"/>
  <c r="L177" i="11" s="1"/>
  <c r="I306" i="25" s="1"/>
  <c r="E169" i="17"/>
  <c r="S149" i="17"/>
  <c r="J150" i="11"/>
  <c r="L148" i="11"/>
  <c r="M315" i="25"/>
  <c r="M317" i="25"/>
  <c r="S157" i="16"/>
  <c r="N161" i="11" s="1"/>
  <c r="E169" i="16"/>
  <c r="X64" i="24" l="1"/>
  <c r="N175" i="11"/>
  <c r="N173" i="11"/>
  <c r="J171" i="13"/>
  <c r="J173" i="13" s="1"/>
  <c r="I307" i="25"/>
  <c r="K305" i="25"/>
  <c r="L149" i="11"/>
  <c r="X60" i="24"/>
  <c r="X61" i="24" s="1"/>
  <c r="X62" i="24" s="1"/>
  <c r="N177" i="11" l="1"/>
  <c r="P175" i="11" s="1"/>
  <c r="K171" i="13"/>
  <c r="K173" i="13" s="1"/>
  <c r="L150" i="11"/>
  <c r="N148" i="11"/>
  <c r="Y64" i="24" l="1"/>
  <c r="K306" i="25"/>
  <c r="K307" i="25" s="1"/>
  <c r="P177" i="11"/>
  <c r="M306" i="25" s="1"/>
  <c r="M307" i="25" s="1"/>
  <c r="L171" i="13"/>
  <c r="L173" i="13" s="1"/>
  <c r="N149" i="11"/>
  <c r="Y60" i="24"/>
  <c r="Y61" i="24" s="1"/>
  <c r="Y62" i="24" s="1"/>
  <c r="Z64" i="24" l="1"/>
  <c r="M305" i="25"/>
  <c r="M171" i="13"/>
  <c r="M173" i="13" s="1"/>
  <c r="P148" i="11"/>
  <c r="N150" i="11"/>
  <c r="N171" i="13" l="1"/>
  <c r="N173" i="13" s="1"/>
  <c r="P149" i="11"/>
  <c r="P150" i="11" s="1"/>
  <c r="Z60" i="24"/>
  <c r="Z61" i="24" s="1"/>
  <c r="Z62" i="24" s="1"/>
  <c r="O171" i="13" l="1"/>
  <c r="O173" i="13" s="1"/>
  <c r="P171" i="13" l="1"/>
  <c r="P173" i="13" s="1"/>
  <c r="E171" i="14" l="1"/>
  <c r="E173" i="14" s="1"/>
  <c r="J181" i="11"/>
  <c r="F171" i="14" l="1"/>
  <c r="F173" i="14" s="1"/>
  <c r="G171" i="14" l="1"/>
  <c r="G173" i="14" s="1"/>
  <c r="H171" i="14" l="1"/>
  <c r="H173" i="14" s="1"/>
  <c r="I171" i="14" l="1"/>
  <c r="I173" i="14" s="1"/>
  <c r="J171" i="14" l="1"/>
  <c r="J173" i="14" s="1"/>
  <c r="K171" i="14" l="1"/>
  <c r="K173" i="14" s="1"/>
  <c r="L171" i="14" l="1"/>
  <c r="L173" i="14" s="1"/>
  <c r="M171" i="14" l="1"/>
  <c r="M173" i="14" s="1"/>
  <c r="N171" i="14" l="1"/>
  <c r="N173" i="14" s="1"/>
  <c r="O171" i="14" l="1"/>
  <c r="O173" i="14" s="1"/>
  <c r="P171" i="14" l="1"/>
  <c r="P173" i="14" s="1"/>
  <c r="E171" i="16" l="1"/>
  <c r="E173" i="16" s="1"/>
  <c r="L181" i="11"/>
  <c r="F171" i="16" l="1"/>
  <c r="F173" i="16" s="1"/>
  <c r="G171" i="16" l="1"/>
  <c r="G173" i="16" s="1"/>
  <c r="H171" i="16" l="1"/>
  <c r="H173" i="16" s="1"/>
  <c r="I171" i="16" l="1"/>
  <c r="I173" i="16" s="1"/>
  <c r="J171" i="16" l="1"/>
  <c r="J173" i="16" s="1"/>
  <c r="K171" i="16" l="1"/>
  <c r="K173" i="16" s="1"/>
  <c r="L171" i="16" l="1"/>
  <c r="L173" i="16" s="1"/>
  <c r="M171" i="16" l="1"/>
  <c r="M173" i="16" s="1"/>
  <c r="N171" i="16" l="1"/>
  <c r="N173" i="16" s="1"/>
  <c r="O171" i="16" l="1"/>
  <c r="O173" i="16" s="1"/>
  <c r="P171" i="16" l="1"/>
  <c r="P173" i="16" s="1"/>
  <c r="E171" i="17" l="1"/>
  <c r="E173" i="17" s="1"/>
  <c r="N181" i="11"/>
  <c r="F171" i="17" l="1"/>
  <c r="F173" i="17" s="1"/>
  <c r="G171" i="17" l="1"/>
  <c r="G173" i="17" s="1"/>
  <c r="H171" i="17" l="1"/>
  <c r="H173" i="17" s="1"/>
  <c r="I171" i="17" l="1"/>
  <c r="I173" i="17" s="1"/>
  <c r="J171" i="17" l="1"/>
  <c r="J173" i="17" s="1"/>
  <c r="K171" i="17" l="1"/>
  <c r="K173" i="17" s="1"/>
  <c r="L171" i="17" l="1"/>
  <c r="L173" i="17" s="1"/>
  <c r="M171" i="17" l="1"/>
  <c r="M173" i="17" s="1"/>
  <c r="N171" i="17" l="1"/>
  <c r="N173" i="17" s="1"/>
  <c r="O171" i="17" l="1"/>
  <c r="O173" i="17" s="1"/>
  <c r="P171" i="17" l="1"/>
  <c r="P173" i="17" s="1"/>
  <c r="P181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tc={CBCFCC61-872A-44A8-99B4-C64752DECD9D}</author>
  </authors>
  <commentList>
    <comment ref="S4" authorId="0" shapeId="0" xr:uid="{CBCFCC61-872A-44A8-99B4-C64752DECD9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Added this for check and review can be removed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Waseem Akhtar</author>
    <author>tc={BE8F1277-48DF-493A-BD8B-668DF19C5189}</author>
    <author>tc={470A876E-A458-42F5-B107-A17C06C50FCE}</author>
    <author>tc={CCB4063A-CA5E-4635-9B2C-2859CC175D2F}</author>
    <author>tc={A7297B89-56F5-42F5-BB37-0E6503F91D90}</author>
    <author>tc={45F94929-9CDE-4476-8925-4545962CCFBB}</author>
    <author>tc={4065F1FD-8631-4EF9-9EB6-4A85CA68B513}</author>
    <author>tc={46514829-C433-44A7-B427-C3B066B8F596}</author>
    <author>tc={8C429E68-BE40-4A0D-A3A6-584782193CD7}</author>
    <author>tc={F28ABC75-B917-423E-8F91-6B3A57D33D84}</author>
    <author>tc={A734E446-A27B-4F93-B94F-C8BF660004E9}</author>
    <author>tc={A81FFC0F-0611-4A45-AF77-072E61FA0F88}</author>
    <author>tc={6471EB7E-1DDA-4453-BB6C-D065F4A3E71D}</author>
    <author>tc={CF789960-E731-4D3B-8EF2-DB2536EB861D}</author>
    <author>tc={B6E2E5D5-2E31-4484-9465-CB7F157652B3}</author>
    <author>tc={FC8E87B3-B7FB-48F1-97DF-E6513CEEDB21}</author>
    <author>tc={46E38BD3-F793-407D-AF47-C92F2F599A11}</author>
    <author>tc={5D060B81-7D73-4857-84CE-A64A10E00C23}</author>
    <author>tc={AED307BE-6BF1-4D9F-B59A-0B55FF9DEA1B}</author>
    <author>tc={1636B302-429A-4606-8C34-469C89725929}</author>
    <author>tc={4C63D92E-AFD0-439C-BB64-79C7AB8DAB0A}</author>
    <author>tc={B846E7C9-E25E-47A4-A0CC-2E477116AA39}</author>
    <author>tc={11D1C620-F8D6-4FA3-9E5A-3C0D3916002F}</author>
    <author>tc={25680242-9B2A-4161-863D-D2DFB7FA9B24}</author>
    <author>tc={2B63D616-8343-4C5F-B47B-ED7517CE0439}</author>
    <author>tc={B3148ED2-430B-4F96-9BF2-8EA4257B5BA7}</author>
    <author>tc={374C03CF-D9A6-486C-BFEF-E837A71370A6}</author>
    <author>tc={16BEF32D-823C-4A08-8700-82EA0693ACAE}</author>
    <author>tc={24B546FA-AE8D-42A5-9202-9CF768690278}</author>
    <author>Spencer Styles</author>
    <author>Tyler Myers</author>
    <author>tc={C05709EB-2D4C-4F99-84AB-18B937741031}</author>
    <author>tc={1AA6B94F-9415-46FF-94A4-D4F8C0BF214F}</author>
    <author>tc={AAF521AC-CDCC-407D-BF57-302BD2B80D50}</author>
  </authors>
  <commentList>
    <comment ref="N18" authorId="0" shapeId="0" xr:uid="{F2280D02-E609-40EC-A437-C4A380AC8BD3}">
      <text>
        <r>
          <rPr>
            <b/>
            <sz val="9"/>
            <color indexed="81"/>
            <rFont val="Tahoma"/>
            <family val="2"/>
          </rPr>
          <t>Waseem Akhtar:</t>
        </r>
        <r>
          <rPr>
            <sz val="9"/>
            <color indexed="81"/>
            <rFont val="Tahoma"/>
            <family val="2"/>
          </rPr>
          <t xml:space="preserve">
moved to May
</t>
        </r>
      </text>
    </comment>
    <comment ref="O18" authorId="0" shapeId="0" xr:uid="{3C8DE32D-1E48-4290-BF69-DE5B7EC7D4D7}">
      <text>
        <r>
          <rPr>
            <b/>
            <sz val="9"/>
            <color indexed="81"/>
            <rFont val="Tahoma"/>
            <family val="2"/>
          </rPr>
          <t>Waseem Akhtar:</t>
        </r>
        <r>
          <rPr>
            <sz val="9"/>
            <color indexed="81"/>
            <rFont val="Tahoma"/>
            <family val="2"/>
          </rPr>
          <t xml:space="preserve">
added to June</t>
        </r>
      </text>
    </comment>
    <comment ref="N21" authorId="0" shapeId="0" xr:uid="{F92298C5-883F-4965-8F46-DB81376F9DD9}">
      <text>
        <r>
          <rPr>
            <b/>
            <sz val="9"/>
            <color indexed="81"/>
            <rFont val="Tahoma"/>
            <family val="2"/>
          </rPr>
          <t>Waseem Akhtar:</t>
        </r>
        <r>
          <rPr>
            <sz val="9"/>
            <color indexed="81"/>
            <rFont val="Tahoma"/>
            <family val="2"/>
          </rPr>
          <t xml:space="preserve">
moved to May
</t>
        </r>
      </text>
    </comment>
    <comment ref="O21" authorId="0" shapeId="0" xr:uid="{CDB07DAD-FF2B-49C4-91F2-6E45067031DD}">
      <text>
        <r>
          <rPr>
            <b/>
            <sz val="9"/>
            <color indexed="81"/>
            <rFont val="Tahoma"/>
            <family val="2"/>
          </rPr>
          <t>Waseem Akhtar:</t>
        </r>
        <r>
          <rPr>
            <sz val="9"/>
            <color indexed="81"/>
            <rFont val="Tahoma"/>
            <family val="2"/>
          </rPr>
          <t xml:space="preserve">
added to June</t>
        </r>
      </text>
    </comment>
    <comment ref="Q21" authorId="1" shapeId="0" xr:uid="{BE8F1277-48DF-493A-BD8B-668DF19C518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New Charters don't receievd Fed SPED their 1st year</t>
        </r>
      </text>
    </comment>
    <comment ref="N29" authorId="0" shapeId="0" xr:uid="{ADAF3637-8CC4-42BA-8CF1-12F70AC1727F}">
      <text>
        <r>
          <rPr>
            <b/>
            <sz val="9"/>
            <color indexed="81"/>
            <rFont val="Tahoma"/>
            <family val="2"/>
          </rPr>
          <t>Waseem Akhtar:</t>
        </r>
        <r>
          <rPr>
            <sz val="9"/>
            <color indexed="81"/>
            <rFont val="Tahoma"/>
            <family val="2"/>
          </rPr>
          <t xml:space="preserve">
PCSGP Accrual</t>
        </r>
      </text>
    </comment>
    <comment ref="O56" authorId="2" shapeId="0" xr:uid="{470A876E-A458-42F5-B107-A17C06C50FC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Moved Jennie Fazio from MV to GM for FY20</t>
        </r>
      </text>
    </comment>
    <comment ref="P60" authorId="3" shapeId="0" xr:uid="{CCB4063A-CA5E-4635-9B2C-2859CC175D2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New Hire: 06/08/20 David Beran</t>
        </r>
      </text>
    </comment>
    <comment ref="E64" authorId="4" shapeId="0" xr:uid="{A7297B89-56F5-42F5-BB37-0E6503F91D9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Employee Moved from DO,coded to 2100 in DO</t>
        </r>
      </text>
    </comment>
    <comment ref="O64" authorId="0" shapeId="0" xr:uid="{CFB71B3D-379D-465B-8C04-545C48B5FC27}">
      <text>
        <r>
          <rPr>
            <b/>
            <sz val="9"/>
            <color indexed="81"/>
            <rFont val="Tahoma"/>
            <family val="2"/>
          </rPr>
          <t>Waseem Akhtar:</t>
        </r>
        <r>
          <rPr>
            <sz val="9"/>
            <color indexed="81"/>
            <rFont val="Tahoma"/>
            <family val="2"/>
          </rPr>
          <t xml:space="preserve">
EE223- Kamryn Aceves move to DO</t>
        </r>
      </text>
    </comment>
    <comment ref="O65" authorId="0" shapeId="0" xr:uid="{5F5D5AEC-ED55-4BF7-8BEA-EDA549269727}">
      <text>
        <r>
          <rPr>
            <b/>
            <sz val="9"/>
            <color indexed="81"/>
            <rFont val="Tahoma"/>
            <family val="2"/>
          </rPr>
          <t>Waseem Akhtar:</t>
        </r>
        <r>
          <rPr>
            <sz val="9"/>
            <color indexed="81"/>
            <rFont val="Tahoma"/>
            <family val="2"/>
          </rPr>
          <t xml:space="preserve">
new hire
</t>
        </r>
      </text>
    </comment>
    <comment ref="O66" authorId="0" shapeId="0" xr:uid="{D550EFF0-5798-44B0-807A-C4EFD83A6543}">
      <text>
        <r>
          <rPr>
            <b/>
            <sz val="9"/>
            <color indexed="81"/>
            <rFont val="Tahoma"/>
            <family val="2"/>
          </rPr>
          <t xml:space="preserve">Waseem Akhtar:
</t>
        </r>
        <r>
          <rPr>
            <sz val="9"/>
            <color indexed="81"/>
            <rFont val="Tahoma"/>
            <family val="2"/>
          </rPr>
          <t>promotion/New hire</t>
        </r>
      </text>
    </comment>
    <comment ref="M75" authorId="5" shapeId="0" xr:uid="{45F94929-9CDE-4476-8925-4545962CCFB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Payment Made</t>
        </r>
      </text>
    </comment>
    <comment ref="P75" authorId="6" shapeId="0" xr:uid="{4065F1FD-8631-4EF9-9EB6-4A85CA68B51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March/April not paid</t>
        </r>
      </text>
    </comment>
    <comment ref="G83" authorId="7" shapeId="0" xr:uid="{46514829-C433-44A7-B427-C3B066B8F59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 Impact Academy $60k</t>
        </r>
      </text>
    </comment>
    <comment ref="O84" authorId="8" shapeId="0" xr:uid="{8C429E68-BE40-4A0D-A3A6-584782193CD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Procurify invoice - 12 licenses</t>
        </r>
      </text>
    </comment>
    <comment ref="K85" authorId="9" shapeId="0" xr:uid="{F28ABC75-B917-423E-8F91-6B3A57D33D8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large Divvy Refund 01/20</t>
        </r>
      </text>
    </comment>
    <comment ref="J88" authorId="10" shapeId="0" xr:uid="{A734E446-A27B-4F93-B94F-C8BF660004E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- Divvy</t>
        </r>
      </text>
    </comment>
    <comment ref="N89" authorId="0" shapeId="0" xr:uid="{B09771FA-D56F-480A-B1C2-E48EAC2CE7E0}">
      <text>
        <r>
          <rPr>
            <b/>
            <sz val="9"/>
            <color indexed="81"/>
            <rFont val="Tahoma"/>
            <family val="2"/>
          </rPr>
          <t>Waseem Akhtar:</t>
        </r>
        <r>
          <rPr>
            <sz val="9"/>
            <color indexed="81"/>
            <rFont val="Tahoma"/>
            <family val="2"/>
          </rPr>
          <t xml:space="preserve">
Nutrition Corp/Yumble Invoices </t>
        </r>
      </text>
    </comment>
    <comment ref="I93" authorId="11" shapeId="0" xr:uid="{A81FFC0F-0611-4A45-AF77-072E61FA0F8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$119k Global Therapy Aug19-Oct19</t>
        </r>
      </text>
    </comment>
    <comment ref="G98" authorId="12" shapeId="0" xr:uid="{6471EB7E-1DDA-4453-BB6C-D065F4A3E71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Jul-Sep</t>
        </r>
      </text>
    </comment>
    <comment ref="P98" authorId="13" shapeId="0" xr:uid="{CF789960-E731-4D3B-8EF2-DB2536EB861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May fee reversed</t>
        </r>
      </text>
    </comment>
    <comment ref="N103" authorId="14" shapeId="0" xr:uid="{B6E2E5D5-2E31-4484-9465-CB7F157652B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March/April</t>
        </r>
      </text>
    </comment>
    <comment ref="O103" authorId="0" shapeId="0" xr:uid="{2CF07DB2-4BA2-4716-B15C-22EEF25EC9CF}">
      <text>
        <r>
          <rPr>
            <b/>
            <sz val="9"/>
            <color indexed="81"/>
            <rFont val="Tahoma"/>
            <family val="2"/>
          </rPr>
          <t>Waseem Akhtar:</t>
        </r>
        <r>
          <rPr>
            <sz val="9"/>
            <color indexed="81"/>
            <rFont val="Tahoma"/>
            <family val="2"/>
          </rPr>
          <t xml:space="preserve">
Chartersafe trueup</t>
        </r>
      </text>
    </comment>
    <comment ref="H112" authorId="15" shapeId="0" xr:uid="{FC8E87B3-B7FB-48F1-97DF-E6513CEEDB2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07/19 - 10/19 Rent</t>
        </r>
      </text>
    </comment>
    <comment ref="I112" authorId="16" shapeId="0" xr:uid="{46E38BD3-F793-407D-AF47-C92F2F599A1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November should be last month for both leases</t>
        </r>
      </text>
    </comment>
    <comment ref="P112" authorId="17" shapeId="0" xr:uid="{5D060B81-7D73-4857-84CE-A64A10E00C2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Dance Unlimited Refund</t>
        </r>
      </text>
    </comment>
    <comment ref="N115" authorId="18" shapeId="0" xr:uid="{AED307BE-6BF1-4D9F-B59A-0B55FF9DEA1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Facility Rental Refund</t>
        </r>
      </text>
    </comment>
    <comment ref="O115" authorId="19" shapeId="0" xr:uid="{1636B302-429A-4606-8C34-469C8972592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Facility rent refund</t>
        </r>
      </text>
    </comment>
    <comment ref="P115" authorId="20" shapeId="0" xr:uid="{4C63D92E-AFD0-439C-BB64-79C7AB8DAB0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Spring Valley Lake Country Club refund</t>
        </r>
      </text>
    </comment>
    <comment ref="K117" authorId="21" shapeId="0" xr:uid="{B846E7C9-E25E-47A4-A0CC-2E477116AA3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PCSGP - Mobile Classroom Transport</t>
        </r>
      </text>
    </comment>
    <comment ref="K123" authorId="22" shapeId="0" xr:uid="{11D1C620-F8D6-4FA3-9E5A-3C0D3916002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CSDC</t>
        </r>
      </text>
    </comment>
    <comment ref="O125" authorId="23" shapeId="0" xr:uid="{25680242-9B2A-4161-863D-D2DFB7FA9B2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RCLS SD Zoo (Z-Web RBO divvy charges)</t>
        </r>
      </text>
    </comment>
    <comment ref="L128" authorId="24" shapeId="0" xr:uid="{2B63D616-8343-4C5F-B47B-ED7517CE043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STRS P&amp;I</t>
        </r>
      </text>
    </comment>
    <comment ref="G130" authorId="25" shapeId="0" xr:uid="{B3148ED2-430B-4F96-9BF2-8EA4257B5BA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Jul-Sep</t>
        </r>
      </text>
    </comment>
    <comment ref="H131" authorId="26" shapeId="0" xr:uid="{374C03CF-D9A6-486C-BFEF-E837A71370A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Advance 3% - F/Y 2019/2020</t>
        </r>
      </text>
    </comment>
    <comment ref="O131" authorId="27" shapeId="0" xr:uid="{16BEF32D-823C-4A08-8700-82EA0693ACA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FY1920 fee - 3%</t>
        </r>
      </text>
    </comment>
    <comment ref="M153" authorId="28" shapeId="0" xr:uid="{24B546FA-AE8D-42A5-9202-9CF76869027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Factoring paid in full</t>
        </r>
      </text>
    </comment>
    <comment ref="E154" authorId="29" shapeId="0" xr:uid="{F3CAA8DD-9B4C-4E35-8273-8D28A8AAF3C1}">
      <text>
        <r>
          <rPr>
            <b/>
            <sz val="9"/>
            <color indexed="81"/>
            <rFont val="Tahoma"/>
            <family val="2"/>
          </rPr>
          <t>Spencer Styles:</t>
        </r>
        <r>
          <rPr>
            <sz val="9"/>
            <color indexed="81"/>
            <rFont val="Tahoma"/>
            <family val="2"/>
          </rPr>
          <t xml:space="preserve">
From Heartland</t>
        </r>
      </text>
    </comment>
    <comment ref="L154" authorId="30" shapeId="0" xr:uid="{C00ABFE5-98D2-4AD6-9135-F348FD927700}">
      <text>
        <r>
          <rPr>
            <b/>
            <sz val="9"/>
            <color indexed="81"/>
            <rFont val="Tahoma"/>
            <family val="2"/>
          </rPr>
          <t>Tyler Myers:</t>
        </r>
        <r>
          <rPr>
            <sz val="9"/>
            <color indexed="81"/>
            <rFont val="Tahoma"/>
            <family val="2"/>
          </rPr>
          <t xml:space="preserve">
$2223.55 from MVA
Full Payment</t>
        </r>
      </text>
    </comment>
    <comment ref="M154" authorId="29" shapeId="0" xr:uid="{268BF695-E65E-46C6-B6F0-917775BC955D}">
      <text>
        <r>
          <rPr>
            <b/>
            <sz val="9"/>
            <color indexed="81"/>
            <rFont val="Tahoma"/>
            <family val="2"/>
          </rPr>
          <t>Spencer Styles:</t>
        </r>
        <r>
          <rPr>
            <sz val="9"/>
            <color indexed="81"/>
            <rFont val="Tahoma"/>
            <family val="2"/>
          </rPr>
          <t xml:space="preserve">
Credit for ICS fees against DTF balance+ 83k payment to North</t>
        </r>
      </text>
    </comment>
    <comment ref="K155" authorId="31" shapeId="0" xr:uid="{C05709EB-2D4C-4F99-84AB-18B93774103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Divvy Payment</t>
        </r>
      </text>
    </comment>
    <comment ref="G164" authorId="32" shapeId="0" xr:uid="{1AA6B94F-9415-46FF-94A4-D4F8C0BF214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Ties to RSU 09/30/19</t>
        </r>
      </text>
    </comment>
    <comment ref="J164" authorId="33" shapeId="0" xr:uid="{AAF521AC-CDCC-407D-BF57-302BD2B80D5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Feb20 &amp; Mar20 LCFF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Darlington Ahaiwe</author>
    <author>Tyler Myers</author>
  </authors>
  <commentList>
    <comment ref="F152" authorId="0" shapeId="0" xr:uid="{C65ECFC0-D76D-4804-BDE3-00DE07A20711}">
      <text>
        <r>
          <rPr>
            <b/>
            <sz val="9"/>
            <color indexed="81"/>
            <rFont val="Tahoma"/>
            <family val="2"/>
          </rPr>
          <t>Darlington Ahaiwe:</t>
        </r>
        <r>
          <rPr>
            <sz val="9"/>
            <color indexed="81"/>
            <rFont val="Tahoma"/>
            <family val="2"/>
          </rPr>
          <t xml:space="preserve">
FY20 LCFF overpayment </t>
        </r>
      </text>
    </comment>
    <comment ref="F154" authorId="1" shapeId="0" xr:uid="{46CC3C66-897A-4A93-B4A5-9240CAD0E1FA}">
      <text>
        <r>
          <rPr>
            <b/>
            <sz val="9"/>
            <color indexed="81"/>
            <rFont val="Tahoma"/>
            <family val="2"/>
          </rPr>
          <t>Tyler Myers:</t>
        </r>
        <r>
          <rPr>
            <sz val="9"/>
            <color indexed="81"/>
            <rFont val="Tahoma"/>
            <family val="2"/>
          </rPr>
          <t xml:space="preserve">
$1,001,055.65 from PCA (FULL PAYMENT)
-$83,777.36 to N
(FULL PAYMENT)</t>
        </r>
      </text>
    </comment>
    <comment ref="G154" authorId="1" shapeId="0" xr:uid="{D7AFB60F-92AA-4627-851A-879C903B5023}">
      <text>
        <r>
          <rPr>
            <b/>
            <sz val="9"/>
            <color indexed="81"/>
            <rFont val="Tahoma"/>
            <family val="2"/>
          </rPr>
          <t>Tyler Myers:</t>
        </r>
        <r>
          <rPr>
            <sz val="9"/>
            <color indexed="81"/>
            <rFont val="Tahoma"/>
            <family val="2"/>
          </rPr>
          <t xml:space="preserve">
-$40,014.39 to S
(FULL PAYMENT)
</t>
        </r>
      </text>
    </comment>
    <comment ref="I154" authorId="1" shapeId="0" xr:uid="{5BC40DCA-9A30-4D5C-8646-BF47496E69A5}">
      <text>
        <r>
          <rPr>
            <b/>
            <sz val="9"/>
            <color indexed="81"/>
            <rFont val="Tahoma"/>
            <family val="2"/>
          </rPr>
          <t>Tyler Myers:</t>
        </r>
        <r>
          <rPr>
            <sz val="9"/>
            <color indexed="81"/>
            <rFont val="Tahoma"/>
            <family val="2"/>
          </rPr>
          <t xml:space="preserve">
$661,191.06 from K
(PARTIAL PAYMENT)</t>
        </r>
      </text>
    </comment>
    <comment ref="J154" authorId="1" shapeId="0" xr:uid="{4BCB56E0-E11D-4FA2-AE5A-76056F85158C}">
      <text>
        <r>
          <rPr>
            <b/>
            <sz val="9"/>
            <color indexed="81"/>
            <rFont val="Tahoma"/>
            <family val="2"/>
          </rPr>
          <t>Tyler Myers:</t>
        </r>
        <r>
          <rPr>
            <sz val="9"/>
            <color indexed="81"/>
            <rFont val="Tahoma"/>
            <family val="2"/>
          </rPr>
          <t xml:space="preserve">
$1,551,730.66 from DO
(FULL PAYMENT)</t>
        </r>
      </text>
    </comment>
    <comment ref="L154" authorId="1" shapeId="0" xr:uid="{DA0E6869-026D-454D-B455-974FF2127669}">
      <text>
        <r>
          <rPr>
            <b/>
            <sz val="9"/>
            <color indexed="81"/>
            <rFont val="Tahoma"/>
            <family val="2"/>
          </rPr>
          <t>Tyler Myers:</t>
        </r>
        <r>
          <rPr>
            <sz val="9"/>
            <color indexed="81"/>
            <rFont val="Tahoma"/>
            <family val="2"/>
          </rPr>
          <t xml:space="preserve">
$392,930.50 from ©
Full Payment</t>
        </r>
      </text>
    </comment>
    <comment ref="P154" authorId="1" shapeId="0" xr:uid="{66D67718-E33F-47CF-A489-F0A54C3C667D}">
      <text>
        <r>
          <rPr>
            <b/>
            <sz val="9"/>
            <color indexed="81"/>
            <rFont val="Tahoma"/>
            <family val="2"/>
          </rPr>
          <t>Tyler Myers:</t>
        </r>
        <r>
          <rPr>
            <sz val="9"/>
            <color indexed="81"/>
            <rFont val="Tahoma"/>
            <family val="2"/>
          </rPr>
          <t xml:space="preserve">
$1,089.3 to TA
(FULL PAYMENT)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Tyler Myers</author>
  </authors>
  <commentList>
    <comment ref="P154" authorId="0" shapeId="0" xr:uid="{B7B03BE0-E4D5-4528-BE0F-AB2DBAF8F607}">
      <text>
        <r>
          <rPr>
            <b/>
            <sz val="9"/>
            <color indexed="81"/>
            <rFont val="Tahoma"/>
            <family val="2"/>
          </rPr>
          <t>Tyler Myers:</t>
        </r>
        <r>
          <rPr>
            <sz val="9"/>
            <color indexed="81"/>
            <rFont val="Tahoma"/>
            <family val="2"/>
          </rPr>
          <t xml:space="preserve">
2.5MM from DO
(FULL PAYMENT)</t>
        </r>
      </text>
    </comment>
  </commentList>
</comments>
</file>

<file path=xl/sharedStrings.xml><?xml version="1.0" encoding="utf-8"?>
<sst xmlns="http://schemas.openxmlformats.org/spreadsheetml/2006/main" count="8673" uniqueCount="811">
  <si>
    <t>Revenue</t>
  </si>
  <si>
    <t>Total Revenue</t>
  </si>
  <si>
    <t>Expenses</t>
  </si>
  <si>
    <t>Benefits</t>
  </si>
  <si>
    <t>Books and supplies</t>
  </si>
  <si>
    <t>Interest</t>
  </si>
  <si>
    <t>Total Expenses</t>
  </si>
  <si>
    <t>New School/New Grade Apportionment</t>
  </si>
  <si>
    <t>In Lieu of Property Taxes</t>
  </si>
  <si>
    <t>Revenues</t>
  </si>
  <si>
    <t>Contributions, Unrestricted</t>
  </si>
  <si>
    <t>Contributions, Restricted</t>
  </si>
  <si>
    <t>Federal Child Nutrition</t>
  </si>
  <si>
    <t>Federal Special Education (IDEA)</t>
  </si>
  <si>
    <t>Food Service Sales</t>
  </si>
  <si>
    <t>Lease and Rental Income</t>
  </si>
  <si>
    <t>Interest Revenue</t>
  </si>
  <si>
    <t>Certificated Teachers' Salaries</t>
  </si>
  <si>
    <t>Certificated Administrators' Salaries</t>
  </si>
  <si>
    <t>Other Certificated Salaries</t>
  </si>
  <si>
    <t>Classified Instructional Salaries</t>
  </si>
  <si>
    <t>Classified Support Salaries</t>
  </si>
  <si>
    <t>Classified Administrators' Salaries</t>
  </si>
  <si>
    <t>Clerical, Technical, and Office Staff Salaries</t>
  </si>
  <si>
    <t>Other Classified Salaries</t>
  </si>
  <si>
    <t xml:space="preserve"> </t>
  </si>
  <si>
    <t>Payroll Service Fee</t>
  </si>
  <si>
    <t>Management Fee</t>
  </si>
  <si>
    <t>Janitorial/Trash Removal</t>
  </si>
  <si>
    <t>Rent</t>
  </si>
  <si>
    <t>Additional Rent</t>
  </si>
  <si>
    <t>Equipment Leases</t>
  </si>
  <si>
    <t>Other Leases</t>
  </si>
  <si>
    <t>Repairs and Maintenance</t>
  </si>
  <si>
    <t>School Fundraising Expense</t>
  </si>
  <si>
    <t>Professional Development</t>
  </si>
  <si>
    <t>Business Meals</t>
  </si>
  <si>
    <t>Dues &amp; Memberships</t>
  </si>
  <si>
    <t>Insurance</t>
  </si>
  <si>
    <t>Office Expense</t>
  </si>
  <si>
    <t>Postage and Shipping</t>
  </si>
  <si>
    <t>Bank Charges</t>
  </si>
  <si>
    <t>Printing</t>
  </si>
  <si>
    <t>Other taxes and fees</t>
  </si>
  <si>
    <t>Depreciation Expense</t>
  </si>
  <si>
    <t>Interest Expense</t>
  </si>
  <si>
    <t>Monthly Surplus (Deficit)</t>
  </si>
  <si>
    <t>Cash Flow Adjustments</t>
  </si>
  <si>
    <t>Cash flows from operating activities</t>
  </si>
  <si>
    <t>Cash flows from investing activities</t>
  </si>
  <si>
    <t>Cash flows from financing activities</t>
  </si>
  <si>
    <t>Total Change in Cash</t>
  </si>
  <si>
    <t>Cash, Beginning of Month</t>
  </si>
  <si>
    <t>Cash, End of Month</t>
  </si>
  <si>
    <t>School Name:</t>
  </si>
  <si>
    <t>General</t>
  </si>
  <si>
    <t>Annual Apportionment Amounts</t>
  </si>
  <si>
    <t>FEDERAL REVENUE</t>
  </si>
  <si>
    <t>Attendance Rate</t>
  </si>
  <si>
    <t>New Grade/New School</t>
  </si>
  <si>
    <t xml:space="preserve">   Breakfast Rate</t>
  </si>
  <si>
    <t>Enrollment</t>
  </si>
  <si>
    <t>ADA</t>
  </si>
  <si>
    <t xml:space="preserve">   Lunch Rate</t>
  </si>
  <si>
    <t xml:space="preserve">   Grade 7-8</t>
  </si>
  <si>
    <t xml:space="preserve">   Grade 9-12</t>
  </si>
  <si>
    <t>Existing School/Grades</t>
  </si>
  <si>
    <t>STATE REVENUE</t>
  </si>
  <si>
    <t>OTHER REVENUE</t>
  </si>
  <si>
    <t>STRS</t>
  </si>
  <si>
    <t>PERS</t>
  </si>
  <si>
    <t>Title</t>
  </si>
  <si>
    <t>Benefits (Y/N)</t>
  </si>
  <si>
    <t>Payroll</t>
  </si>
  <si>
    <t>Total</t>
  </si>
  <si>
    <t>N/A</t>
  </si>
  <si>
    <t>Original Budget Total</t>
  </si>
  <si>
    <t>Source</t>
  </si>
  <si>
    <t>Textbooks and Core Curricula Materials</t>
  </si>
  <si>
    <t>Books and Other Reference Materials</t>
  </si>
  <si>
    <t>School Supplies</t>
  </si>
  <si>
    <t>Special Activities/Field Trips</t>
  </si>
  <si>
    <t>Uniforms</t>
  </si>
  <si>
    <t>Noncapitalized Equipment</t>
  </si>
  <si>
    <t>Food Services</t>
  </si>
  <si>
    <t>Nursing</t>
  </si>
  <si>
    <t xml:space="preserve">Special Education </t>
  </si>
  <si>
    <t>Substitute Teacher</t>
  </si>
  <si>
    <t>Transportation</t>
  </si>
  <si>
    <t>Security</t>
  </si>
  <si>
    <t>Subagreement services</t>
  </si>
  <si>
    <t>Professional/consulting services</t>
  </si>
  <si>
    <t>IT</t>
  </si>
  <si>
    <t>Legal</t>
  </si>
  <si>
    <t>General Consulting</t>
  </si>
  <si>
    <t>District Oversight Fee</t>
  </si>
  <si>
    <t>SELPA Fees</t>
  </si>
  <si>
    <t>Software</t>
  </si>
  <si>
    <t>Facilities, repairs and other leases</t>
  </si>
  <si>
    <t>Real/Personal Property Taxes</t>
  </si>
  <si>
    <t>Operations and housekeeping</t>
  </si>
  <si>
    <t>Utilities</t>
  </si>
  <si>
    <t>Public Relations</t>
  </si>
  <si>
    <t>Miscellaneous Expense</t>
  </si>
  <si>
    <t>Communications</t>
  </si>
  <si>
    <t>Other Fees and Contracts</t>
  </si>
  <si>
    <t>School Fundraising</t>
  </si>
  <si>
    <t xml:space="preserve">Depreciation </t>
  </si>
  <si>
    <t>Resource</t>
  </si>
  <si>
    <t>Object</t>
  </si>
  <si>
    <t>Location</t>
  </si>
  <si>
    <t>Date</t>
  </si>
  <si>
    <t>Increase</t>
  </si>
  <si>
    <t>Decrease</t>
  </si>
  <si>
    <t>Description</t>
  </si>
  <si>
    <t>Deferral Amount</t>
  </si>
  <si>
    <t>Title I, Part A - Basic Low Income</t>
  </si>
  <si>
    <t>Title II, Part A - Teacher Quality</t>
  </si>
  <si>
    <t>Title III - Limited English</t>
  </si>
  <si>
    <t>Title V, Part B - Charter School Grants</t>
  </si>
  <si>
    <t>State Lottery</t>
  </si>
  <si>
    <t>Child Nutrition</t>
  </si>
  <si>
    <t>School Facilities Apportionment (SB740)</t>
  </si>
  <si>
    <t>Special Ed Instructional Entitlement</t>
  </si>
  <si>
    <t>Charter School Facility Incentive Grant</t>
  </si>
  <si>
    <t>Certificated Teachers' Extra Duty/Stipends</t>
  </si>
  <si>
    <t>Preliminary Attendance Reporting</t>
  </si>
  <si>
    <t xml:space="preserve">   Grade 4-6</t>
  </si>
  <si>
    <t xml:space="preserve">   Grade K-3</t>
  </si>
  <si>
    <t xml:space="preserve">State Lottery Revenue        </t>
  </si>
  <si>
    <t>Other State Revenue (ASES)</t>
  </si>
  <si>
    <t>State Child Nutrition</t>
  </si>
  <si>
    <t>Interest Income</t>
  </si>
  <si>
    <t>Other Federal Revenue</t>
  </si>
  <si>
    <t>LOCAL REVENUE</t>
  </si>
  <si>
    <t>School Days Per Year</t>
  </si>
  <si>
    <t>State Child Nutrition Per ADA</t>
  </si>
  <si>
    <t>School Fundraising Revenue (per pupil)</t>
  </si>
  <si>
    <t xml:space="preserve">Revenue Data Input </t>
  </si>
  <si>
    <t>Total New ADA</t>
  </si>
  <si>
    <t>Total Returning ADA</t>
  </si>
  <si>
    <t>Federal Child Nutrition Per ADA</t>
  </si>
  <si>
    <t>Special Education</t>
  </si>
  <si>
    <t>Certificated Teachers' Substitute Hours</t>
  </si>
  <si>
    <t>Auto and Travel</t>
  </si>
  <si>
    <t>Certificated Pupil Support Salaries</t>
  </si>
  <si>
    <t>001</t>
  </si>
  <si>
    <t>0000</t>
  </si>
  <si>
    <t>LCFF Funding Calculation</t>
  </si>
  <si>
    <t>Grade level</t>
  </si>
  <si>
    <t>4-6</t>
  </si>
  <si>
    <t>7-8</t>
  </si>
  <si>
    <t>9-12</t>
  </si>
  <si>
    <t>Total ADA</t>
  </si>
  <si>
    <t>Total Base Target</t>
  </si>
  <si>
    <t>Grade Level Add-Ons</t>
  </si>
  <si>
    <t>K-3 CSR Supplement (10.4% of K-3)</t>
  </si>
  <si>
    <t>High School Supplement (2.6% of 9-12)</t>
  </si>
  <si>
    <t>Total Add-Ons</t>
  </si>
  <si>
    <t>Average Base per ADA</t>
  </si>
  <si>
    <t>Supplemental Grant</t>
  </si>
  <si>
    <t>Unduplicated FRPM/ELL/FY Count</t>
  </si>
  <si>
    <t>School Percent FRPM/ELL/FY</t>
  </si>
  <si>
    <t>School Supplement Per Pupil (20%)</t>
  </si>
  <si>
    <t>Total Supplemental Grant</t>
  </si>
  <si>
    <t>District Unduplicated FRPM/ELL/FY</t>
  </si>
  <si>
    <t>Total Concentration Grant</t>
  </si>
  <si>
    <t>EPA Funding %</t>
  </si>
  <si>
    <t>Other State Revenue</t>
  </si>
  <si>
    <t>Other Educational Consultants</t>
  </si>
  <si>
    <t>Audit &amp; Taxes</t>
  </si>
  <si>
    <t>Total Enrollment</t>
  </si>
  <si>
    <t>Forecast</t>
  </si>
  <si>
    <t>Cash, End of Year</t>
  </si>
  <si>
    <t>Cash, Beginning of Year</t>
  </si>
  <si>
    <t>COLA</t>
  </si>
  <si>
    <t>LCFF - New Grade</t>
  </si>
  <si>
    <t>LCFF - Continuing Charters</t>
  </si>
  <si>
    <t>Expense Detail</t>
  </si>
  <si>
    <t>Total Textbooks and Core Curricula Materials</t>
  </si>
  <si>
    <t>Total Books and Other Reference Materials</t>
  </si>
  <si>
    <t>Total School Supplies</t>
  </si>
  <si>
    <t>Total Special Activities/Field Trips</t>
  </si>
  <si>
    <t>Total Software</t>
  </si>
  <si>
    <t>Total Noncapitalized Equipment</t>
  </si>
  <si>
    <t>Total Food Services</t>
  </si>
  <si>
    <t/>
  </si>
  <si>
    <t>Total Nursing</t>
  </si>
  <si>
    <t xml:space="preserve">Total Special Education </t>
  </si>
  <si>
    <t>Total Substitute Teacher</t>
  </si>
  <si>
    <t>Total Transportation</t>
  </si>
  <si>
    <t>Total Security</t>
  </si>
  <si>
    <t>Total Other Educational Consultants</t>
  </si>
  <si>
    <t>Total IT</t>
  </si>
  <si>
    <t>Audit &amp; Tax</t>
  </si>
  <si>
    <t>Total Audit &amp; Tax</t>
  </si>
  <si>
    <t>Total Legal</t>
  </si>
  <si>
    <t>Total Professional Development</t>
  </si>
  <si>
    <t>Total General Consulting</t>
  </si>
  <si>
    <t>Total Management Fee</t>
  </si>
  <si>
    <t>Total Rent</t>
  </si>
  <si>
    <t>Total Additional Rent</t>
  </si>
  <si>
    <t>Total Equipment Leases</t>
  </si>
  <si>
    <t>Total Other Leases</t>
  </si>
  <si>
    <t>Total Real/Personal Property Taxes</t>
  </si>
  <si>
    <t>Total Repairs and Maintenance</t>
  </si>
  <si>
    <t>Total Auto and Travel</t>
  </si>
  <si>
    <t>Total Business Meals</t>
  </si>
  <si>
    <t>Total Dues &amp; Memberships</t>
  </si>
  <si>
    <t>Total Insurance</t>
  </si>
  <si>
    <t>Total Utilities</t>
  </si>
  <si>
    <t>Total Janitorial/Trash Removal</t>
  </si>
  <si>
    <t>Total Office Expense</t>
  </si>
  <si>
    <t>Total Postage and Shipping</t>
  </si>
  <si>
    <t>Total Printing</t>
  </si>
  <si>
    <t>Total Other taxes and fees</t>
  </si>
  <si>
    <t>Total Bank Charges</t>
  </si>
  <si>
    <t>Total Public Relations</t>
  </si>
  <si>
    <t>Total Miscellaneous Expense</t>
  </si>
  <si>
    <t>Total School Fundraising Expense</t>
  </si>
  <si>
    <t>Total Communications</t>
  </si>
  <si>
    <t>2018-19</t>
  </si>
  <si>
    <t>Multi-Year Forecast</t>
  </si>
  <si>
    <t>Depreciation</t>
  </si>
  <si>
    <t>Total Depreciation</t>
  </si>
  <si>
    <t xml:space="preserve">Lunch Pick Up % </t>
  </si>
  <si>
    <t>Total Funding per ADA</t>
  </si>
  <si>
    <t>Surplus (Deficit)</t>
  </si>
  <si>
    <t xml:space="preserve">Total Funding </t>
  </si>
  <si>
    <t>n/a</t>
  </si>
  <si>
    <t>Expense COLA</t>
  </si>
  <si>
    <t>Income Statement Check Figure</t>
  </si>
  <si>
    <t>Cash Check Figure</t>
  </si>
  <si>
    <t>Due To/From Related Parties</t>
  </si>
  <si>
    <t>Other Liabilities</t>
  </si>
  <si>
    <t>Health and Welfare</t>
  </si>
  <si>
    <t>State Unemployment</t>
  </si>
  <si>
    <t>Workers' Compensation</t>
  </si>
  <si>
    <t>Other Benefits</t>
  </si>
  <si>
    <t xml:space="preserve">OASDI </t>
  </si>
  <si>
    <t xml:space="preserve">Medicare </t>
  </si>
  <si>
    <t>Clerical and Office Staff Salaries</t>
  </si>
  <si>
    <t>Prior Year Revenue</t>
  </si>
  <si>
    <t>County Fees</t>
  </si>
  <si>
    <t>Certificated Salaries</t>
  </si>
  <si>
    <t>Classified Salaries</t>
  </si>
  <si>
    <t>OASDI</t>
  </si>
  <si>
    <t>State Unemp. Insurance</t>
  </si>
  <si>
    <t>**ADA From New Grade Levels</t>
  </si>
  <si>
    <t>Base</t>
  </si>
  <si>
    <t>Suppl. &amp; Conc.</t>
  </si>
  <si>
    <t>Textbooks and Core Materials</t>
  </si>
  <si>
    <t>Books and Reference Materials</t>
  </si>
  <si>
    <t>2019-20</t>
  </si>
  <si>
    <t>Prior Year Forecast</t>
  </si>
  <si>
    <t>State Aid - Revenue Limit</t>
  </si>
  <si>
    <t>State Aid - Prior Year</t>
  </si>
  <si>
    <t>Education Protection Account</t>
  </si>
  <si>
    <t>LCFF State Aid</t>
  </si>
  <si>
    <t>State Aid - Prior Years</t>
  </si>
  <si>
    <t>School Facilities (SB740)</t>
  </si>
  <si>
    <t>State Special Education</t>
  </si>
  <si>
    <t xml:space="preserve">Mandated Cost </t>
  </si>
  <si>
    <t>Title V, Part B - PCSG</t>
  </si>
  <si>
    <t>Charter Facility Incentive Grant</t>
  </si>
  <si>
    <t>ASB Fundraising</t>
  </si>
  <si>
    <t>Workers' Comp</t>
  </si>
  <si>
    <t xml:space="preserve">Current Attendance Forecast </t>
  </si>
  <si>
    <t>Annual Budget</t>
  </si>
  <si>
    <t>Special Education - Entitelment</t>
  </si>
  <si>
    <t>Special Education - Discretionary</t>
  </si>
  <si>
    <t>Teachers' Salaries</t>
  </si>
  <si>
    <t>Teachers' Substitute Hours</t>
  </si>
  <si>
    <t>Teachers' Extra Duty/Stipends</t>
  </si>
  <si>
    <t>Pupil Support Salaries</t>
  </si>
  <si>
    <t>Administrators' Salaries</t>
  </si>
  <si>
    <t>Instructional Salaries</t>
  </si>
  <si>
    <t>Support Salaries</t>
  </si>
  <si>
    <t>Textbooks and Core Curricula</t>
  </si>
  <si>
    <t>Books and Other Materials</t>
  </si>
  <si>
    <t xml:space="preserve">ADA = </t>
  </si>
  <si>
    <t>New School In Lieu of Property Taxes</t>
  </si>
  <si>
    <t>Federal Revenue</t>
  </si>
  <si>
    <t>Other Local Revenue</t>
  </si>
  <si>
    <t>Subagreement Services</t>
  </si>
  <si>
    <t>Professional/Consulting Services</t>
  </si>
  <si>
    <t>Operations and Housekeeping</t>
  </si>
  <si>
    <t>Facilities, Repairs and Other Leases</t>
  </si>
  <si>
    <t>Books and Supplies</t>
  </si>
  <si>
    <t>Depreciation/Amortization</t>
  </si>
  <si>
    <t>Public Funding Receivables</t>
  </si>
  <si>
    <t>Prepaid Expenses</t>
  </si>
  <si>
    <t>Other Assets</t>
  </si>
  <si>
    <t>Accounts Payable</t>
  </si>
  <si>
    <t>Accrued Expenses</t>
  </si>
  <si>
    <t>Notes Receivable</t>
  </si>
  <si>
    <t>Purchases of Prop. And Equip.</t>
  </si>
  <si>
    <t>Grants and Contributions Rec.</t>
  </si>
  <si>
    <t>Cash Flows From Operating Activities</t>
  </si>
  <si>
    <t>Cash Flows From Investing Activities</t>
  </si>
  <si>
    <t>Cash Flows From Financing Activities</t>
  </si>
  <si>
    <t>Budget</t>
  </si>
  <si>
    <t>Mandated Cost Reimbursement K-8</t>
  </si>
  <si>
    <t>Mandated Cost Reimbursement 9-12</t>
  </si>
  <si>
    <t>Enrollment Data</t>
  </si>
  <si>
    <t>Actual</t>
  </si>
  <si>
    <t>Facilities</t>
  </si>
  <si>
    <t xml:space="preserve">Operations  </t>
  </si>
  <si>
    <t>State Aid-Rev Limit</t>
  </si>
  <si>
    <t>Year-to-Date</t>
  </si>
  <si>
    <t xml:space="preserve">Total Surplus(Deficit) </t>
  </si>
  <si>
    <t>Actual ADA</t>
  </si>
  <si>
    <t>ASB Fundraising Revenue (per pupil)</t>
  </si>
  <si>
    <t>ASB Fundraising Expense</t>
  </si>
  <si>
    <t>Total ASB Fundraising Expense</t>
  </si>
  <si>
    <t>Special Education - Entitlement</t>
  </si>
  <si>
    <t>Public Relations/Recruitment</t>
  </si>
  <si>
    <t>Proceeds from Factoring</t>
  </si>
  <si>
    <t>Payments on Factoring</t>
  </si>
  <si>
    <t>Proceeds(Payments) on Debt</t>
  </si>
  <si>
    <t>ASES</t>
  </si>
  <si>
    <t>Books &amp; Supplies</t>
  </si>
  <si>
    <t>Professional Services</t>
  </si>
  <si>
    <t>2020-21</t>
  </si>
  <si>
    <t>Fund Balance, Beginning of Year</t>
  </si>
  <si>
    <t>Fund Balance, End of Year</t>
  </si>
  <si>
    <t>Beginning Fund Balance</t>
  </si>
  <si>
    <t>Ending Fund Balance</t>
  </si>
  <si>
    <t>Unduplicated %</t>
  </si>
  <si>
    <t>Revenue per ADA</t>
  </si>
  <si>
    <t>Expenses per ADA</t>
  </si>
  <si>
    <t>Enrollment &amp; Per Pupil Data</t>
  </si>
  <si>
    <t>2021-22</t>
  </si>
  <si>
    <t>Assumptions</t>
  </si>
  <si>
    <t>Average Daily Attendance</t>
  </si>
  <si>
    <t>Year 1 Payroll Budget</t>
  </si>
  <si>
    <t>SPED Encroachment</t>
  </si>
  <si>
    <t>Total Non-Cap Equipment in Line 4400</t>
  </si>
  <si>
    <t>Staff FTE Count for Devices</t>
  </si>
  <si>
    <t>Estimate</t>
  </si>
  <si>
    <t>2022-23</t>
  </si>
  <si>
    <t>Year 2 Payroll Budget</t>
  </si>
  <si>
    <t>Year 3 Payroll Budget</t>
  </si>
  <si>
    <t>Year 4 Payroll Budget</t>
  </si>
  <si>
    <t>Year 5 Payroll Budget</t>
  </si>
  <si>
    <t>Year-End Accruals</t>
  </si>
  <si>
    <t>LCAP Format</t>
  </si>
  <si>
    <t>A-1</t>
  </si>
  <si>
    <t>Estimated LCFF Funding</t>
  </si>
  <si>
    <t>A-2</t>
  </si>
  <si>
    <t>Transportation and TIIG</t>
  </si>
  <si>
    <t>B-1</t>
  </si>
  <si>
    <t>Supplemental and Concentration at Target</t>
  </si>
  <si>
    <t>B-2</t>
  </si>
  <si>
    <t>Estimated Unduplicated Spending PY</t>
  </si>
  <si>
    <t>B-3</t>
  </si>
  <si>
    <t>Difference</t>
  </si>
  <si>
    <t>Estimated Gap Funding</t>
  </si>
  <si>
    <t>B-4</t>
  </si>
  <si>
    <t>Funded Portion  (B-3 x Gap%)</t>
  </si>
  <si>
    <t>B-5</t>
  </si>
  <si>
    <t>Estimated Total for Unduplicated Pupils</t>
  </si>
  <si>
    <t>B-6</t>
  </si>
  <si>
    <t>Estimated Funding for All Students</t>
  </si>
  <si>
    <t>B-7</t>
  </si>
  <si>
    <t>Minimum Proportionality</t>
  </si>
  <si>
    <t>Concentration Grant</t>
  </si>
  <si>
    <t>New Grade/New School Estimated ADA (PENSEC)</t>
  </si>
  <si>
    <t>PY P2 ADA</t>
  </si>
  <si>
    <t>SELPA Fee (% or $)</t>
  </si>
  <si>
    <t>PY Forecast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</si>
  <si>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</si>
  <si>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</si>
  <si>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</si>
  <si>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</si>
  <si>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</si>
  <si>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</si>
  <si>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</si>
  <si>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</si>
  <si>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</si>
  <si>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</si>
  <si>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</si>
  <si>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</si>
  <si>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Favorable / (Unfav.)</t>
  </si>
  <si>
    <t>Total County Fees</t>
  </si>
  <si>
    <t>Prior Year Federal Revenue</t>
  </si>
  <si>
    <t>Oversight Fee</t>
  </si>
  <si>
    <t>As a % of Annual Expenses</t>
  </si>
  <si>
    <t>Average Enrollment</t>
  </si>
  <si>
    <t>Powerpoint Presentation Widgets</t>
  </si>
  <si>
    <t>Annual Surplus</t>
  </si>
  <si>
    <t>Ending Cash Balance</t>
  </si>
  <si>
    <t>K</t>
  </si>
  <si>
    <t>TK-3</t>
  </si>
  <si>
    <t>State Budget</t>
  </si>
  <si>
    <t>One-time Discretionary Funds</t>
  </si>
  <si>
    <t>Annual Forecast</t>
  </si>
  <si>
    <t>LCFF COLA</t>
  </si>
  <si>
    <t>Non-LCFF Revenue COLA</t>
  </si>
  <si>
    <t>Monthly Cash Flow/Forecast FY20-21</t>
  </si>
  <si>
    <t>Monthly Cash Flow/Forecast FY21-22</t>
  </si>
  <si>
    <t>Monthly Cash Flow/Forecast FY22-23</t>
  </si>
  <si>
    <t>Fav/(Unf)</t>
  </si>
  <si>
    <t>Annual/Full Year</t>
  </si>
  <si>
    <t>Notes</t>
  </si>
  <si>
    <t>Monthly Cash Flow/Forecast FY23-24</t>
  </si>
  <si>
    <t>2023-24</t>
  </si>
  <si>
    <t>COLA Increase</t>
  </si>
  <si>
    <t>FY19/20 budget load</t>
  </si>
  <si>
    <t>Original Budget</t>
  </si>
  <si>
    <t>Table</t>
  </si>
  <si>
    <t>Year 0</t>
  </si>
  <si>
    <t>Year 1</t>
  </si>
  <si>
    <t>Year 2</t>
  </si>
  <si>
    <t>Year 3</t>
  </si>
  <si>
    <t>Year 4</t>
  </si>
  <si>
    <t>Year 5</t>
  </si>
  <si>
    <t>A</t>
  </si>
  <si>
    <t>Projected Enrollment &amp; ADA by Grade</t>
  </si>
  <si>
    <t>TK-K</t>
  </si>
  <si>
    <t>1st Grade</t>
  </si>
  <si>
    <t>2nd Grade</t>
  </si>
  <si>
    <t>3rd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</si>
  <si>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</si>
  <si>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</si>
  <si>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</si>
  <si>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</si>
  <si>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</si>
  <si>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</si>
  <si>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</si>
  <si>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</si>
  <si>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</t>
  </si>
  <si>
    <t xml:space="preserve">     Total Projected Enrollment</t>
  </si>
  <si>
    <t>Average Daily Attendance (ADA)</t>
  </si>
  <si>
    <t>ADA %</t>
  </si>
  <si>
    <t>B</t>
  </si>
  <si>
    <t>Summary of Revenue Programs</t>
  </si>
  <si>
    <t>Total Revenues</t>
  </si>
  <si>
    <t>State Revenues as % of Total</t>
  </si>
  <si>
    <t>Revenues per ADA</t>
  </si>
  <si>
    <t>C</t>
  </si>
  <si>
    <t>Total State Revenue</t>
  </si>
  <si>
    <t>D</t>
  </si>
  <si>
    <t>Total Federal Revenue</t>
  </si>
  <si>
    <t>E</t>
  </si>
  <si>
    <t>Total Other State Revenue</t>
  </si>
  <si>
    <t>F</t>
  </si>
  <si>
    <t>Summary of Projected Expenses</t>
  </si>
  <si>
    <t>Employee Benefits</t>
  </si>
  <si>
    <t>Total Compensation</t>
  </si>
  <si>
    <t>Total Non-Comp</t>
  </si>
  <si>
    <t>% Compensation</t>
  </si>
  <si>
    <t>G</t>
  </si>
  <si>
    <t>Instructional Staff Ratio</t>
  </si>
  <si>
    <t>School Attendance</t>
  </si>
  <si>
    <t>Certificated Pupil Support (including SPED)</t>
  </si>
  <si>
    <t>Total Instructional Staff</t>
  </si>
  <si>
    <t>Student : Instructional Staff Ratio</t>
  </si>
  <si>
    <t>H</t>
  </si>
  <si>
    <t>Total Staffing</t>
  </si>
  <si>
    <t>Instructional Staff</t>
  </si>
  <si>
    <t>Other</t>
  </si>
  <si>
    <t>Other Instructional Staff</t>
  </si>
  <si>
    <t>Classified Instructional Aides</t>
  </si>
  <si>
    <t>Total Other Instructional Staff</t>
  </si>
  <si>
    <t>Administrative Staff - Certified</t>
  </si>
  <si>
    <t>Total Administrative Staff - Certified</t>
  </si>
  <si>
    <t>Support and Administrative Staff</t>
  </si>
  <si>
    <t>Support Staff - Classified (FTE)</t>
  </si>
  <si>
    <t>Administrative - Classified (FTE)</t>
  </si>
  <si>
    <t>Clerical Staff - Classified (FTE)</t>
  </si>
  <si>
    <t>Other Staff - Classified (FTE)</t>
  </si>
  <si>
    <t>Total Classified Staff</t>
  </si>
  <si>
    <t>I</t>
  </si>
  <si>
    <t>Average Budgeted Salary by Position</t>
  </si>
  <si>
    <t>Classified Staff (Support and Adminsitrative)</t>
  </si>
  <si>
    <t>J</t>
  </si>
  <si>
    <t>Total Benefits</t>
  </si>
  <si>
    <t>Total Books &amp; Supplies</t>
  </si>
  <si>
    <t>L</t>
  </si>
  <si>
    <t>Device Counts</t>
  </si>
  <si>
    <t>New Staff Purchases</t>
  </si>
  <si>
    <t>Replacement Purchases</t>
  </si>
  <si>
    <t>New Student Purchases</t>
  </si>
  <si>
    <t>Start-Up Element and Unit Cost</t>
  </si>
  <si>
    <t>M</t>
  </si>
  <si>
    <t>Substitutes</t>
  </si>
  <si>
    <t>Total Subagreement Services</t>
  </si>
  <si>
    <t>N</t>
  </si>
  <si>
    <t>Total Professional Services</t>
  </si>
  <si>
    <t>O</t>
  </si>
  <si>
    <t>Total Facilities, Repairs and Other Leases</t>
  </si>
  <si>
    <t>P</t>
  </si>
  <si>
    <t>Total Operations and Housekeeping</t>
  </si>
  <si>
    <t>Q</t>
  </si>
  <si>
    <t>R</t>
  </si>
  <si>
    <t>Statement of Activities</t>
  </si>
  <si>
    <t>Depreciation and Interest</t>
  </si>
  <si>
    <t>Increase/(Decrease) of Net Assets</t>
  </si>
  <si>
    <t>Beginning Cash Balance</t>
  </si>
  <si>
    <t>Cash Balance (% of Expenditures)</t>
  </si>
  <si>
    <t>S</t>
  </si>
  <si>
    <t>Fund Balance</t>
  </si>
  <si>
    <t>Increase/(Decrease) in Net Assets</t>
  </si>
  <si>
    <t>Fund Balance (% of Expenditures)</t>
  </si>
  <si>
    <t>Check</t>
  </si>
  <si>
    <t>Teachers</t>
  </si>
  <si>
    <t>Total Teacher</t>
  </si>
  <si>
    <t>Executive Director</t>
  </si>
  <si>
    <t>Principal</t>
  </si>
  <si>
    <t>Dean</t>
  </si>
  <si>
    <t xml:space="preserve">Certificated Teacher </t>
  </si>
  <si>
    <t xml:space="preserve">Classified Instructional Aides </t>
  </si>
  <si>
    <t>Teacher (including SPED)</t>
  </si>
  <si>
    <t>Janitorial Services</t>
  </si>
  <si>
    <t>Scholarships</t>
  </si>
  <si>
    <t>Depreciation &amp; Interest</t>
  </si>
  <si>
    <t>Total Depreciation &amp; Interest</t>
  </si>
  <si>
    <t>Total Scholarships</t>
  </si>
  <si>
    <t>Sort</t>
  </si>
  <si>
    <t>Total Base Plus Add-Ons</t>
  </si>
  <si>
    <t>Enrollment Growth</t>
  </si>
  <si>
    <t>Student Teacher Ratio</t>
  </si>
  <si>
    <t>2018-19 Enrollment</t>
  </si>
  <si>
    <t>19-20 Enrollment w/growth</t>
  </si>
  <si>
    <t>Headcount</t>
  </si>
  <si>
    <t>Average Salary</t>
  </si>
  <si>
    <t>Number of Pay Periods</t>
  </si>
  <si>
    <t>Teacher</t>
  </si>
  <si>
    <t>y</t>
  </si>
  <si>
    <t>Extra Duty Stipends</t>
  </si>
  <si>
    <t>Grades</t>
  </si>
  <si>
    <t>Student Fund</t>
  </si>
  <si>
    <t>Total Fund</t>
  </si>
  <si>
    <t>TOTAL</t>
  </si>
  <si>
    <t xml:space="preserve">   K-3</t>
  </si>
  <si>
    <t xml:space="preserve">   4-6</t>
  </si>
  <si>
    <t xml:space="preserve">   7-8</t>
  </si>
  <si>
    <t xml:space="preserve">   9-12</t>
  </si>
  <si>
    <t>Per Pupil</t>
  </si>
  <si>
    <t>18-19 Spend</t>
  </si>
  <si>
    <t>Proportion</t>
  </si>
  <si>
    <t>19-20 Forecast</t>
  </si>
  <si>
    <t>Spending Pattern</t>
  </si>
  <si>
    <t>18-19 Total</t>
  </si>
  <si>
    <t>% of remaining balance</t>
  </si>
  <si>
    <t>check</t>
  </si>
  <si>
    <t>Accrual</t>
  </si>
  <si>
    <t>Inspire DO Fee</t>
  </si>
  <si>
    <t>Instructional Services</t>
  </si>
  <si>
    <t>18-19 DO Fee</t>
  </si>
  <si>
    <t>Other Ed Consultants (less 18-19 DO Fee)</t>
  </si>
  <si>
    <t>Proceeds from Debt</t>
  </si>
  <si>
    <t>Payments on Debt</t>
  </si>
  <si>
    <t>LA County SELPA</t>
  </si>
  <si>
    <t>Estimated breakdown percentages</t>
  </si>
  <si>
    <t>This was as we orginally budgeted it in the petition.</t>
  </si>
  <si>
    <t>Beginning RAN</t>
  </si>
  <si>
    <t>New Issuance</t>
  </si>
  <si>
    <t>Repayment</t>
  </si>
  <si>
    <t>Ending Balance</t>
  </si>
  <si>
    <t>Monthly Cash Flow/Forecast FY18-19</t>
  </si>
  <si>
    <t>Granite Mountain Charter School</t>
  </si>
  <si>
    <t>Summary Check Percentages</t>
  </si>
  <si>
    <t>Enrollment From Petition</t>
  </si>
  <si>
    <t>Per Pupil Based on Petition</t>
  </si>
  <si>
    <t>May Revise</t>
  </si>
  <si>
    <t xml:space="preserve">July </t>
  </si>
  <si>
    <t>August</t>
  </si>
  <si>
    <t>September</t>
  </si>
  <si>
    <t xml:space="preserve">October </t>
  </si>
  <si>
    <t>November</t>
  </si>
  <si>
    <t>December</t>
  </si>
  <si>
    <t xml:space="preserve">January </t>
  </si>
  <si>
    <t xml:space="preserve">February </t>
  </si>
  <si>
    <t>March</t>
  </si>
  <si>
    <t>April</t>
  </si>
  <si>
    <t xml:space="preserve">May </t>
  </si>
  <si>
    <t>June</t>
  </si>
  <si>
    <t xml:space="preserve">Total Revenue: </t>
  </si>
  <si>
    <t>Expected</t>
  </si>
  <si>
    <t xml:space="preserve">Total Expenses: </t>
  </si>
  <si>
    <t>Surplus/Deficit</t>
  </si>
  <si>
    <t>Cumulative Fund Balance</t>
  </si>
  <si>
    <t>Budget and Projected Fund Balance - 2019-20 - Granite Mountain Charter School</t>
  </si>
  <si>
    <t>Projected ADA of 2741.70</t>
  </si>
  <si>
    <t>Monthly Cash Flow/Forecast FY19-20</t>
  </si>
  <si>
    <t>7/1/2019 - 7/31/2019</t>
  </si>
  <si>
    <t>8/1/2019 - 8/31/2019</t>
  </si>
  <si>
    <t>9/1/2019 - 9/30/2019</t>
  </si>
  <si>
    <t>10/1/2019 - 10/31/2019</t>
  </si>
  <si>
    <t>11/1/2019 - 11/30/2019</t>
  </si>
  <si>
    <t>12/1/2019 - 12/31/2019</t>
  </si>
  <si>
    <t xml:space="preserve">   Federal Revenue</t>
  </si>
  <si>
    <t xml:space="preserve">         Total Federal Revenue</t>
  </si>
  <si>
    <t xml:space="preserve">   Other State Revenue</t>
  </si>
  <si>
    <t xml:space="preserve">         Total Other State Revenue</t>
  </si>
  <si>
    <t xml:space="preserve">   Salaries</t>
  </si>
  <si>
    <t xml:space="preserve">         Total Salaries</t>
  </si>
  <si>
    <t xml:space="preserve">   Benefits</t>
  </si>
  <si>
    <t xml:space="preserve">         Total Benefits</t>
  </si>
  <si>
    <t xml:space="preserve">   Books &amp; Supplies</t>
  </si>
  <si>
    <t xml:space="preserve">         Total Books &amp; Supplies</t>
  </si>
  <si>
    <t xml:space="preserve">   Subagreement Services</t>
  </si>
  <si>
    <t xml:space="preserve">         Total Subagreement Services</t>
  </si>
  <si>
    <t xml:space="preserve">   Professional &amp; Consulting Services</t>
  </si>
  <si>
    <t xml:space="preserve">         Total Professional &amp; Consulting Services</t>
  </si>
  <si>
    <t xml:space="preserve">   Operations &amp; Housekeeping</t>
  </si>
  <si>
    <t xml:space="preserve">         Total Operations &amp; Housekeeping</t>
  </si>
  <si>
    <t xml:space="preserve">   Depreciation</t>
  </si>
  <si>
    <t xml:space="preserve">         Total Depreciation</t>
  </si>
  <si>
    <t xml:space="preserve">   Interest</t>
  </si>
  <si>
    <t xml:space="preserve">         Total Interest</t>
  </si>
  <si>
    <t xml:space="preserve">      Total Expenses</t>
  </si>
  <si>
    <t>Net Assets, End of Period</t>
  </si>
  <si>
    <t>Director</t>
  </si>
  <si>
    <t>High School Teacher</t>
  </si>
  <si>
    <t>Home School Teacher</t>
  </si>
  <si>
    <t>Regional Coordinator</t>
  </si>
  <si>
    <t>SPED Teacher</t>
  </si>
  <si>
    <t>Teacher - SPED</t>
  </si>
  <si>
    <t>Councelor</t>
  </si>
  <si>
    <t>Speech Specialist</t>
  </si>
  <si>
    <t>Coord-REgional</t>
  </si>
  <si>
    <t>Cert.</t>
  </si>
  <si>
    <t>Instr.</t>
  </si>
  <si>
    <t>Pupil:Teacher Ratio</t>
  </si>
  <si>
    <t>:1</t>
  </si>
  <si>
    <t>Per Chris' request on 10/2319</t>
  </si>
  <si>
    <t>Enroll</t>
  </si>
  <si>
    <t>Undup</t>
  </si>
  <si>
    <t>%</t>
  </si>
  <si>
    <t>19-20</t>
  </si>
  <si>
    <t>18-19</t>
  </si>
  <si>
    <t>17-18</t>
  </si>
  <si>
    <t>x</t>
  </si>
  <si>
    <t>Average</t>
  </si>
  <si>
    <t>ADJ</t>
  </si>
  <si>
    <t>*Plug</t>
  </si>
  <si>
    <t>P1</t>
  </si>
  <si>
    <t>San Bern - Lucerne Valley 20-day</t>
  </si>
  <si>
    <t>Check Digit LD</t>
  </si>
  <si>
    <t>Dff LD</t>
  </si>
  <si>
    <t>1/1/2020 - 1/31/2020</t>
  </si>
  <si>
    <t>2/1/2020 - 2/29/2020</t>
  </si>
  <si>
    <t>3/1/2020 - 3/31/2020</t>
  </si>
  <si>
    <t>4/1/2020 - 4/30/2020</t>
  </si>
  <si>
    <t>5/1/2020 - 5/31/2020</t>
  </si>
  <si>
    <t>6/1/2020 - 6/30/2020</t>
  </si>
  <si>
    <t xml:space="preserve">   State Revenue</t>
  </si>
  <si>
    <t xml:space="preserve">            LCFF Revenue</t>
  </si>
  <si>
    <t xml:space="preserve">            Education Protection Account</t>
  </si>
  <si>
    <t xml:space="preserve">            State Aid: Prior Year</t>
  </si>
  <si>
    <t xml:space="preserve">            In Lieu of Property Taxes</t>
  </si>
  <si>
    <t xml:space="preserve">         Total State Revenue</t>
  </si>
  <si>
    <t xml:space="preserve">            Federal Special Education - IDEA</t>
  </si>
  <si>
    <t xml:space="preserve">            Federal Special Education-Mental Health</t>
  </si>
  <si>
    <t xml:space="preserve">            Federal Child Nutrition</t>
  </si>
  <si>
    <t xml:space="preserve">            Title I, Part A - Basic Low Income</t>
  </si>
  <si>
    <t xml:space="preserve">            Title II, Part A - Teacher Quality</t>
  </si>
  <si>
    <t xml:space="preserve">            Title II, Part D - EETT</t>
  </si>
  <si>
    <t xml:space="preserve">            Title III - Limited English</t>
  </si>
  <si>
    <t xml:space="preserve">            Title V, Part B - Charter School Grants</t>
  </si>
  <si>
    <t xml:space="preserve">            Charter School Facility Incentive Grant</t>
  </si>
  <si>
    <t xml:space="preserve">            Other Federal Revenue</t>
  </si>
  <si>
    <t xml:space="preserve">            State Special Education - AB602</t>
  </si>
  <si>
    <t xml:space="preserve">            State - Child Nutrition</t>
  </si>
  <si>
    <t xml:space="preserve">            State - School Facilities Apportionment</t>
  </si>
  <si>
    <t xml:space="preserve">            Mandate Block Grant</t>
  </si>
  <si>
    <t xml:space="preserve">            State - State Lottery</t>
  </si>
  <si>
    <t xml:space="preserve">            Prior Year Revenue</t>
  </si>
  <si>
    <t xml:space="preserve">            State - Other State Revenue</t>
  </si>
  <si>
    <t xml:space="preserve">   Local Revenue</t>
  </si>
  <si>
    <t xml:space="preserve">            Food Service Sales</t>
  </si>
  <si>
    <t xml:space="preserve">            Lease and Rental Income</t>
  </si>
  <si>
    <t xml:space="preserve">            Interest Revenue</t>
  </si>
  <si>
    <t xml:space="preserve">            Other Fees and Contracts</t>
  </si>
  <si>
    <t xml:space="preserve">            ASB Fundraising</t>
  </si>
  <si>
    <t xml:space="preserve">            School Fundraising</t>
  </si>
  <si>
    <t xml:space="preserve">            Contributions, Unrestricted</t>
  </si>
  <si>
    <t xml:space="preserve">            Contributions, Restricted</t>
  </si>
  <si>
    <t xml:space="preserve">         Total Local Revenue</t>
  </si>
  <si>
    <t xml:space="preserve">      Total Revenue</t>
  </si>
  <si>
    <t xml:space="preserve">            Certificated Teachers' Salaries</t>
  </si>
  <si>
    <t xml:space="preserve">            Certificated Teachers' Substitute Hours</t>
  </si>
  <si>
    <t xml:space="preserve">            Certificated Teachers' Extra Duties/Stipends</t>
  </si>
  <si>
    <t xml:space="preserve">            Certificated Pupil Support Salaries</t>
  </si>
  <si>
    <t xml:space="preserve">            Certificated Supervisors' and Administrators' Salaries</t>
  </si>
  <si>
    <t xml:space="preserve">            Other Certificated Salaries</t>
  </si>
  <si>
    <t xml:space="preserve">            Classified Instructional Salaries</t>
  </si>
  <si>
    <t xml:space="preserve">            Classified Support Salaries</t>
  </si>
  <si>
    <t xml:space="preserve">            Classified Supervisors' and Administrators' Salaries</t>
  </si>
  <si>
    <t xml:space="preserve">            Clerical, Technical, and Office Staff Salaries</t>
  </si>
  <si>
    <t xml:space="preserve">            Other Classified Salaries</t>
  </si>
  <si>
    <t xml:space="preserve">            State Teachers' Retirement System, certificated positions</t>
  </si>
  <si>
    <t xml:space="preserve">            Public Employees' Retirement System, classified positions</t>
  </si>
  <si>
    <t xml:space="preserve">            OASDI/Medicare/Alternative, certificated positions</t>
  </si>
  <si>
    <t xml:space="preserve">            OASDI/Medicare/Alternative, classified positions</t>
  </si>
  <si>
    <t xml:space="preserve">            Medicare certificated positions</t>
  </si>
  <si>
    <t xml:space="preserve">            Medicare/Alternative, classified positions</t>
  </si>
  <si>
    <t xml:space="preserve">            Health and Welfare Benefits, certificated positions</t>
  </si>
  <si>
    <t xml:space="preserve">            Health and Welfare Benefits, classified positions</t>
  </si>
  <si>
    <t xml:space="preserve">            State Unemployment Insurance, certificated positions</t>
  </si>
  <si>
    <t xml:space="preserve">            State Unemployment Insurance, classified positions</t>
  </si>
  <si>
    <t xml:space="preserve">            Workers' Compensation Insurance, certificated positions</t>
  </si>
  <si>
    <t xml:space="preserve">            Workers' Compensation Insurance, classified positions</t>
  </si>
  <si>
    <t xml:space="preserve">            Other Benefits, certificated positions</t>
  </si>
  <si>
    <t xml:space="preserve">            Other Benefits, classified positions</t>
  </si>
  <si>
    <t xml:space="preserve">            Textbooks and Core Curricula Materials</t>
  </si>
  <si>
    <t xml:space="preserve">            Books and Other Reference Materials</t>
  </si>
  <si>
    <t xml:space="preserve">            School Supplies</t>
  </si>
  <si>
    <t xml:space="preserve">            Software</t>
  </si>
  <si>
    <t xml:space="preserve">            Office Expense</t>
  </si>
  <si>
    <t xml:space="preserve">            Business Meals</t>
  </si>
  <si>
    <t xml:space="preserve">            School Fundraising Supplies</t>
  </si>
  <si>
    <t xml:space="preserve">            Noncapitalized Equipment</t>
  </si>
  <si>
    <t xml:space="preserve">            Food Services</t>
  </si>
  <si>
    <t xml:space="preserve">            Nursing</t>
  </si>
  <si>
    <t xml:space="preserve">            Special Education</t>
  </si>
  <si>
    <t xml:space="preserve">            Substitute Teacher</t>
  </si>
  <si>
    <t xml:space="preserve">            Transportation</t>
  </si>
  <si>
    <t xml:space="preserve">            Security</t>
  </si>
  <si>
    <t xml:space="preserve">            Other Educational Consultants</t>
  </si>
  <si>
    <t xml:space="preserve">            Instructional Services</t>
  </si>
  <si>
    <t xml:space="preserve">            IT</t>
  </si>
  <si>
    <t xml:space="preserve">            Audit and Tax</t>
  </si>
  <si>
    <t xml:space="preserve">            Legal</t>
  </si>
  <si>
    <t xml:space="preserve">            Professional Development</t>
  </si>
  <si>
    <t xml:space="preserve">            General Consulting</t>
  </si>
  <si>
    <t xml:space="preserve">            Special Activities</t>
  </si>
  <si>
    <t xml:space="preserve">            Bank Charges</t>
  </si>
  <si>
    <t xml:space="preserve">            Printing</t>
  </si>
  <si>
    <t xml:space="preserve">            Other Taxes and Fees</t>
  </si>
  <si>
    <t xml:space="preserve">            Payroll Service Fee</t>
  </si>
  <si>
    <t xml:space="preserve">            Management Fee</t>
  </si>
  <si>
    <t xml:space="preserve">            District Oversight Fee</t>
  </si>
  <si>
    <t xml:space="preserve">            County Fees</t>
  </si>
  <si>
    <t xml:space="preserve">            SELPA Fees</t>
  </si>
  <si>
    <t xml:space="preserve">   Facilities, Repairs &amp; Other Services</t>
  </si>
  <si>
    <t xml:space="preserve">            Rent</t>
  </si>
  <si>
    <t xml:space="preserve">            Additional Rent</t>
  </si>
  <si>
    <t xml:space="preserve">            Equipment Leases</t>
  </si>
  <si>
    <t xml:space="preserve">            Other Leases</t>
  </si>
  <si>
    <t xml:space="preserve">            Real/Personal Property Taxes</t>
  </si>
  <si>
    <t xml:space="preserve">            Repairs and Maintenance</t>
  </si>
  <si>
    <t xml:space="preserve">         Total Facilities, Repairs &amp; Other Services</t>
  </si>
  <si>
    <t xml:space="preserve">            Auto and Travel Expense</t>
  </si>
  <si>
    <t xml:space="preserve">            Dues &amp; Memberships</t>
  </si>
  <si>
    <t xml:space="preserve">            Insurance</t>
  </si>
  <si>
    <t xml:space="preserve">            Utilities</t>
  </si>
  <si>
    <t xml:space="preserve">            Janitorial/Trash Removal</t>
  </si>
  <si>
    <t xml:space="preserve">            Miscellaneous Expense</t>
  </si>
  <si>
    <t xml:space="preserve">            ASB Expenses</t>
  </si>
  <si>
    <t xml:space="preserve">            Public Donations</t>
  </si>
  <si>
    <t xml:space="preserve">            Public Relations</t>
  </si>
  <si>
    <t xml:space="preserve">            Scholarship Expense</t>
  </si>
  <si>
    <t xml:space="preserve">            Communications</t>
  </si>
  <si>
    <t xml:space="preserve">            Postage and Shipping</t>
  </si>
  <si>
    <t xml:space="preserve">            Depreciation Expense</t>
  </si>
  <si>
    <t xml:space="preserve">            Interest Expense</t>
  </si>
  <si>
    <t>Intruction</t>
  </si>
  <si>
    <t>Admin</t>
  </si>
  <si>
    <t>Classified</t>
  </si>
  <si>
    <t>Salaries</t>
  </si>
  <si>
    <t>Special Ed</t>
  </si>
  <si>
    <t>Subs</t>
  </si>
  <si>
    <t>B1ai</t>
  </si>
  <si>
    <t>Books and Supples</t>
  </si>
  <si>
    <t>SB740</t>
  </si>
  <si>
    <t>Certified Salaries</t>
  </si>
  <si>
    <t>Health Care Increase</t>
  </si>
  <si>
    <t>Admin Assistant</t>
  </si>
  <si>
    <t>Amy Thompson</t>
  </si>
  <si>
    <t>Ana Mejia</t>
  </si>
  <si>
    <t>Anna Lindahl</t>
  </si>
  <si>
    <t>Brook MacMillan</t>
  </si>
  <si>
    <t>Celia N. Ewing</t>
  </si>
  <si>
    <t>Chantelle Crespo</t>
  </si>
  <si>
    <t>Deborah J. Cruthers</t>
  </si>
  <si>
    <t>Diane Beran</t>
  </si>
  <si>
    <t>Jenny Fazio</t>
  </si>
  <si>
    <t>Jessica L. Ronquillo</t>
  </si>
  <si>
    <t>Kristy N. Philips</t>
  </si>
  <si>
    <t>Rupinder Boyd</t>
  </si>
  <si>
    <t>Steven R. James</t>
  </si>
  <si>
    <t>April M. Tilden</t>
  </si>
  <si>
    <t>Christina D. McGuigan</t>
  </si>
  <si>
    <t>Hughes J. Cano</t>
  </si>
  <si>
    <t>Jonathan J. Quijas</t>
  </si>
  <si>
    <t>Melinda K. Radsliff</t>
  </si>
  <si>
    <t>Shared MOU</t>
  </si>
  <si>
    <t xml:space="preserve">dating </t>
  </si>
  <si>
    <t>Daniel P. Favela</t>
  </si>
  <si>
    <t>Psychologist</t>
  </si>
  <si>
    <t>June R. Salazar</t>
  </si>
  <si>
    <t>Erica L. Gibson</t>
  </si>
  <si>
    <t>Charlotte Hodgson</t>
  </si>
  <si>
    <t>administrative assistant</t>
  </si>
  <si>
    <t>School Acct Assistant</t>
  </si>
  <si>
    <t>Angela Churilla</t>
  </si>
  <si>
    <t>Andrea Anderson</t>
  </si>
  <si>
    <t>Brianna Herrera</t>
  </si>
  <si>
    <t>Jessica Zeegers</t>
  </si>
  <si>
    <t>Rebecca Thomas</t>
  </si>
  <si>
    <t>Esperanza Gregeola</t>
  </si>
  <si>
    <t>TBD</t>
  </si>
  <si>
    <t>Ordering Specialist</t>
  </si>
  <si>
    <t>Ordering SPecialist</t>
  </si>
  <si>
    <t>n</t>
  </si>
  <si>
    <t>Revised 08/06/20</t>
  </si>
  <si>
    <t xml:space="preserve">            Transfer of Direct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</si>
</sst>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_);\(0\)"/>
    <numFmt numFmtId="166" formatCode="_(* #,##0_);_(* \(#,##0\);_(* &quot;-&quot;??_);_(@_)"/>
    <numFmt numFmtId="167" formatCode="_(&quot;$&quot;* #,##0_);_(&quot;$&quot;* \(#,##0\);_(&quot;$&quot;* &quot;-&quot;??_);_(@_)"/>
    <numFmt numFmtId="168" formatCode="0.0%"/>
    <numFmt numFmtId="169" formatCode="_(* #,##0.0000_);_(* \(#,##0.0000\);_(* &quot;-&quot;_);_(@_)"/>
    <numFmt numFmtId="170" formatCode="0.000%"/>
    <numFmt numFmtId="171" formatCode="_(* #,##0.00000_);_(* \(#,##0.00000\);_(* &quot;-&quot;_);_(@_)"/>
    <numFmt numFmtId="172" formatCode="_(* #,##0.00_);_(* \(#,##0.00\);_(* &quot;-&quot;_);_(@_)"/>
    <numFmt numFmtId="173" formatCode="General_)"/>
    <numFmt numFmtId="174" formatCode="#,##0_);\(#,##0\);&quot;-  &quot;_);@\ _)"/>
    <numFmt numFmtId="175" formatCode="#,##0.00_);\(#,##0.00\);&quot;-  &quot;_);@\ _)"/>
    <numFmt numFmtId="176" formatCode="&quot;$&quot;#,##0_);\(&quot;$&quot;#,##0\);&quot;-  &quot;_);@\ _)"/>
    <numFmt numFmtId="177" formatCode="#,##0.0%_);\(#,##0.0%\);&quot;-  &quot;_);@\ _)"/>
    <numFmt numFmtId="178" formatCode="#,##0.0_);\(#,##0.0\);&quot;-  &quot;_);@\ _)"/>
  </numFmts>
  <fonts count="19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Tahoma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indexed="8"/>
      <name val="MS Sans Serif"/>
      <family val="2"/>
    </font>
    <font>
      <b/>
      <sz val="8"/>
      <name val="Arial"/>
      <family val="2"/>
    </font>
    <font>
      <b/>
      <sz val="13.9"/>
      <color indexed="8"/>
      <name val="Arial"/>
      <family val="2"/>
    </font>
    <font>
      <sz val="8"/>
      <name val="Arial"/>
      <family val="2"/>
    </font>
    <font>
      <sz val="10"/>
      <name val="Verdana"/>
      <family val="2"/>
    </font>
    <font>
      <u/>
      <sz val="8"/>
      <name val="Arial"/>
      <family val="2"/>
    </font>
    <font>
      <sz val="11"/>
      <color indexed="32"/>
      <name val="Calibri"/>
      <family val="2"/>
    </font>
    <font>
      <sz val="11"/>
      <color indexed="9"/>
      <name val="Calibri"/>
      <family val="2"/>
    </font>
    <font>
      <sz val="8"/>
      <color theme="0"/>
      <name val="Tahoma"/>
      <family val="2"/>
    </font>
    <font>
      <sz val="11"/>
      <color indexed="14"/>
      <name val="Calibri"/>
      <family val="2"/>
    </font>
    <font>
      <sz val="8"/>
      <color rgb="FF9C0006"/>
      <name val="Tahoma"/>
      <family val="2"/>
    </font>
    <font>
      <b/>
      <sz val="11"/>
      <color indexed="52"/>
      <name val="Calibri"/>
      <family val="2"/>
    </font>
    <font>
      <b/>
      <sz val="8"/>
      <color rgb="FFFA7D00"/>
      <name val="Tahoma"/>
      <family val="2"/>
    </font>
    <font>
      <b/>
      <sz val="11"/>
      <color indexed="9"/>
      <name val="Calibri"/>
      <family val="2"/>
    </font>
    <font>
      <b/>
      <sz val="8"/>
      <color theme="0"/>
      <name val="Tahoma"/>
      <family val="2"/>
    </font>
    <font>
      <i/>
      <sz val="11"/>
      <color indexed="23"/>
      <name val="Calibri"/>
      <family val="2"/>
    </font>
    <font>
      <i/>
      <sz val="8"/>
      <color rgb="FF7F7F7F"/>
      <name val="Tahoma"/>
      <family val="2"/>
    </font>
    <font>
      <sz val="11"/>
      <color indexed="17"/>
      <name val="Calibri"/>
      <family val="2"/>
    </font>
    <font>
      <sz val="8"/>
      <color rgb="FF006100"/>
      <name val="Tahoma"/>
      <family val="2"/>
    </font>
    <font>
      <b/>
      <sz val="15"/>
      <color indexed="62"/>
      <name val="Calibri"/>
      <family val="2"/>
    </font>
    <font>
      <b/>
      <sz val="8"/>
      <color theme="3"/>
      <name val="Tahoma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8"/>
      <color rgb="FF3F3F76"/>
      <name val="Tahoma"/>
      <family val="2"/>
    </font>
    <font>
      <sz val="11"/>
      <color indexed="52"/>
      <name val="Calibri"/>
      <family val="2"/>
    </font>
    <font>
      <sz val="8"/>
      <color rgb="FFFA7D00"/>
      <name val="Tahoma"/>
      <family val="2"/>
    </font>
    <font>
      <sz val="11"/>
      <color indexed="60"/>
      <name val="Calibri"/>
      <family val="2"/>
    </font>
    <font>
      <sz val="8"/>
      <color rgb="FF9C6500"/>
      <name val="Tahoma"/>
      <family val="2"/>
    </font>
    <font>
      <b/>
      <sz val="11"/>
      <color indexed="63"/>
      <name val="Calibri"/>
      <family val="2"/>
    </font>
    <font>
      <b/>
      <sz val="8"/>
      <color rgb="FF3F3F3F"/>
      <name val="Tahoma"/>
      <family val="2"/>
    </font>
    <font>
      <b/>
      <sz val="18"/>
      <color indexed="62"/>
      <name val="Cambria"/>
      <family val="2"/>
    </font>
    <font>
      <b/>
      <sz val="11"/>
      <color indexed="32"/>
      <name val="Calibri"/>
      <family val="2"/>
    </font>
    <font>
      <sz val="11"/>
      <color indexed="10"/>
      <name val="Calibri"/>
      <family val="2"/>
    </font>
    <font>
      <sz val="8"/>
      <color rgb="FFFF000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i/>
      <sz val="8"/>
      <name val="Arial"/>
      <family val="2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indexed="10"/>
      <name val="Calibri"/>
      <family val="2"/>
      <scheme val="minor"/>
    </font>
    <font>
      <i/>
      <sz val="10"/>
      <name val="Calibri"/>
      <family val="2"/>
      <scheme val="minor"/>
    </font>
    <font>
      <sz val="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 val="singleAccounting"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u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indexed="10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sz val="2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u val="doubleAccounting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 val="doubleAccounting"/>
      <sz val="9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9"/>
      <color theme="8" tint="-0.249977111117893"/>
      <name val="Calibri"/>
      <family val="2"/>
      <scheme val="minor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rgb="FF000000"/>
      <name val="Arial"/>
      <family val="2"/>
    </font>
    <font>
      <sz val="10"/>
      <name val="Arial Narrow"/>
      <family val="2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name val="Arial"/>
      <family val="2"/>
    </font>
    <font>
      <b/>
      <u/>
      <sz val="9"/>
      <name val="Tahoma"/>
      <family val="2"/>
    </font>
    <font>
      <b/>
      <u/>
      <sz val="9"/>
      <name val="Arial"/>
      <family val="2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b/>
      <u val="doubleAccounting"/>
      <sz val="11"/>
      <name val="Calibri"/>
      <family val="2"/>
      <scheme val="minor"/>
    </font>
    <font>
      <b/>
      <i/>
      <sz val="9"/>
      <color theme="0" tint="-0.249977111117893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 val="doubleAccounting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 val="double"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9"/>
      <name val="Calibri"/>
      <family val="2"/>
      <scheme val="minor"/>
    </font>
    <font>
      <b/>
      <i/>
      <sz val="10"/>
      <color theme="8" tint="-0.499984740745262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color theme="8" tint="-0.499984740745262"/>
      <name val="Calibri"/>
      <family val="2"/>
      <scheme val="minor"/>
    </font>
    <font>
      <i/>
      <sz val="9"/>
      <color theme="8" tint="-0.499984740745262"/>
      <name val="Calibri"/>
      <family val="2"/>
      <scheme val="minor"/>
    </font>
    <font>
      <u val="singleAccounting"/>
      <sz val="10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color indexed="9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b/>
      <sz val="12"/>
      <color indexed="9"/>
      <name val="Arial"/>
      <family val="2"/>
    </font>
    <font>
      <sz val="10"/>
      <name val="Helv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sz val="10"/>
      <name val="SWISS"/>
    </font>
    <font>
      <sz val="10"/>
      <name val="Times New Roman"/>
      <family val="1"/>
    </font>
    <font>
      <sz val="10"/>
      <name val="MS Sans Serif"/>
      <family val="2"/>
    </font>
    <font>
      <sz val="12"/>
      <name val="Arial"/>
      <family val="2"/>
    </font>
    <font>
      <b/>
      <sz val="12"/>
      <color indexed="63"/>
      <name val="Arial"/>
      <family val="2"/>
    </font>
    <font>
      <b/>
      <sz val="12"/>
      <color indexed="8"/>
      <name val="Arial"/>
      <family val="2"/>
    </font>
    <font>
      <sz val="12"/>
      <color indexed="10"/>
      <name val="Arial"/>
      <family val="2"/>
    </font>
    <font>
      <b/>
      <sz val="9"/>
      <color rgb="FFFF0000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5"/>
      <name val="Arial"/>
      <family val="2"/>
    </font>
    <font>
      <b/>
      <sz val="13"/>
      <name val="Arial"/>
      <family val="2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color rgb="FFFF0000"/>
      <name val="Arial"/>
      <family val="2"/>
    </font>
    <font>
      <b/>
      <i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 val="singleAccounting"/>
      <sz val="9"/>
      <name val="Calibri"/>
      <family val="2"/>
      <scheme val="minor"/>
    </font>
    <font>
      <u val="singleAccounting"/>
      <sz val="8"/>
      <color theme="1"/>
      <name val="Tahoma"/>
      <family val="2"/>
    </font>
    <font>
      <u val="doubleAccounting"/>
      <sz val="8"/>
      <color theme="1"/>
      <name val="Tahoma"/>
      <family val="2"/>
    </font>
    <font>
      <sz val="8"/>
      <color rgb="FF9C5700"/>
      <name val="Tahoma"/>
      <family val="2"/>
    </font>
    <font>
      <sz val="8"/>
      <color theme="3"/>
      <name val="Tahoma"/>
      <family val="2"/>
    </font>
    <font>
      <u/>
      <sz val="8"/>
      <color theme="1"/>
      <name val="Tahoma"/>
      <family val="2"/>
    </font>
    <font>
      <u val="double"/>
      <sz val="8"/>
      <color theme="1"/>
      <name val="Tahoma"/>
      <family val="2"/>
    </font>
    <font>
      <sz val="9"/>
      <color theme="1"/>
      <name val="Calibri"/>
      <family val="2"/>
    </font>
    <font>
      <u val="singleAccounting"/>
      <sz val="9"/>
      <color theme="1"/>
      <name val="Calibri"/>
      <family val="2"/>
    </font>
    <font>
      <u val="doubleAccounting"/>
      <sz val="9"/>
      <color theme="1"/>
      <name val="Calibri"/>
      <family val="2"/>
    </font>
    <font>
      <b/>
      <sz val="9"/>
      <color theme="1"/>
      <name val="Calibri"/>
      <family val="2"/>
    </font>
    <font>
      <b/>
      <u val="singleAccounting"/>
      <sz val="9"/>
      <color theme="1"/>
      <name val="Calibri"/>
      <family val="2"/>
    </font>
    <font>
      <b/>
      <sz val="8"/>
      <name val="Tahoma"/>
      <family val="2"/>
    </font>
    <font>
      <b/>
      <sz val="8"/>
      <color rgb="FFFF0000"/>
      <name val="Tahoma"/>
      <family val="2"/>
    </font>
    <font>
      <sz val="11"/>
      <color rgb="FFFF0000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rgb="FFFFFF00"/>
        <bgColor indexed="64"/>
      </patternFill>
    </fill>
    <fill>
      <patternFill patternType="solid">
        <fgColor rgb="FF7DB03D"/>
        <bgColor indexed="64"/>
      </patternFill>
    </fill>
    <fill>
      <patternFill patternType="solid">
        <fgColor rgb="FFC7C9C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EDC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7430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10" fillId="0" borderId="0"/>
    <xf numFmtId="0" fontId="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0" borderId="0"/>
    <xf numFmtId="0" fontId="14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4" fillId="10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4" fillId="14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4" fillId="18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4" fillId="22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4" fillId="26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4" fillId="30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4" fillId="11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4" fillId="15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4" fillId="19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4" fillId="23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4" fillId="27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4" fillId="31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8" fillId="12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8" fillId="16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8" fillId="20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8" fillId="24" borderId="0" applyNumberFormat="0" applyBorder="0" applyAlignment="0" applyProtection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17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8" fillId="28" borderId="0" applyNumberFormat="0" applyBorder="0" applyAlignment="0" applyProtection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8" fillId="32" borderId="0" applyNumberFormat="0" applyBorder="0" applyAlignment="0" applyProtection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17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8" fillId="9" borderId="0" applyNumberFormat="0" applyBorder="0" applyAlignment="0" applyProtection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8" fillId="13" borderId="0" applyNumberFormat="0" applyBorder="0" applyAlignment="0" applyProtection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8" fillId="17" borderId="0" applyNumberFormat="0" applyBorder="0" applyAlignment="0" applyProtection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17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8" fillId="21" borderId="0" applyNumberFormat="0" applyBorder="0" applyAlignment="0" applyProtection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17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8" fillId="25" borderId="0" applyNumberFormat="0" applyBorder="0" applyAlignment="0" applyProtection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17" fillId="4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8" fillId="29" borderId="0" applyNumberFormat="0" applyBorder="0" applyAlignment="0" applyProtection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17" fillId="4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20" fillId="3" borderId="0" applyNumberFormat="0" applyBorder="0" applyAlignment="0" applyProtection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19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1" fillId="38" borderId="20" applyNumberFormat="0" applyAlignment="0" applyProtection="0"/>
    <xf numFmtId="0" fontId="21" fillId="38" borderId="20" applyNumberFormat="0" applyAlignment="0" applyProtection="0"/>
    <xf numFmtId="0" fontId="22" fillId="6" borderId="4" applyNumberFormat="0" applyAlignment="0" applyProtection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1" fillId="38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3" fillId="51" borderId="21" applyNumberFormat="0" applyAlignment="0" applyProtection="0"/>
    <xf numFmtId="0" fontId="23" fillId="51" borderId="21" applyNumberFormat="0" applyAlignment="0" applyProtection="0"/>
    <xf numFmtId="0" fontId="24" fillId="7" borderId="7" applyNumberFormat="0" applyAlignment="0" applyProtection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3" fillId="51" borderId="2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0" fontId="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" fillId="0" borderId="0"/>
    <xf numFmtId="44" fontId="12" fillId="0" borderId="0" applyFont="0" applyFill="0" applyBorder="0" applyAlignment="0" applyProtection="0"/>
    <xf numFmtId="0" fontId="2" fillId="0" borderId="0"/>
    <xf numFmtId="44" fontId="12" fillId="0" borderId="0" applyFont="0" applyFill="0" applyBorder="0" applyAlignment="0" applyProtection="0"/>
    <xf numFmtId="0" fontId="2" fillId="0" borderId="0"/>
    <xf numFmtId="44" fontId="12" fillId="0" borderId="0" applyFont="0" applyFill="0" applyBorder="0" applyAlignment="0" applyProtection="0"/>
    <xf numFmtId="0" fontId="2" fillId="0" borderId="0"/>
    <xf numFmtId="44" fontId="12" fillId="0" borderId="0" applyFont="0" applyFill="0" applyBorder="0" applyAlignment="0" applyProtection="0"/>
    <xf numFmtId="0" fontId="2" fillId="0" borderId="0"/>
    <xf numFmtId="44" fontId="12" fillId="0" borderId="0" applyFont="0" applyFill="0" applyBorder="0" applyAlignment="0" applyProtection="0"/>
    <xf numFmtId="0" fontId="2" fillId="0" borderId="0"/>
    <xf numFmtId="44" fontId="12" fillId="0" borderId="0" applyFont="0" applyFill="0" applyBorder="0" applyAlignment="0" applyProtection="0"/>
    <xf numFmtId="0" fontId="2" fillId="0" borderId="0"/>
    <xf numFmtId="44" fontId="12" fillId="0" borderId="0" applyFont="0" applyFill="0" applyBorder="0" applyAlignment="0" applyProtection="0"/>
    <xf numFmtId="0" fontId="2" fillId="0" borderId="0"/>
    <xf numFmtId="44" fontId="12" fillId="0" borderId="0" applyFont="0" applyFill="0" applyBorder="0" applyAlignment="0" applyProtection="0"/>
    <xf numFmtId="0" fontId="2" fillId="0" borderId="0"/>
    <xf numFmtId="44" fontId="12" fillId="0" borderId="0" applyFont="0" applyFill="0" applyBorder="0" applyAlignment="0" applyProtection="0"/>
    <xf numFmtId="0" fontId="2" fillId="0" borderId="0"/>
    <xf numFmtId="44" fontId="12" fillId="0" borderId="0" applyFont="0" applyFill="0" applyBorder="0" applyAlignment="0" applyProtection="0"/>
    <xf numFmtId="0" fontId="2" fillId="0" borderId="0"/>
    <xf numFmtId="44" fontId="12" fillId="0" borderId="0" applyFont="0" applyFill="0" applyBorder="0" applyAlignment="0" applyProtection="0"/>
    <xf numFmtId="0" fontId="2" fillId="0" borderId="0"/>
    <xf numFmtId="44" fontId="12" fillId="0" borderId="0" applyFont="0" applyFill="0" applyBorder="0" applyAlignment="0" applyProtection="0"/>
    <xf numFmtId="0" fontId="2" fillId="0" borderId="0"/>
    <xf numFmtId="44" fontId="12" fillId="0" borderId="0" applyFont="0" applyFill="0" applyBorder="0" applyAlignment="0" applyProtection="0"/>
    <xf numFmtId="0" fontId="2" fillId="0" borderId="0"/>
    <xf numFmtId="44" fontId="12" fillId="0" borderId="0" applyFont="0" applyFill="0" applyBorder="0" applyAlignment="0" applyProtection="0"/>
    <xf numFmtId="0" fontId="2" fillId="0" borderId="0"/>
    <xf numFmtId="44" fontId="12" fillId="0" borderId="0" applyFont="0" applyFill="0" applyBorder="0" applyAlignment="0" applyProtection="0"/>
    <xf numFmtId="0" fontId="2" fillId="0" borderId="0"/>
    <xf numFmtId="44" fontId="12" fillId="0" borderId="0" applyFont="0" applyFill="0" applyBorder="0" applyAlignment="0" applyProtection="0"/>
    <xf numFmtId="0" fontId="2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8" fillId="2" borderId="0" applyNumberFormat="0" applyBorder="0" applyAlignment="0" applyProtection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7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30" fillId="0" borderId="1" applyNumberFormat="0" applyFill="0" applyAlignment="0" applyProtection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9" fillId="0" borderId="2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31" fillId="0" borderId="23" applyNumberFormat="0" applyFill="0" applyAlignment="0" applyProtection="0"/>
    <xf numFmtId="0" fontId="31" fillId="0" borderId="23" applyNumberFormat="0" applyFill="0" applyAlignment="0" applyProtection="0"/>
    <xf numFmtId="0" fontId="30" fillId="0" borderId="2" applyNumberFormat="0" applyFill="0" applyAlignment="0" applyProtection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31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32" fillId="0" borderId="24" applyNumberFormat="0" applyFill="0" applyAlignment="0" applyProtection="0"/>
    <xf numFmtId="0" fontId="32" fillId="0" borderId="24" applyNumberFormat="0" applyFill="0" applyAlignment="0" applyProtection="0"/>
    <xf numFmtId="0" fontId="30" fillId="0" borderId="3" applyNumberFormat="0" applyFill="0" applyAlignment="0" applyProtection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32" fillId="0" borderId="2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33" fillId="39" borderId="20" applyNumberFormat="0" applyAlignment="0" applyProtection="0"/>
    <xf numFmtId="0" fontId="33" fillId="39" borderId="20" applyNumberFormat="0" applyAlignment="0" applyProtection="0"/>
    <xf numFmtId="0" fontId="34" fillId="5" borderId="4" applyNumberFormat="0" applyAlignment="0" applyProtection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33" fillId="39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6" fillId="0" borderId="6" applyNumberFormat="0" applyFill="0" applyAlignment="0" applyProtection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35" fillId="0" borderId="2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8" fillId="4" borderId="0" applyNumberFormat="0" applyBorder="0" applyAlignment="0" applyProtection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37" fillId="4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4" fillId="8" borderId="8" applyNumberFormat="0" applyFont="0" applyAlignment="0" applyProtection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2" fillId="40" borderId="26" applyNumberFormat="0" applyFont="0" applyAlignment="0" applyProtection="0"/>
    <xf numFmtId="0" fontId="2" fillId="40" borderId="26" applyNumberFormat="0" applyFon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39" fillId="38" borderId="27" applyNumberFormat="0" applyAlignment="0" applyProtection="0"/>
    <xf numFmtId="0" fontId="39" fillId="38" borderId="27" applyNumberFormat="0" applyAlignment="0" applyProtection="0"/>
    <xf numFmtId="0" fontId="40" fillId="6" borderId="5" applyNumberFormat="0" applyAlignment="0" applyProtection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39" fillId="38" borderId="2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42" fillId="0" borderId="28" applyNumberFormat="0" applyFill="0" applyAlignment="0" applyProtection="0"/>
    <xf numFmtId="0" fontId="42" fillId="0" borderId="28" applyNumberFormat="0" applyFill="0" applyAlignment="0" applyProtection="0"/>
    <xf numFmtId="0" fontId="42" fillId="0" borderId="28" applyNumberFormat="0" applyFill="0" applyAlignment="0" applyProtection="0"/>
    <xf numFmtId="0" fontId="7" fillId="0" borderId="9" applyNumberFormat="0" applyFill="0" applyAlignment="0" applyProtection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5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7" fillId="0" borderId="0"/>
    <xf numFmtId="44" fontId="4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0" fontId="1" fillId="0" borderId="0"/>
    <xf numFmtId="44" fontId="45" fillId="0" borderId="0" applyFont="0" applyFill="0" applyBorder="0" applyAlignment="0" applyProtection="0"/>
    <xf numFmtId="0" fontId="1" fillId="0" borderId="0"/>
    <xf numFmtId="0" fontId="108" fillId="58" borderId="0" applyNumberFormat="0" applyBorder="0" applyAlignment="0" applyProtection="0"/>
    <xf numFmtId="0" fontId="108" fillId="58" borderId="0" applyNumberFormat="0" applyBorder="0" applyAlignment="0" applyProtection="0"/>
    <xf numFmtId="0" fontId="108" fillId="50" borderId="0" applyNumberFormat="0" applyBorder="0" applyAlignment="0" applyProtection="0"/>
    <xf numFmtId="0" fontId="108" fillId="50" borderId="0" applyNumberFormat="0" applyBorder="0" applyAlignment="0" applyProtection="0"/>
    <xf numFmtId="0" fontId="108" fillId="52" borderId="0" applyNumberFormat="0" applyBorder="0" applyAlignment="0" applyProtection="0"/>
    <xf numFmtId="0" fontId="108" fillId="52" borderId="0" applyNumberFormat="0" applyBorder="0" applyAlignment="0" applyProtection="0"/>
    <xf numFmtId="0" fontId="108" fillId="59" borderId="0" applyNumberFormat="0" applyBorder="0" applyAlignment="0" applyProtection="0"/>
    <xf numFmtId="0" fontId="108" fillId="59" borderId="0" applyNumberFormat="0" applyBorder="0" applyAlignment="0" applyProtection="0"/>
    <xf numFmtId="0" fontId="108" fillId="41" borderId="0" applyNumberFormat="0" applyBorder="0" applyAlignment="0" applyProtection="0"/>
    <xf numFmtId="0" fontId="108" fillId="41" borderId="0" applyNumberFormat="0" applyBorder="0" applyAlignment="0" applyProtection="0"/>
    <xf numFmtId="0" fontId="108" fillId="39" borderId="0" applyNumberFormat="0" applyBorder="0" applyAlignment="0" applyProtection="0"/>
    <xf numFmtId="0" fontId="108" fillId="39" borderId="0" applyNumberFormat="0" applyBorder="0" applyAlignment="0" applyProtection="0"/>
    <xf numFmtId="0" fontId="108" fillId="45" borderId="0" applyNumberFormat="0" applyBorder="0" applyAlignment="0" applyProtection="0"/>
    <xf numFmtId="0" fontId="108" fillId="45" borderId="0" applyNumberFormat="0" applyBorder="0" applyAlignment="0" applyProtection="0"/>
    <xf numFmtId="0" fontId="108" fillId="43" borderId="0" applyNumberFormat="0" applyBorder="0" applyAlignment="0" applyProtection="0"/>
    <xf numFmtId="0" fontId="108" fillId="43" borderId="0" applyNumberFormat="0" applyBorder="0" applyAlignment="0" applyProtection="0"/>
    <xf numFmtId="0" fontId="108" fillId="60" borderId="0" applyNumberFormat="0" applyBorder="0" applyAlignment="0" applyProtection="0"/>
    <xf numFmtId="0" fontId="108" fillId="60" borderId="0" applyNumberFormat="0" applyBorder="0" applyAlignment="0" applyProtection="0"/>
    <xf numFmtId="0" fontId="108" fillId="59" borderId="0" applyNumberFormat="0" applyBorder="0" applyAlignment="0" applyProtection="0"/>
    <xf numFmtId="0" fontId="108" fillId="59" borderId="0" applyNumberFormat="0" applyBorder="0" applyAlignment="0" applyProtection="0"/>
    <xf numFmtId="0" fontId="108" fillId="45" borderId="0" applyNumberFormat="0" applyBorder="0" applyAlignment="0" applyProtection="0"/>
    <xf numFmtId="0" fontId="108" fillId="45" borderId="0" applyNumberFormat="0" applyBorder="0" applyAlignment="0" applyProtection="0"/>
    <xf numFmtId="0" fontId="108" fillId="61" borderId="0" applyNumberFormat="0" applyBorder="0" applyAlignment="0" applyProtection="0"/>
    <xf numFmtId="0" fontId="108" fillId="61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6" borderId="0" applyNumberFormat="0" applyBorder="0" applyAlignment="0" applyProtection="0"/>
    <xf numFmtId="0" fontId="17" fillId="66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21" fillId="42" borderId="20" applyNumberFormat="0" applyAlignment="0" applyProtection="0"/>
    <xf numFmtId="0" fontId="21" fillId="42" borderId="20" applyNumberFormat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48" fillId="0" borderId="0" applyFont="0" applyFill="0" applyBorder="0" applyAlignment="0" applyProtection="0"/>
    <xf numFmtId="0" fontId="111" fillId="0" borderId="38" applyNumberFormat="0" applyFill="0" applyAlignment="0" applyProtection="0"/>
    <xf numFmtId="0" fontId="111" fillId="0" borderId="38" applyNumberFormat="0" applyFill="0" applyAlignment="0" applyProtection="0"/>
    <xf numFmtId="0" fontId="112" fillId="0" borderId="23" applyNumberFormat="0" applyFill="0" applyAlignment="0" applyProtection="0"/>
    <xf numFmtId="0" fontId="112" fillId="0" borderId="23" applyNumberFormat="0" applyFill="0" applyAlignment="0" applyProtection="0"/>
    <xf numFmtId="0" fontId="113" fillId="0" borderId="39" applyNumberFormat="0" applyFill="0" applyAlignment="0" applyProtection="0"/>
    <xf numFmtId="0" fontId="113" fillId="0" borderId="39" applyNumberFormat="0" applyFill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10" fillId="0" borderId="0"/>
    <xf numFmtId="0" fontId="110" fillId="0" borderId="0"/>
    <xf numFmtId="0" fontId="48" fillId="0" borderId="0"/>
    <xf numFmtId="0" fontId="110" fillId="0" borderId="0"/>
    <xf numFmtId="0" fontId="48" fillId="0" borderId="0"/>
    <xf numFmtId="0" fontId="45" fillId="0" borderId="0"/>
    <xf numFmtId="0" fontId="115" fillId="0" borderId="0"/>
    <xf numFmtId="0" fontId="110" fillId="40" borderId="26" applyNumberFormat="0" applyFont="0" applyAlignment="0" applyProtection="0"/>
    <xf numFmtId="0" fontId="110" fillId="40" borderId="26" applyNumberFormat="0" applyFont="0" applyAlignment="0" applyProtection="0"/>
    <xf numFmtId="0" fontId="110" fillId="40" borderId="26" applyNumberFormat="0" applyFont="0" applyAlignment="0" applyProtection="0"/>
    <xf numFmtId="0" fontId="110" fillId="40" borderId="26" applyNumberFormat="0" applyFont="0" applyAlignment="0" applyProtection="0"/>
    <xf numFmtId="0" fontId="39" fillId="42" borderId="27" applyNumberFormat="0" applyAlignment="0" applyProtection="0"/>
    <xf numFmtId="0" fontId="39" fillId="42" borderId="27" applyNumberFormat="0" applyAlignment="0" applyProtection="0"/>
    <xf numFmtId="9" fontId="1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7" fillId="0" borderId="40" applyNumberFormat="0" applyFill="0" applyAlignment="0" applyProtection="0"/>
    <xf numFmtId="0" fontId="117" fillId="0" borderId="40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18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0" fontId="110" fillId="0" borderId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0" fontId="110" fillId="0" borderId="0"/>
    <xf numFmtId="0" fontId="110" fillId="0" borderId="0"/>
    <xf numFmtId="0" fontId="115" fillId="0" borderId="0"/>
    <xf numFmtId="0" fontId="110" fillId="40" borderId="26" applyNumberFormat="0" applyFont="0" applyAlignment="0" applyProtection="0"/>
    <xf numFmtId="0" fontId="110" fillId="40" borderId="26" applyNumberFormat="0" applyFont="0" applyAlignment="0" applyProtection="0"/>
    <xf numFmtId="0" fontId="110" fillId="40" borderId="26" applyNumberFormat="0" applyFont="0" applyAlignment="0" applyProtection="0"/>
    <xf numFmtId="0" fontId="110" fillId="40" borderId="26" applyNumberFormat="0" applyFont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08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" fillId="0" borderId="0"/>
    <xf numFmtId="0" fontId="1" fillId="0" borderId="0"/>
    <xf numFmtId="0" fontId="119" fillId="0" borderId="0"/>
    <xf numFmtId="0" fontId="45" fillId="0" borderId="0"/>
    <xf numFmtId="0" fontId="119" fillId="0" borderId="0"/>
    <xf numFmtId="0" fontId="119" fillId="0" borderId="0"/>
    <xf numFmtId="0" fontId="1" fillId="0" borderId="0"/>
    <xf numFmtId="0" fontId="1" fillId="0" borderId="0"/>
    <xf numFmtId="0" fontId="14" fillId="0" borderId="0"/>
    <xf numFmtId="0" fontId="13" fillId="0" borderId="0"/>
    <xf numFmtId="0" fontId="45" fillId="0" borderId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0" fontId="1" fillId="40" borderId="26" applyNumberFormat="0" applyFont="0" applyAlignment="0" applyProtection="0"/>
    <xf numFmtId="9" fontId="1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9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108" fillId="58" borderId="0" applyNumberFormat="0" applyBorder="0" applyAlignment="0" applyProtection="0"/>
    <xf numFmtId="0" fontId="148" fillId="58" borderId="0" applyNumberFormat="0" applyBorder="0" applyAlignment="0" applyProtection="0"/>
    <xf numFmtId="0" fontId="108" fillId="58" borderId="0" applyNumberFormat="0" applyBorder="0" applyAlignment="0" applyProtection="0"/>
    <xf numFmtId="0" fontId="147" fillId="58" borderId="0" applyNumberFormat="0" applyBorder="0" applyAlignment="0" applyProtection="0"/>
    <xf numFmtId="0" fontId="108" fillId="58" borderId="0" applyNumberFormat="0" applyBorder="0" applyAlignment="0" applyProtection="0"/>
    <xf numFmtId="0" fontId="108" fillId="58" borderId="0" applyNumberFormat="0" applyBorder="0" applyAlignment="0" applyProtection="0"/>
    <xf numFmtId="0" fontId="108" fillId="58" borderId="0" applyNumberFormat="0" applyBorder="0" applyAlignment="0" applyProtection="0"/>
    <xf numFmtId="0" fontId="108" fillId="50" borderId="0" applyNumberFormat="0" applyBorder="0" applyAlignment="0" applyProtection="0"/>
    <xf numFmtId="0" fontId="148" fillId="50" borderId="0" applyNumberFormat="0" applyBorder="0" applyAlignment="0" applyProtection="0"/>
    <xf numFmtId="0" fontId="108" fillId="50" borderId="0" applyNumberFormat="0" applyBorder="0" applyAlignment="0" applyProtection="0"/>
    <xf numFmtId="0" fontId="147" fillId="50" borderId="0" applyNumberFormat="0" applyBorder="0" applyAlignment="0" applyProtection="0"/>
    <xf numFmtId="0" fontId="108" fillId="50" borderId="0" applyNumberFormat="0" applyBorder="0" applyAlignment="0" applyProtection="0"/>
    <xf numFmtId="0" fontId="108" fillId="50" borderId="0" applyNumberFormat="0" applyBorder="0" applyAlignment="0" applyProtection="0"/>
    <xf numFmtId="0" fontId="108" fillId="50" borderId="0" applyNumberFormat="0" applyBorder="0" applyAlignment="0" applyProtection="0"/>
    <xf numFmtId="0" fontId="108" fillId="52" borderId="0" applyNumberFormat="0" applyBorder="0" applyAlignment="0" applyProtection="0"/>
    <xf numFmtId="0" fontId="148" fillId="52" borderId="0" applyNumberFormat="0" applyBorder="0" applyAlignment="0" applyProtection="0"/>
    <xf numFmtId="0" fontId="108" fillId="52" borderId="0" applyNumberFormat="0" applyBorder="0" applyAlignment="0" applyProtection="0"/>
    <xf numFmtId="0" fontId="147" fillId="52" borderId="0" applyNumberFormat="0" applyBorder="0" applyAlignment="0" applyProtection="0"/>
    <xf numFmtId="0" fontId="108" fillId="52" borderId="0" applyNumberFormat="0" applyBorder="0" applyAlignment="0" applyProtection="0"/>
    <xf numFmtId="0" fontId="108" fillId="52" borderId="0" applyNumberFormat="0" applyBorder="0" applyAlignment="0" applyProtection="0"/>
    <xf numFmtId="0" fontId="108" fillId="52" borderId="0" applyNumberFormat="0" applyBorder="0" applyAlignment="0" applyProtection="0"/>
    <xf numFmtId="0" fontId="108" fillId="59" borderId="0" applyNumberFormat="0" applyBorder="0" applyAlignment="0" applyProtection="0"/>
    <xf numFmtId="0" fontId="148" fillId="59" borderId="0" applyNumberFormat="0" applyBorder="0" applyAlignment="0" applyProtection="0"/>
    <xf numFmtId="0" fontId="108" fillId="59" borderId="0" applyNumberFormat="0" applyBorder="0" applyAlignment="0" applyProtection="0"/>
    <xf numFmtId="0" fontId="147" fillId="59" borderId="0" applyNumberFormat="0" applyBorder="0" applyAlignment="0" applyProtection="0"/>
    <xf numFmtId="0" fontId="108" fillId="59" borderId="0" applyNumberFormat="0" applyBorder="0" applyAlignment="0" applyProtection="0"/>
    <xf numFmtId="0" fontId="108" fillId="59" borderId="0" applyNumberFormat="0" applyBorder="0" applyAlignment="0" applyProtection="0"/>
    <xf numFmtId="0" fontId="108" fillId="59" borderId="0" applyNumberFormat="0" applyBorder="0" applyAlignment="0" applyProtection="0"/>
    <xf numFmtId="0" fontId="108" fillId="41" borderId="0" applyNumberFormat="0" applyBorder="0" applyAlignment="0" applyProtection="0"/>
    <xf numFmtId="0" fontId="148" fillId="41" borderId="0" applyNumberFormat="0" applyBorder="0" applyAlignment="0" applyProtection="0"/>
    <xf numFmtId="0" fontId="108" fillId="41" borderId="0" applyNumberFormat="0" applyBorder="0" applyAlignment="0" applyProtection="0"/>
    <xf numFmtId="0" fontId="147" fillId="41" borderId="0" applyNumberFormat="0" applyBorder="0" applyAlignment="0" applyProtection="0"/>
    <xf numFmtId="0" fontId="108" fillId="41" borderId="0" applyNumberFormat="0" applyBorder="0" applyAlignment="0" applyProtection="0"/>
    <xf numFmtId="0" fontId="108" fillId="41" borderId="0" applyNumberFormat="0" applyBorder="0" applyAlignment="0" applyProtection="0"/>
    <xf numFmtId="0" fontId="108" fillId="41" borderId="0" applyNumberFormat="0" applyBorder="0" applyAlignment="0" applyProtection="0"/>
    <xf numFmtId="0" fontId="108" fillId="39" borderId="0" applyNumberFormat="0" applyBorder="0" applyAlignment="0" applyProtection="0"/>
    <xf numFmtId="0" fontId="148" fillId="39" borderId="0" applyNumberFormat="0" applyBorder="0" applyAlignment="0" applyProtection="0"/>
    <xf numFmtId="0" fontId="108" fillId="39" borderId="0" applyNumberFormat="0" applyBorder="0" applyAlignment="0" applyProtection="0"/>
    <xf numFmtId="0" fontId="147" fillId="39" borderId="0" applyNumberFormat="0" applyBorder="0" applyAlignment="0" applyProtection="0"/>
    <xf numFmtId="0" fontId="108" fillId="39" borderId="0" applyNumberFormat="0" applyBorder="0" applyAlignment="0" applyProtection="0"/>
    <xf numFmtId="0" fontId="108" fillId="39" borderId="0" applyNumberFormat="0" applyBorder="0" applyAlignment="0" applyProtection="0"/>
    <xf numFmtId="0" fontId="108" fillId="39" borderId="0" applyNumberFormat="0" applyBorder="0" applyAlignment="0" applyProtection="0"/>
    <xf numFmtId="0" fontId="108" fillId="45" borderId="0" applyNumberFormat="0" applyBorder="0" applyAlignment="0" applyProtection="0"/>
    <xf numFmtId="0" fontId="148" fillId="45" borderId="0" applyNumberFormat="0" applyBorder="0" applyAlignment="0" applyProtection="0"/>
    <xf numFmtId="0" fontId="108" fillId="45" borderId="0" applyNumberFormat="0" applyBorder="0" applyAlignment="0" applyProtection="0"/>
    <xf numFmtId="0" fontId="147" fillId="45" borderId="0" applyNumberFormat="0" applyBorder="0" applyAlignment="0" applyProtection="0"/>
    <xf numFmtId="0" fontId="108" fillId="45" borderId="0" applyNumberFormat="0" applyBorder="0" applyAlignment="0" applyProtection="0"/>
    <xf numFmtId="0" fontId="108" fillId="45" borderId="0" applyNumberFormat="0" applyBorder="0" applyAlignment="0" applyProtection="0"/>
    <xf numFmtId="0" fontId="108" fillId="45" borderId="0" applyNumberFormat="0" applyBorder="0" applyAlignment="0" applyProtection="0"/>
    <xf numFmtId="0" fontId="108" fillId="43" borderId="0" applyNumberFormat="0" applyBorder="0" applyAlignment="0" applyProtection="0"/>
    <xf numFmtId="0" fontId="148" fillId="43" borderId="0" applyNumberFormat="0" applyBorder="0" applyAlignment="0" applyProtection="0"/>
    <xf numFmtId="0" fontId="108" fillId="43" borderId="0" applyNumberFormat="0" applyBorder="0" applyAlignment="0" applyProtection="0"/>
    <xf numFmtId="0" fontId="147" fillId="43" borderId="0" applyNumberFormat="0" applyBorder="0" applyAlignment="0" applyProtection="0"/>
    <xf numFmtId="0" fontId="108" fillId="43" borderId="0" applyNumberFormat="0" applyBorder="0" applyAlignment="0" applyProtection="0"/>
    <xf numFmtId="0" fontId="108" fillId="43" borderId="0" applyNumberFormat="0" applyBorder="0" applyAlignment="0" applyProtection="0"/>
    <xf numFmtId="0" fontId="108" fillId="43" borderId="0" applyNumberFormat="0" applyBorder="0" applyAlignment="0" applyProtection="0"/>
    <xf numFmtId="0" fontId="108" fillId="60" borderId="0" applyNumberFormat="0" applyBorder="0" applyAlignment="0" applyProtection="0"/>
    <xf numFmtId="0" fontId="148" fillId="60" borderId="0" applyNumberFormat="0" applyBorder="0" applyAlignment="0" applyProtection="0"/>
    <xf numFmtId="0" fontId="108" fillId="60" borderId="0" applyNumberFormat="0" applyBorder="0" applyAlignment="0" applyProtection="0"/>
    <xf numFmtId="0" fontId="147" fillId="60" borderId="0" applyNumberFormat="0" applyBorder="0" applyAlignment="0" applyProtection="0"/>
    <xf numFmtId="0" fontId="108" fillId="60" borderId="0" applyNumberFormat="0" applyBorder="0" applyAlignment="0" applyProtection="0"/>
    <xf numFmtId="0" fontId="108" fillId="60" borderId="0" applyNumberFormat="0" applyBorder="0" applyAlignment="0" applyProtection="0"/>
    <xf numFmtId="0" fontId="108" fillId="60" borderId="0" applyNumberFormat="0" applyBorder="0" applyAlignment="0" applyProtection="0"/>
    <xf numFmtId="0" fontId="108" fillId="59" borderId="0" applyNumberFormat="0" applyBorder="0" applyAlignment="0" applyProtection="0"/>
    <xf numFmtId="0" fontId="148" fillId="59" borderId="0" applyNumberFormat="0" applyBorder="0" applyAlignment="0" applyProtection="0"/>
    <xf numFmtId="0" fontId="108" fillId="59" borderId="0" applyNumberFormat="0" applyBorder="0" applyAlignment="0" applyProtection="0"/>
    <xf numFmtId="0" fontId="147" fillId="59" borderId="0" applyNumberFormat="0" applyBorder="0" applyAlignment="0" applyProtection="0"/>
    <xf numFmtId="0" fontId="108" fillId="59" borderId="0" applyNumberFormat="0" applyBorder="0" applyAlignment="0" applyProtection="0"/>
    <xf numFmtId="0" fontId="108" fillId="59" borderId="0" applyNumberFormat="0" applyBorder="0" applyAlignment="0" applyProtection="0"/>
    <xf numFmtId="0" fontId="108" fillId="59" borderId="0" applyNumberFormat="0" applyBorder="0" applyAlignment="0" applyProtection="0"/>
    <xf numFmtId="0" fontId="108" fillId="45" borderId="0" applyNumberFormat="0" applyBorder="0" applyAlignment="0" applyProtection="0"/>
    <xf numFmtId="0" fontId="148" fillId="45" borderId="0" applyNumberFormat="0" applyBorder="0" applyAlignment="0" applyProtection="0"/>
    <xf numFmtId="0" fontId="108" fillId="45" borderId="0" applyNumberFormat="0" applyBorder="0" applyAlignment="0" applyProtection="0"/>
    <xf numFmtId="0" fontId="147" fillId="45" borderId="0" applyNumberFormat="0" applyBorder="0" applyAlignment="0" applyProtection="0"/>
    <xf numFmtId="0" fontId="108" fillId="45" borderId="0" applyNumberFormat="0" applyBorder="0" applyAlignment="0" applyProtection="0"/>
    <xf numFmtId="0" fontId="108" fillId="45" borderId="0" applyNumberFormat="0" applyBorder="0" applyAlignment="0" applyProtection="0"/>
    <xf numFmtId="0" fontId="108" fillId="45" borderId="0" applyNumberFormat="0" applyBorder="0" applyAlignment="0" applyProtection="0"/>
    <xf numFmtId="0" fontId="108" fillId="61" borderId="0" applyNumberFormat="0" applyBorder="0" applyAlignment="0" applyProtection="0"/>
    <xf numFmtId="0" fontId="148" fillId="61" borderId="0" applyNumberFormat="0" applyBorder="0" applyAlignment="0" applyProtection="0"/>
    <xf numFmtId="0" fontId="108" fillId="61" borderId="0" applyNumberFormat="0" applyBorder="0" applyAlignment="0" applyProtection="0"/>
    <xf numFmtId="0" fontId="147" fillId="61" borderId="0" applyNumberFormat="0" applyBorder="0" applyAlignment="0" applyProtection="0"/>
    <xf numFmtId="0" fontId="108" fillId="61" borderId="0" applyNumberFormat="0" applyBorder="0" applyAlignment="0" applyProtection="0"/>
    <xf numFmtId="0" fontId="108" fillId="61" borderId="0" applyNumberFormat="0" applyBorder="0" applyAlignment="0" applyProtection="0"/>
    <xf numFmtId="0" fontId="108" fillId="61" borderId="0" applyNumberFormat="0" applyBorder="0" applyAlignment="0" applyProtection="0"/>
    <xf numFmtId="0" fontId="149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49" fillId="43" borderId="0" applyNumberFormat="0" applyBorder="0" applyAlignment="0" applyProtection="0"/>
    <xf numFmtId="0" fontId="149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49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49" fillId="46" borderId="0" applyNumberFormat="0" applyBorder="0" applyAlignment="0" applyProtection="0"/>
    <xf numFmtId="0" fontId="149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49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49" fillId="66" borderId="0" applyNumberFormat="0" applyBorder="0" applyAlignment="0" applyProtection="0"/>
    <xf numFmtId="0" fontId="17" fillId="66" borderId="0" applyNumberFormat="0" applyBorder="0" applyAlignment="0" applyProtection="0"/>
    <xf numFmtId="0" fontId="17" fillId="66" borderId="0" applyNumberFormat="0" applyBorder="0" applyAlignment="0" applyProtection="0"/>
    <xf numFmtId="0" fontId="149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49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49" fillId="46" borderId="0" applyNumberFormat="0" applyBorder="0" applyAlignment="0" applyProtection="0"/>
    <xf numFmtId="0" fontId="149" fillId="49" borderId="0" applyNumberFormat="0" applyBorder="0" applyAlignment="0" applyProtection="0"/>
    <xf numFmtId="0" fontId="150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51" fillId="42" borderId="20" applyNumberFormat="0" applyAlignment="0" applyProtection="0"/>
    <xf numFmtId="0" fontId="21" fillId="42" borderId="20" applyNumberFormat="0" applyAlignment="0" applyProtection="0"/>
    <xf numFmtId="0" fontId="21" fillId="42" borderId="20" applyNumberFormat="0" applyAlignment="0" applyProtection="0"/>
    <xf numFmtId="0" fontId="152" fillId="51" borderId="21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3" fillId="0" borderId="0"/>
    <xf numFmtId="44" fontId="45" fillId="0" borderId="0" applyFont="0" applyFill="0" applyBorder="0" applyAlignment="0" applyProtection="0"/>
    <xf numFmtId="44" fontId="147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154" fillId="0" borderId="0" applyNumberFormat="0" applyFill="0" applyBorder="0" applyAlignment="0" applyProtection="0"/>
    <xf numFmtId="0" fontId="153" fillId="0" borderId="0"/>
    <xf numFmtId="0" fontId="155" fillId="52" borderId="0" applyNumberFormat="0" applyBorder="0" applyAlignment="0" applyProtection="0"/>
    <xf numFmtId="0" fontId="156" fillId="0" borderId="38" applyNumberFormat="0" applyFill="0" applyAlignment="0" applyProtection="0"/>
    <xf numFmtId="0" fontId="111" fillId="0" borderId="38" applyNumberFormat="0" applyFill="0" applyAlignment="0" applyProtection="0"/>
    <xf numFmtId="0" fontId="111" fillId="0" borderId="38" applyNumberFormat="0" applyFill="0" applyAlignment="0" applyProtection="0"/>
    <xf numFmtId="0" fontId="157" fillId="0" borderId="23" applyNumberFormat="0" applyFill="0" applyAlignment="0" applyProtection="0"/>
    <xf numFmtId="0" fontId="112" fillId="0" borderId="23" applyNumberFormat="0" applyFill="0" applyAlignment="0" applyProtection="0"/>
    <xf numFmtId="0" fontId="112" fillId="0" borderId="23" applyNumberFormat="0" applyFill="0" applyAlignment="0" applyProtection="0"/>
    <xf numFmtId="0" fontId="158" fillId="0" borderId="39" applyNumberFormat="0" applyFill="0" applyAlignment="0" applyProtection="0"/>
    <xf numFmtId="0" fontId="113" fillId="0" borderId="39" applyNumberFormat="0" applyFill="0" applyAlignment="0" applyProtection="0"/>
    <xf numFmtId="0" fontId="113" fillId="0" borderId="39" applyNumberFormat="0" applyFill="0" applyAlignment="0" applyProtection="0"/>
    <xf numFmtId="0" fontId="158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59" fillId="39" borderId="20" applyNumberFormat="0" applyAlignment="0" applyProtection="0"/>
    <xf numFmtId="0" fontId="160" fillId="0" borderId="25" applyNumberFormat="0" applyFill="0" applyAlignment="0" applyProtection="0"/>
    <xf numFmtId="0" fontId="161" fillId="44" borderId="0" applyNumberFormat="0" applyBorder="0" applyAlignment="0" applyProtection="0"/>
    <xf numFmtId="0" fontId="108" fillId="0" borderId="0"/>
    <xf numFmtId="0" fontId="10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53" fillId="0" borderId="0"/>
    <xf numFmtId="0" fontId="45" fillId="0" borderId="0"/>
    <xf numFmtId="0" fontId="45" fillId="0" borderId="0"/>
    <xf numFmtId="0" fontId="1" fillId="0" borderId="0"/>
    <xf numFmtId="0" fontId="4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" fillId="0" borderId="0">
      <alignment wrapText="1"/>
    </xf>
    <xf numFmtId="0" fontId="163" fillId="0" borderId="0"/>
    <xf numFmtId="0" fontId="162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49" fontId="16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>
      <alignment wrapText="1"/>
    </xf>
    <xf numFmtId="0" fontId="165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1" fillId="0" borderId="0"/>
    <xf numFmtId="0" fontId="45" fillId="0" borderId="0"/>
    <xf numFmtId="0" fontId="165" fillId="0" borderId="0"/>
    <xf numFmtId="0" fontId="45" fillId="0" borderId="0"/>
    <xf numFmtId="0" fontId="45" fillId="0" borderId="0"/>
    <xf numFmtId="0" fontId="147" fillId="0" borderId="0"/>
    <xf numFmtId="0" fontId="147" fillId="0" borderId="0"/>
    <xf numFmtId="0" fontId="45" fillId="0" borderId="0"/>
    <xf numFmtId="0" fontId="1" fillId="0" borderId="0"/>
    <xf numFmtId="0" fontId="147" fillId="0" borderId="0"/>
    <xf numFmtId="0" fontId="45" fillId="0" borderId="0"/>
    <xf numFmtId="0" fontId="1" fillId="0" borderId="0"/>
    <xf numFmtId="0" fontId="108" fillId="40" borderId="26" applyNumberFormat="0" applyFont="0" applyAlignment="0" applyProtection="0"/>
    <xf numFmtId="0" fontId="148" fillId="40" borderId="26" applyNumberFormat="0" applyFont="0" applyAlignment="0" applyProtection="0"/>
    <xf numFmtId="0" fontId="147" fillId="40" borderId="26" applyNumberFormat="0" applyFont="0" applyAlignment="0" applyProtection="0"/>
    <xf numFmtId="0" fontId="45" fillId="8" borderId="8" applyNumberFormat="0" applyFont="0" applyAlignment="0" applyProtection="0"/>
    <xf numFmtId="0" fontId="166" fillId="42" borderId="27" applyNumberFormat="0" applyAlignment="0" applyProtection="0"/>
    <xf numFmtId="0" fontId="39" fillId="42" borderId="27" applyNumberFormat="0" applyAlignment="0" applyProtection="0"/>
    <xf numFmtId="0" fontId="39" fillId="42" borderId="27" applyNumberFormat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67" fillId="0" borderId="40" applyNumberFormat="0" applyFill="0" applyAlignment="0" applyProtection="0"/>
    <xf numFmtId="0" fontId="117" fillId="0" borderId="40" applyNumberFormat="0" applyFill="0" applyAlignment="0" applyProtection="0"/>
    <xf numFmtId="0" fontId="117" fillId="0" borderId="40" applyNumberFormat="0" applyFill="0" applyAlignment="0" applyProtection="0"/>
    <xf numFmtId="0" fontId="16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147" fillId="40" borderId="26" applyNumberFormat="0" applyFont="0" applyAlignment="0" applyProtection="0"/>
    <xf numFmtId="0" fontId="108" fillId="40" borderId="26" applyNumberFormat="0" applyFont="0" applyAlignment="0" applyProtection="0"/>
    <xf numFmtId="0" fontId="21" fillId="42" borderId="20" applyNumberFormat="0" applyAlignment="0" applyProtection="0"/>
    <xf numFmtId="0" fontId="151" fillId="42" borderId="20" applyNumberFormat="0" applyAlignment="0" applyProtection="0"/>
    <xf numFmtId="0" fontId="21" fillId="42" borderId="20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9" fillId="42" borderId="27" applyNumberFormat="0" applyAlignment="0" applyProtection="0"/>
    <xf numFmtId="0" fontId="166" fillId="42" borderId="27" applyNumberFormat="0" applyAlignment="0" applyProtection="0"/>
    <xf numFmtId="0" fontId="39" fillId="42" borderId="27" applyNumberFormat="0" applyAlignment="0" applyProtection="0"/>
    <xf numFmtId="0" fontId="39" fillId="42" borderId="27" applyNumberFormat="0" applyAlignment="0" applyProtection="0"/>
    <xf numFmtId="0" fontId="45" fillId="0" borderId="0"/>
    <xf numFmtId="0" fontId="45" fillId="0" borderId="0"/>
    <xf numFmtId="0" fontId="45" fillId="0" borderId="0"/>
    <xf numFmtId="0" fontId="117" fillId="0" borderId="40" applyNumberFormat="0" applyFill="0" applyAlignment="0" applyProtection="0"/>
    <xf numFmtId="0" fontId="167" fillId="0" borderId="40" applyNumberFormat="0" applyFill="0" applyAlignment="0" applyProtection="0"/>
    <xf numFmtId="0" fontId="117" fillId="0" borderId="40" applyNumberFormat="0" applyFill="0" applyAlignment="0" applyProtection="0"/>
    <xf numFmtId="0" fontId="117" fillId="0" borderId="40" applyNumberFormat="0" applyFill="0" applyAlignment="0" applyProtection="0"/>
    <xf numFmtId="0" fontId="159" fillId="39" borderId="20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1" fillId="42" borderId="20" applyNumberFormat="0" applyAlignment="0" applyProtection="0"/>
    <xf numFmtId="0" fontId="148" fillId="40" borderId="26" applyNumberFormat="0" applyFont="0" applyAlignment="0" applyProtection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21" fillId="42" borderId="20" applyNumberFormat="0" applyAlignment="0" applyProtection="0"/>
    <xf numFmtId="0" fontId="151" fillId="42" borderId="20" applyNumberFormat="0" applyAlignment="0" applyProtection="0"/>
    <xf numFmtId="0" fontId="21" fillId="42" borderId="20" applyNumberFormat="0" applyAlignment="0" applyProtection="0"/>
    <xf numFmtId="0" fontId="21" fillId="42" borderId="20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159" fillId="39" borderId="20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40" borderId="26" applyNumberFormat="0" applyFont="0" applyAlignment="0" applyProtection="0"/>
    <xf numFmtId="0" fontId="148" fillId="40" borderId="26" applyNumberFormat="0" applyFont="0" applyAlignment="0" applyProtection="0"/>
    <xf numFmtId="0" fontId="147" fillId="40" borderId="26" applyNumberFormat="0" applyFont="0" applyAlignment="0" applyProtection="0"/>
    <xf numFmtId="0" fontId="45" fillId="8" borderId="8" applyNumberFormat="0" applyFont="0" applyAlignment="0" applyProtection="0"/>
    <xf numFmtId="0" fontId="39" fillId="42" borderId="27" applyNumberFormat="0" applyAlignment="0" applyProtection="0"/>
    <xf numFmtId="0" fontId="166" fillId="42" borderId="27" applyNumberFormat="0" applyAlignment="0" applyProtection="0"/>
    <xf numFmtId="0" fontId="39" fillId="42" borderId="27" applyNumberFormat="0" applyAlignment="0" applyProtection="0"/>
    <xf numFmtId="0" fontId="39" fillId="42" borderId="27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17" fillId="0" borderId="40" applyNumberFormat="0" applyFill="0" applyAlignment="0" applyProtection="0"/>
    <xf numFmtId="0" fontId="167" fillId="0" borderId="40" applyNumberFormat="0" applyFill="0" applyAlignment="0" applyProtection="0"/>
    <xf numFmtId="0" fontId="117" fillId="0" borderId="40" applyNumberFormat="0" applyFill="0" applyAlignment="0" applyProtection="0"/>
    <xf numFmtId="0" fontId="117" fillId="0" borderId="40" applyNumberFormat="0" applyFill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147" fillId="40" borderId="26" applyNumberFormat="0" applyFont="0" applyAlignment="0" applyProtection="0"/>
    <xf numFmtId="0" fontId="108" fillId="40" borderId="26" applyNumberFormat="0" applyFont="0" applyAlignment="0" applyProtection="0"/>
    <xf numFmtId="0" fontId="33" fillId="39" borderId="20" applyNumberFormat="0" applyAlignment="0" applyProtection="0"/>
    <xf numFmtId="0" fontId="33" fillId="39" borderId="20" applyNumberFormat="0" applyAlignment="0" applyProtection="0"/>
    <xf numFmtId="0" fontId="21" fillId="42" borderId="20" applyNumberFormat="0" applyAlignment="0" applyProtection="0"/>
    <xf numFmtId="0" fontId="151" fillId="42" borderId="20" applyNumberFormat="0" applyAlignment="0" applyProtection="0"/>
    <xf numFmtId="0" fontId="21" fillId="42" borderId="20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9" fillId="42" borderId="27" applyNumberFormat="0" applyAlignment="0" applyProtection="0"/>
    <xf numFmtId="0" fontId="166" fillId="42" borderId="27" applyNumberFormat="0" applyAlignment="0" applyProtection="0"/>
    <xf numFmtId="0" fontId="39" fillId="42" borderId="27" applyNumberFormat="0" applyAlignment="0" applyProtection="0"/>
    <xf numFmtId="0" fontId="39" fillId="42" borderId="27" applyNumberFormat="0" applyAlignment="0" applyProtection="0"/>
    <xf numFmtId="0" fontId="45" fillId="0" borderId="0"/>
    <xf numFmtId="0" fontId="45" fillId="0" borderId="0"/>
    <xf numFmtId="0" fontId="45" fillId="0" borderId="0"/>
    <xf numFmtId="0" fontId="117" fillId="0" borderId="40" applyNumberFormat="0" applyFill="0" applyAlignment="0" applyProtection="0"/>
    <xf numFmtId="0" fontId="167" fillId="0" borderId="40" applyNumberFormat="0" applyFill="0" applyAlignment="0" applyProtection="0"/>
    <xf numFmtId="0" fontId="117" fillId="0" borderId="40" applyNumberFormat="0" applyFill="0" applyAlignment="0" applyProtection="0"/>
    <xf numFmtId="0" fontId="117" fillId="0" borderId="40" applyNumberFormat="0" applyFill="0" applyAlignment="0" applyProtection="0"/>
    <xf numFmtId="0" fontId="33" fillId="39" borderId="20" applyNumberFormat="0" applyAlignment="0" applyProtection="0"/>
    <xf numFmtId="0" fontId="159" fillId="39" borderId="20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1" fillId="42" borderId="20" applyNumberFormat="0" applyAlignment="0" applyProtection="0"/>
    <xf numFmtId="0" fontId="148" fillId="40" borderId="26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21" fillId="42" borderId="20" applyNumberFormat="0" applyAlignment="0" applyProtection="0"/>
    <xf numFmtId="0" fontId="151" fillId="42" borderId="20" applyNumberFormat="0" applyAlignment="0" applyProtection="0"/>
    <xf numFmtId="0" fontId="21" fillId="42" borderId="20" applyNumberFormat="0" applyAlignment="0" applyProtection="0"/>
    <xf numFmtId="0" fontId="21" fillId="42" borderId="20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159" fillId="39" borderId="20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40" borderId="26" applyNumberFormat="0" applyFont="0" applyAlignment="0" applyProtection="0"/>
    <xf numFmtId="0" fontId="148" fillId="40" borderId="26" applyNumberFormat="0" applyFont="0" applyAlignment="0" applyProtection="0"/>
    <xf numFmtId="0" fontId="147" fillId="40" borderId="26" applyNumberFormat="0" applyFont="0" applyAlignment="0" applyProtection="0"/>
    <xf numFmtId="0" fontId="45" fillId="8" borderId="8" applyNumberFormat="0" applyFont="0" applyAlignment="0" applyProtection="0"/>
    <xf numFmtId="0" fontId="39" fillId="42" borderId="27" applyNumberFormat="0" applyAlignment="0" applyProtection="0"/>
    <xf numFmtId="0" fontId="166" fillId="42" borderId="27" applyNumberFormat="0" applyAlignment="0" applyProtection="0"/>
    <xf numFmtId="0" fontId="39" fillId="42" borderId="27" applyNumberFormat="0" applyAlignment="0" applyProtection="0"/>
    <xf numFmtId="0" fontId="39" fillId="42" borderId="27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17" fillId="0" borderId="40" applyNumberFormat="0" applyFill="0" applyAlignment="0" applyProtection="0"/>
    <xf numFmtId="0" fontId="167" fillId="0" borderId="40" applyNumberFormat="0" applyFill="0" applyAlignment="0" applyProtection="0"/>
    <xf numFmtId="0" fontId="117" fillId="0" borderId="40" applyNumberFormat="0" applyFill="0" applyAlignment="0" applyProtection="0"/>
    <xf numFmtId="0" fontId="117" fillId="0" borderId="40" applyNumberFormat="0" applyFill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147" fillId="40" borderId="26" applyNumberFormat="0" applyFont="0" applyAlignment="0" applyProtection="0"/>
    <xf numFmtId="0" fontId="108" fillId="40" borderId="26" applyNumberFormat="0" applyFont="0" applyAlignment="0" applyProtection="0"/>
    <xf numFmtId="0" fontId="33" fillId="39" borderId="20" applyNumberFormat="0" applyAlignment="0" applyProtection="0"/>
    <xf numFmtId="0" fontId="33" fillId="39" borderId="20" applyNumberFormat="0" applyAlignment="0" applyProtection="0"/>
    <xf numFmtId="0" fontId="21" fillId="42" borderId="20" applyNumberFormat="0" applyAlignment="0" applyProtection="0"/>
    <xf numFmtId="0" fontId="151" fillId="42" borderId="20" applyNumberFormat="0" applyAlignment="0" applyProtection="0"/>
    <xf numFmtId="0" fontId="21" fillId="42" borderId="20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9" fillId="42" borderId="27" applyNumberFormat="0" applyAlignment="0" applyProtection="0"/>
    <xf numFmtId="0" fontId="166" fillId="42" borderId="27" applyNumberFormat="0" applyAlignment="0" applyProtection="0"/>
    <xf numFmtId="0" fontId="39" fillId="42" borderId="27" applyNumberFormat="0" applyAlignment="0" applyProtection="0"/>
    <xf numFmtId="0" fontId="39" fillId="42" borderId="27" applyNumberFormat="0" applyAlignment="0" applyProtection="0"/>
    <xf numFmtId="0" fontId="45" fillId="0" borderId="0"/>
    <xf numFmtId="0" fontId="45" fillId="0" borderId="0"/>
    <xf numFmtId="0" fontId="45" fillId="0" borderId="0"/>
    <xf numFmtId="0" fontId="117" fillId="0" borderId="40" applyNumberFormat="0" applyFill="0" applyAlignment="0" applyProtection="0"/>
    <xf numFmtId="0" fontId="167" fillId="0" borderId="40" applyNumberFormat="0" applyFill="0" applyAlignment="0" applyProtection="0"/>
    <xf numFmtId="0" fontId="117" fillId="0" borderId="40" applyNumberFormat="0" applyFill="0" applyAlignment="0" applyProtection="0"/>
    <xf numFmtId="0" fontId="117" fillId="0" borderId="40" applyNumberFormat="0" applyFill="0" applyAlignment="0" applyProtection="0"/>
    <xf numFmtId="0" fontId="33" fillId="39" borderId="20" applyNumberFormat="0" applyAlignment="0" applyProtection="0"/>
    <xf numFmtId="0" fontId="159" fillId="39" borderId="20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1" fillId="42" borderId="20" applyNumberFormat="0" applyAlignment="0" applyProtection="0"/>
    <xf numFmtId="0" fontId="148" fillId="40" borderId="26" applyNumberFormat="0" applyFont="0" applyAlignment="0" applyProtection="0"/>
    <xf numFmtId="0" fontId="1" fillId="40" borderId="26" applyNumberFormat="0" applyFont="0" applyAlignment="0" applyProtection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21" fillId="42" borderId="20" applyNumberFormat="0" applyAlignment="0" applyProtection="0"/>
    <xf numFmtId="0" fontId="151" fillId="42" borderId="20" applyNumberFormat="0" applyAlignment="0" applyProtection="0"/>
    <xf numFmtId="0" fontId="21" fillId="42" borderId="20" applyNumberFormat="0" applyAlignment="0" applyProtection="0"/>
    <xf numFmtId="0" fontId="21" fillId="42" borderId="20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3" fillId="39" borderId="20" applyNumberFormat="0" applyAlignment="0" applyProtection="0"/>
    <xf numFmtId="0" fontId="159" fillId="39" borderId="20" applyNumberFormat="0" applyAlignment="0" applyProtection="0"/>
    <xf numFmtId="0" fontId="33" fillId="39" borderId="20" applyNumberFormat="0" applyAlignment="0" applyProtection="0"/>
    <xf numFmtId="0" fontId="33" fillId="39" borderId="20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40" borderId="26" applyNumberFormat="0" applyFont="0" applyAlignment="0" applyProtection="0"/>
    <xf numFmtId="0" fontId="148" fillId="40" borderId="26" applyNumberFormat="0" applyFont="0" applyAlignment="0" applyProtection="0"/>
    <xf numFmtId="0" fontId="147" fillId="40" borderId="26" applyNumberFormat="0" applyFont="0" applyAlignment="0" applyProtection="0"/>
    <xf numFmtId="0" fontId="45" fillId="8" borderId="8" applyNumberFormat="0" applyFont="0" applyAlignment="0" applyProtection="0"/>
    <xf numFmtId="0" fontId="39" fillId="42" borderId="27" applyNumberFormat="0" applyAlignment="0" applyProtection="0"/>
    <xf numFmtId="0" fontId="166" fillId="42" borderId="27" applyNumberFormat="0" applyAlignment="0" applyProtection="0"/>
    <xf numFmtId="0" fontId="39" fillId="42" borderId="27" applyNumberFormat="0" applyAlignment="0" applyProtection="0"/>
    <xf numFmtId="0" fontId="39" fillId="42" borderId="27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17" fillId="0" borderId="40" applyNumberFormat="0" applyFill="0" applyAlignment="0" applyProtection="0"/>
    <xf numFmtId="0" fontId="167" fillId="0" borderId="40" applyNumberFormat="0" applyFill="0" applyAlignment="0" applyProtection="0"/>
    <xf numFmtId="0" fontId="117" fillId="0" borderId="40" applyNumberFormat="0" applyFill="0" applyAlignment="0" applyProtection="0"/>
    <xf numFmtId="0" fontId="117" fillId="0" borderId="40" applyNumberFormat="0" applyFill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147" fillId="40" borderId="26" applyNumberFormat="0" applyFont="0" applyAlignment="0" applyProtection="0"/>
    <xf numFmtId="0" fontId="108" fillId="40" borderId="26" applyNumberFormat="0" applyFont="0" applyAlignment="0" applyProtection="0"/>
    <xf numFmtId="0" fontId="33" fillId="39" borderId="20" applyNumberFormat="0" applyAlignment="0" applyProtection="0"/>
    <xf numFmtId="0" fontId="33" fillId="39" borderId="20" applyNumberFormat="0" applyAlignment="0" applyProtection="0"/>
    <xf numFmtId="0" fontId="21" fillId="42" borderId="20" applyNumberFormat="0" applyAlignment="0" applyProtection="0"/>
    <xf numFmtId="0" fontId="151" fillId="42" borderId="20" applyNumberFormat="0" applyAlignment="0" applyProtection="0"/>
    <xf numFmtId="0" fontId="21" fillId="42" borderId="20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9" fillId="42" borderId="27" applyNumberFormat="0" applyAlignment="0" applyProtection="0"/>
    <xf numFmtId="0" fontId="166" fillId="42" borderId="27" applyNumberFormat="0" applyAlignment="0" applyProtection="0"/>
    <xf numFmtId="0" fontId="39" fillId="42" borderId="27" applyNumberFormat="0" applyAlignment="0" applyProtection="0"/>
    <xf numFmtId="0" fontId="39" fillId="42" borderId="27" applyNumberFormat="0" applyAlignment="0" applyProtection="0"/>
    <xf numFmtId="0" fontId="45" fillId="0" borderId="0"/>
    <xf numFmtId="0" fontId="45" fillId="0" borderId="0"/>
    <xf numFmtId="0" fontId="45" fillId="0" borderId="0"/>
    <xf numFmtId="0" fontId="117" fillId="0" borderId="40" applyNumberFormat="0" applyFill="0" applyAlignment="0" applyProtection="0"/>
    <xf numFmtId="0" fontId="167" fillId="0" borderId="40" applyNumberFormat="0" applyFill="0" applyAlignment="0" applyProtection="0"/>
    <xf numFmtId="0" fontId="117" fillId="0" borderId="40" applyNumberFormat="0" applyFill="0" applyAlignment="0" applyProtection="0"/>
    <xf numFmtId="0" fontId="117" fillId="0" borderId="40" applyNumberFormat="0" applyFill="0" applyAlignment="0" applyProtection="0"/>
    <xf numFmtId="0" fontId="33" fillId="39" borderId="20" applyNumberFormat="0" applyAlignment="0" applyProtection="0"/>
    <xf numFmtId="0" fontId="159" fillId="39" borderId="20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1" fillId="42" borderId="20" applyNumberFormat="0" applyAlignment="0" applyProtection="0"/>
    <xf numFmtId="0" fontId="148" fillId="40" borderId="26" applyNumberFormat="0" applyFont="0" applyAlignment="0" applyProtection="0"/>
    <xf numFmtId="0" fontId="45" fillId="0" borderId="0"/>
    <xf numFmtId="0" fontId="147" fillId="40" borderId="26" applyNumberFormat="0" applyFont="0" applyAlignment="0" applyProtection="0"/>
    <xf numFmtId="0" fontId="108" fillId="40" borderId="26" applyNumberFormat="0" applyFont="0" applyAlignment="0" applyProtection="0"/>
    <xf numFmtId="0" fontId="33" fillId="39" borderId="20" applyNumberFormat="0" applyAlignment="0" applyProtection="0"/>
    <xf numFmtId="0" fontId="33" fillId="39" borderId="20" applyNumberFormat="0" applyAlignment="0" applyProtection="0"/>
    <xf numFmtId="0" fontId="21" fillId="42" borderId="20" applyNumberFormat="0" applyAlignment="0" applyProtection="0"/>
    <xf numFmtId="0" fontId="151" fillId="42" borderId="20" applyNumberFormat="0" applyAlignment="0" applyProtection="0"/>
    <xf numFmtId="0" fontId="21" fillId="42" borderId="20" applyNumberFormat="0" applyAlignment="0" applyProtection="0"/>
    <xf numFmtId="0" fontId="39" fillId="42" borderId="27" applyNumberFormat="0" applyAlignment="0" applyProtection="0"/>
    <xf numFmtId="0" fontId="166" fillId="42" borderId="27" applyNumberFormat="0" applyAlignment="0" applyProtection="0"/>
    <xf numFmtId="0" fontId="39" fillId="42" borderId="27" applyNumberFormat="0" applyAlignment="0" applyProtection="0"/>
    <xf numFmtId="0" fontId="39" fillId="42" borderId="27" applyNumberFormat="0" applyAlignment="0" applyProtection="0"/>
    <xf numFmtId="0" fontId="117" fillId="0" borderId="40" applyNumberFormat="0" applyFill="0" applyAlignment="0" applyProtection="0"/>
    <xf numFmtId="0" fontId="167" fillId="0" borderId="40" applyNumberFormat="0" applyFill="0" applyAlignment="0" applyProtection="0"/>
    <xf numFmtId="0" fontId="117" fillId="0" borderId="40" applyNumberFormat="0" applyFill="0" applyAlignment="0" applyProtection="0"/>
    <xf numFmtId="0" fontId="117" fillId="0" borderId="40" applyNumberFormat="0" applyFill="0" applyAlignment="0" applyProtection="0"/>
    <xf numFmtId="0" fontId="33" fillId="39" borderId="20" applyNumberFormat="0" applyAlignment="0" applyProtection="0"/>
    <xf numFmtId="0" fontId="159" fillId="39" borderId="20" applyNumberFormat="0" applyAlignment="0" applyProtection="0"/>
    <xf numFmtId="0" fontId="21" fillId="42" borderId="20" applyNumberFormat="0" applyAlignment="0" applyProtection="0"/>
    <xf numFmtId="0" fontId="148" fillId="40" borderId="26" applyNumberFormat="0" applyFont="0" applyAlignment="0" applyProtection="0"/>
    <xf numFmtId="0" fontId="21" fillId="42" borderId="20" applyNumberFormat="0" applyAlignment="0" applyProtection="0"/>
    <xf numFmtId="0" fontId="151" fillId="42" borderId="20" applyNumberFormat="0" applyAlignment="0" applyProtection="0"/>
    <xf numFmtId="0" fontId="21" fillId="42" borderId="20" applyNumberFormat="0" applyAlignment="0" applyProtection="0"/>
    <xf numFmtId="0" fontId="21" fillId="42" borderId="20" applyNumberFormat="0" applyAlignment="0" applyProtection="0"/>
    <xf numFmtId="0" fontId="33" fillId="39" borderId="20" applyNumberFormat="0" applyAlignment="0" applyProtection="0"/>
    <xf numFmtId="0" fontId="159" fillId="39" borderId="20" applyNumberFormat="0" applyAlignment="0" applyProtection="0"/>
    <xf numFmtId="0" fontId="33" fillId="39" borderId="20" applyNumberFormat="0" applyAlignment="0" applyProtection="0"/>
    <xf numFmtId="0" fontId="33" fillId="39" borderId="20" applyNumberFormat="0" applyAlignment="0" applyProtection="0"/>
    <xf numFmtId="0" fontId="108" fillId="40" borderId="26" applyNumberFormat="0" applyFont="0" applyAlignment="0" applyProtection="0"/>
    <xf numFmtId="0" fontId="148" fillId="40" borderId="26" applyNumberFormat="0" applyFont="0" applyAlignment="0" applyProtection="0"/>
    <xf numFmtId="0" fontId="147" fillId="40" borderId="26" applyNumberFormat="0" applyFont="0" applyAlignment="0" applyProtection="0"/>
    <xf numFmtId="0" fontId="1" fillId="40" borderId="26" applyNumberFormat="0" applyFont="0" applyAlignment="0" applyProtection="0"/>
    <xf numFmtId="0" fontId="39" fillId="42" borderId="27" applyNumberFormat="0" applyAlignment="0" applyProtection="0"/>
    <xf numFmtId="0" fontId="166" fillId="42" borderId="27" applyNumberFormat="0" applyAlignment="0" applyProtection="0"/>
    <xf numFmtId="0" fontId="39" fillId="42" borderId="27" applyNumberFormat="0" applyAlignment="0" applyProtection="0"/>
    <xf numFmtId="0" fontId="39" fillId="42" borderId="27" applyNumberFormat="0" applyAlignment="0" applyProtection="0"/>
    <xf numFmtId="0" fontId="117" fillId="0" borderId="40" applyNumberFormat="0" applyFill="0" applyAlignment="0" applyProtection="0"/>
    <xf numFmtId="0" fontId="167" fillId="0" borderId="40" applyNumberFormat="0" applyFill="0" applyAlignment="0" applyProtection="0"/>
    <xf numFmtId="0" fontId="117" fillId="0" borderId="40" applyNumberFormat="0" applyFill="0" applyAlignment="0" applyProtection="0"/>
    <xf numFmtId="0" fontId="117" fillId="0" borderId="40" applyNumberFormat="0" applyFill="0" applyAlignment="0" applyProtection="0"/>
    <xf numFmtId="0" fontId="147" fillId="40" borderId="26" applyNumberFormat="0" applyFont="0" applyAlignment="0" applyProtection="0"/>
    <xf numFmtId="0" fontId="108" fillId="40" borderId="26" applyNumberFormat="0" applyFont="0" applyAlignment="0" applyProtection="0"/>
    <xf numFmtId="0" fontId="33" fillId="39" borderId="20" applyNumberFormat="0" applyAlignment="0" applyProtection="0"/>
    <xf numFmtId="0" fontId="33" fillId="39" borderId="20" applyNumberFormat="0" applyAlignment="0" applyProtection="0"/>
    <xf numFmtId="0" fontId="21" fillId="42" borderId="20" applyNumberFormat="0" applyAlignment="0" applyProtection="0"/>
    <xf numFmtId="0" fontId="151" fillId="42" borderId="20" applyNumberFormat="0" applyAlignment="0" applyProtection="0"/>
    <xf numFmtId="0" fontId="21" fillId="42" borderId="20" applyNumberFormat="0" applyAlignment="0" applyProtection="0"/>
    <xf numFmtId="0" fontId="39" fillId="42" borderId="27" applyNumberFormat="0" applyAlignment="0" applyProtection="0"/>
    <xf numFmtId="0" fontId="166" fillId="42" borderId="27" applyNumberFormat="0" applyAlignment="0" applyProtection="0"/>
    <xf numFmtId="0" fontId="39" fillId="42" borderId="27" applyNumberFormat="0" applyAlignment="0" applyProtection="0"/>
    <xf numFmtId="0" fontId="39" fillId="42" borderId="27" applyNumberFormat="0" applyAlignment="0" applyProtection="0"/>
    <xf numFmtId="0" fontId="117" fillId="0" borderId="40" applyNumberFormat="0" applyFill="0" applyAlignment="0" applyProtection="0"/>
    <xf numFmtId="0" fontId="167" fillId="0" borderId="40" applyNumberFormat="0" applyFill="0" applyAlignment="0" applyProtection="0"/>
    <xf numFmtId="0" fontId="117" fillId="0" borderId="40" applyNumberFormat="0" applyFill="0" applyAlignment="0" applyProtection="0"/>
    <xf numFmtId="0" fontId="117" fillId="0" borderId="40" applyNumberFormat="0" applyFill="0" applyAlignment="0" applyProtection="0"/>
    <xf numFmtId="0" fontId="33" fillId="39" borderId="20" applyNumberFormat="0" applyAlignment="0" applyProtection="0"/>
    <xf numFmtId="0" fontId="159" fillId="39" borderId="20" applyNumberFormat="0" applyAlignment="0" applyProtection="0"/>
    <xf numFmtId="0" fontId="21" fillId="42" borderId="20" applyNumberFormat="0" applyAlignment="0" applyProtection="0"/>
    <xf numFmtId="0" fontId="148" fillId="40" borderId="26" applyNumberFormat="0" applyFont="0" applyAlignment="0" applyProtection="0"/>
    <xf numFmtId="0" fontId="1" fillId="40" borderId="26" applyNumberFormat="0" applyFont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21" fillId="42" borderId="43" applyNumberFormat="0" applyAlignment="0" applyProtection="0"/>
    <xf numFmtId="0" fontId="151" fillId="42" borderId="43" applyNumberFormat="0" applyAlignment="0" applyProtection="0"/>
    <xf numFmtId="0" fontId="21" fillId="42" borderId="43" applyNumberFormat="0" applyAlignment="0" applyProtection="0"/>
    <xf numFmtId="0" fontId="21" fillId="42" borderId="43" applyNumberFormat="0" applyAlignment="0" applyProtection="0"/>
    <xf numFmtId="0" fontId="33" fillId="39" borderId="43" applyNumberFormat="0" applyAlignment="0" applyProtection="0"/>
    <xf numFmtId="0" fontId="159" fillId="39" borderId="43" applyNumberFormat="0" applyAlignment="0" applyProtection="0"/>
    <xf numFmtId="0" fontId="33" fillId="39" borderId="43" applyNumberFormat="0" applyAlignment="0" applyProtection="0"/>
    <xf numFmtId="0" fontId="33" fillId="39" borderId="43" applyNumberFormat="0" applyAlignment="0" applyProtection="0"/>
    <xf numFmtId="0" fontId="108" fillId="40" borderId="42" applyNumberFormat="0" applyFont="0" applyAlignment="0" applyProtection="0"/>
    <xf numFmtId="0" fontId="148" fillId="40" borderId="42" applyNumberFormat="0" applyFont="0" applyAlignment="0" applyProtection="0"/>
    <xf numFmtId="0" fontId="147" fillId="40" borderId="42" applyNumberFormat="0" applyFont="0" applyAlignment="0" applyProtection="0"/>
    <xf numFmtId="0" fontId="1" fillId="40" borderId="42" applyNumberFormat="0" applyFont="0" applyAlignment="0" applyProtection="0"/>
    <xf numFmtId="0" fontId="39" fillId="42" borderId="44" applyNumberFormat="0" applyAlignment="0" applyProtection="0"/>
    <xf numFmtId="0" fontId="166" fillId="42" borderId="44" applyNumberFormat="0" applyAlignment="0" applyProtection="0"/>
    <xf numFmtId="0" fontId="39" fillId="42" borderId="44" applyNumberFormat="0" applyAlignment="0" applyProtection="0"/>
    <xf numFmtId="0" fontId="39" fillId="42" borderId="44" applyNumberFormat="0" applyAlignment="0" applyProtection="0"/>
    <xf numFmtId="0" fontId="117" fillId="0" borderId="45" applyNumberFormat="0" applyFill="0" applyAlignment="0" applyProtection="0"/>
    <xf numFmtId="0" fontId="167" fillId="0" borderId="45" applyNumberFormat="0" applyFill="0" applyAlignment="0" applyProtection="0"/>
    <xf numFmtId="0" fontId="117" fillId="0" borderId="45" applyNumberFormat="0" applyFill="0" applyAlignment="0" applyProtection="0"/>
    <xf numFmtId="0" fontId="117" fillId="0" borderId="45" applyNumberFormat="0" applyFill="0" applyAlignment="0" applyProtection="0"/>
    <xf numFmtId="44" fontId="1" fillId="0" borderId="0" applyFont="0" applyFill="0" applyBorder="0" applyAlignment="0" applyProtection="0"/>
    <xf numFmtId="0" fontId="147" fillId="40" borderId="42" applyNumberFormat="0" applyFont="0" applyAlignment="0" applyProtection="0"/>
    <xf numFmtId="0" fontId="108" fillId="40" borderId="42" applyNumberFormat="0" applyFont="0" applyAlignment="0" applyProtection="0"/>
    <xf numFmtId="0" fontId="33" fillId="39" borderId="43" applyNumberFormat="0" applyAlignment="0" applyProtection="0"/>
    <xf numFmtId="0" fontId="33" fillId="39" borderId="43" applyNumberFormat="0" applyAlignment="0" applyProtection="0"/>
    <xf numFmtId="0" fontId="21" fillId="42" borderId="43" applyNumberFormat="0" applyAlignment="0" applyProtection="0"/>
    <xf numFmtId="0" fontId="151" fillId="42" borderId="43" applyNumberFormat="0" applyAlignment="0" applyProtection="0"/>
    <xf numFmtId="0" fontId="21" fillId="42" borderId="43" applyNumberFormat="0" applyAlignment="0" applyProtection="0"/>
    <xf numFmtId="0" fontId="39" fillId="42" borderId="44" applyNumberFormat="0" applyAlignment="0" applyProtection="0"/>
    <xf numFmtId="0" fontId="166" fillId="42" borderId="44" applyNumberFormat="0" applyAlignment="0" applyProtection="0"/>
    <xf numFmtId="0" fontId="39" fillId="42" borderId="44" applyNumberFormat="0" applyAlignment="0" applyProtection="0"/>
    <xf numFmtId="0" fontId="39" fillId="42" borderId="44" applyNumberFormat="0" applyAlignment="0" applyProtection="0"/>
    <xf numFmtId="0" fontId="117" fillId="0" borderId="45" applyNumberFormat="0" applyFill="0" applyAlignment="0" applyProtection="0"/>
    <xf numFmtId="0" fontId="167" fillId="0" borderId="45" applyNumberFormat="0" applyFill="0" applyAlignment="0" applyProtection="0"/>
    <xf numFmtId="0" fontId="117" fillId="0" borderId="45" applyNumberFormat="0" applyFill="0" applyAlignment="0" applyProtection="0"/>
    <xf numFmtId="0" fontId="117" fillId="0" borderId="45" applyNumberFormat="0" applyFill="0" applyAlignment="0" applyProtection="0"/>
    <xf numFmtId="0" fontId="33" fillId="39" borderId="43" applyNumberFormat="0" applyAlignment="0" applyProtection="0"/>
    <xf numFmtId="0" fontId="159" fillId="39" borderId="43" applyNumberFormat="0" applyAlignment="0" applyProtection="0"/>
    <xf numFmtId="0" fontId="21" fillId="42" borderId="43" applyNumberFormat="0" applyAlignment="0" applyProtection="0"/>
    <xf numFmtId="0" fontId="148" fillId="40" borderId="42" applyNumberFormat="0" applyFont="0" applyAlignment="0" applyProtection="0"/>
    <xf numFmtId="0" fontId="1" fillId="40" borderId="42" applyNumberFormat="0" applyFont="0" applyAlignment="0" applyProtection="0"/>
    <xf numFmtId="0" fontId="21" fillId="42" borderId="43" applyNumberFormat="0" applyAlignment="0" applyProtection="0"/>
    <xf numFmtId="0" fontId="151" fillId="42" borderId="43" applyNumberFormat="0" applyAlignment="0" applyProtection="0"/>
    <xf numFmtId="0" fontId="21" fillId="42" borderId="43" applyNumberFormat="0" applyAlignment="0" applyProtection="0"/>
    <xf numFmtId="0" fontId="21" fillId="42" borderId="43" applyNumberFormat="0" applyAlignment="0" applyProtection="0"/>
    <xf numFmtId="0" fontId="33" fillId="39" borderId="43" applyNumberFormat="0" applyAlignment="0" applyProtection="0"/>
    <xf numFmtId="0" fontId="159" fillId="39" borderId="43" applyNumberFormat="0" applyAlignment="0" applyProtection="0"/>
    <xf numFmtId="0" fontId="33" fillId="39" borderId="43" applyNumberFormat="0" applyAlignment="0" applyProtection="0"/>
    <xf numFmtId="0" fontId="33" fillId="39" borderId="43" applyNumberFormat="0" applyAlignment="0" applyProtection="0"/>
    <xf numFmtId="0" fontId="108" fillId="40" borderId="42" applyNumberFormat="0" applyFont="0" applyAlignment="0" applyProtection="0"/>
    <xf numFmtId="0" fontId="148" fillId="40" borderId="42" applyNumberFormat="0" applyFont="0" applyAlignment="0" applyProtection="0"/>
    <xf numFmtId="0" fontId="147" fillId="40" borderId="42" applyNumberFormat="0" applyFont="0" applyAlignment="0" applyProtection="0"/>
    <xf numFmtId="0" fontId="1" fillId="40" borderId="42" applyNumberFormat="0" applyFont="0" applyAlignment="0" applyProtection="0"/>
    <xf numFmtId="0" fontId="39" fillId="42" borderId="44" applyNumberFormat="0" applyAlignment="0" applyProtection="0"/>
    <xf numFmtId="0" fontId="166" fillId="42" borderId="44" applyNumberFormat="0" applyAlignment="0" applyProtection="0"/>
    <xf numFmtId="0" fontId="39" fillId="42" borderId="44" applyNumberFormat="0" applyAlignment="0" applyProtection="0"/>
    <xf numFmtId="0" fontId="39" fillId="42" borderId="44" applyNumberFormat="0" applyAlignment="0" applyProtection="0"/>
    <xf numFmtId="0" fontId="117" fillId="0" borderId="45" applyNumberFormat="0" applyFill="0" applyAlignment="0" applyProtection="0"/>
    <xf numFmtId="0" fontId="167" fillId="0" borderId="45" applyNumberFormat="0" applyFill="0" applyAlignment="0" applyProtection="0"/>
    <xf numFmtId="0" fontId="117" fillId="0" borderId="45" applyNumberFormat="0" applyFill="0" applyAlignment="0" applyProtection="0"/>
    <xf numFmtId="0" fontId="117" fillId="0" borderId="45" applyNumberFormat="0" applyFill="0" applyAlignment="0" applyProtection="0"/>
    <xf numFmtId="0" fontId="147" fillId="40" borderId="42" applyNumberFormat="0" applyFont="0" applyAlignment="0" applyProtection="0"/>
    <xf numFmtId="0" fontId="108" fillId="40" borderId="42" applyNumberFormat="0" applyFont="0" applyAlignment="0" applyProtection="0"/>
    <xf numFmtId="0" fontId="33" fillId="39" borderId="43" applyNumberFormat="0" applyAlignment="0" applyProtection="0"/>
    <xf numFmtId="0" fontId="33" fillId="39" borderId="43" applyNumberFormat="0" applyAlignment="0" applyProtection="0"/>
    <xf numFmtId="0" fontId="21" fillId="42" borderId="43" applyNumberFormat="0" applyAlignment="0" applyProtection="0"/>
    <xf numFmtId="0" fontId="151" fillId="42" borderId="43" applyNumberFormat="0" applyAlignment="0" applyProtection="0"/>
    <xf numFmtId="0" fontId="21" fillId="42" borderId="43" applyNumberFormat="0" applyAlignment="0" applyProtection="0"/>
    <xf numFmtId="0" fontId="39" fillId="42" borderId="44" applyNumberFormat="0" applyAlignment="0" applyProtection="0"/>
    <xf numFmtId="0" fontId="166" fillId="42" borderId="44" applyNumberFormat="0" applyAlignment="0" applyProtection="0"/>
    <xf numFmtId="0" fontId="39" fillId="42" borderId="44" applyNumberFormat="0" applyAlignment="0" applyProtection="0"/>
    <xf numFmtId="0" fontId="39" fillId="42" borderId="44" applyNumberFormat="0" applyAlignment="0" applyProtection="0"/>
    <xf numFmtId="0" fontId="117" fillId="0" borderId="45" applyNumberFormat="0" applyFill="0" applyAlignment="0" applyProtection="0"/>
    <xf numFmtId="0" fontId="167" fillId="0" borderId="45" applyNumberFormat="0" applyFill="0" applyAlignment="0" applyProtection="0"/>
    <xf numFmtId="0" fontId="117" fillId="0" borderId="45" applyNumberFormat="0" applyFill="0" applyAlignment="0" applyProtection="0"/>
    <xf numFmtId="0" fontId="117" fillId="0" borderId="45" applyNumberFormat="0" applyFill="0" applyAlignment="0" applyProtection="0"/>
    <xf numFmtId="0" fontId="33" fillId="39" borderId="43" applyNumberFormat="0" applyAlignment="0" applyProtection="0"/>
    <xf numFmtId="0" fontId="159" fillId="39" borderId="43" applyNumberFormat="0" applyAlignment="0" applyProtection="0"/>
    <xf numFmtId="0" fontId="21" fillId="42" borderId="43" applyNumberFormat="0" applyAlignment="0" applyProtection="0"/>
    <xf numFmtId="0" fontId="148" fillId="40" borderId="42" applyNumberFormat="0" applyFont="0" applyAlignment="0" applyProtection="0"/>
    <xf numFmtId="0" fontId="1" fillId="40" borderId="42" applyNumberFormat="0" applyFont="0" applyAlignment="0" applyProtection="0"/>
    <xf numFmtId="0" fontId="21" fillId="42" borderId="43" applyNumberFormat="0" applyAlignment="0" applyProtection="0"/>
    <xf numFmtId="0" fontId="151" fillId="42" borderId="43" applyNumberFormat="0" applyAlignment="0" applyProtection="0"/>
    <xf numFmtId="0" fontId="21" fillId="42" borderId="43" applyNumberFormat="0" applyAlignment="0" applyProtection="0"/>
    <xf numFmtId="0" fontId="21" fillId="42" borderId="43" applyNumberFormat="0" applyAlignment="0" applyProtection="0"/>
    <xf numFmtId="0" fontId="33" fillId="39" borderId="43" applyNumberFormat="0" applyAlignment="0" applyProtection="0"/>
    <xf numFmtId="0" fontId="159" fillId="39" borderId="43" applyNumberFormat="0" applyAlignment="0" applyProtection="0"/>
    <xf numFmtId="0" fontId="33" fillId="39" borderId="43" applyNumberFormat="0" applyAlignment="0" applyProtection="0"/>
    <xf numFmtId="0" fontId="33" fillId="39" borderId="43" applyNumberFormat="0" applyAlignment="0" applyProtection="0"/>
    <xf numFmtId="0" fontId="108" fillId="40" borderId="42" applyNumberFormat="0" applyFont="0" applyAlignment="0" applyProtection="0"/>
    <xf numFmtId="0" fontId="148" fillId="40" borderId="42" applyNumberFormat="0" applyFont="0" applyAlignment="0" applyProtection="0"/>
    <xf numFmtId="0" fontId="147" fillId="40" borderId="42" applyNumberFormat="0" applyFont="0" applyAlignment="0" applyProtection="0"/>
    <xf numFmtId="0" fontId="1" fillId="40" borderId="42" applyNumberFormat="0" applyFont="0" applyAlignment="0" applyProtection="0"/>
    <xf numFmtId="0" fontId="39" fillId="42" borderId="44" applyNumberFormat="0" applyAlignment="0" applyProtection="0"/>
    <xf numFmtId="0" fontId="166" fillId="42" borderId="44" applyNumberFormat="0" applyAlignment="0" applyProtection="0"/>
    <xf numFmtId="0" fontId="39" fillId="42" borderId="44" applyNumberFormat="0" applyAlignment="0" applyProtection="0"/>
    <xf numFmtId="0" fontId="39" fillId="42" borderId="44" applyNumberFormat="0" applyAlignment="0" applyProtection="0"/>
    <xf numFmtId="0" fontId="117" fillId="0" borderId="45" applyNumberFormat="0" applyFill="0" applyAlignment="0" applyProtection="0"/>
    <xf numFmtId="0" fontId="167" fillId="0" borderId="45" applyNumberFormat="0" applyFill="0" applyAlignment="0" applyProtection="0"/>
    <xf numFmtId="0" fontId="117" fillId="0" borderId="45" applyNumberFormat="0" applyFill="0" applyAlignment="0" applyProtection="0"/>
    <xf numFmtId="0" fontId="117" fillId="0" borderId="45" applyNumberFormat="0" applyFill="0" applyAlignment="0" applyProtection="0"/>
    <xf numFmtId="0" fontId="147" fillId="40" borderId="42" applyNumberFormat="0" applyFont="0" applyAlignment="0" applyProtection="0"/>
    <xf numFmtId="0" fontId="108" fillId="40" borderId="42" applyNumberFormat="0" applyFont="0" applyAlignment="0" applyProtection="0"/>
    <xf numFmtId="0" fontId="33" fillId="39" borderId="43" applyNumberFormat="0" applyAlignment="0" applyProtection="0"/>
    <xf numFmtId="0" fontId="33" fillId="39" borderId="43" applyNumberFormat="0" applyAlignment="0" applyProtection="0"/>
    <xf numFmtId="0" fontId="21" fillId="42" borderId="43" applyNumberFormat="0" applyAlignment="0" applyProtection="0"/>
    <xf numFmtId="0" fontId="151" fillId="42" borderId="43" applyNumberFormat="0" applyAlignment="0" applyProtection="0"/>
    <xf numFmtId="0" fontId="21" fillId="42" borderId="43" applyNumberFormat="0" applyAlignment="0" applyProtection="0"/>
    <xf numFmtId="0" fontId="39" fillId="42" borderId="44" applyNumberFormat="0" applyAlignment="0" applyProtection="0"/>
    <xf numFmtId="0" fontId="166" fillId="42" borderId="44" applyNumberFormat="0" applyAlignment="0" applyProtection="0"/>
    <xf numFmtId="0" fontId="39" fillId="42" borderId="44" applyNumberFormat="0" applyAlignment="0" applyProtection="0"/>
    <xf numFmtId="0" fontId="39" fillId="42" borderId="44" applyNumberFormat="0" applyAlignment="0" applyProtection="0"/>
    <xf numFmtId="0" fontId="117" fillId="0" borderId="45" applyNumberFormat="0" applyFill="0" applyAlignment="0" applyProtection="0"/>
    <xf numFmtId="0" fontId="167" fillId="0" borderId="45" applyNumberFormat="0" applyFill="0" applyAlignment="0" applyProtection="0"/>
    <xf numFmtId="0" fontId="117" fillId="0" borderId="45" applyNumberFormat="0" applyFill="0" applyAlignment="0" applyProtection="0"/>
    <xf numFmtId="0" fontId="117" fillId="0" borderId="45" applyNumberFormat="0" applyFill="0" applyAlignment="0" applyProtection="0"/>
    <xf numFmtId="0" fontId="33" fillId="39" borderId="43" applyNumberFormat="0" applyAlignment="0" applyProtection="0"/>
    <xf numFmtId="0" fontId="159" fillId="39" borderId="43" applyNumberFormat="0" applyAlignment="0" applyProtection="0"/>
    <xf numFmtId="0" fontId="21" fillId="42" borderId="43" applyNumberFormat="0" applyAlignment="0" applyProtection="0"/>
    <xf numFmtId="0" fontId="148" fillId="40" borderId="42" applyNumberFormat="0" applyFont="0" applyAlignment="0" applyProtection="0"/>
    <xf numFmtId="0" fontId="1" fillId="40" borderId="42" applyNumberFormat="0" applyFont="0" applyAlignment="0" applyProtection="0"/>
    <xf numFmtId="0" fontId="21" fillId="42" borderId="43" applyNumberFormat="0" applyAlignment="0" applyProtection="0"/>
    <xf numFmtId="0" fontId="151" fillId="42" borderId="43" applyNumberFormat="0" applyAlignment="0" applyProtection="0"/>
    <xf numFmtId="0" fontId="21" fillId="42" borderId="43" applyNumberFormat="0" applyAlignment="0" applyProtection="0"/>
    <xf numFmtId="0" fontId="21" fillId="42" borderId="43" applyNumberFormat="0" applyAlignment="0" applyProtection="0"/>
    <xf numFmtId="0" fontId="33" fillId="39" borderId="43" applyNumberFormat="0" applyAlignment="0" applyProtection="0"/>
    <xf numFmtId="0" fontId="159" fillId="39" borderId="43" applyNumberFormat="0" applyAlignment="0" applyProtection="0"/>
    <xf numFmtId="0" fontId="33" fillId="39" borderId="43" applyNumberFormat="0" applyAlignment="0" applyProtection="0"/>
    <xf numFmtId="0" fontId="33" fillId="39" borderId="43" applyNumberFormat="0" applyAlignment="0" applyProtection="0"/>
    <xf numFmtId="0" fontId="108" fillId="40" borderId="42" applyNumberFormat="0" applyFont="0" applyAlignment="0" applyProtection="0"/>
    <xf numFmtId="0" fontId="148" fillId="40" borderId="42" applyNumberFormat="0" applyFont="0" applyAlignment="0" applyProtection="0"/>
    <xf numFmtId="0" fontId="147" fillId="40" borderId="42" applyNumberFormat="0" applyFont="0" applyAlignment="0" applyProtection="0"/>
    <xf numFmtId="0" fontId="1" fillId="40" borderId="42" applyNumberFormat="0" applyFont="0" applyAlignment="0" applyProtection="0"/>
    <xf numFmtId="0" fontId="39" fillId="42" borderId="44" applyNumberFormat="0" applyAlignment="0" applyProtection="0"/>
    <xf numFmtId="0" fontId="166" fillId="42" borderId="44" applyNumberFormat="0" applyAlignment="0" applyProtection="0"/>
    <xf numFmtId="0" fontId="39" fillId="42" borderId="44" applyNumberFormat="0" applyAlignment="0" applyProtection="0"/>
    <xf numFmtId="0" fontId="39" fillId="42" borderId="44" applyNumberFormat="0" applyAlignment="0" applyProtection="0"/>
    <xf numFmtId="0" fontId="117" fillId="0" borderId="45" applyNumberFormat="0" applyFill="0" applyAlignment="0" applyProtection="0"/>
    <xf numFmtId="0" fontId="167" fillId="0" borderId="45" applyNumberFormat="0" applyFill="0" applyAlignment="0" applyProtection="0"/>
    <xf numFmtId="0" fontId="117" fillId="0" borderId="45" applyNumberFormat="0" applyFill="0" applyAlignment="0" applyProtection="0"/>
    <xf numFmtId="0" fontId="117" fillId="0" borderId="45" applyNumberFormat="0" applyFill="0" applyAlignment="0" applyProtection="0"/>
    <xf numFmtId="0" fontId="147" fillId="40" borderId="42" applyNumberFormat="0" applyFont="0" applyAlignment="0" applyProtection="0"/>
    <xf numFmtId="0" fontId="108" fillId="40" borderId="42" applyNumberFormat="0" applyFont="0" applyAlignment="0" applyProtection="0"/>
    <xf numFmtId="0" fontId="33" fillId="39" borderId="43" applyNumberFormat="0" applyAlignment="0" applyProtection="0"/>
    <xf numFmtId="0" fontId="33" fillId="39" borderId="43" applyNumberFormat="0" applyAlignment="0" applyProtection="0"/>
    <xf numFmtId="0" fontId="21" fillId="42" borderId="43" applyNumberFormat="0" applyAlignment="0" applyProtection="0"/>
    <xf numFmtId="0" fontId="151" fillId="42" borderId="43" applyNumberFormat="0" applyAlignment="0" applyProtection="0"/>
    <xf numFmtId="0" fontId="21" fillId="42" borderId="43" applyNumberFormat="0" applyAlignment="0" applyProtection="0"/>
    <xf numFmtId="0" fontId="39" fillId="42" borderId="44" applyNumberFormat="0" applyAlignment="0" applyProtection="0"/>
    <xf numFmtId="0" fontId="166" fillId="42" borderId="44" applyNumberFormat="0" applyAlignment="0" applyProtection="0"/>
    <xf numFmtId="0" fontId="39" fillId="42" borderId="44" applyNumberFormat="0" applyAlignment="0" applyProtection="0"/>
    <xf numFmtId="0" fontId="39" fillId="42" borderId="44" applyNumberFormat="0" applyAlignment="0" applyProtection="0"/>
    <xf numFmtId="0" fontId="117" fillId="0" borderId="45" applyNumberFormat="0" applyFill="0" applyAlignment="0" applyProtection="0"/>
    <xf numFmtId="0" fontId="167" fillId="0" borderId="45" applyNumberFormat="0" applyFill="0" applyAlignment="0" applyProtection="0"/>
    <xf numFmtId="0" fontId="117" fillId="0" borderId="45" applyNumberFormat="0" applyFill="0" applyAlignment="0" applyProtection="0"/>
    <xf numFmtId="0" fontId="117" fillId="0" borderId="45" applyNumberFormat="0" applyFill="0" applyAlignment="0" applyProtection="0"/>
    <xf numFmtId="0" fontId="33" fillId="39" borderId="43" applyNumberFormat="0" applyAlignment="0" applyProtection="0"/>
    <xf numFmtId="0" fontId="159" fillId="39" borderId="43" applyNumberFormat="0" applyAlignment="0" applyProtection="0"/>
    <xf numFmtId="0" fontId="21" fillId="42" borderId="43" applyNumberFormat="0" applyAlignment="0" applyProtection="0"/>
    <xf numFmtId="0" fontId="148" fillId="40" borderId="42" applyNumberFormat="0" applyFont="0" applyAlignment="0" applyProtection="0"/>
    <xf numFmtId="0" fontId="1" fillId="40" borderId="42" applyNumberFormat="0" applyFont="0" applyAlignment="0" applyProtection="0"/>
    <xf numFmtId="0" fontId="147" fillId="40" borderId="42" applyNumberFormat="0" applyFont="0" applyAlignment="0" applyProtection="0"/>
    <xf numFmtId="0" fontId="108" fillId="40" borderId="42" applyNumberFormat="0" applyFont="0" applyAlignment="0" applyProtection="0"/>
    <xf numFmtId="0" fontId="33" fillId="39" borderId="43" applyNumberFormat="0" applyAlignment="0" applyProtection="0"/>
    <xf numFmtId="0" fontId="33" fillId="39" borderId="43" applyNumberFormat="0" applyAlignment="0" applyProtection="0"/>
    <xf numFmtId="0" fontId="21" fillId="42" borderId="43" applyNumberFormat="0" applyAlignment="0" applyProtection="0"/>
    <xf numFmtId="0" fontId="151" fillId="42" borderId="43" applyNumberFormat="0" applyAlignment="0" applyProtection="0"/>
    <xf numFmtId="0" fontId="21" fillId="42" borderId="43" applyNumberFormat="0" applyAlignment="0" applyProtection="0"/>
    <xf numFmtId="0" fontId="39" fillId="42" borderId="44" applyNumberFormat="0" applyAlignment="0" applyProtection="0"/>
    <xf numFmtId="0" fontId="166" fillId="42" borderId="44" applyNumberFormat="0" applyAlignment="0" applyProtection="0"/>
    <xf numFmtId="0" fontId="39" fillId="42" borderId="44" applyNumberFormat="0" applyAlignment="0" applyProtection="0"/>
    <xf numFmtId="0" fontId="39" fillId="42" borderId="44" applyNumberFormat="0" applyAlignment="0" applyProtection="0"/>
    <xf numFmtId="0" fontId="117" fillId="0" borderId="45" applyNumberFormat="0" applyFill="0" applyAlignment="0" applyProtection="0"/>
    <xf numFmtId="0" fontId="167" fillId="0" borderId="45" applyNumberFormat="0" applyFill="0" applyAlignment="0" applyProtection="0"/>
    <xf numFmtId="0" fontId="117" fillId="0" borderId="45" applyNumberFormat="0" applyFill="0" applyAlignment="0" applyProtection="0"/>
    <xf numFmtId="0" fontId="117" fillId="0" borderId="45" applyNumberFormat="0" applyFill="0" applyAlignment="0" applyProtection="0"/>
    <xf numFmtId="0" fontId="33" fillId="39" borderId="43" applyNumberFormat="0" applyAlignment="0" applyProtection="0"/>
    <xf numFmtId="0" fontId="159" fillId="39" borderId="43" applyNumberFormat="0" applyAlignment="0" applyProtection="0"/>
    <xf numFmtId="0" fontId="21" fillId="42" borderId="43" applyNumberFormat="0" applyAlignment="0" applyProtection="0"/>
    <xf numFmtId="0" fontId="148" fillId="40" borderId="42" applyNumberFormat="0" applyFont="0" applyAlignment="0" applyProtection="0"/>
    <xf numFmtId="0" fontId="1" fillId="40" borderId="42" applyNumberFormat="0" applyFont="0" applyAlignment="0" applyProtection="0"/>
    <xf numFmtId="0" fontId="21" fillId="42" borderId="43" applyNumberFormat="0" applyAlignment="0" applyProtection="0"/>
    <xf numFmtId="0" fontId="151" fillId="42" borderId="43" applyNumberFormat="0" applyAlignment="0" applyProtection="0"/>
    <xf numFmtId="0" fontId="21" fillId="42" borderId="43" applyNumberFormat="0" applyAlignment="0" applyProtection="0"/>
    <xf numFmtId="0" fontId="21" fillId="42" borderId="43" applyNumberFormat="0" applyAlignment="0" applyProtection="0"/>
    <xf numFmtId="0" fontId="33" fillId="39" borderId="43" applyNumberFormat="0" applyAlignment="0" applyProtection="0"/>
    <xf numFmtId="0" fontId="159" fillId="39" borderId="43" applyNumberFormat="0" applyAlignment="0" applyProtection="0"/>
    <xf numFmtId="0" fontId="33" fillId="39" borderId="43" applyNumberFormat="0" applyAlignment="0" applyProtection="0"/>
    <xf numFmtId="0" fontId="33" fillId="39" borderId="43" applyNumberFormat="0" applyAlignment="0" applyProtection="0"/>
    <xf numFmtId="0" fontId="108" fillId="40" borderId="42" applyNumberFormat="0" applyFont="0" applyAlignment="0" applyProtection="0"/>
    <xf numFmtId="0" fontId="148" fillId="40" borderId="42" applyNumberFormat="0" applyFont="0" applyAlignment="0" applyProtection="0"/>
    <xf numFmtId="0" fontId="147" fillId="40" borderId="42" applyNumberFormat="0" applyFont="0" applyAlignment="0" applyProtection="0"/>
    <xf numFmtId="0" fontId="1" fillId="40" borderId="42" applyNumberFormat="0" applyFont="0" applyAlignment="0" applyProtection="0"/>
    <xf numFmtId="0" fontId="39" fillId="42" borderId="44" applyNumberFormat="0" applyAlignment="0" applyProtection="0"/>
    <xf numFmtId="0" fontId="166" fillId="42" borderId="44" applyNumberFormat="0" applyAlignment="0" applyProtection="0"/>
    <xf numFmtId="0" fontId="39" fillId="42" borderId="44" applyNumberFormat="0" applyAlignment="0" applyProtection="0"/>
    <xf numFmtId="0" fontId="39" fillId="42" borderId="44" applyNumberFormat="0" applyAlignment="0" applyProtection="0"/>
    <xf numFmtId="0" fontId="117" fillId="0" borderId="45" applyNumberFormat="0" applyFill="0" applyAlignment="0" applyProtection="0"/>
    <xf numFmtId="0" fontId="167" fillId="0" borderId="45" applyNumberFormat="0" applyFill="0" applyAlignment="0" applyProtection="0"/>
    <xf numFmtId="0" fontId="117" fillId="0" borderId="45" applyNumberFormat="0" applyFill="0" applyAlignment="0" applyProtection="0"/>
    <xf numFmtId="0" fontId="117" fillId="0" borderId="45" applyNumberFormat="0" applyFill="0" applyAlignment="0" applyProtection="0"/>
    <xf numFmtId="0" fontId="147" fillId="40" borderId="42" applyNumberFormat="0" applyFont="0" applyAlignment="0" applyProtection="0"/>
    <xf numFmtId="0" fontId="108" fillId="40" borderId="42" applyNumberFormat="0" applyFont="0" applyAlignment="0" applyProtection="0"/>
    <xf numFmtId="0" fontId="33" fillId="39" borderId="43" applyNumberFormat="0" applyAlignment="0" applyProtection="0"/>
    <xf numFmtId="0" fontId="33" fillId="39" borderId="43" applyNumberFormat="0" applyAlignment="0" applyProtection="0"/>
    <xf numFmtId="0" fontId="21" fillId="42" borderId="43" applyNumberFormat="0" applyAlignment="0" applyProtection="0"/>
    <xf numFmtId="0" fontId="151" fillId="42" borderId="43" applyNumberFormat="0" applyAlignment="0" applyProtection="0"/>
    <xf numFmtId="0" fontId="21" fillId="42" borderId="43" applyNumberFormat="0" applyAlignment="0" applyProtection="0"/>
    <xf numFmtId="0" fontId="39" fillId="42" borderId="44" applyNumberFormat="0" applyAlignment="0" applyProtection="0"/>
    <xf numFmtId="0" fontId="166" fillId="42" borderId="44" applyNumberFormat="0" applyAlignment="0" applyProtection="0"/>
    <xf numFmtId="0" fontId="39" fillId="42" borderId="44" applyNumberFormat="0" applyAlignment="0" applyProtection="0"/>
    <xf numFmtId="0" fontId="39" fillId="42" borderId="44" applyNumberFormat="0" applyAlignment="0" applyProtection="0"/>
    <xf numFmtId="0" fontId="117" fillId="0" borderId="45" applyNumberFormat="0" applyFill="0" applyAlignment="0" applyProtection="0"/>
    <xf numFmtId="0" fontId="167" fillId="0" borderId="45" applyNumberFormat="0" applyFill="0" applyAlignment="0" applyProtection="0"/>
    <xf numFmtId="0" fontId="117" fillId="0" borderId="45" applyNumberFormat="0" applyFill="0" applyAlignment="0" applyProtection="0"/>
    <xf numFmtId="0" fontId="117" fillId="0" borderId="45" applyNumberFormat="0" applyFill="0" applyAlignment="0" applyProtection="0"/>
    <xf numFmtId="0" fontId="33" fillId="39" borderId="43" applyNumberFormat="0" applyAlignment="0" applyProtection="0"/>
    <xf numFmtId="0" fontId="159" fillId="39" borderId="43" applyNumberFormat="0" applyAlignment="0" applyProtection="0"/>
    <xf numFmtId="0" fontId="21" fillId="42" borderId="43" applyNumberFormat="0" applyAlignment="0" applyProtection="0"/>
    <xf numFmtId="0" fontId="148" fillId="40" borderId="42" applyNumberFormat="0" applyFont="0" applyAlignment="0" applyProtection="0"/>
    <xf numFmtId="0" fontId="1" fillId="40" borderId="42" applyNumberFormat="0" applyFont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Border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/>
    <xf numFmtId="0" fontId="172" fillId="0" borderId="0"/>
    <xf numFmtId="0" fontId="45" fillId="0" borderId="0"/>
    <xf numFmtId="0" fontId="173" fillId="72" borderId="47" applyNumberFormat="0" applyProtection="0">
      <alignment horizontal="center"/>
    </xf>
    <xf numFmtId="0" fontId="175" fillId="0" borderId="0" applyNumberFormat="0" applyFill="0" applyAlignment="0" applyProtection="0"/>
    <xf numFmtId="0" fontId="174" fillId="0" borderId="0" applyNumberFormat="0" applyFill="0" applyAlignment="0" applyProtection="0"/>
    <xf numFmtId="43" fontId="172" fillId="0" borderId="0" applyFont="0" applyFill="0" applyBorder="0" applyAlignment="0" applyProtection="0"/>
    <xf numFmtId="44" fontId="172" fillId="0" borderId="0" applyFont="0" applyFill="0" applyBorder="0" applyAlignment="0" applyProtection="0"/>
    <xf numFmtId="0" fontId="45" fillId="0" borderId="0"/>
    <xf numFmtId="0" fontId="173" fillId="72" borderId="49" applyNumberFormat="0" applyProtection="0">
      <alignment horizontal="center"/>
    </xf>
    <xf numFmtId="0" fontId="171" fillId="0" borderId="0" applyNumberFormat="0" applyFill="0" applyAlignment="0" applyProtection="0"/>
    <xf numFmtId="0" fontId="45" fillId="0" borderId="0"/>
    <xf numFmtId="0" fontId="173" fillId="72" borderId="51" applyNumberFormat="0" applyProtection="0">
      <alignment horizontal="center"/>
    </xf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40" borderId="48" applyNumberFormat="0" applyFont="0" applyAlignment="0" applyProtection="0"/>
    <xf numFmtId="0" fontId="148" fillId="40" borderId="48" applyNumberFormat="0" applyFont="0" applyAlignment="0" applyProtection="0"/>
    <xf numFmtId="0" fontId="147" fillId="40" borderId="48" applyNumberFormat="0" applyFont="0" applyAlignment="0" applyProtection="0"/>
    <xf numFmtId="0" fontId="1" fillId="40" borderId="48" applyNumberFormat="0" applyFont="0" applyAlignment="0" applyProtection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7" fillId="40" borderId="48" applyNumberFormat="0" applyFont="0" applyAlignment="0" applyProtection="0"/>
    <xf numFmtId="0" fontId="108" fillId="40" borderId="48" applyNumberFormat="0" applyFon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8" fillId="40" borderId="48" applyNumberFormat="0" applyFont="0" applyAlignment="0" applyProtection="0"/>
    <xf numFmtId="0" fontId="1" fillId="40" borderId="48" applyNumberFormat="0" applyFont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40" borderId="48" applyNumberFormat="0" applyFont="0" applyAlignment="0" applyProtection="0"/>
    <xf numFmtId="0" fontId="148" fillId="40" borderId="48" applyNumberFormat="0" applyFont="0" applyAlignment="0" applyProtection="0"/>
    <xf numFmtId="0" fontId="147" fillId="40" borderId="48" applyNumberFormat="0" applyFont="0" applyAlignment="0" applyProtection="0"/>
    <xf numFmtId="0" fontId="1" fillId="40" borderId="48" applyNumberFormat="0" applyFont="0" applyAlignment="0" applyProtection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7" fillId="40" borderId="48" applyNumberFormat="0" applyFont="0" applyAlignment="0" applyProtection="0"/>
    <xf numFmtId="0" fontId="108" fillId="40" borderId="48" applyNumberFormat="0" applyFon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8" fillId="40" borderId="48" applyNumberFormat="0" applyFont="0" applyAlignment="0" applyProtection="0"/>
    <xf numFmtId="0" fontId="1" fillId="40" borderId="48" applyNumberFormat="0" applyFont="0" applyAlignment="0" applyProtection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21" fillId="42" borderId="43" applyNumberFormat="0" applyAlignment="0" applyProtection="0"/>
    <xf numFmtId="0" fontId="151" fillId="42" borderId="43" applyNumberFormat="0" applyAlignment="0" applyProtection="0"/>
    <xf numFmtId="0" fontId="21" fillId="42" borderId="43" applyNumberFormat="0" applyAlignment="0" applyProtection="0"/>
    <xf numFmtId="0" fontId="21" fillId="42" borderId="43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3" fillId="39" borderId="43" applyNumberFormat="0" applyAlignment="0" applyProtection="0"/>
    <xf numFmtId="0" fontId="159" fillId="39" borderId="43" applyNumberFormat="0" applyAlignment="0" applyProtection="0"/>
    <xf numFmtId="0" fontId="33" fillId="39" borderId="43" applyNumberFormat="0" applyAlignment="0" applyProtection="0"/>
    <xf numFmtId="0" fontId="33" fillId="39" borderId="43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40" borderId="48" applyNumberFormat="0" applyFont="0" applyAlignment="0" applyProtection="0"/>
    <xf numFmtId="0" fontId="148" fillId="40" borderId="48" applyNumberFormat="0" applyFont="0" applyAlignment="0" applyProtection="0"/>
    <xf numFmtId="0" fontId="147" fillId="40" borderId="48" applyNumberFormat="0" applyFont="0" applyAlignment="0" applyProtection="0"/>
    <xf numFmtId="0" fontId="1" fillId="40" borderId="48" applyNumberFormat="0" applyFont="0" applyAlignment="0" applyProtection="0"/>
    <xf numFmtId="0" fontId="45" fillId="8" borderId="8" applyNumberFormat="0" applyFont="0" applyAlignment="0" applyProtection="0"/>
    <xf numFmtId="0" fontId="39" fillId="42" borderId="44" applyNumberFormat="0" applyAlignment="0" applyProtection="0"/>
    <xf numFmtId="0" fontId="166" fillId="42" borderId="44" applyNumberFormat="0" applyAlignment="0" applyProtection="0"/>
    <xf numFmtId="0" fontId="39" fillId="42" borderId="44" applyNumberFormat="0" applyAlignment="0" applyProtection="0"/>
    <xf numFmtId="0" fontId="39" fillId="42" borderId="44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17" fillId="0" borderId="45" applyNumberFormat="0" applyFill="0" applyAlignment="0" applyProtection="0"/>
    <xf numFmtId="0" fontId="167" fillId="0" borderId="45" applyNumberFormat="0" applyFill="0" applyAlignment="0" applyProtection="0"/>
    <xf numFmtId="0" fontId="117" fillId="0" borderId="45" applyNumberFormat="0" applyFill="0" applyAlignment="0" applyProtection="0"/>
    <xf numFmtId="0" fontId="117" fillId="0" borderId="45" applyNumberFormat="0" applyFill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147" fillId="40" borderId="48" applyNumberFormat="0" applyFont="0" applyAlignment="0" applyProtection="0"/>
    <xf numFmtId="0" fontId="108" fillId="40" borderId="48" applyNumberFormat="0" applyFon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117" fillId="0" borderId="45" applyNumberFormat="0" applyFill="0" applyAlignment="0" applyProtection="0"/>
    <xf numFmtId="0" fontId="167" fillId="0" borderId="45" applyNumberFormat="0" applyFill="0" applyAlignment="0" applyProtection="0"/>
    <xf numFmtId="0" fontId="117" fillId="0" borderId="45" applyNumberFormat="0" applyFill="0" applyAlignment="0" applyProtection="0"/>
    <xf numFmtId="0" fontId="117" fillId="0" borderId="45" applyNumberFormat="0" applyFill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8" fillId="40" borderId="48" applyNumberFormat="0" applyFont="0" applyAlignment="0" applyProtection="0"/>
    <xf numFmtId="0" fontId="1" fillId="40" borderId="48" applyNumberFormat="0" applyFont="0" applyAlignment="0" applyProtection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21" fillId="42" borderId="43" applyNumberFormat="0" applyAlignment="0" applyProtection="0"/>
    <xf numFmtId="0" fontId="151" fillId="42" borderId="43" applyNumberFormat="0" applyAlignment="0" applyProtection="0"/>
    <xf numFmtId="0" fontId="21" fillId="42" borderId="43" applyNumberFormat="0" applyAlignment="0" applyProtection="0"/>
    <xf numFmtId="0" fontId="21" fillId="42" borderId="43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3" fillId="39" borderId="43" applyNumberFormat="0" applyAlignment="0" applyProtection="0"/>
    <xf numFmtId="0" fontId="159" fillId="39" borderId="43" applyNumberFormat="0" applyAlignment="0" applyProtection="0"/>
    <xf numFmtId="0" fontId="33" fillId="39" borderId="43" applyNumberFormat="0" applyAlignment="0" applyProtection="0"/>
    <xf numFmtId="0" fontId="33" fillId="39" borderId="43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40" borderId="48" applyNumberFormat="0" applyFont="0" applyAlignment="0" applyProtection="0"/>
    <xf numFmtId="0" fontId="148" fillId="40" borderId="48" applyNumberFormat="0" applyFont="0" applyAlignment="0" applyProtection="0"/>
    <xf numFmtId="0" fontId="147" fillId="40" borderId="48" applyNumberFormat="0" applyFont="0" applyAlignment="0" applyProtection="0"/>
    <xf numFmtId="0" fontId="1" fillId="40" borderId="48" applyNumberFormat="0" applyFont="0" applyAlignment="0" applyProtection="0"/>
    <xf numFmtId="0" fontId="45" fillId="8" borderId="8" applyNumberFormat="0" applyFont="0" applyAlignment="0" applyProtection="0"/>
    <xf numFmtId="0" fontId="39" fillId="42" borderId="44" applyNumberFormat="0" applyAlignment="0" applyProtection="0"/>
    <xf numFmtId="0" fontId="166" fillId="42" borderId="44" applyNumberFormat="0" applyAlignment="0" applyProtection="0"/>
    <xf numFmtId="0" fontId="39" fillId="42" borderId="44" applyNumberFormat="0" applyAlignment="0" applyProtection="0"/>
    <xf numFmtId="0" fontId="39" fillId="42" borderId="44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17" fillId="0" borderId="45" applyNumberFormat="0" applyFill="0" applyAlignment="0" applyProtection="0"/>
    <xf numFmtId="0" fontId="167" fillId="0" borderId="45" applyNumberFormat="0" applyFill="0" applyAlignment="0" applyProtection="0"/>
    <xf numFmtId="0" fontId="117" fillId="0" borderId="45" applyNumberFormat="0" applyFill="0" applyAlignment="0" applyProtection="0"/>
    <xf numFmtId="0" fontId="117" fillId="0" borderId="45" applyNumberFormat="0" applyFill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7" fillId="40" borderId="48" applyNumberFormat="0" applyFont="0" applyAlignment="0" applyProtection="0"/>
    <xf numFmtId="0" fontId="108" fillId="40" borderId="48" applyNumberFormat="0" applyFont="0" applyAlignment="0" applyProtection="0"/>
    <xf numFmtId="0" fontId="33" fillId="39" borderId="43" applyNumberFormat="0" applyAlignment="0" applyProtection="0"/>
    <xf numFmtId="0" fontId="33" fillId="39" borderId="43" applyNumberFormat="0" applyAlignment="0" applyProtection="0"/>
    <xf numFmtId="0" fontId="21" fillId="42" borderId="43" applyNumberFormat="0" applyAlignment="0" applyProtection="0"/>
    <xf numFmtId="0" fontId="151" fillId="42" borderId="43" applyNumberFormat="0" applyAlignment="0" applyProtection="0"/>
    <xf numFmtId="0" fontId="21" fillId="42" borderId="43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9" fillId="42" borderId="44" applyNumberFormat="0" applyAlignment="0" applyProtection="0"/>
    <xf numFmtId="0" fontId="166" fillId="42" borderId="44" applyNumberFormat="0" applyAlignment="0" applyProtection="0"/>
    <xf numFmtId="0" fontId="39" fillId="42" borderId="44" applyNumberFormat="0" applyAlignment="0" applyProtection="0"/>
    <xf numFmtId="0" fontId="39" fillId="42" borderId="44" applyNumberFormat="0" applyAlignment="0" applyProtection="0"/>
    <xf numFmtId="0" fontId="45" fillId="0" borderId="0"/>
    <xf numFmtId="0" fontId="45" fillId="0" borderId="0"/>
    <xf numFmtId="0" fontId="45" fillId="0" borderId="0"/>
    <xf numFmtId="0" fontId="117" fillId="0" borderId="45" applyNumberFormat="0" applyFill="0" applyAlignment="0" applyProtection="0"/>
    <xf numFmtId="0" fontId="167" fillId="0" borderId="45" applyNumberFormat="0" applyFill="0" applyAlignment="0" applyProtection="0"/>
    <xf numFmtId="0" fontId="117" fillId="0" borderId="45" applyNumberFormat="0" applyFill="0" applyAlignment="0" applyProtection="0"/>
    <xf numFmtId="0" fontId="117" fillId="0" borderId="45" applyNumberFormat="0" applyFill="0" applyAlignment="0" applyProtection="0"/>
    <xf numFmtId="0" fontId="33" fillId="39" borderId="43" applyNumberFormat="0" applyAlignment="0" applyProtection="0"/>
    <xf numFmtId="0" fontId="159" fillId="39" borderId="43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1" fillId="42" borderId="43" applyNumberFormat="0" applyAlignment="0" applyProtection="0"/>
    <xf numFmtId="0" fontId="148" fillId="40" borderId="48" applyNumberFormat="0" applyFont="0" applyAlignment="0" applyProtection="0"/>
    <xf numFmtId="0" fontId="1" fillId="40" borderId="48" applyNumberFormat="0" applyFont="0" applyAlignment="0" applyProtection="0"/>
    <xf numFmtId="0" fontId="45" fillId="0" borderId="0"/>
    <xf numFmtId="0" fontId="147" fillId="40" borderId="48" applyNumberFormat="0" applyFont="0" applyAlignment="0" applyProtection="0"/>
    <xf numFmtId="0" fontId="108" fillId="40" borderId="48" applyNumberFormat="0" applyFont="0" applyAlignment="0" applyProtection="0"/>
    <xf numFmtId="0" fontId="148" fillId="40" borderId="48" applyNumberFormat="0" applyFont="0" applyAlignment="0" applyProtection="0"/>
    <xf numFmtId="0" fontId="1" fillId="40" borderId="48" applyNumberFormat="0" applyFont="0" applyAlignment="0" applyProtection="0"/>
    <xf numFmtId="0" fontId="108" fillId="40" borderId="48" applyNumberFormat="0" applyFont="0" applyAlignment="0" applyProtection="0"/>
    <xf numFmtId="0" fontId="148" fillId="40" borderId="48" applyNumberFormat="0" applyFont="0" applyAlignment="0" applyProtection="0"/>
    <xf numFmtId="0" fontId="147" fillId="40" borderId="48" applyNumberFormat="0" applyFont="0" applyAlignment="0" applyProtection="0"/>
    <xf numFmtId="0" fontId="1" fillId="40" borderId="48" applyNumberFormat="0" applyFont="0" applyAlignment="0" applyProtection="0"/>
    <xf numFmtId="0" fontId="147" fillId="40" borderId="48" applyNumberFormat="0" applyFont="0" applyAlignment="0" applyProtection="0"/>
    <xf numFmtId="0" fontId="108" fillId="40" borderId="48" applyNumberFormat="0" applyFont="0" applyAlignment="0" applyProtection="0"/>
    <xf numFmtId="0" fontId="148" fillId="40" borderId="48" applyNumberFormat="0" applyFont="0" applyAlignment="0" applyProtection="0"/>
    <xf numFmtId="0" fontId="1" fillId="40" borderId="48" applyNumberFormat="0" applyFont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0" fontId="173" fillId="72" borderId="51" applyNumberFormat="0" applyProtection="0">
      <alignment horizontal="center"/>
    </xf>
    <xf numFmtId="0" fontId="45" fillId="0" borderId="0"/>
    <xf numFmtId="0" fontId="173" fillId="72" borderId="51" applyNumberFormat="0" applyProtection="0">
      <alignment horizontal="center"/>
    </xf>
    <xf numFmtId="0" fontId="45" fillId="0" borderId="0"/>
    <xf numFmtId="0" fontId="173" fillId="72" borderId="51" applyNumberFormat="0" applyProtection="0">
      <alignment horizontal="center"/>
    </xf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21" fillId="42" borderId="52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21" fillId="42" borderId="52" applyNumberFormat="0" applyAlignment="0" applyProtection="0"/>
    <xf numFmtId="43" fontId="45" fillId="0" borderId="0" applyFont="0" applyFill="0" applyBorder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40" borderId="42" applyNumberFormat="0" applyFont="0" applyAlignment="0" applyProtection="0"/>
    <xf numFmtId="0" fontId="148" fillId="40" borderId="42" applyNumberFormat="0" applyFont="0" applyAlignment="0" applyProtection="0"/>
    <xf numFmtId="0" fontId="147" fillId="40" borderId="42" applyNumberFormat="0" applyFont="0" applyAlignment="0" applyProtection="0"/>
    <xf numFmtId="0" fontId="1" fillId="40" borderId="42" applyNumberFormat="0" applyFont="0" applyAlignment="0" applyProtection="0"/>
    <xf numFmtId="0" fontId="45" fillId="8" borderId="8" applyNumberFormat="0" applyFon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45" fillId="0" borderId="0"/>
    <xf numFmtId="0" fontId="45" fillId="0" borderId="0"/>
    <xf numFmtId="0" fontId="45" fillId="0" borderId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1" fillId="42" borderId="52" applyNumberFormat="0" applyAlignment="0" applyProtection="0"/>
    <xf numFmtId="0" fontId="1" fillId="40" borderId="42" applyNumberFormat="0" applyFont="0" applyAlignment="0" applyProtection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21" fillId="42" borderId="52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40" borderId="42" applyNumberFormat="0" applyFont="0" applyAlignment="0" applyProtection="0"/>
    <xf numFmtId="0" fontId="148" fillId="40" borderId="42" applyNumberFormat="0" applyFont="0" applyAlignment="0" applyProtection="0"/>
    <xf numFmtId="0" fontId="147" fillId="40" borderId="42" applyNumberFormat="0" applyFont="0" applyAlignment="0" applyProtection="0"/>
    <xf numFmtId="0" fontId="45" fillId="8" borderId="8" applyNumberFormat="0" applyFon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45" fillId="0" borderId="0"/>
    <xf numFmtId="0" fontId="45" fillId="0" borderId="0"/>
    <xf numFmtId="0" fontId="45" fillId="0" borderId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1" fillId="42" borderId="52" applyNumberFormat="0" applyAlignment="0" applyProtection="0"/>
    <xf numFmtId="0" fontId="1" fillId="40" borderId="42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21" fillId="42" borderId="52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40" borderId="42" applyNumberFormat="0" applyFont="0" applyAlignment="0" applyProtection="0"/>
    <xf numFmtId="0" fontId="148" fillId="40" borderId="42" applyNumberFormat="0" applyFont="0" applyAlignment="0" applyProtection="0"/>
    <xf numFmtId="0" fontId="147" fillId="40" borderId="42" applyNumberFormat="0" applyFont="0" applyAlignment="0" applyProtection="0"/>
    <xf numFmtId="0" fontId="1" fillId="40" borderId="42" applyNumberFormat="0" applyFont="0" applyAlignment="0" applyProtection="0"/>
    <xf numFmtId="0" fontId="45" fillId="8" borderId="8" applyNumberFormat="0" applyFon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147" fillId="40" borderId="42" applyNumberFormat="0" applyFont="0" applyAlignment="0" applyProtection="0"/>
    <xf numFmtId="0" fontId="108" fillId="40" borderId="42" applyNumberFormat="0" applyFon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45" fillId="0" borderId="0"/>
    <xf numFmtId="0" fontId="45" fillId="0" borderId="0"/>
    <xf numFmtId="0" fontId="45" fillId="0" borderId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1" fillId="42" borderId="52" applyNumberFormat="0" applyAlignment="0" applyProtection="0"/>
    <xf numFmtId="0" fontId="148" fillId="40" borderId="42" applyNumberFormat="0" applyFont="0" applyAlignment="0" applyProtection="0"/>
    <xf numFmtId="0" fontId="1" fillId="40" borderId="42" applyNumberFormat="0" applyFont="0" applyAlignment="0" applyProtection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21" fillId="42" borderId="52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40" borderId="42" applyNumberFormat="0" applyFont="0" applyAlignment="0" applyProtection="0"/>
    <xf numFmtId="0" fontId="148" fillId="40" borderId="42" applyNumberFormat="0" applyFont="0" applyAlignment="0" applyProtection="0"/>
    <xf numFmtId="0" fontId="147" fillId="40" borderId="42" applyNumberFormat="0" applyFon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45" fillId="0" borderId="0"/>
    <xf numFmtId="0" fontId="45" fillId="0" borderId="0"/>
    <xf numFmtId="0" fontId="45" fillId="0" borderId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1" fillId="42" borderId="52" applyNumberFormat="0" applyAlignment="0" applyProtection="0"/>
    <xf numFmtId="0" fontId="1" fillId="40" borderId="42" applyNumberFormat="0" applyFont="0" applyAlignment="0" applyProtection="0"/>
    <xf numFmtId="0" fontId="45" fillId="0" borderId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21" fillId="42" borderId="52" applyNumberFormat="0" applyAlignment="0" applyProtection="0"/>
    <xf numFmtId="0" fontId="1" fillId="40" borderId="42" applyNumberFormat="0" applyFon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21" fillId="42" borderId="52" applyNumberFormat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108" fillId="40" borderId="42" applyNumberFormat="0" applyFont="0" applyAlignment="0" applyProtection="0"/>
    <xf numFmtId="0" fontId="148" fillId="40" borderId="42" applyNumberFormat="0" applyFont="0" applyAlignment="0" applyProtection="0"/>
    <xf numFmtId="0" fontId="147" fillId="40" borderId="42" applyNumberFormat="0" applyFont="0" applyAlignment="0" applyProtection="0"/>
    <xf numFmtId="0" fontId="1" fillId="40" borderId="42" applyNumberFormat="0" applyFon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147" fillId="40" borderId="42" applyNumberFormat="0" applyFont="0" applyAlignment="0" applyProtection="0"/>
    <xf numFmtId="0" fontId="108" fillId="40" borderId="42" applyNumberFormat="0" applyFon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21" fillId="42" borderId="52" applyNumberFormat="0" applyAlignment="0" applyProtection="0"/>
    <xf numFmtId="0" fontId="148" fillId="40" borderId="42" applyNumberFormat="0" applyFont="0" applyAlignment="0" applyProtection="0"/>
    <xf numFmtId="0" fontId="1" fillId="40" borderId="42" applyNumberFormat="0" applyFont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0" fontId="21" fillId="42" borderId="52" applyNumberFormat="0" applyAlignment="0" applyProtection="0"/>
    <xf numFmtId="44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0" fontId="173" fillId="72" borderId="51" applyNumberFormat="0" applyProtection="0">
      <alignment horizontal="center"/>
    </xf>
    <xf numFmtId="0" fontId="45" fillId="0" borderId="0"/>
    <xf numFmtId="0" fontId="173" fillId="72" borderId="55" applyNumberFormat="0" applyProtection="0">
      <alignment horizontal="center"/>
    </xf>
    <xf numFmtId="0" fontId="45" fillId="0" borderId="0"/>
    <xf numFmtId="0" fontId="173" fillId="72" borderId="55" applyNumberFormat="0" applyProtection="0">
      <alignment horizontal="center"/>
    </xf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40" borderId="50" applyNumberFormat="0" applyFont="0" applyAlignment="0" applyProtection="0"/>
    <xf numFmtId="0" fontId="148" fillId="40" borderId="50" applyNumberFormat="0" applyFont="0" applyAlignment="0" applyProtection="0"/>
    <xf numFmtId="0" fontId="147" fillId="40" borderId="50" applyNumberFormat="0" applyFont="0" applyAlignment="0" applyProtection="0"/>
    <xf numFmtId="0" fontId="1" fillId="40" borderId="50" applyNumberFormat="0" applyFont="0" applyAlignment="0" applyProtection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147" fillId="40" borderId="50" applyNumberFormat="0" applyFont="0" applyAlignment="0" applyProtection="0"/>
    <xf numFmtId="0" fontId="108" fillId="40" borderId="50" applyNumberFormat="0" applyFon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8" fillId="40" borderId="50" applyNumberFormat="0" applyFont="0" applyAlignment="0" applyProtection="0"/>
    <xf numFmtId="0" fontId="1" fillId="40" borderId="50" applyNumberFormat="0" applyFont="0" applyAlignment="0" applyProtection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40" borderId="50" applyNumberFormat="0" applyFont="0" applyAlignment="0" applyProtection="0"/>
    <xf numFmtId="0" fontId="148" fillId="40" borderId="50" applyNumberFormat="0" applyFont="0" applyAlignment="0" applyProtection="0"/>
    <xf numFmtId="0" fontId="147" fillId="40" borderId="50" applyNumberFormat="0" applyFont="0" applyAlignment="0" applyProtection="0"/>
    <xf numFmtId="0" fontId="1" fillId="40" borderId="50" applyNumberFormat="0" applyFont="0" applyAlignment="0" applyProtection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147" fillId="40" borderId="50" applyNumberFormat="0" applyFont="0" applyAlignment="0" applyProtection="0"/>
    <xf numFmtId="0" fontId="108" fillId="40" borderId="50" applyNumberFormat="0" applyFon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8" fillId="40" borderId="50" applyNumberFormat="0" applyFont="0" applyAlignment="0" applyProtection="0"/>
    <xf numFmtId="0" fontId="1" fillId="40" borderId="5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21" fillId="42" borderId="52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40" borderId="50" applyNumberFormat="0" applyFont="0" applyAlignment="0" applyProtection="0"/>
    <xf numFmtId="0" fontId="148" fillId="40" borderId="50" applyNumberFormat="0" applyFont="0" applyAlignment="0" applyProtection="0"/>
    <xf numFmtId="0" fontId="147" fillId="40" borderId="50" applyNumberFormat="0" applyFont="0" applyAlignment="0" applyProtection="0"/>
    <xf numFmtId="0" fontId="1" fillId="40" borderId="50" applyNumberFormat="0" applyFont="0" applyAlignment="0" applyProtection="0"/>
    <xf numFmtId="0" fontId="45" fillId="8" borderId="8" applyNumberFormat="0" applyFon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147" fillId="40" borderId="50" applyNumberFormat="0" applyFont="0" applyAlignment="0" applyProtection="0"/>
    <xf numFmtId="0" fontId="108" fillId="40" borderId="50" applyNumberFormat="0" applyFon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45" fillId="0" borderId="0"/>
    <xf numFmtId="0" fontId="45" fillId="0" borderId="0"/>
    <xf numFmtId="0" fontId="45" fillId="0" borderId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1" fillId="42" borderId="52" applyNumberFormat="0" applyAlignment="0" applyProtection="0"/>
    <xf numFmtId="0" fontId="148" fillId="40" borderId="50" applyNumberFormat="0" applyFont="0" applyAlignment="0" applyProtection="0"/>
    <xf numFmtId="0" fontId="1" fillId="40" borderId="50" applyNumberFormat="0" applyFont="0" applyAlignment="0" applyProtection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21" fillId="42" borderId="52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40" borderId="50" applyNumberFormat="0" applyFont="0" applyAlignment="0" applyProtection="0"/>
    <xf numFmtId="0" fontId="148" fillId="40" borderId="50" applyNumberFormat="0" applyFont="0" applyAlignment="0" applyProtection="0"/>
    <xf numFmtId="0" fontId="147" fillId="40" borderId="50" applyNumberFormat="0" applyFont="0" applyAlignment="0" applyProtection="0"/>
    <xf numFmtId="0" fontId="1" fillId="40" borderId="50" applyNumberFormat="0" applyFont="0" applyAlignment="0" applyProtection="0"/>
    <xf numFmtId="0" fontId="45" fillId="8" borderId="8" applyNumberFormat="0" applyFon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147" fillId="40" borderId="50" applyNumberFormat="0" applyFont="0" applyAlignment="0" applyProtection="0"/>
    <xf numFmtId="0" fontId="108" fillId="40" borderId="50" applyNumberFormat="0" applyFon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45" fillId="0" borderId="0"/>
    <xf numFmtId="0" fontId="45" fillId="0" borderId="0"/>
    <xf numFmtId="0" fontId="45" fillId="0" borderId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1" fillId="42" borderId="52" applyNumberFormat="0" applyAlignment="0" applyProtection="0"/>
    <xf numFmtId="0" fontId="148" fillId="40" borderId="50" applyNumberFormat="0" applyFont="0" applyAlignment="0" applyProtection="0"/>
    <xf numFmtId="0" fontId="1" fillId="40" borderId="50" applyNumberFormat="0" applyFont="0" applyAlignment="0" applyProtection="0"/>
    <xf numFmtId="0" fontId="45" fillId="0" borderId="0"/>
    <xf numFmtId="0" fontId="147" fillId="40" borderId="50" applyNumberFormat="0" applyFont="0" applyAlignment="0" applyProtection="0"/>
    <xf numFmtId="0" fontId="108" fillId="40" borderId="50" applyNumberFormat="0" applyFont="0" applyAlignment="0" applyProtection="0"/>
    <xf numFmtId="0" fontId="148" fillId="40" borderId="50" applyNumberFormat="0" applyFont="0" applyAlignment="0" applyProtection="0"/>
    <xf numFmtId="0" fontId="1" fillId="40" borderId="50" applyNumberFormat="0" applyFont="0" applyAlignment="0" applyProtection="0"/>
    <xf numFmtId="0" fontId="108" fillId="40" borderId="50" applyNumberFormat="0" applyFont="0" applyAlignment="0" applyProtection="0"/>
    <xf numFmtId="0" fontId="148" fillId="40" borderId="50" applyNumberFormat="0" applyFont="0" applyAlignment="0" applyProtection="0"/>
    <xf numFmtId="0" fontId="147" fillId="40" borderId="50" applyNumberFormat="0" applyFont="0" applyAlignment="0" applyProtection="0"/>
    <xf numFmtId="0" fontId="1" fillId="40" borderId="50" applyNumberFormat="0" applyFont="0" applyAlignment="0" applyProtection="0"/>
    <xf numFmtId="0" fontId="147" fillId="40" borderId="50" applyNumberFormat="0" applyFont="0" applyAlignment="0" applyProtection="0"/>
    <xf numFmtId="0" fontId="108" fillId="40" borderId="50" applyNumberFormat="0" applyFont="0" applyAlignment="0" applyProtection="0"/>
    <xf numFmtId="0" fontId="148" fillId="40" borderId="50" applyNumberFormat="0" applyFont="0" applyAlignment="0" applyProtection="0"/>
    <xf numFmtId="0" fontId="1" fillId="40" borderId="50" applyNumberFormat="0" applyFont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0" fontId="173" fillId="72" borderId="55" applyNumberFormat="0" applyProtection="0">
      <alignment horizontal="center"/>
    </xf>
    <xf numFmtId="0" fontId="45" fillId="0" borderId="0"/>
    <xf numFmtId="0" fontId="173" fillId="72" borderId="55" applyNumberFormat="0" applyProtection="0">
      <alignment horizontal="center"/>
    </xf>
    <xf numFmtId="0" fontId="45" fillId="0" borderId="0"/>
    <xf numFmtId="0" fontId="173" fillId="72" borderId="55" applyNumberFormat="0" applyProtection="0">
      <alignment horizontal="center"/>
    </xf>
    <xf numFmtId="0" fontId="108" fillId="40" borderId="56" applyNumberFormat="0" applyFont="0" applyAlignment="0" applyProtection="0"/>
    <xf numFmtId="0" fontId="148" fillId="40" borderId="56" applyNumberFormat="0" applyFont="0" applyAlignment="0" applyProtection="0"/>
    <xf numFmtId="0" fontId="147" fillId="40" borderId="56" applyNumberFormat="0" applyFont="0" applyAlignment="0" applyProtection="0"/>
    <xf numFmtId="0" fontId="1" fillId="40" borderId="56" applyNumberFormat="0" applyFon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147" fillId="40" borderId="56" applyNumberFormat="0" applyFont="0" applyAlignment="0" applyProtection="0"/>
    <xf numFmtId="0" fontId="108" fillId="40" borderId="56" applyNumberFormat="0" applyFon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21" fillId="42" borderId="52" applyNumberFormat="0" applyAlignment="0" applyProtection="0"/>
    <xf numFmtId="0" fontId="148" fillId="40" borderId="56" applyNumberFormat="0" applyFont="0" applyAlignment="0" applyProtection="0"/>
    <xf numFmtId="0" fontId="1" fillId="40" borderId="56" applyNumberFormat="0" applyFon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21" fillId="42" borderId="52" applyNumberFormat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108" fillId="40" borderId="56" applyNumberFormat="0" applyFont="0" applyAlignment="0" applyProtection="0"/>
    <xf numFmtId="0" fontId="148" fillId="40" borderId="56" applyNumberFormat="0" applyFont="0" applyAlignment="0" applyProtection="0"/>
    <xf numFmtId="0" fontId="147" fillId="40" borderId="56" applyNumberFormat="0" applyFont="0" applyAlignment="0" applyProtection="0"/>
    <xf numFmtId="0" fontId="1" fillId="40" borderId="56" applyNumberFormat="0" applyFon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147" fillId="40" borderId="56" applyNumberFormat="0" applyFont="0" applyAlignment="0" applyProtection="0"/>
    <xf numFmtId="0" fontId="108" fillId="40" borderId="56" applyNumberFormat="0" applyFon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21" fillId="42" borderId="52" applyNumberFormat="0" applyAlignment="0" applyProtection="0"/>
    <xf numFmtId="0" fontId="148" fillId="40" borderId="56" applyNumberFormat="0" applyFont="0" applyAlignment="0" applyProtection="0"/>
    <xf numFmtId="0" fontId="1" fillId="40" borderId="56" applyNumberFormat="0" applyFon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21" fillId="42" borderId="52" applyNumberFormat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108" fillId="40" borderId="56" applyNumberFormat="0" applyFont="0" applyAlignment="0" applyProtection="0"/>
    <xf numFmtId="0" fontId="148" fillId="40" borderId="56" applyNumberFormat="0" applyFont="0" applyAlignment="0" applyProtection="0"/>
    <xf numFmtId="0" fontId="147" fillId="40" borderId="56" applyNumberFormat="0" applyFont="0" applyAlignment="0" applyProtection="0"/>
    <xf numFmtId="0" fontId="1" fillId="40" borderId="56" applyNumberFormat="0" applyFon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147" fillId="40" borderId="56" applyNumberFormat="0" applyFont="0" applyAlignment="0" applyProtection="0"/>
    <xf numFmtId="0" fontId="108" fillId="40" borderId="56" applyNumberFormat="0" applyFon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21" fillId="42" borderId="52" applyNumberFormat="0" applyAlignment="0" applyProtection="0"/>
    <xf numFmtId="0" fontId="148" fillId="40" borderId="56" applyNumberFormat="0" applyFont="0" applyAlignment="0" applyProtection="0"/>
    <xf numFmtId="0" fontId="1" fillId="40" borderId="56" applyNumberFormat="0" applyFon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21" fillId="42" borderId="52" applyNumberFormat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108" fillId="40" borderId="56" applyNumberFormat="0" applyFont="0" applyAlignment="0" applyProtection="0"/>
    <xf numFmtId="0" fontId="148" fillId="40" borderId="56" applyNumberFormat="0" applyFont="0" applyAlignment="0" applyProtection="0"/>
    <xf numFmtId="0" fontId="147" fillId="40" borderId="56" applyNumberFormat="0" applyFont="0" applyAlignment="0" applyProtection="0"/>
    <xf numFmtId="0" fontId="1" fillId="40" borderId="56" applyNumberFormat="0" applyFon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147" fillId="40" borderId="56" applyNumberFormat="0" applyFont="0" applyAlignment="0" applyProtection="0"/>
    <xf numFmtId="0" fontId="108" fillId="40" borderId="56" applyNumberFormat="0" applyFon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21" fillId="42" borderId="52" applyNumberFormat="0" applyAlignment="0" applyProtection="0"/>
    <xf numFmtId="0" fontId="148" fillId="40" borderId="56" applyNumberFormat="0" applyFont="0" applyAlignment="0" applyProtection="0"/>
    <xf numFmtId="0" fontId="1" fillId="40" borderId="56" applyNumberFormat="0" applyFont="0" applyAlignment="0" applyProtection="0"/>
    <xf numFmtId="0" fontId="147" fillId="40" borderId="56" applyNumberFormat="0" applyFont="0" applyAlignment="0" applyProtection="0"/>
    <xf numFmtId="0" fontId="108" fillId="40" borderId="56" applyNumberFormat="0" applyFon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21" fillId="42" borderId="52" applyNumberFormat="0" applyAlignment="0" applyProtection="0"/>
    <xf numFmtId="0" fontId="148" fillId="40" borderId="56" applyNumberFormat="0" applyFont="0" applyAlignment="0" applyProtection="0"/>
    <xf numFmtId="0" fontId="1" fillId="40" borderId="56" applyNumberFormat="0" applyFon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21" fillId="42" borderId="52" applyNumberFormat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108" fillId="40" borderId="56" applyNumberFormat="0" applyFont="0" applyAlignment="0" applyProtection="0"/>
    <xf numFmtId="0" fontId="148" fillId="40" borderId="56" applyNumberFormat="0" applyFont="0" applyAlignment="0" applyProtection="0"/>
    <xf numFmtId="0" fontId="147" fillId="40" borderId="56" applyNumberFormat="0" applyFont="0" applyAlignment="0" applyProtection="0"/>
    <xf numFmtId="0" fontId="1" fillId="40" borderId="56" applyNumberFormat="0" applyFon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147" fillId="40" borderId="56" applyNumberFormat="0" applyFont="0" applyAlignment="0" applyProtection="0"/>
    <xf numFmtId="0" fontId="108" fillId="40" borderId="56" applyNumberFormat="0" applyFon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21" fillId="42" borderId="52" applyNumberFormat="0" applyAlignment="0" applyProtection="0"/>
    <xf numFmtId="0" fontId="148" fillId="40" borderId="56" applyNumberFormat="0" applyFont="0" applyAlignment="0" applyProtection="0"/>
    <xf numFmtId="0" fontId="1" fillId="40" borderId="56" applyNumberFormat="0" applyFont="0" applyAlignment="0" applyProtection="0"/>
    <xf numFmtId="0" fontId="173" fillId="72" borderId="55" applyNumberFormat="0" applyProtection="0">
      <alignment horizontal="center"/>
    </xf>
    <xf numFmtId="0" fontId="173" fillId="72" borderId="55" applyNumberFormat="0" applyProtection="0">
      <alignment horizontal="center"/>
    </xf>
    <xf numFmtId="0" fontId="173" fillId="72" borderId="55" applyNumberFormat="0" applyProtection="0">
      <alignment horizontal="center"/>
    </xf>
    <xf numFmtId="0" fontId="108" fillId="40" borderId="56" applyNumberFormat="0" applyFont="0" applyAlignment="0" applyProtection="0"/>
    <xf numFmtId="0" fontId="148" fillId="40" borderId="56" applyNumberFormat="0" applyFont="0" applyAlignment="0" applyProtection="0"/>
    <xf numFmtId="0" fontId="147" fillId="40" borderId="56" applyNumberFormat="0" applyFont="0" applyAlignment="0" applyProtection="0"/>
    <xf numFmtId="0" fontId="1" fillId="40" borderId="56" applyNumberFormat="0" applyFont="0" applyAlignment="0" applyProtection="0"/>
    <xf numFmtId="0" fontId="147" fillId="40" borderId="56" applyNumberFormat="0" applyFont="0" applyAlignment="0" applyProtection="0"/>
    <xf numFmtId="0" fontId="108" fillId="40" borderId="56" applyNumberFormat="0" applyFont="0" applyAlignment="0" applyProtection="0"/>
    <xf numFmtId="0" fontId="148" fillId="40" borderId="56" applyNumberFormat="0" applyFont="0" applyAlignment="0" applyProtection="0"/>
    <xf numFmtId="0" fontId="1" fillId="40" borderId="56" applyNumberFormat="0" applyFont="0" applyAlignment="0" applyProtection="0"/>
    <xf numFmtId="0" fontId="108" fillId="40" borderId="56" applyNumberFormat="0" applyFont="0" applyAlignment="0" applyProtection="0"/>
    <xf numFmtId="0" fontId="148" fillId="40" borderId="56" applyNumberFormat="0" applyFont="0" applyAlignment="0" applyProtection="0"/>
    <xf numFmtId="0" fontId="147" fillId="40" borderId="56" applyNumberFormat="0" applyFont="0" applyAlignment="0" applyProtection="0"/>
    <xf numFmtId="0" fontId="1" fillId="40" borderId="56" applyNumberFormat="0" applyFont="0" applyAlignment="0" applyProtection="0"/>
    <xf numFmtId="0" fontId="147" fillId="40" borderId="56" applyNumberFormat="0" applyFont="0" applyAlignment="0" applyProtection="0"/>
    <xf numFmtId="0" fontId="108" fillId="40" borderId="56" applyNumberFormat="0" applyFont="0" applyAlignment="0" applyProtection="0"/>
    <xf numFmtId="0" fontId="148" fillId="40" borderId="56" applyNumberFormat="0" applyFont="0" applyAlignment="0" applyProtection="0"/>
    <xf numFmtId="0" fontId="1" fillId="40" borderId="56" applyNumberFormat="0" applyFon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21" fillId="42" borderId="52" applyNumberFormat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108" fillId="40" borderId="56" applyNumberFormat="0" applyFont="0" applyAlignment="0" applyProtection="0"/>
    <xf numFmtId="0" fontId="148" fillId="40" borderId="56" applyNumberFormat="0" applyFont="0" applyAlignment="0" applyProtection="0"/>
    <xf numFmtId="0" fontId="147" fillId="40" borderId="56" applyNumberFormat="0" applyFont="0" applyAlignment="0" applyProtection="0"/>
    <xf numFmtId="0" fontId="1" fillId="40" borderId="56" applyNumberFormat="0" applyFon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147" fillId="40" borderId="56" applyNumberFormat="0" applyFont="0" applyAlignment="0" applyProtection="0"/>
    <xf numFmtId="0" fontId="108" fillId="40" borderId="56" applyNumberFormat="0" applyFon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21" fillId="42" borderId="52" applyNumberFormat="0" applyAlignment="0" applyProtection="0"/>
    <xf numFmtId="0" fontId="148" fillId="40" borderId="56" applyNumberFormat="0" applyFont="0" applyAlignment="0" applyProtection="0"/>
    <xf numFmtId="0" fontId="1" fillId="40" borderId="56" applyNumberFormat="0" applyFon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21" fillId="42" borderId="52" applyNumberFormat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108" fillId="40" borderId="56" applyNumberFormat="0" applyFont="0" applyAlignment="0" applyProtection="0"/>
    <xf numFmtId="0" fontId="148" fillId="40" borderId="56" applyNumberFormat="0" applyFont="0" applyAlignment="0" applyProtection="0"/>
    <xf numFmtId="0" fontId="147" fillId="40" borderId="56" applyNumberFormat="0" applyFont="0" applyAlignment="0" applyProtection="0"/>
    <xf numFmtId="0" fontId="1" fillId="40" borderId="56" applyNumberFormat="0" applyFon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147" fillId="40" borderId="56" applyNumberFormat="0" applyFont="0" applyAlignment="0" applyProtection="0"/>
    <xf numFmtId="0" fontId="108" fillId="40" borderId="56" applyNumberFormat="0" applyFont="0" applyAlignment="0" applyProtection="0"/>
    <xf numFmtId="0" fontId="33" fillId="39" borderId="52" applyNumberFormat="0" applyAlignment="0" applyProtection="0"/>
    <xf numFmtId="0" fontId="33" fillId="39" borderId="52" applyNumberFormat="0" applyAlignment="0" applyProtection="0"/>
    <xf numFmtId="0" fontId="21" fillId="42" borderId="52" applyNumberFormat="0" applyAlignment="0" applyProtection="0"/>
    <xf numFmtId="0" fontId="151" fillId="42" borderId="52" applyNumberFormat="0" applyAlignment="0" applyProtection="0"/>
    <xf numFmtId="0" fontId="21" fillId="42" borderId="52" applyNumberFormat="0" applyAlignment="0" applyProtection="0"/>
    <xf numFmtId="0" fontId="39" fillId="42" borderId="53" applyNumberFormat="0" applyAlignment="0" applyProtection="0"/>
    <xf numFmtId="0" fontId="166" fillId="42" borderId="53" applyNumberFormat="0" applyAlignment="0" applyProtection="0"/>
    <xf numFmtId="0" fontId="39" fillId="42" borderId="53" applyNumberFormat="0" applyAlignment="0" applyProtection="0"/>
    <xf numFmtId="0" fontId="39" fillId="42" borderId="53" applyNumberFormat="0" applyAlignment="0" applyProtection="0"/>
    <xf numFmtId="0" fontId="117" fillId="0" borderId="54" applyNumberFormat="0" applyFill="0" applyAlignment="0" applyProtection="0"/>
    <xf numFmtId="0" fontId="167" fillId="0" borderId="54" applyNumberFormat="0" applyFill="0" applyAlignment="0" applyProtection="0"/>
    <xf numFmtId="0" fontId="117" fillId="0" borderId="54" applyNumberFormat="0" applyFill="0" applyAlignment="0" applyProtection="0"/>
    <xf numFmtId="0" fontId="117" fillId="0" borderId="54" applyNumberFormat="0" applyFill="0" applyAlignment="0" applyProtection="0"/>
    <xf numFmtId="0" fontId="33" fillId="39" borderId="52" applyNumberFormat="0" applyAlignment="0" applyProtection="0"/>
    <xf numFmtId="0" fontId="159" fillId="39" borderId="52" applyNumberFormat="0" applyAlignment="0" applyProtection="0"/>
    <xf numFmtId="0" fontId="21" fillId="42" borderId="52" applyNumberFormat="0" applyAlignment="0" applyProtection="0"/>
    <xf numFmtId="0" fontId="148" fillId="40" borderId="56" applyNumberFormat="0" applyFont="0" applyAlignment="0" applyProtection="0"/>
    <xf numFmtId="0" fontId="1" fillId="40" borderId="56" applyNumberFormat="0" applyFont="0" applyAlignment="0" applyProtection="0"/>
    <xf numFmtId="0" fontId="147" fillId="40" borderId="56" applyNumberFormat="0" applyFont="0" applyAlignment="0" applyProtection="0"/>
    <xf numFmtId="0" fontId="108" fillId="40" borderId="56" applyNumberFormat="0" applyFont="0" applyAlignment="0" applyProtection="0"/>
    <xf numFmtId="0" fontId="148" fillId="40" borderId="56" applyNumberFormat="0" applyFont="0" applyAlignment="0" applyProtection="0"/>
    <xf numFmtId="0" fontId="1" fillId="40" borderId="56" applyNumberFormat="0" applyFont="0" applyAlignment="0" applyProtection="0"/>
    <xf numFmtId="0" fontId="108" fillId="40" borderId="56" applyNumberFormat="0" applyFont="0" applyAlignment="0" applyProtection="0"/>
    <xf numFmtId="0" fontId="148" fillId="40" borderId="56" applyNumberFormat="0" applyFont="0" applyAlignment="0" applyProtection="0"/>
    <xf numFmtId="0" fontId="147" fillId="40" borderId="56" applyNumberFormat="0" applyFont="0" applyAlignment="0" applyProtection="0"/>
    <xf numFmtId="0" fontId="1" fillId="40" borderId="56" applyNumberFormat="0" applyFont="0" applyAlignment="0" applyProtection="0"/>
    <xf numFmtId="0" fontId="147" fillId="40" borderId="56" applyNumberFormat="0" applyFont="0" applyAlignment="0" applyProtection="0"/>
    <xf numFmtId="0" fontId="108" fillId="40" borderId="56" applyNumberFormat="0" applyFont="0" applyAlignment="0" applyProtection="0"/>
    <xf numFmtId="0" fontId="148" fillId="40" borderId="56" applyNumberFormat="0" applyFont="0" applyAlignment="0" applyProtection="0"/>
    <xf numFmtId="0" fontId="1" fillId="40" borderId="56" applyNumberFormat="0" applyFont="0" applyAlignment="0" applyProtection="0"/>
    <xf numFmtId="0" fontId="173" fillId="72" borderId="55" applyNumberFormat="0" applyProtection="0">
      <alignment horizontal="center"/>
    </xf>
    <xf numFmtId="0" fontId="173" fillId="72" borderId="55" applyNumberFormat="0" applyProtection="0">
      <alignment horizontal="center"/>
    </xf>
    <xf numFmtId="0" fontId="173" fillId="72" borderId="55" applyNumberFormat="0" applyProtection="0">
      <alignment horizontal="center"/>
    </xf>
    <xf numFmtId="0" fontId="173" fillId="72" borderId="55" applyNumberFormat="0" applyProtection="0">
      <alignment horizontal="center" wrapText="1"/>
    </xf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87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86" fillId="4" borderId="0" applyNumberFormat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20" borderId="0" applyNumberFormat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24" borderId="0" applyNumberFormat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28" borderId="0" applyNumberFormat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32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074">
    <xf numFmtId="0" fontId="0" fillId="0" borderId="0" xfId="0"/>
    <xf numFmtId="0" fontId="3" fillId="0" borderId="0" xfId="1" applyFont="1"/>
    <xf numFmtId="0" fontId="11" fillId="0" borderId="0" xfId="8" applyFont="1" applyAlignment="1">
      <alignment horizontal="center"/>
    </xf>
    <xf numFmtId="0" fontId="11" fillId="0" borderId="0" xfId="8" applyFont="1" applyAlignment="1">
      <alignment horizontal="center" wrapText="1"/>
    </xf>
    <xf numFmtId="43" fontId="11" fillId="0" borderId="0" xfId="9" applyFont="1" applyAlignment="1">
      <alignment horizontal="center" wrapText="1"/>
    </xf>
    <xf numFmtId="43" fontId="13" fillId="0" borderId="0" xfId="9" applyFont="1"/>
    <xf numFmtId="0" fontId="13" fillId="0" borderId="0" xfId="7" applyFont="1"/>
    <xf numFmtId="41" fontId="13" fillId="0" borderId="0" xfId="9" applyNumberFormat="1" applyFont="1"/>
    <xf numFmtId="41" fontId="13" fillId="0" borderId="0" xfId="9" applyNumberFormat="1" applyFont="1" applyAlignment="1">
      <alignment horizontal="center"/>
    </xf>
    <xf numFmtId="43" fontId="13" fillId="34" borderId="0" xfId="9" applyFont="1" applyFill="1"/>
    <xf numFmtId="41" fontId="11" fillId="0" borderId="17" xfId="9" applyNumberFormat="1" applyFont="1" applyBorder="1"/>
    <xf numFmtId="41" fontId="11" fillId="0" borderId="0" xfId="9" applyNumberFormat="1" applyFont="1"/>
    <xf numFmtId="41" fontId="13" fillId="0" borderId="0" xfId="8" applyNumberFormat="1" applyFont="1"/>
    <xf numFmtId="41" fontId="13" fillId="34" borderId="0" xfId="9" applyNumberFormat="1" applyFont="1" applyFill="1" applyAlignment="1" applyProtection="1">
      <alignment horizontal="center"/>
      <protection locked="0"/>
    </xf>
    <xf numFmtId="41" fontId="13" fillId="34" borderId="0" xfId="9" applyNumberFormat="1" applyFont="1" applyFill="1" applyProtection="1">
      <protection locked="0"/>
    </xf>
    <xf numFmtId="41" fontId="11" fillId="0" borderId="17" xfId="9" applyNumberFormat="1" applyFont="1" applyBorder="1" applyAlignment="1">
      <alignment horizontal="right"/>
    </xf>
    <xf numFmtId="41" fontId="11" fillId="0" borderId="0" xfId="9" applyNumberFormat="1" applyFont="1" applyAlignment="1">
      <alignment horizontal="right"/>
    </xf>
    <xf numFmtId="165" fontId="11" fillId="37" borderId="18" xfId="9" applyNumberFormat="1" applyFont="1" applyFill="1" applyBorder="1" applyAlignment="1">
      <alignment horizontal="center"/>
    </xf>
    <xf numFmtId="0" fontId="11" fillId="0" borderId="0" xfId="12" applyFont="1" applyAlignment="1">
      <alignment horizontal="left"/>
    </xf>
    <xf numFmtId="0" fontId="13" fillId="0" borderId="0" xfId="12" applyFont="1" applyAlignment="1">
      <alignment horizontal="left"/>
    </xf>
    <xf numFmtId="41" fontId="8" fillId="0" borderId="0" xfId="9" applyNumberFormat="1" applyFont="1" applyAlignment="1">
      <alignment horizontal="center"/>
    </xf>
    <xf numFmtId="41" fontId="8" fillId="0" borderId="19" xfId="9" applyNumberFormat="1" applyFont="1" applyBorder="1"/>
    <xf numFmtId="41" fontId="8" fillId="0" borderId="0" xfId="9" applyNumberFormat="1" applyFont="1"/>
    <xf numFmtId="14" fontId="1" fillId="0" borderId="0" xfId="14127" applyNumberFormat="1" applyFont="1" applyAlignment="1">
      <alignment horizontal="center"/>
    </xf>
    <xf numFmtId="0" fontId="1" fillId="0" borderId="0" xfId="14127" applyFont="1" applyAlignment="1">
      <alignment horizontal="center"/>
    </xf>
    <xf numFmtId="0" fontId="5" fillId="0" borderId="0" xfId="3" quotePrefix="1" applyFont="1" applyAlignment="1">
      <alignment horizontal="center" vertical="top" wrapText="1"/>
    </xf>
    <xf numFmtId="14" fontId="5" fillId="0" borderId="0" xfId="3" applyNumberFormat="1" applyFont="1" applyAlignment="1">
      <alignment vertical="top" wrapText="1"/>
    </xf>
    <xf numFmtId="0" fontId="13" fillId="0" borderId="0" xfId="1" applyFont="1"/>
    <xf numFmtId="0" fontId="13" fillId="0" borderId="0" xfId="7" applyFont="1" applyAlignment="1">
      <alignment horizontal="center"/>
    </xf>
    <xf numFmtId="0" fontId="3" fillId="0" borderId="0" xfId="7" applyFont="1" applyAlignment="1">
      <alignment wrapText="1"/>
    </xf>
    <xf numFmtId="0" fontId="11" fillId="0" borderId="0" xfId="1" applyFont="1" applyAlignment="1">
      <alignment wrapText="1"/>
    </xf>
    <xf numFmtId="0" fontId="11" fillId="0" borderId="0" xfId="7" applyFont="1" applyAlignment="1">
      <alignment horizontal="center" wrapText="1"/>
    </xf>
    <xf numFmtId="0" fontId="11" fillId="0" borderId="0" xfId="1" applyFont="1" applyAlignment="1">
      <alignment horizontal="center" wrapText="1"/>
    </xf>
    <xf numFmtId="0" fontId="11" fillId="0" borderId="0" xfId="7" applyFont="1" applyAlignment="1">
      <alignment horizontal="center" vertical="center"/>
    </xf>
    <xf numFmtId="0" fontId="48" fillId="0" borderId="0" xfId="3" applyFont="1" applyAlignment="1">
      <alignment vertical="top" wrapText="1"/>
    </xf>
    <xf numFmtId="41" fontId="13" fillId="0" borderId="0" xfId="7" applyNumberFormat="1" applyFont="1" applyAlignment="1">
      <alignment horizontal="center"/>
    </xf>
    <xf numFmtId="41" fontId="13" fillId="0" borderId="0" xfId="7" applyNumberFormat="1" applyFont="1"/>
    <xf numFmtId="0" fontId="13" fillId="0" borderId="0" xfId="7" applyFont="1" applyAlignment="1">
      <alignment vertical="center"/>
    </xf>
    <xf numFmtId="0" fontId="13" fillId="0" borderId="0" xfId="12" applyFont="1" applyAlignment="1">
      <alignment horizontal="center"/>
    </xf>
    <xf numFmtId="44" fontId="13" fillId="0" borderId="0" xfId="12" applyNumberFormat="1" applyFont="1" applyAlignment="1">
      <alignment horizontal="center"/>
    </xf>
    <xf numFmtId="0" fontId="49" fillId="0" borderId="0" xfId="8" applyFont="1"/>
    <xf numFmtId="0" fontId="11" fillId="0" borderId="0" xfId="1" applyFont="1"/>
    <xf numFmtId="0" fontId="8" fillId="0" borderId="0" xfId="1" applyFont="1"/>
    <xf numFmtId="0" fontId="8" fillId="0" borderId="0" xfId="7" applyFont="1"/>
    <xf numFmtId="41" fontId="11" fillId="0" borderId="0" xfId="7" applyNumberFormat="1" applyFont="1" applyAlignment="1">
      <alignment horizontal="center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3" fillId="0" borderId="0" xfId="1" applyFont="1" applyAlignment="1">
      <alignment wrapText="1"/>
    </xf>
    <xf numFmtId="0" fontId="3" fillId="0" borderId="0" xfId="1" applyFont="1" applyAlignment="1">
      <alignment horizontal="center" wrapText="1"/>
    </xf>
    <xf numFmtId="0" fontId="11" fillId="0" borderId="0" xfId="7" applyFont="1" applyAlignment="1">
      <alignment horizontal="center"/>
    </xf>
    <xf numFmtId="0" fontId="8" fillId="0" borderId="0" xfId="7" applyFont="1" applyAlignment="1">
      <alignment horizontal="center"/>
    </xf>
    <xf numFmtId="0" fontId="13" fillId="0" borderId="0" xfId="1" applyFont="1" applyAlignment="1">
      <alignment vertical="center" wrapText="1"/>
    </xf>
    <xf numFmtId="43" fontId="11" fillId="0" borderId="0" xfId="10" applyFont="1" applyAlignment="1">
      <alignment horizontal="center" vertical="center" wrapText="1"/>
    </xf>
    <xf numFmtId="0" fontId="51" fillId="33" borderId="0" xfId="1" applyFont="1" applyFill="1"/>
    <xf numFmtId="0" fontId="52" fillId="33" borderId="0" xfId="1" applyFont="1" applyFill="1"/>
    <xf numFmtId="41" fontId="52" fillId="33" borderId="0" xfId="1" applyNumberFormat="1" applyFont="1" applyFill="1"/>
    <xf numFmtId="0" fontId="55" fillId="33" borderId="0" xfId="1" applyFont="1" applyFill="1" applyAlignment="1">
      <alignment horizontal="left"/>
    </xf>
    <xf numFmtId="0" fontId="56" fillId="33" borderId="0" xfId="1" applyFont="1" applyFill="1" applyAlignment="1">
      <alignment horizontal="left"/>
    </xf>
    <xf numFmtId="41" fontId="57" fillId="33" borderId="0" xfId="1" applyNumberFormat="1" applyFont="1" applyFill="1"/>
    <xf numFmtId="41" fontId="53" fillId="33" borderId="0" xfId="1" applyNumberFormat="1" applyFont="1" applyFill="1"/>
    <xf numFmtId="41" fontId="52" fillId="33" borderId="0" xfId="1" applyNumberFormat="1" applyFont="1" applyFill="1" applyAlignment="1">
      <alignment horizontal="right"/>
    </xf>
    <xf numFmtId="0" fontId="58" fillId="33" borderId="0" xfId="1" applyFont="1" applyFill="1"/>
    <xf numFmtId="0" fontId="59" fillId="33" borderId="0" xfId="1" applyFont="1" applyFill="1"/>
    <xf numFmtId="41" fontId="59" fillId="33" borderId="0" xfId="1" applyNumberFormat="1" applyFont="1" applyFill="1"/>
    <xf numFmtId="41" fontId="56" fillId="33" borderId="0" xfId="1" applyNumberFormat="1" applyFont="1" applyFill="1" applyAlignment="1">
      <alignment horizontal="center"/>
    </xf>
    <xf numFmtId="41" fontId="52" fillId="33" borderId="0" xfId="1" applyNumberFormat="1" applyFont="1" applyFill="1" applyAlignment="1">
      <alignment horizontal="center" vertical="center" wrapText="1"/>
    </xf>
    <xf numFmtId="41" fontId="56" fillId="33" borderId="0" xfId="1" applyNumberFormat="1" applyFont="1" applyFill="1" applyAlignment="1">
      <alignment horizontal="center" vertical="center" wrapText="1"/>
    </xf>
    <xf numFmtId="0" fontId="59" fillId="33" borderId="0" xfId="1" applyFont="1" applyFill="1" applyAlignment="1">
      <alignment vertical="center" wrapText="1"/>
    </xf>
    <xf numFmtId="9" fontId="56" fillId="33" borderId="0" xfId="4" applyFont="1" applyFill="1" applyAlignment="1">
      <alignment vertical="center"/>
    </xf>
    <xf numFmtId="9" fontId="56" fillId="33" borderId="0" xfId="4" applyFont="1" applyFill="1" applyAlignment="1">
      <alignment horizontal="left" vertical="center"/>
    </xf>
    <xf numFmtId="168" fontId="59" fillId="33" borderId="0" xfId="4" applyNumberFormat="1" applyFont="1" applyFill="1" applyAlignment="1">
      <alignment horizontal="center" vertical="center"/>
    </xf>
    <xf numFmtId="168" fontId="61" fillId="33" borderId="34" xfId="4" applyNumberFormat="1" applyFont="1" applyFill="1" applyBorder="1" applyAlignment="1">
      <alignment horizontal="center" vertical="center"/>
    </xf>
    <xf numFmtId="168" fontId="61" fillId="33" borderId="31" xfId="4" applyNumberFormat="1" applyFont="1" applyFill="1" applyBorder="1" applyAlignment="1">
      <alignment horizontal="center" vertical="center"/>
    </xf>
    <xf numFmtId="168" fontId="61" fillId="33" borderId="0" xfId="4" applyNumberFormat="1" applyFont="1" applyFill="1" applyAlignment="1">
      <alignment horizontal="center" vertical="center"/>
    </xf>
    <xf numFmtId="9" fontId="61" fillId="33" borderId="0" xfId="4" applyFont="1" applyFill="1" applyAlignment="1">
      <alignment horizontal="center" vertical="center"/>
    </xf>
    <xf numFmtId="9" fontId="59" fillId="33" borderId="0" xfId="4" applyFont="1" applyFill="1" applyAlignment="1">
      <alignment vertical="center"/>
    </xf>
    <xf numFmtId="9" fontId="56" fillId="33" borderId="0" xfId="4" applyFont="1" applyFill="1" applyAlignment="1">
      <alignment horizontal="center" vertical="center"/>
    </xf>
    <xf numFmtId="168" fontId="59" fillId="33" borderId="34" xfId="4" applyNumberFormat="1" applyFont="1" applyFill="1" applyBorder="1" applyAlignment="1">
      <alignment horizontal="center" vertical="center"/>
    </xf>
    <xf numFmtId="168" fontId="61" fillId="33" borderId="31" xfId="4" applyNumberFormat="1" applyFont="1" applyFill="1" applyBorder="1" applyAlignment="1">
      <alignment horizontal="center" vertical="center" wrapText="1"/>
    </xf>
    <xf numFmtId="168" fontId="61" fillId="33" borderId="0" xfId="4" applyNumberFormat="1" applyFont="1" applyFill="1" applyAlignment="1">
      <alignment horizontal="center" vertical="center" wrapText="1"/>
    </xf>
    <xf numFmtId="168" fontId="61" fillId="33" borderId="34" xfId="4" applyNumberFormat="1" applyFont="1" applyFill="1" applyBorder="1" applyAlignment="1">
      <alignment horizontal="center" vertical="center" wrapText="1"/>
    </xf>
    <xf numFmtId="9" fontId="56" fillId="33" borderId="0" xfId="4" applyFont="1" applyFill="1" applyAlignment="1">
      <alignment vertical="center" wrapText="1"/>
    </xf>
    <xf numFmtId="9" fontId="56" fillId="33" borderId="0" xfId="4" applyFont="1" applyFill="1" applyAlignment="1">
      <alignment horizontal="left" vertical="center" wrapText="1"/>
    </xf>
    <xf numFmtId="168" fontId="59" fillId="33" borderId="0" xfId="4" applyNumberFormat="1" applyFont="1" applyFill="1" applyAlignment="1">
      <alignment horizontal="center" vertical="center" wrapText="1"/>
    </xf>
    <xf numFmtId="9" fontId="61" fillId="33" borderId="0" xfId="4" applyFont="1" applyFill="1" applyAlignment="1">
      <alignment horizontal="center" vertical="center" wrapText="1"/>
    </xf>
    <xf numFmtId="9" fontId="59" fillId="33" borderId="0" xfId="4" applyFont="1" applyFill="1" applyAlignment="1">
      <alignment vertical="center" wrapText="1"/>
    </xf>
    <xf numFmtId="168" fontId="59" fillId="33" borderId="14" xfId="4" applyNumberFormat="1" applyFont="1" applyFill="1" applyBorder="1" applyAlignment="1">
      <alignment horizontal="center" vertical="center" wrapText="1"/>
    </xf>
    <xf numFmtId="168" fontId="61" fillId="33" borderId="15" xfId="4" applyNumberFormat="1" applyFont="1" applyFill="1" applyBorder="1" applyAlignment="1">
      <alignment horizontal="center" vertical="center"/>
    </xf>
    <xf numFmtId="168" fontId="61" fillId="33" borderId="13" xfId="4" applyNumberFormat="1" applyFont="1" applyFill="1" applyBorder="1" applyAlignment="1">
      <alignment horizontal="center" vertical="center" wrapText="1"/>
    </xf>
    <xf numFmtId="168" fontId="61" fillId="33" borderId="14" xfId="4" applyNumberFormat="1" applyFont="1" applyFill="1" applyBorder="1" applyAlignment="1">
      <alignment horizontal="center" vertical="center" wrapText="1"/>
    </xf>
    <xf numFmtId="168" fontId="61" fillId="33" borderId="15" xfId="4" applyNumberFormat="1" applyFont="1" applyFill="1" applyBorder="1" applyAlignment="1">
      <alignment horizontal="center" vertical="center" wrapText="1"/>
    </xf>
    <xf numFmtId="49" fontId="56" fillId="33" borderId="0" xfId="1" applyNumberFormat="1" applyFont="1" applyFill="1" applyAlignment="1">
      <alignment vertical="center"/>
    </xf>
    <xf numFmtId="41" fontId="61" fillId="33" borderId="0" xfId="1" applyNumberFormat="1" applyFont="1" applyFill="1" applyAlignment="1">
      <alignment vertical="center"/>
    </xf>
    <xf numFmtId="9" fontId="61" fillId="33" borderId="0" xfId="4" applyFont="1" applyFill="1" applyAlignment="1">
      <alignment vertical="center"/>
    </xf>
    <xf numFmtId="41" fontId="59" fillId="33" borderId="0" xfId="1" applyNumberFormat="1" applyFont="1" applyFill="1" applyAlignment="1">
      <alignment vertical="center"/>
    </xf>
    <xf numFmtId="0" fontId="59" fillId="33" borderId="0" xfId="1" applyFont="1" applyFill="1" applyAlignment="1">
      <alignment vertical="center"/>
    </xf>
    <xf numFmtId="0" fontId="62" fillId="33" borderId="0" xfId="3" applyFont="1" applyFill="1" applyAlignment="1">
      <alignment vertical="center"/>
    </xf>
    <xf numFmtId="0" fontId="63" fillId="33" borderId="0" xfId="3" applyFont="1" applyFill="1" applyAlignment="1">
      <alignment horizontal="center" vertical="center" wrapText="1"/>
    </xf>
    <xf numFmtId="0" fontId="63" fillId="33" borderId="0" xfId="3" applyFont="1" applyFill="1" applyAlignment="1">
      <alignment vertical="center" wrapText="1"/>
    </xf>
    <xf numFmtId="41" fontId="61" fillId="33" borderId="0" xfId="4" applyNumberFormat="1" applyFont="1" applyFill="1" applyAlignment="1">
      <alignment vertical="center"/>
    </xf>
    <xf numFmtId="41" fontId="61" fillId="33" borderId="0" xfId="2" quotePrefix="1" applyNumberFormat="1" applyFont="1" applyFill="1" applyAlignment="1">
      <alignment horizontal="center" vertical="center"/>
    </xf>
    <xf numFmtId="41" fontId="61" fillId="33" borderId="0" xfId="2" quotePrefix="1" applyNumberFormat="1" applyFont="1" applyFill="1" applyAlignment="1">
      <alignment vertical="center"/>
    </xf>
    <xf numFmtId="0" fontId="64" fillId="33" borderId="0" xfId="3" applyFont="1" applyFill="1" applyAlignment="1">
      <alignment horizontal="center" vertical="center" wrapText="1"/>
    </xf>
    <xf numFmtId="0" fontId="64" fillId="33" borderId="0" xfId="3" applyFont="1" applyFill="1" applyAlignment="1">
      <alignment vertical="center" wrapText="1"/>
    </xf>
    <xf numFmtId="0" fontId="59" fillId="33" borderId="0" xfId="3" applyFont="1" applyFill="1" applyAlignment="1">
      <alignment vertical="center" wrapText="1"/>
    </xf>
    <xf numFmtId="0" fontId="64" fillId="33" borderId="0" xfId="3" applyFont="1" applyFill="1" applyAlignment="1">
      <alignment vertical="center"/>
    </xf>
    <xf numFmtId="41" fontId="65" fillId="33" borderId="0" xfId="1" applyNumberFormat="1" applyFont="1" applyFill="1" applyAlignment="1">
      <alignment vertical="center"/>
    </xf>
    <xf numFmtId="41" fontId="61" fillId="33" borderId="0" xfId="1" quotePrefix="1" applyNumberFormat="1" applyFont="1" applyFill="1" applyAlignment="1">
      <alignment vertical="center"/>
    </xf>
    <xf numFmtId="0" fontId="64" fillId="0" borderId="0" xfId="3" applyFont="1" applyAlignment="1">
      <alignment vertical="center" wrapText="1"/>
    </xf>
    <xf numFmtId="49" fontId="56" fillId="33" borderId="0" xfId="1" applyNumberFormat="1" applyFont="1" applyFill="1" applyAlignment="1">
      <alignment horizontal="left" vertical="center" wrapText="1"/>
    </xf>
    <xf numFmtId="49" fontId="61" fillId="33" borderId="0" xfId="1" applyNumberFormat="1" applyFont="1" applyFill="1" applyAlignment="1">
      <alignment horizontal="left" vertical="center" wrapText="1"/>
    </xf>
    <xf numFmtId="41" fontId="61" fillId="33" borderId="17" xfId="4" applyNumberFormat="1" applyFont="1" applyFill="1" applyBorder="1" applyAlignment="1">
      <alignment vertical="center"/>
    </xf>
    <xf numFmtId="0" fontId="52" fillId="33" borderId="0" xfId="1" applyFont="1" applyFill="1" applyAlignment="1">
      <alignment vertical="center"/>
    </xf>
    <xf numFmtId="41" fontId="52" fillId="33" borderId="0" xfId="1" applyNumberFormat="1" applyFont="1" applyFill="1" applyAlignment="1">
      <alignment vertical="center"/>
    </xf>
    <xf numFmtId="49" fontId="56" fillId="54" borderId="0" xfId="1" applyNumberFormat="1" applyFont="1" applyFill="1" applyAlignment="1">
      <alignment horizontal="left" vertical="center" wrapText="1"/>
    </xf>
    <xf numFmtId="0" fontId="64" fillId="54" borderId="0" xfId="3" applyFont="1" applyFill="1" applyAlignment="1">
      <alignment horizontal="center" vertical="center" wrapText="1"/>
    </xf>
    <xf numFmtId="0" fontId="59" fillId="54" borderId="0" xfId="3" applyFont="1" applyFill="1" applyAlignment="1">
      <alignment vertical="center"/>
    </xf>
    <xf numFmtId="41" fontId="61" fillId="54" borderId="0" xfId="4" quotePrefix="1" applyNumberFormat="1" applyFont="1" applyFill="1" applyAlignment="1">
      <alignment vertical="center"/>
    </xf>
    <xf numFmtId="41" fontId="61" fillId="54" borderId="0" xfId="4" applyNumberFormat="1" applyFont="1" applyFill="1" applyAlignment="1">
      <alignment vertical="center"/>
    </xf>
    <xf numFmtId="41" fontId="60" fillId="33" borderId="0" xfId="4" applyNumberFormat="1" applyFont="1" applyFill="1" applyAlignment="1">
      <alignment vertical="center"/>
    </xf>
    <xf numFmtId="49" fontId="56" fillId="33" borderId="0" xfId="1" applyNumberFormat="1" applyFont="1" applyFill="1" applyAlignment="1">
      <alignment horizontal="left" vertical="center"/>
    </xf>
    <xf numFmtId="41" fontId="56" fillId="33" borderId="14" xfId="1" applyNumberFormat="1" applyFont="1" applyFill="1" applyBorder="1" applyAlignment="1">
      <alignment vertical="center"/>
    </xf>
    <xf numFmtId="41" fontId="56" fillId="33" borderId="0" xfId="1" applyNumberFormat="1" applyFont="1" applyFill="1" applyAlignment="1">
      <alignment vertical="center"/>
    </xf>
    <xf numFmtId="0" fontId="62" fillId="33" borderId="0" xfId="3" applyFont="1" applyFill="1" applyAlignment="1">
      <alignment vertical="center" wrapText="1"/>
    </xf>
    <xf numFmtId="0" fontId="56" fillId="33" borderId="0" xfId="1" applyFont="1" applyFill="1" applyAlignment="1">
      <alignment vertical="center"/>
    </xf>
    <xf numFmtId="41" fontId="66" fillId="33" borderId="0" xfId="1" applyNumberFormat="1" applyFont="1" applyFill="1" applyAlignment="1">
      <alignment vertical="center"/>
    </xf>
    <xf numFmtId="0" fontId="61" fillId="33" borderId="0" xfId="1" applyFont="1" applyFill="1" applyAlignment="1">
      <alignment vertical="center"/>
    </xf>
    <xf numFmtId="0" fontId="64" fillId="33" borderId="0" xfId="3" applyFont="1" applyFill="1" applyAlignment="1">
      <alignment horizontal="left" vertical="center"/>
    </xf>
    <xf numFmtId="38" fontId="52" fillId="33" borderId="0" xfId="1" applyNumberFormat="1" applyFont="1" applyFill="1" applyAlignment="1">
      <alignment vertical="center"/>
    </xf>
    <xf numFmtId="41" fontId="52" fillId="33" borderId="16" xfId="1" applyNumberFormat="1" applyFont="1" applyFill="1" applyBorder="1" applyAlignment="1">
      <alignment vertical="center"/>
    </xf>
    <xf numFmtId="0" fontId="61" fillId="33" borderId="0" xfId="1" applyFont="1" applyFill="1" applyAlignment="1">
      <alignment horizontal="left" vertical="center"/>
    </xf>
    <xf numFmtId="41" fontId="53" fillId="33" borderId="0" xfId="1" applyNumberFormat="1" applyFont="1" applyFill="1" applyAlignment="1">
      <alignment vertical="center"/>
    </xf>
    <xf numFmtId="41" fontId="59" fillId="33" borderId="14" xfId="1" applyNumberFormat="1" applyFont="1" applyFill="1" applyBorder="1" applyAlignment="1">
      <alignment vertical="center"/>
    </xf>
    <xf numFmtId="41" fontId="67" fillId="33" borderId="0" xfId="1" applyNumberFormat="1" applyFont="1" applyFill="1" applyAlignment="1">
      <alignment vertical="center"/>
    </xf>
    <xf numFmtId="0" fontId="53" fillId="33" borderId="0" xfId="1" applyFont="1" applyFill="1" applyAlignment="1">
      <alignment vertical="center"/>
    </xf>
    <xf numFmtId="0" fontId="67" fillId="33" borderId="0" xfId="1" applyFont="1" applyFill="1" applyAlignment="1">
      <alignment vertical="center"/>
    </xf>
    <xf numFmtId="0" fontId="67" fillId="33" borderId="0" xfId="1" applyFont="1" applyFill="1" applyAlignment="1">
      <alignment horizontal="right" vertical="center"/>
    </xf>
    <xf numFmtId="41" fontId="61" fillId="33" borderId="0" xfId="4" quotePrefix="1" applyNumberFormat="1" applyFont="1" applyFill="1" applyAlignment="1">
      <alignment vertical="center" wrapText="1"/>
    </xf>
    <xf numFmtId="41" fontId="61" fillId="33" borderId="0" xfId="4" applyNumberFormat="1" applyFont="1" applyFill="1" applyAlignment="1">
      <alignment vertical="center" wrapText="1"/>
    </xf>
    <xf numFmtId="41" fontId="53" fillId="33" borderId="0" xfId="4" applyNumberFormat="1" applyFont="1" applyFill="1" applyAlignment="1">
      <alignment vertical="center" wrapText="1"/>
    </xf>
    <xf numFmtId="41" fontId="67" fillId="33" borderId="0" xfId="1" applyNumberFormat="1" applyFont="1" applyFill="1"/>
    <xf numFmtId="0" fontId="68" fillId="33" borderId="0" xfId="1" applyFont="1" applyFill="1"/>
    <xf numFmtId="0" fontId="69" fillId="33" borderId="0" xfId="1" applyFont="1" applyFill="1"/>
    <xf numFmtId="0" fontId="72" fillId="33" borderId="0" xfId="1" applyFont="1" applyFill="1"/>
    <xf numFmtId="0" fontId="73" fillId="33" borderId="0" xfId="1" applyFont="1" applyFill="1"/>
    <xf numFmtId="0" fontId="71" fillId="33" borderId="0" xfId="1" applyFont="1" applyFill="1" applyAlignment="1">
      <alignment horizontal="right"/>
    </xf>
    <xf numFmtId="0" fontId="71" fillId="33" borderId="0" xfId="1" applyFont="1" applyFill="1" applyAlignment="1">
      <alignment horizontal="center"/>
    </xf>
    <xf numFmtId="0" fontId="73" fillId="33" borderId="0" xfId="1" applyFont="1" applyFill="1" applyAlignment="1">
      <alignment horizontal="left"/>
    </xf>
    <xf numFmtId="0" fontId="76" fillId="33" borderId="0" xfId="1" applyFont="1" applyFill="1"/>
    <xf numFmtId="0" fontId="45" fillId="33" borderId="0" xfId="3" applyFont="1" applyFill="1" applyAlignment="1">
      <alignment vertical="center" wrapText="1"/>
    </xf>
    <xf numFmtId="43" fontId="77" fillId="33" borderId="0" xfId="2" applyFont="1" applyFill="1" applyProtection="1">
      <protection locked="0"/>
    </xf>
    <xf numFmtId="49" fontId="77" fillId="33" borderId="0" xfId="1" applyNumberFormat="1" applyFont="1" applyFill="1"/>
    <xf numFmtId="41" fontId="78" fillId="33" borderId="0" xfId="1" applyNumberFormat="1" applyFont="1" applyFill="1" applyAlignment="1">
      <alignment horizontal="center"/>
    </xf>
    <xf numFmtId="0" fontId="78" fillId="33" borderId="0" xfId="1" applyFont="1" applyFill="1" applyAlignment="1">
      <alignment horizontal="center"/>
    </xf>
    <xf numFmtId="0" fontId="45" fillId="33" borderId="0" xfId="3" applyFont="1" applyFill="1" applyAlignment="1">
      <alignment vertical="center"/>
    </xf>
    <xf numFmtId="43" fontId="77" fillId="33" borderId="0" xfId="1" applyNumberFormat="1" applyFont="1" applyFill="1" applyAlignment="1" applyProtection="1">
      <alignment vertical="top"/>
      <protection locked="0"/>
    </xf>
    <xf numFmtId="49" fontId="77" fillId="33" borderId="0" xfId="1" applyNumberFormat="1" applyFont="1" applyFill="1" applyAlignment="1">
      <alignment vertical="top"/>
    </xf>
    <xf numFmtId="0" fontId="45" fillId="0" borderId="0" xfId="3" applyFont="1" applyAlignment="1">
      <alignment vertical="center" wrapText="1"/>
    </xf>
    <xf numFmtId="44" fontId="77" fillId="33" borderId="0" xfId="1" applyNumberFormat="1" applyFont="1" applyFill="1" applyAlignment="1">
      <alignment vertical="top"/>
    </xf>
    <xf numFmtId="0" fontId="79" fillId="33" borderId="0" xfId="1" applyFont="1" applyFill="1"/>
    <xf numFmtId="44" fontId="77" fillId="33" borderId="0" xfId="1" applyNumberFormat="1" applyFont="1" applyFill="1" applyAlignment="1" applyProtection="1">
      <alignment vertical="top"/>
      <protection locked="0"/>
    </xf>
    <xf numFmtId="49" fontId="77" fillId="33" borderId="0" xfId="1" applyNumberFormat="1" applyFont="1" applyFill="1" applyAlignment="1">
      <alignment horizontal="right" vertical="top"/>
    </xf>
    <xf numFmtId="0" fontId="76" fillId="33" borderId="0" xfId="1" applyFont="1" applyFill="1" applyAlignment="1">
      <alignment horizontal="center" wrapText="1"/>
    </xf>
    <xf numFmtId="2" fontId="73" fillId="33" borderId="0" xfId="1" applyNumberFormat="1" applyFont="1" applyFill="1"/>
    <xf numFmtId="49" fontId="77" fillId="33" borderId="0" xfId="1" applyNumberFormat="1" applyFont="1" applyFill="1" applyAlignment="1">
      <alignment vertical="center"/>
    </xf>
    <xf numFmtId="43" fontId="77" fillId="33" borderId="0" xfId="1" applyNumberFormat="1" applyFont="1" applyFill="1" applyAlignment="1" applyProtection="1">
      <alignment vertical="center" wrapText="1"/>
      <protection locked="0"/>
    </xf>
    <xf numFmtId="0" fontId="71" fillId="33" borderId="0" xfId="1" applyFont="1" applyFill="1" applyAlignment="1">
      <alignment horizontal="left" indent="2"/>
    </xf>
    <xf numFmtId="2" fontId="71" fillId="33" borderId="0" xfId="1" applyNumberFormat="1" applyFont="1" applyFill="1" applyAlignment="1">
      <alignment horizontal="left"/>
    </xf>
    <xf numFmtId="2" fontId="71" fillId="33" borderId="0" xfId="1" applyNumberFormat="1" applyFont="1" applyFill="1"/>
    <xf numFmtId="2" fontId="79" fillId="33" borderId="0" xfId="1" applyNumberFormat="1" applyFont="1" applyFill="1"/>
    <xf numFmtId="2" fontId="74" fillId="33" borderId="0" xfId="1" applyNumberFormat="1" applyFont="1" applyFill="1" applyAlignment="1">
      <alignment horizontal="right"/>
    </xf>
    <xf numFmtId="0" fontId="71" fillId="33" borderId="0" xfId="1" applyFont="1" applyFill="1"/>
    <xf numFmtId="0" fontId="73" fillId="33" borderId="0" xfId="3" applyFont="1" applyFill="1" applyAlignment="1">
      <alignment vertical="center" wrapText="1"/>
    </xf>
    <xf numFmtId="41" fontId="73" fillId="34" borderId="0" xfId="14128" applyNumberFormat="1" applyFont="1" applyFill="1"/>
    <xf numFmtId="44" fontId="77" fillId="33" borderId="0" xfId="1" applyNumberFormat="1" applyFont="1" applyFill="1" applyProtection="1">
      <protection locked="0"/>
    </xf>
    <xf numFmtId="43" fontId="73" fillId="33" borderId="0" xfId="1" applyNumberFormat="1" applyFont="1" applyFill="1"/>
    <xf numFmtId="0" fontId="80" fillId="33" borderId="0" xfId="1" applyFont="1" applyFill="1"/>
    <xf numFmtId="0" fontId="11" fillId="0" borderId="0" xfId="7" applyFont="1" applyAlignment="1">
      <alignment vertical="center"/>
    </xf>
    <xf numFmtId="0" fontId="5" fillId="0" borderId="0" xfId="3" applyFont="1" applyAlignment="1">
      <alignment horizontal="center" vertical="center" wrapText="1"/>
    </xf>
    <xf numFmtId="0" fontId="1" fillId="0" borderId="0" xfId="14127" applyFont="1"/>
    <xf numFmtId="0" fontId="1" fillId="0" borderId="31" xfId="14127" applyFont="1" applyBorder="1" applyAlignment="1">
      <alignment horizontal="center"/>
    </xf>
    <xf numFmtId="40" fontId="4" fillId="0" borderId="0" xfId="3" applyNumberFormat="1" applyAlignment="1">
      <alignment horizontal="right" vertical="top" wrapText="1"/>
    </xf>
    <xf numFmtId="0" fontId="47" fillId="0" borderId="0" xfId="14127"/>
    <xf numFmtId="0" fontId="1" fillId="0" borderId="0" xfId="14127" quotePrefix="1" applyFont="1"/>
    <xf numFmtId="0" fontId="81" fillId="33" borderId="0" xfId="0" applyFont="1" applyFill="1"/>
    <xf numFmtId="0" fontId="82" fillId="33" borderId="0" xfId="0" applyFont="1" applyFill="1"/>
    <xf numFmtId="0" fontId="46" fillId="33" borderId="0" xfId="0" applyFont="1" applyFill="1"/>
    <xf numFmtId="0" fontId="83" fillId="33" borderId="0" xfId="0" applyFont="1" applyFill="1"/>
    <xf numFmtId="0" fontId="0" fillId="33" borderId="0" xfId="0" applyFill="1"/>
    <xf numFmtId="0" fontId="84" fillId="33" borderId="0" xfId="0" applyFont="1" applyFill="1"/>
    <xf numFmtId="0" fontId="85" fillId="33" borderId="0" xfId="0" applyFont="1" applyFill="1" applyAlignment="1">
      <alignment horizontal="center"/>
    </xf>
    <xf numFmtId="0" fontId="46" fillId="55" borderId="32" xfId="0" applyFont="1" applyFill="1" applyBorder="1" applyAlignment="1">
      <alignment horizontal="center" vertical="center"/>
    </xf>
    <xf numFmtId="0" fontId="46" fillId="55" borderId="32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/>
    </xf>
    <xf numFmtId="42" fontId="0" fillId="33" borderId="0" xfId="0" applyNumberFormat="1" applyFill="1"/>
    <xf numFmtId="43" fontId="73" fillId="33" borderId="0" xfId="21672" applyNumberFormat="1" applyFont="1" applyFill="1" applyProtection="1">
      <protection locked="0"/>
    </xf>
    <xf numFmtId="16" fontId="0" fillId="33" borderId="0" xfId="0" quotePrefix="1" applyNumberFormat="1" applyFill="1" applyAlignment="1">
      <alignment horizontal="center"/>
    </xf>
    <xf numFmtId="0" fontId="0" fillId="33" borderId="0" xfId="0" quotePrefix="1" applyFill="1" applyAlignment="1">
      <alignment horizontal="center"/>
    </xf>
    <xf numFmtId="43" fontId="86" fillId="33" borderId="0" xfId="21672" applyNumberFormat="1" applyFont="1" applyFill="1" applyProtection="1">
      <protection locked="0"/>
    </xf>
    <xf numFmtId="0" fontId="46" fillId="33" borderId="0" xfId="0" applyFont="1" applyFill="1" applyAlignment="1">
      <alignment horizontal="left" indent="2"/>
    </xf>
    <xf numFmtId="42" fontId="87" fillId="33" borderId="0" xfId="0" applyNumberFormat="1" applyFont="1" applyFill="1"/>
    <xf numFmtId="42" fontId="88" fillId="33" borderId="0" xfId="0" applyNumberFormat="1" applyFont="1" applyFill="1"/>
    <xf numFmtId="0" fontId="89" fillId="33" borderId="0" xfId="0" applyFont="1" applyFill="1"/>
    <xf numFmtId="42" fontId="90" fillId="33" borderId="0" xfId="0" applyNumberFormat="1" applyFont="1" applyFill="1"/>
    <xf numFmtId="42" fontId="91" fillId="33" borderId="0" xfId="0" applyNumberFormat="1" applyFont="1" applyFill="1"/>
    <xf numFmtId="0" fontId="0" fillId="33" borderId="0" xfId="0" applyFill="1" applyAlignment="1">
      <alignment horizontal="left"/>
    </xf>
    <xf numFmtId="167" fontId="87" fillId="33" borderId="0" xfId="0" applyNumberFormat="1" applyFont="1" applyFill="1"/>
    <xf numFmtId="168" fontId="0" fillId="33" borderId="0" xfId="14120" applyNumberFormat="1" applyFont="1" applyFill="1"/>
    <xf numFmtId="10" fontId="73" fillId="33" borderId="0" xfId="1" applyNumberFormat="1" applyFont="1" applyFill="1"/>
    <xf numFmtId="2" fontId="71" fillId="33" borderId="19" xfId="1" applyNumberFormat="1" applyFont="1" applyFill="1" applyBorder="1"/>
    <xf numFmtId="49" fontId="92" fillId="33" borderId="0" xfId="1" applyNumberFormat="1" applyFont="1" applyFill="1" applyAlignment="1">
      <alignment vertical="top"/>
    </xf>
    <xf numFmtId="9" fontId="65" fillId="33" borderId="0" xfId="14120" applyFont="1" applyFill="1" applyAlignment="1">
      <alignment vertical="center"/>
    </xf>
    <xf numFmtId="41" fontId="52" fillId="54" borderId="0" xfId="4" applyNumberFormat="1" applyFont="1" applyFill="1" applyAlignment="1">
      <alignment vertical="center"/>
    </xf>
    <xf numFmtId="41" fontId="60" fillId="33" borderId="0" xfId="1" applyNumberFormat="1" applyFont="1" applyFill="1" applyAlignment="1">
      <alignment vertical="center"/>
    </xf>
    <xf numFmtId="41" fontId="59" fillId="33" borderId="17" xfId="1" applyNumberFormat="1" applyFont="1" applyFill="1" applyBorder="1" applyAlignment="1">
      <alignment vertical="center"/>
    </xf>
    <xf numFmtId="41" fontId="52" fillId="33" borderId="17" xfId="1" applyNumberFormat="1" applyFont="1" applyFill="1" applyBorder="1" applyAlignment="1">
      <alignment vertical="center"/>
    </xf>
    <xf numFmtId="41" fontId="59" fillId="33" borderId="0" xfId="14003" applyNumberFormat="1" applyFont="1" applyFill="1" applyAlignment="1">
      <alignment vertical="center"/>
    </xf>
    <xf numFmtId="41" fontId="90" fillId="33" borderId="0" xfId="0" applyNumberFormat="1" applyFont="1" applyFill="1"/>
    <xf numFmtId="41" fontId="0" fillId="33" borderId="0" xfId="0" applyNumberFormat="1" applyFill="1"/>
    <xf numFmtId="41" fontId="52" fillId="33" borderId="14" xfId="1" applyNumberFormat="1" applyFont="1" applyFill="1" applyBorder="1" applyAlignment="1">
      <alignment vertical="center"/>
    </xf>
    <xf numFmtId="41" fontId="52" fillId="33" borderId="0" xfId="1" applyNumberFormat="1" applyFont="1" applyFill="1" applyAlignment="1">
      <alignment wrapText="1"/>
    </xf>
    <xf numFmtId="41" fontId="53" fillId="33" borderId="0" xfId="1" applyNumberFormat="1" applyFont="1" applyFill="1" applyAlignment="1">
      <alignment wrapText="1"/>
    </xf>
    <xf numFmtId="0" fontId="59" fillId="33" borderId="0" xfId="3" applyFont="1" applyFill="1" applyAlignment="1">
      <alignment vertical="center"/>
    </xf>
    <xf numFmtId="9" fontId="73" fillId="34" borderId="0" xfId="14120" applyFont="1" applyFill="1" applyAlignment="1" applyProtection="1">
      <alignment horizontal="right"/>
      <protection locked="0"/>
    </xf>
    <xf numFmtId="1" fontId="77" fillId="34" borderId="0" xfId="20512" applyNumberFormat="1" applyFont="1" applyFill="1" applyAlignment="1" applyProtection="1">
      <alignment vertical="top"/>
      <protection locked="0"/>
    </xf>
    <xf numFmtId="2" fontId="73" fillId="34" borderId="0" xfId="1" applyNumberFormat="1" applyFont="1" applyFill="1" applyProtection="1">
      <protection locked="0"/>
    </xf>
    <xf numFmtId="17" fontId="56" fillId="33" borderId="0" xfId="1" applyNumberFormat="1" applyFont="1" applyFill="1" applyAlignment="1">
      <alignment horizontal="center" vertical="center"/>
    </xf>
    <xf numFmtId="0" fontId="63" fillId="33" borderId="0" xfId="3" applyFont="1" applyFill="1" applyAlignment="1">
      <alignment horizontal="center" vertical="center"/>
    </xf>
    <xf numFmtId="0" fontId="63" fillId="33" borderId="0" xfId="3" applyFont="1" applyFill="1" applyAlignment="1">
      <alignment vertical="center"/>
    </xf>
    <xf numFmtId="10" fontId="59" fillId="33" borderId="0" xfId="14120" applyNumberFormat="1" applyFont="1" applyFill="1" applyAlignment="1">
      <alignment vertical="center"/>
    </xf>
    <xf numFmtId="0" fontId="64" fillId="33" borderId="0" xfId="3" applyFont="1" applyFill="1" applyAlignment="1">
      <alignment horizontal="center" vertical="center"/>
    </xf>
    <xf numFmtId="49" fontId="61" fillId="33" borderId="0" xfId="1" applyNumberFormat="1" applyFont="1" applyFill="1" applyAlignment="1">
      <alignment horizontal="left" vertical="center"/>
    </xf>
    <xf numFmtId="41" fontId="60" fillId="33" borderId="0" xfId="1" applyNumberFormat="1" applyFont="1" applyFill="1"/>
    <xf numFmtId="17" fontId="93" fillId="33" borderId="0" xfId="1" applyNumberFormat="1" applyFont="1" applyFill="1" applyAlignment="1">
      <alignment horizontal="right" vertical="center"/>
    </xf>
    <xf numFmtId="41" fontId="59" fillId="33" borderId="0" xfId="2" quotePrefix="1" applyNumberFormat="1" applyFont="1" applyFill="1" applyAlignment="1">
      <alignment vertical="center"/>
    </xf>
    <xf numFmtId="41" fontId="59" fillId="33" borderId="0" xfId="4" applyNumberFormat="1" applyFont="1" applyFill="1" applyAlignment="1">
      <alignment vertical="center"/>
    </xf>
    <xf numFmtId="41" fontId="59" fillId="33" borderId="17" xfId="4" applyNumberFormat="1" applyFont="1" applyFill="1" applyBorder="1" applyAlignment="1">
      <alignment vertical="center"/>
    </xf>
    <xf numFmtId="169" fontId="59" fillId="33" borderId="0" xfId="1" applyNumberFormat="1" applyFont="1" applyFill="1" applyAlignment="1">
      <alignment vertical="center"/>
    </xf>
    <xf numFmtId="49" fontId="94" fillId="33" borderId="0" xfId="1" applyNumberFormat="1" applyFont="1" applyFill="1" applyAlignment="1">
      <alignment vertical="center"/>
    </xf>
    <xf numFmtId="0" fontId="95" fillId="33" borderId="0" xfId="1" applyFont="1" applyFill="1" applyAlignment="1">
      <alignment vertical="center"/>
    </xf>
    <xf numFmtId="0" fontId="96" fillId="33" borderId="0" xfId="0" applyFont="1" applyFill="1"/>
    <xf numFmtId="0" fontId="69" fillId="33" borderId="0" xfId="1" applyFont="1" applyFill="1" applyAlignment="1">
      <alignment vertical="center"/>
    </xf>
    <xf numFmtId="41" fontId="69" fillId="33" borderId="0" xfId="1" applyNumberFormat="1" applyFont="1" applyFill="1" applyAlignment="1">
      <alignment vertical="center"/>
    </xf>
    <xf numFmtId="0" fontId="97" fillId="33" borderId="0" xfId="0" applyFont="1" applyFill="1"/>
    <xf numFmtId="38" fontId="95" fillId="33" borderId="0" xfId="1" applyNumberFormat="1" applyFont="1" applyFill="1" applyAlignment="1">
      <alignment vertical="center"/>
    </xf>
    <xf numFmtId="0" fontId="96" fillId="33" borderId="0" xfId="3" applyFont="1" applyFill="1" applyAlignment="1">
      <alignment vertical="center"/>
    </xf>
    <xf numFmtId="0" fontId="52" fillId="33" borderId="0" xfId="1" applyFont="1" applyFill="1" applyAlignment="1">
      <alignment vertical="center" wrapText="1"/>
    </xf>
    <xf numFmtId="41" fontId="52" fillId="33" borderId="0" xfId="1" applyNumberFormat="1" applyFont="1" applyFill="1" applyAlignment="1">
      <alignment vertical="center" wrapText="1"/>
    </xf>
    <xf numFmtId="42" fontId="95" fillId="33" borderId="16" xfId="1" applyNumberFormat="1" applyFont="1" applyFill="1" applyBorder="1" applyAlignment="1">
      <alignment vertical="center"/>
    </xf>
    <xf numFmtId="42" fontId="95" fillId="33" borderId="0" xfId="1" applyNumberFormat="1" applyFont="1" applyFill="1" applyAlignment="1">
      <alignment vertical="center"/>
    </xf>
    <xf numFmtId="42" fontId="95" fillId="33" borderId="14" xfId="1" applyNumberFormat="1" applyFont="1" applyFill="1" applyBorder="1" applyAlignment="1">
      <alignment vertical="center"/>
    </xf>
    <xf numFmtId="166" fontId="73" fillId="33" borderId="0" xfId="21672" applyNumberFormat="1" applyFont="1" applyFill="1" applyProtection="1">
      <protection locked="0"/>
    </xf>
    <xf numFmtId="0" fontId="98" fillId="33" borderId="0" xfId="1" applyFont="1" applyFill="1"/>
    <xf numFmtId="0" fontId="99" fillId="33" borderId="0" xfId="1" applyFont="1" applyFill="1"/>
    <xf numFmtId="0" fontId="98" fillId="33" borderId="0" xfId="1" applyFont="1" applyFill="1" applyAlignment="1">
      <alignment horizontal="left"/>
    </xf>
    <xf numFmtId="0" fontId="99" fillId="33" borderId="0" xfId="1" applyFont="1" applyFill="1" applyAlignment="1">
      <alignment horizontal="left"/>
    </xf>
    <xf numFmtId="0" fontId="100" fillId="33" borderId="0" xfId="1" applyFont="1" applyFill="1"/>
    <xf numFmtId="0" fontId="98" fillId="33" borderId="0" xfId="1" applyFont="1" applyFill="1" applyAlignment="1">
      <alignment vertical="center"/>
    </xf>
    <xf numFmtId="0" fontId="100" fillId="33" borderId="0" xfId="1" applyFont="1" applyFill="1" applyAlignment="1">
      <alignment vertical="center"/>
    </xf>
    <xf numFmtId="41" fontId="101" fillId="53" borderId="35" xfId="1" applyNumberFormat="1" applyFont="1" applyFill="1" applyBorder="1" applyAlignment="1">
      <alignment horizontal="left" vertical="center"/>
    </xf>
    <xf numFmtId="41" fontId="99" fillId="53" borderId="17" xfId="1" applyNumberFormat="1" applyFont="1" applyFill="1" applyBorder="1" applyAlignment="1">
      <alignment horizontal="left" vertical="center"/>
    </xf>
    <xf numFmtId="41" fontId="102" fillId="53" borderId="17" xfId="1" applyNumberFormat="1" applyFont="1" applyFill="1" applyBorder="1" applyAlignment="1">
      <alignment horizontal="left" vertical="center"/>
    </xf>
    <xf numFmtId="41" fontId="102" fillId="53" borderId="36" xfId="1" applyNumberFormat="1" applyFont="1" applyFill="1" applyBorder="1" applyAlignment="1">
      <alignment horizontal="left" vertical="center"/>
    </xf>
    <xf numFmtId="0" fontId="99" fillId="33" borderId="0" xfId="1" applyFont="1" applyFill="1" applyAlignment="1">
      <alignment vertical="center"/>
    </xf>
    <xf numFmtId="0" fontId="103" fillId="33" borderId="0" xfId="3" applyFont="1" applyFill="1" applyAlignment="1">
      <alignment horizontal="center" vertical="center" wrapText="1"/>
    </xf>
    <xf numFmtId="0" fontId="104" fillId="33" borderId="0" xfId="3" applyFont="1" applyFill="1" applyAlignment="1">
      <alignment horizontal="left" vertical="center"/>
    </xf>
    <xf numFmtId="41" fontId="59" fillId="33" borderId="0" xfId="20512" applyNumberFormat="1" applyFont="1" applyFill="1" applyAlignment="1">
      <alignment vertical="center"/>
    </xf>
    <xf numFmtId="41" fontId="59" fillId="0" borderId="37" xfId="1" applyNumberFormat="1" applyFont="1" applyBorder="1" applyAlignment="1">
      <alignment vertical="center"/>
    </xf>
    <xf numFmtId="41" fontId="59" fillId="0" borderId="37" xfId="20512" applyNumberFormat="1" applyFont="1" applyBorder="1" applyAlignment="1">
      <alignment vertical="center"/>
    </xf>
    <xf numFmtId="42" fontId="105" fillId="33" borderId="0" xfId="20512" applyNumberFormat="1" applyFont="1" applyFill="1" applyAlignment="1">
      <alignment vertical="center"/>
    </xf>
    <xf numFmtId="0" fontId="103" fillId="33" borderId="0" xfId="1" applyFont="1" applyFill="1" applyAlignment="1">
      <alignment vertical="center"/>
    </xf>
    <xf numFmtId="0" fontId="93" fillId="33" borderId="0" xfId="1" applyFont="1" applyFill="1" applyAlignment="1">
      <alignment vertical="center"/>
    </xf>
    <xf numFmtId="0" fontId="106" fillId="33" borderId="0" xfId="3" applyFont="1" applyFill="1" applyAlignment="1">
      <alignment horizontal="center" vertical="center" wrapText="1"/>
    </xf>
    <xf numFmtId="0" fontId="104" fillId="33" borderId="0" xfId="3" applyFont="1" applyFill="1" applyAlignment="1">
      <alignment vertical="center" wrapText="1"/>
    </xf>
    <xf numFmtId="0" fontId="107" fillId="33" borderId="0" xfId="1" applyFont="1" applyFill="1" applyAlignment="1">
      <alignment vertical="center"/>
    </xf>
    <xf numFmtId="41" fontId="56" fillId="33" borderId="0" xfId="20512" applyNumberFormat="1" applyFont="1" applyFill="1" applyAlignment="1">
      <alignment vertical="center" wrapText="1"/>
    </xf>
    <xf numFmtId="41" fontId="53" fillId="33" borderId="0" xfId="20512" applyNumberFormat="1" applyFont="1" applyFill="1" applyAlignment="1">
      <alignment vertical="center" wrapText="1"/>
    </xf>
    <xf numFmtId="41" fontId="61" fillId="33" borderId="0" xfId="20512" applyNumberFormat="1" applyFont="1" applyFill="1" applyAlignment="1">
      <alignment vertical="center" wrapText="1"/>
    </xf>
    <xf numFmtId="0" fontId="107" fillId="33" borderId="0" xfId="1" applyFont="1" applyFill="1"/>
    <xf numFmtId="164" fontId="56" fillId="33" borderId="0" xfId="1" applyNumberFormat="1" applyFont="1" applyFill="1" applyAlignment="1">
      <alignment vertical="center" wrapText="1"/>
    </xf>
    <xf numFmtId="0" fontId="13" fillId="34" borderId="0" xfId="21672" applyFont="1" applyFill="1" applyAlignment="1" applyProtection="1">
      <alignment horizontal="left"/>
      <protection locked="0"/>
    </xf>
    <xf numFmtId="0" fontId="13" fillId="34" borderId="0" xfId="21672" applyFont="1" applyFill="1" applyProtection="1">
      <protection locked="0"/>
    </xf>
    <xf numFmtId="9" fontId="77" fillId="34" borderId="0" xfId="20512" applyFont="1" applyFill="1" applyAlignment="1" applyProtection="1">
      <alignment vertical="top"/>
      <protection locked="0"/>
    </xf>
    <xf numFmtId="41" fontId="64" fillId="33" borderId="0" xfId="14003" applyNumberFormat="1" applyFont="1" applyFill="1" applyAlignment="1">
      <alignment vertical="center" wrapText="1"/>
    </xf>
    <xf numFmtId="0" fontId="13" fillId="34" borderId="0" xfId="21672" applyFont="1" applyFill="1"/>
    <xf numFmtId="9" fontId="56" fillId="33" borderId="0" xfId="21758" applyFont="1" applyFill="1" applyAlignment="1">
      <alignment vertical="center"/>
    </xf>
    <xf numFmtId="9" fontId="56" fillId="33" borderId="0" xfId="21758" applyFont="1" applyFill="1" applyAlignment="1">
      <alignment horizontal="left" vertical="center"/>
    </xf>
    <xf numFmtId="168" fontId="59" fillId="33" borderId="31" xfId="21758" applyNumberFormat="1" applyFont="1" applyFill="1" applyBorder="1" applyAlignment="1">
      <alignment horizontal="center" vertical="center"/>
    </xf>
    <xf numFmtId="168" fontId="59" fillId="33" borderId="0" xfId="21758" applyNumberFormat="1" applyFont="1" applyFill="1" applyAlignment="1">
      <alignment horizontal="center" vertical="center"/>
    </xf>
    <xf numFmtId="9" fontId="61" fillId="33" borderId="0" xfId="21758" applyFont="1" applyFill="1" applyAlignment="1">
      <alignment horizontal="center" vertical="center"/>
    </xf>
    <xf numFmtId="9" fontId="60" fillId="33" borderId="0" xfId="21758" applyFont="1" applyFill="1" applyAlignment="1">
      <alignment vertical="center"/>
    </xf>
    <xf numFmtId="9" fontId="56" fillId="33" borderId="0" xfId="21758" applyFont="1" applyFill="1" applyAlignment="1">
      <alignment horizontal="center" vertical="center"/>
    </xf>
    <xf numFmtId="9" fontId="59" fillId="33" borderId="0" xfId="21758" applyFont="1" applyFill="1" applyAlignment="1">
      <alignment vertical="center"/>
    </xf>
    <xf numFmtId="168" fontId="61" fillId="33" borderId="31" xfId="21758" applyNumberFormat="1" applyFont="1" applyFill="1" applyBorder="1" applyAlignment="1">
      <alignment horizontal="center" vertical="center" wrapText="1"/>
    </xf>
    <xf numFmtId="168" fontId="61" fillId="33" borderId="0" xfId="21758" applyNumberFormat="1" applyFont="1" applyFill="1" applyAlignment="1">
      <alignment horizontal="center" vertical="center" wrapText="1"/>
    </xf>
    <xf numFmtId="168" fontId="61" fillId="33" borderId="34" xfId="21758" applyNumberFormat="1" applyFont="1" applyFill="1" applyBorder="1" applyAlignment="1">
      <alignment horizontal="center" vertical="center" wrapText="1"/>
    </xf>
    <xf numFmtId="9" fontId="56" fillId="33" borderId="0" xfId="21758" applyFont="1" applyFill="1" applyAlignment="1">
      <alignment vertical="center" wrapText="1"/>
    </xf>
    <xf numFmtId="9" fontId="56" fillId="33" borderId="0" xfId="21758" applyFont="1" applyFill="1" applyAlignment="1">
      <alignment horizontal="left" vertical="center" wrapText="1"/>
    </xf>
    <xf numFmtId="168" fontId="59" fillId="33" borderId="31" xfId="21758" applyNumberFormat="1" applyFont="1" applyFill="1" applyBorder="1" applyAlignment="1">
      <alignment horizontal="center" vertical="center" wrapText="1"/>
    </xf>
    <xf numFmtId="168" fontId="59" fillId="33" borderId="0" xfId="21758" applyNumberFormat="1" applyFont="1" applyFill="1" applyAlignment="1">
      <alignment horizontal="center" vertical="center" wrapText="1"/>
    </xf>
    <xf numFmtId="9" fontId="61" fillId="33" borderId="0" xfId="21758" applyFont="1" applyFill="1" applyAlignment="1">
      <alignment horizontal="center" vertical="center" wrapText="1"/>
    </xf>
    <xf numFmtId="9" fontId="59" fillId="33" borderId="0" xfId="21758" applyFont="1" applyFill="1" applyAlignment="1">
      <alignment vertical="center" wrapText="1"/>
    </xf>
    <xf numFmtId="9" fontId="61" fillId="33" borderId="0" xfId="21758" applyFont="1" applyFill="1" applyAlignment="1">
      <alignment vertical="center"/>
    </xf>
    <xf numFmtId="41" fontId="61" fillId="33" borderId="0" xfId="21758" applyNumberFormat="1" applyFont="1" applyFill="1" applyAlignment="1">
      <alignment vertical="center"/>
    </xf>
    <xf numFmtId="41" fontId="61" fillId="33" borderId="0" xfId="14131" quotePrefix="1" applyNumberFormat="1" applyFont="1" applyFill="1" applyAlignment="1">
      <alignment horizontal="center" vertical="center"/>
    </xf>
    <xf numFmtId="41" fontId="61" fillId="33" borderId="0" xfId="14131" quotePrefix="1" applyNumberFormat="1" applyFont="1" applyFill="1" applyAlignment="1">
      <alignment vertical="center"/>
    </xf>
    <xf numFmtId="41" fontId="61" fillId="33" borderId="17" xfId="21758" applyNumberFormat="1" applyFont="1" applyFill="1" applyBorder="1" applyAlignment="1">
      <alignment vertical="center"/>
    </xf>
    <xf numFmtId="41" fontId="56" fillId="33" borderId="17" xfId="21758" applyNumberFormat="1" applyFont="1" applyFill="1" applyBorder="1" applyAlignment="1">
      <alignment vertical="center"/>
    </xf>
    <xf numFmtId="43" fontId="60" fillId="33" borderId="0" xfId="21758" applyNumberFormat="1" applyFont="1" applyFill="1" applyAlignment="1">
      <alignment vertical="center"/>
    </xf>
    <xf numFmtId="41" fontId="61" fillId="54" borderId="0" xfId="21758" quotePrefix="1" applyNumberFormat="1" applyFont="1" applyFill="1" applyAlignment="1">
      <alignment vertical="center"/>
    </xf>
    <xf numFmtId="41" fontId="52" fillId="54" borderId="0" xfId="21758" applyNumberFormat="1" applyFont="1" applyFill="1" applyAlignment="1">
      <alignment vertical="center"/>
    </xf>
    <xf numFmtId="41" fontId="61" fillId="54" borderId="0" xfId="21758" applyNumberFormat="1" applyFont="1" applyFill="1" applyAlignment="1">
      <alignment vertical="center"/>
    </xf>
    <xf numFmtId="41" fontId="60" fillId="33" borderId="0" xfId="21758" applyNumberFormat="1" applyFont="1" applyFill="1" applyAlignment="1">
      <alignment vertical="center"/>
    </xf>
    <xf numFmtId="41" fontId="54" fillId="33" borderId="0" xfId="14134" applyNumberFormat="1" applyFont="1" applyFill="1" applyAlignment="1">
      <alignment vertical="center"/>
    </xf>
    <xf numFmtId="41" fontId="61" fillId="33" borderId="0" xfId="21758" quotePrefix="1" applyNumberFormat="1" applyFont="1" applyFill="1" applyAlignment="1">
      <alignment vertical="center" wrapText="1"/>
    </xf>
    <xf numFmtId="41" fontId="61" fillId="33" borderId="0" xfId="21758" applyNumberFormat="1" applyFont="1" applyFill="1" applyAlignment="1">
      <alignment vertical="center" wrapText="1"/>
    </xf>
    <xf numFmtId="41" fontId="53" fillId="33" borderId="0" xfId="21758" applyNumberFormat="1" applyFont="1" applyFill="1" applyAlignment="1">
      <alignment vertical="center" wrapText="1"/>
    </xf>
    <xf numFmtId="0" fontId="13" fillId="34" borderId="0" xfId="21920" applyFont="1" applyFill="1" applyProtection="1">
      <protection locked="0"/>
    </xf>
    <xf numFmtId="41" fontId="13" fillId="34" borderId="0" xfId="9" applyNumberFormat="1" applyFont="1" applyFill="1" applyAlignment="1">
      <alignment horizontal="center"/>
    </xf>
    <xf numFmtId="41" fontId="13" fillId="34" borderId="0" xfId="9" applyNumberFormat="1" applyFont="1" applyFill="1"/>
    <xf numFmtId="0" fontId="13" fillId="34" borderId="0" xfId="21672" applyFont="1" applyFill="1" applyAlignment="1">
      <alignment horizontal="left"/>
    </xf>
    <xf numFmtId="0" fontId="13" fillId="34" borderId="0" xfId="7" applyFont="1" applyFill="1" applyAlignment="1">
      <alignment horizontal="center"/>
    </xf>
    <xf numFmtId="167" fontId="46" fillId="33" borderId="0" xfId="0" applyNumberFormat="1" applyFont="1" applyFill="1" applyAlignment="1">
      <alignment horizontal="center" vertical="center" wrapText="1"/>
    </xf>
    <xf numFmtId="167" fontId="0" fillId="33" borderId="0" xfId="0" applyNumberFormat="1" applyFill="1" applyAlignment="1">
      <alignment horizontal="center" vertical="center" wrapText="1"/>
    </xf>
    <xf numFmtId="0" fontId="122" fillId="33" borderId="0" xfId="0" applyFont="1" applyFill="1" applyAlignment="1">
      <alignment horizontal="center" vertical="center"/>
    </xf>
    <xf numFmtId="0" fontId="123" fillId="33" borderId="0" xfId="0" applyFont="1" applyFill="1" applyAlignment="1">
      <alignment horizontal="center" vertical="center"/>
    </xf>
    <xf numFmtId="166" fontId="0" fillId="33" borderId="0" xfId="0" applyNumberFormat="1" applyFill="1"/>
    <xf numFmtId="43" fontId="93" fillId="33" borderId="0" xfId="1" applyNumberFormat="1" applyFont="1" applyFill="1" applyAlignment="1">
      <alignment horizontal="right" vertical="center"/>
    </xf>
    <xf numFmtId="166" fontId="59" fillId="33" borderId="0" xfId="4" applyNumberFormat="1" applyFont="1" applyFill="1" applyAlignment="1">
      <alignment vertical="center"/>
    </xf>
    <xf numFmtId="170" fontId="0" fillId="33" borderId="0" xfId="14120" applyNumberFormat="1" applyFont="1" applyFill="1"/>
    <xf numFmtId="0" fontId="13" fillId="0" borderId="0" xfId="21672" applyFont="1" applyProtection="1">
      <protection locked="0"/>
    </xf>
    <xf numFmtId="0" fontId="11" fillId="0" borderId="0" xfId="21672" applyFont="1"/>
    <xf numFmtId="165" fontId="11" fillId="37" borderId="18" xfId="21672" applyNumberFormat="1" applyFont="1" applyFill="1" applyBorder="1" applyAlignment="1">
      <alignment horizontal="center"/>
    </xf>
    <xf numFmtId="0" fontId="13" fillId="0" borderId="0" xfId="21672" applyFont="1"/>
    <xf numFmtId="165" fontId="11" fillId="0" borderId="0" xfId="21672" applyNumberFormat="1" applyFont="1" applyAlignment="1">
      <alignment horizontal="center"/>
    </xf>
    <xf numFmtId="41" fontId="13" fillId="0" borderId="0" xfId="21672" applyNumberFormat="1" applyFont="1" applyAlignment="1">
      <alignment horizontal="center"/>
    </xf>
    <xf numFmtId="0" fontId="49" fillId="0" borderId="0" xfId="21672" applyFont="1"/>
    <xf numFmtId="9" fontId="73" fillId="33" borderId="0" xfId="21758" applyFont="1" applyFill="1"/>
    <xf numFmtId="41" fontId="59" fillId="54" borderId="0" xfId="1" applyNumberFormat="1" applyFont="1" applyFill="1" applyAlignment="1">
      <alignment vertical="center"/>
    </xf>
    <xf numFmtId="41" fontId="52" fillId="54" borderId="0" xfId="1" applyNumberFormat="1" applyFont="1" applyFill="1" applyAlignment="1">
      <alignment vertical="center"/>
    </xf>
    <xf numFmtId="41" fontId="61" fillId="33" borderId="0" xfId="21758" quotePrefix="1" applyNumberFormat="1" applyFont="1" applyFill="1" applyAlignment="1">
      <alignment vertical="center"/>
    </xf>
    <xf numFmtId="0" fontId="73" fillId="33" borderId="0" xfId="1" applyFont="1" applyFill="1" applyAlignment="1">
      <alignment vertical="center"/>
    </xf>
    <xf numFmtId="1" fontId="73" fillId="34" borderId="0" xfId="1" applyNumberFormat="1" applyFont="1" applyFill="1" applyAlignment="1" applyProtection="1">
      <alignment horizontal="center" vertical="center"/>
      <protection locked="0"/>
    </xf>
    <xf numFmtId="2" fontId="73" fillId="33" borderId="0" xfId="1" applyNumberFormat="1" applyFont="1" applyFill="1" applyAlignment="1">
      <alignment vertical="center"/>
    </xf>
    <xf numFmtId="2" fontId="73" fillId="33" borderId="14" xfId="1" applyNumberFormat="1" applyFont="1" applyFill="1" applyBorder="1" applyAlignment="1">
      <alignment vertical="center"/>
    </xf>
    <xf numFmtId="0" fontId="124" fillId="33" borderId="0" xfId="0" applyFont="1" applyFill="1"/>
    <xf numFmtId="41" fontId="52" fillId="57" borderId="32" xfId="1" applyNumberFormat="1" applyFont="1" applyFill="1" applyBorder="1" applyAlignment="1">
      <alignment horizontal="center" vertical="center"/>
    </xf>
    <xf numFmtId="41" fontId="52" fillId="33" borderId="0" xfId="20512" applyNumberFormat="1" applyFont="1" applyFill="1" applyAlignment="1">
      <alignment vertical="center"/>
    </xf>
    <xf numFmtId="41" fontId="52" fillId="0" borderId="37" xfId="20512" applyNumberFormat="1" applyFont="1" applyBorder="1" applyAlignment="1">
      <alignment vertical="center"/>
    </xf>
    <xf numFmtId="41" fontId="59" fillId="0" borderId="37" xfId="20512" quotePrefix="1" applyNumberFormat="1" applyFont="1" applyBorder="1" applyAlignment="1">
      <alignment vertical="center"/>
    </xf>
    <xf numFmtId="10" fontId="0" fillId="33" borderId="0" xfId="0" applyNumberFormat="1" applyFill="1"/>
    <xf numFmtId="43" fontId="13" fillId="0" borderId="0" xfId="1" applyNumberFormat="1" applyFont="1"/>
    <xf numFmtId="168" fontId="59" fillId="33" borderId="31" xfId="4" applyNumberFormat="1" applyFont="1" applyFill="1" applyBorder="1" applyAlignment="1">
      <alignment horizontal="center" vertical="center"/>
    </xf>
    <xf numFmtId="168" fontId="59" fillId="33" borderId="31" xfId="4" applyNumberFormat="1" applyFont="1" applyFill="1" applyBorder="1" applyAlignment="1">
      <alignment horizontal="center" vertical="center" wrapText="1"/>
    </xf>
    <xf numFmtId="168" fontId="59" fillId="33" borderId="13" xfId="4" applyNumberFormat="1" applyFont="1" applyFill="1" applyBorder="1" applyAlignment="1">
      <alignment horizontal="center" vertical="center" wrapText="1"/>
    </xf>
    <xf numFmtId="166" fontId="59" fillId="33" borderId="0" xfId="1" applyNumberFormat="1" applyFont="1" applyFill="1" applyAlignment="1">
      <alignment vertical="center"/>
    </xf>
    <xf numFmtId="41" fontId="125" fillId="33" borderId="0" xfId="1" applyNumberFormat="1" applyFont="1" applyFill="1" applyAlignment="1">
      <alignment vertical="center"/>
    </xf>
    <xf numFmtId="0" fontId="11" fillId="36" borderId="32" xfId="8" applyFont="1" applyFill="1" applyBorder="1" applyAlignment="1">
      <alignment horizontal="center" vertical="center" wrapText="1"/>
    </xf>
    <xf numFmtId="43" fontId="11" fillId="36" borderId="32" xfId="9" applyFont="1" applyFill="1" applyBorder="1" applyAlignment="1">
      <alignment horizontal="center" vertical="center" wrapText="1"/>
    </xf>
    <xf numFmtId="43" fontId="11" fillId="36" borderId="32" xfId="10" applyFont="1" applyFill="1" applyBorder="1" applyAlignment="1">
      <alignment horizontal="center" vertical="center" wrapText="1"/>
    </xf>
    <xf numFmtId="10" fontId="11" fillId="34" borderId="32" xfId="21758" applyNumberFormat="1" applyFont="1" applyFill="1" applyBorder="1" applyAlignment="1">
      <alignment horizontal="center" vertical="center" wrapText="1"/>
    </xf>
    <xf numFmtId="167" fontId="11" fillId="34" borderId="32" xfId="14136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vertical="top"/>
    </xf>
    <xf numFmtId="2" fontId="126" fillId="33" borderId="0" xfId="1" applyNumberFormat="1" applyFont="1" applyFill="1"/>
    <xf numFmtId="0" fontId="6" fillId="0" borderId="0" xfId="7" applyFont="1"/>
    <xf numFmtId="0" fontId="127" fillId="0" borderId="0" xfId="3" applyFont="1" applyAlignment="1">
      <alignment vertical="top"/>
    </xf>
    <xf numFmtId="0" fontId="127" fillId="0" borderId="0" xfId="3" applyFont="1" applyAlignment="1">
      <alignment vertical="top" wrapText="1"/>
    </xf>
    <xf numFmtId="0" fontId="128" fillId="0" borderId="0" xfId="7" applyFont="1" applyAlignment="1">
      <alignment vertical="center"/>
    </xf>
    <xf numFmtId="0" fontId="128" fillId="0" borderId="0" xfId="1" applyFont="1"/>
    <xf numFmtId="0" fontId="128" fillId="0" borderId="0" xfId="7" applyFont="1"/>
    <xf numFmtId="0" fontId="75" fillId="33" borderId="0" xfId="1" applyFont="1" applyFill="1" applyAlignment="1">
      <alignment horizontal="left"/>
    </xf>
    <xf numFmtId="2" fontId="56" fillId="33" borderId="0" xfId="1" applyNumberFormat="1" applyFont="1" applyFill="1" applyAlignment="1">
      <alignment horizontal="left" vertical="top" wrapText="1"/>
    </xf>
    <xf numFmtId="0" fontId="52" fillId="33" borderId="0" xfId="1" applyFont="1" applyFill="1" applyAlignment="1">
      <alignment horizontal="right" vertical="top"/>
    </xf>
    <xf numFmtId="17" fontId="56" fillId="33" borderId="0" xfId="1" applyNumberFormat="1" applyFont="1" applyFill="1" applyAlignment="1">
      <alignment horizontal="right" vertical="top"/>
    </xf>
    <xf numFmtId="0" fontId="52" fillId="33" borderId="0" xfId="1" applyFont="1" applyFill="1" applyAlignment="1">
      <alignment horizontal="right" vertical="center"/>
    </xf>
    <xf numFmtId="166" fontId="61" fillId="33" borderId="0" xfId="4" applyNumberFormat="1" applyFont="1" applyFill="1" applyAlignment="1">
      <alignment vertical="center"/>
    </xf>
    <xf numFmtId="0" fontId="45" fillId="33" borderId="0" xfId="0" applyFont="1" applyFill="1"/>
    <xf numFmtId="0" fontId="72" fillId="33" borderId="0" xfId="0" applyFont="1" applyFill="1" applyAlignment="1">
      <alignment horizontal="left" indent="2"/>
    </xf>
    <xf numFmtId="0" fontId="75" fillId="33" borderId="0" xfId="0" applyFont="1" applyFill="1" applyAlignment="1">
      <alignment horizontal="left" indent="2"/>
    </xf>
    <xf numFmtId="0" fontId="75" fillId="33" borderId="0" xfId="0" applyFont="1" applyFill="1"/>
    <xf numFmtId="0" fontId="72" fillId="33" borderId="0" xfId="0" applyFont="1" applyFill="1"/>
    <xf numFmtId="171" fontId="125" fillId="33" borderId="0" xfId="1" applyNumberFormat="1" applyFont="1" applyFill="1" applyAlignment="1">
      <alignment vertical="center"/>
    </xf>
    <xf numFmtId="0" fontId="0" fillId="33" borderId="0" xfId="3" applyFont="1" applyFill="1" applyAlignment="1">
      <alignment vertical="center" wrapText="1"/>
    </xf>
    <xf numFmtId="0" fontId="125" fillId="33" borderId="0" xfId="1" applyFont="1" applyFill="1" applyAlignment="1">
      <alignment vertical="center"/>
    </xf>
    <xf numFmtId="41" fontId="73" fillId="34" borderId="0" xfId="1" applyNumberFormat="1" applyFont="1" applyFill="1" applyAlignment="1" applyProtection="1">
      <alignment vertical="top"/>
      <protection locked="0"/>
    </xf>
    <xf numFmtId="41" fontId="73" fillId="33" borderId="0" xfId="1" applyNumberFormat="1" applyFont="1" applyFill="1" applyAlignment="1">
      <alignment vertical="top"/>
    </xf>
    <xf numFmtId="43" fontId="73" fillId="34" borderId="0" xfId="1" applyNumberFormat="1" applyFont="1" applyFill="1" applyAlignment="1" applyProtection="1">
      <alignment vertical="top"/>
      <protection locked="0"/>
    </xf>
    <xf numFmtId="41" fontId="73" fillId="34" borderId="0" xfId="1" applyNumberFormat="1" applyFont="1" applyFill="1" applyAlignment="1" applyProtection="1">
      <alignment vertical="center" wrapText="1"/>
      <protection locked="0"/>
    </xf>
    <xf numFmtId="0" fontId="51" fillId="33" borderId="0" xfId="1" applyFont="1" applyFill="1" applyAlignment="1">
      <alignment horizontal="left"/>
    </xf>
    <xf numFmtId="41" fontId="73" fillId="33" borderId="0" xfId="1" applyNumberFormat="1" applyFont="1" applyFill="1"/>
    <xf numFmtId="0" fontId="129" fillId="56" borderId="0" xfId="1" applyFont="1" applyFill="1"/>
    <xf numFmtId="41" fontId="73" fillId="56" borderId="0" xfId="1" applyNumberFormat="1" applyFont="1" applyFill="1"/>
    <xf numFmtId="41" fontId="73" fillId="56" borderId="34" xfId="1" applyNumberFormat="1" applyFont="1" applyFill="1" applyBorder="1"/>
    <xf numFmtId="41" fontId="131" fillId="56" borderId="0" xfId="1" applyNumberFormat="1" applyFont="1" applyFill="1"/>
    <xf numFmtId="41" fontId="131" fillId="56" borderId="34" xfId="1" applyNumberFormat="1" applyFont="1" applyFill="1" applyBorder="1"/>
    <xf numFmtId="0" fontId="73" fillId="56" borderId="0" xfId="1" applyFont="1" applyFill="1"/>
    <xf numFmtId="38" fontId="71" fillId="33" borderId="0" xfId="1" applyNumberFormat="1" applyFont="1" applyFill="1"/>
    <xf numFmtId="42" fontId="132" fillId="56" borderId="0" xfId="1" applyNumberFormat="1" applyFont="1" applyFill="1"/>
    <xf numFmtId="42" fontId="132" fillId="56" borderId="34" xfId="1" applyNumberFormat="1" applyFont="1" applyFill="1" applyBorder="1"/>
    <xf numFmtId="0" fontId="130" fillId="33" borderId="0" xfId="1" applyFont="1" applyFill="1" applyAlignment="1">
      <alignment horizontal="center"/>
    </xf>
    <xf numFmtId="0" fontId="71" fillId="55" borderId="32" xfId="1" applyFont="1" applyFill="1" applyBorder="1" applyAlignment="1">
      <alignment horizontal="center"/>
    </xf>
    <xf numFmtId="41" fontId="71" fillId="33" borderId="0" xfId="1" applyNumberFormat="1" applyFont="1" applyFill="1"/>
    <xf numFmtId="0" fontId="55" fillId="33" borderId="0" xfId="1" applyFont="1" applyFill="1" applyAlignment="1">
      <alignment vertical="center"/>
    </xf>
    <xf numFmtId="0" fontId="129" fillId="56" borderId="10" xfId="1" applyFont="1" applyFill="1" applyBorder="1"/>
    <xf numFmtId="0" fontId="129" fillId="56" borderId="11" xfId="1" applyFont="1" applyFill="1" applyBorder="1"/>
    <xf numFmtId="0" fontId="129" fillId="56" borderId="31" xfId="1" applyFont="1" applyFill="1" applyBorder="1"/>
    <xf numFmtId="0" fontId="129" fillId="56" borderId="13" xfId="1" applyFont="1" applyFill="1" applyBorder="1"/>
    <xf numFmtId="0" fontId="73" fillId="56" borderId="14" xfId="1" applyFont="1" applyFill="1" applyBorder="1"/>
    <xf numFmtId="49" fontId="73" fillId="33" borderId="0" xfId="1" applyNumberFormat="1" applyFont="1" applyFill="1"/>
    <xf numFmtId="0" fontId="73" fillId="33" borderId="0" xfId="3" applyFont="1" applyFill="1"/>
    <xf numFmtId="49" fontId="73" fillId="33" borderId="0" xfId="1" applyNumberFormat="1" applyFont="1" applyFill="1" applyAlignment="1">
      <alignment horizontal="left" vertical="center"/>
    </xf>
    <xf numFmtId="49" fontId="71" fillId="33" borderId="0" xfId="1" applyNumberFormat="1" applyFont="1" applyFill="1"/>
    <xf numFmtId="41" fontId="73" fillId="33" borderId="0" xfId="1" applyNumberFormat="1" applyFont="1" applyFill="1" applyProtection="1">
      <protection locked="0"/>
    </xf>
    <xf numFmtId="42" fontId="132" fillId="33" borderId="0" xfId="1" applyNumberFormat="1" applyFont="1" applyFill="1"/>
    <xf numFmtId="0" fontId="73" fillId="56" borderId="10" xfId="1" applyFont="1" applyFill="1" applyBorder="1"/>
    <xf numFmtId="0" fontId="73" fillId="56" borderId="11" xfId="1" applyFont="1" applyFill="1" applyBorder="1"/>
    <xf numFmtId="0" fontId="73" fillId="56" borderId="12" xfId="1" applyFont="1" applyFill="1" applyBorder="1"/>
    <xf numFmtId="41" fontId="73" fillId="56" borderId="31" xfId="1" applyNumberFormat="1" applyFont="1" applyFill="1" applyBorder="1"/>
    <xf numFmtId="41" fontId="131" fillId="56" borderId="31" xfId="1" applyNumberFormat="1" applyFont="1" applyFill="1" applyBorder="1"/>
    <xf numFmtId="42" fontId="132" fillId="56" borderId="31" xfId="1" applyNumberFormat="1" applyFont="1" applyFill="1" applyBorder="1"/>
    <xf numFmtId="42" fontId="59" fillId="33" borderId="0" xfId="1" quotePrefix="1" applyNumberFormat="1" applyFont="1" applyFill="1" applyAlignment="1">
      <alignment vertical="center"/>
    </xf>
    <xf numFmtId="0" fontId="133" fillId="33" borderId="0" xfId="1" applyFont="1" applyFill="1" applyAlignment="1">
      <alignment vertical="center"/>
    </xf>
    <xf numFmtId="0" fontId="134" fillId="33" borderId="0" xfId="1" applyFont="1" applyFill="1" applyAlignment="1">
      <alignment vertical="center"/>
    </xf>
    <xf numFmtId="41" fontId="134" fillId="33" borderId="0" xfId="1" applyNumberFormat="1" applyFont="1" applyFill="1" applyAlignment="1">
      <alignment vertical="center"/>
    </xf>
    <xf numFmtId="41" fontId="133" fillId="33" borderId="0" xfId="1" applyNumberFormat="1" applyFont="1" applyFill="1" applyAlignment="1">
      <alignment vertical="center"/>
    </xf>
    <xf numFmtId="0" fontId="3" fillId="0" borderId="0" xfId="1" applyFont="1" applyAlignment="1">
      <alignment horizontal="center"/>
    </xf>
    <xf numFmtId="0" fontId="49" fillId="0" borderId="0" xfId="21672" applyFont="1" applyAlignment="1">
      <alignment horizontal="center"/>
    </xf>
    <xf numFmtId="0" fontId="15" fillId="34" borderId="0" xfId="21672" applyFont="1" applyFill="1" applyAlignment="1">
      <alignment horizontal="center"/>
    </xf>
    <xf numFmtId="41" fontId="13" fillId="34" borderId="0" xfId="7" applyNumberFormat="1" applyFont="1" applyFill="1" applyAlignment="1">
      <alignment horizontal="center"/>
    </xf>
    <xf numFmtId="0" fontId="13" fillId="34" borderId="0" xfId="12" applyFont="1" applyFill="1" applyAlignment="1">
      <alignment horizontal="center"/>
    </xf>
    <xf numFmtId="0" fontId="13" fillId="0" borderId="0" xfId="7" applyFont="1" applyAlignment="1">
      <alignment horizontal="right" vertical="center"/>
    </xf>
    <xf numFmtId="0" fontId="75" fillId="33" borderId="0" xfId="1" applyFont="1" applyFill="1"/>
    <xf numFmtId="10" fontId="0" fillId="33" borderId="0" xfId="14120" applyNumberFormat="1" applyFont="1" applyFill="1"/>
    <xf numFmtId="9" fontId="67" fillId="33" borderId="0" xfId="14120" applyFont="1" applyFill="1" applyAlignment="1">
      <alignment vertical="center"/>
    </xf>
    <xf numFmtId="9" fontId="125" fillId="33" borderId="0" xfId="14120" applyFont="1" applyFill="1" applyAlignment="1">
      <alignment vertical="center"/>
    </xf>
    <xf numFmtId="43" fontId="59" fillId="33" borderId="0" xfId="1" applyNumberFormat="1" applyFont="1" applyFill="1" applyAlignment="1">
      <alignment vertical="center"/>
    </xf>
    <xf numFmtId="0" fontId="79" fillId="56" borderId="11" xfId="1" applyFont="1" applyFill="1" applyBorder="1" applyAlignment="1">
      <alignment horizontal="center"/>
    </xf>
    <xf numFmtId="41" fontId="79" fillId="56" borderId="12" xfId="1" applyNumberFormat="1" applyFont="1" applyFill="1" applyBorder="1" applyAlignment="1">
      <alignment horizontal="center"/>
    </xf>
    <xf numFmtId="42" fontId="137" fillId="33" borderId="0" xfId="1" applyNumberFormat="1" applyFont="1" applyFill="1"/>
    <xf numFmtId="168" fontId="141" fillId="33" borderId="0" xfId="14120" applyNumberFormat="1" applyFont="1" applyFill="1" applyAlignment="1">
      <alignment vertical="center"/>
    </xf>
    <xf numFmtId="168" fontId="129" fillId="56" borderId="0" xfId="1" applyNumberFormat="1" applyFont="1" applyFill="1"/>
    <xf numFmtId="168" fontId="129" fillId="56" borderId="14" xfId="1" applyNumberFormat="1" applyFont="1" applyFill="1" applyBorder="1"/>
    <xf numFmtId="43" fontId="72" fillId="33" borderId="0" xfId="0" applyNumberFormat="1" applyFont="1" applyFill="1"/>
    <xf numFmtId="41" fontId="59" fillId="33" borderId="37" xfId="1" applyNumberFormat="1" applyFont="1" applyFill="1" applyBorder="1" applyAlignment="1">
      <alignment vertical="center"/>
    </xf>
    <xf numFmtId="41" fontId="59" fillId="33" borderId="37" xfId="20512" applyNumberFormat="1" applyFont="1" applyFill="1" applyBorder="1" applyAlignment="1">
      <alignment vertical="center"/>
    </xf>
    <xf numFmtId="0" fontId="73" fillId="33" borderId="0" xfId="0" applyFont="1" applyFill="1"/>
    <xf numFmtId="0" fontId="136" fillId="33" borderId="0" xfId="1" applyFont="1" applyFill="1" applyAlignment="1">
      <alignment vertical="center"/>
    </xf>
    <xf numFmtId="0" fontId="135" fillId="33" borderId="0" xfId="1" applyFont="1" applyFill="1" applyAlignment="1">
      <alignment vertical="center"/>
    </xf>
    <xf numFmtId="41" fontId="95" fillId="33" borderId="0" xfId="1" applyNumberFormat="1" applyFont="1" applyFill="1" applyAlignment="1">
      <alignment horizontal="center"/>
    </xf>
    <xf numFmtId="0" fontId="95" fillId="33" borderId="0" xfId="1" applyFont="1" applyFill="1"/>
    <xf numFmtId="0" fontId="71" fillId="33" borderId="0" xfId="1" applyFont="1" applyFill="1" applyAlignment="1">
      <alignment vertical="center"/>
    </xf>
    <xf numFmtId="0" fontId="63" fillId="33" borderId="31" xfId="3" applyFont="1" applyFill="1" applyBorder="1" applyAlignment="1">
      <alignment horizontal="center" vertical="center"/>
    </xf>
    <xf numFmtId="43" fontId="93" fillId="33" borderId="34" xfId="1" applyNumberFormat="1" applyFont="1" applyFill="1" applyBorder="1" applyAlignment="1">
      <alignment horizontal="right" vertical="center"/>
    </xf>
    <xf numFmtId="0" fontId="59" fillId="54" borderId="14" xfId="1" applyFont="1" applyFill="1" applyBorder="1" applyAlignment="1">
      <alignment vertical="center"/>
    </xf>
    <xf numFmtId="0" fontId="69" fillId="54" borderId="10" xfId="1" applyFont="1" applyFill="1" applyBorder="1" applyAlignment="1">
      <alignment vertical="center"/>
    </xf>
    <xf numFmtId="42" fontId="69" fillId="54" borderId="17" xfId="1" applyNumberFormat="1" applyFont="1" applyFill="1" applyBorder="1" applyAlignment="1">
      <alignment vertical="center"/>
    </xf>
    <xf numFmtId="0" fontId="69" fillId="54" borderId="11" xfId="1" applyFont="1" applyFill="1" applyBorder="1" applyAlignment="1">
      <alignment vertical="center"/>
    </xf>
    <xf numFmtId="41" fontId="69" fillId="54" borderId="11" xfId="1" applyNumberFormat="1" applyFont="1" applyFill="1" applyBorder="1" applyAlignment="1">
      <alignment vertical="center"/>
    </xf>
    <xf numFmtId="42" fontId="69" fillId="54" borderId="36" xfId="1" applyNumberFormat="1" applyFont="1" applyFill="1" applyBorder="1" applyAlignment="1">
      <alignment vertical="center"/>
    </xf>
    <xf numFmtId="0" fontId="95" fillId="54" borderId="31" xfId="1" applyFont="1" applyFill="1" applyBorder="1" applyAlignment="1">
      <alignment vertical="center"/>
    </xf>
    <xf numFmtId="42" fontId="95" fillId="54" borderId="19" xfId="1" applyNumberFormat="1" applyFont="1" applyFill="1" applyBorder="1" applyAlignment="1">
      <alignment vertical="center"/>
    </xf>
    <xf numFmtId="0" fontId="95" fillId="54" borderId="0" xfId="1" applyFont="1" applyFill="1" applyAlignment="1">
      <alignment vertical="center"/>
    </xf>
    <xf numFmtId="41" fontId="95" fillId="54" borderId="0" xfId="1" applyNumberFormat="1" applyFont="1" applyFill="1" applyAlignment="1">
      <alignment vertical="center"/>
    </xf>
    <xf numFmtId="42" fontId="95" fillId="54" borderId="41" xfId="1" applyNumberFormat="1" applyFont="1" applyFill="1" applyBorder="1" applyAlignment="1">
      <alignment vertical="center"/>
    </xf>
    <xf numFmtId="0" fontId="59" fillId="54" borderId="13" xfId="1" applyFont="1" applyFill="1" applyBorder="1" applyAlignment="1">
      <alignment vertical="center"/>
    </xf>
    <xf numFmtId="168" fontId="141" fillId="54" borderId="14" xfId="14120" applyNumberFormat="1" applyFont="1" applyFill="1" applyBorder="1" applyAlignment="1">
      <alignment vertical="center"/>
    </xf>
    <xf numFmtId="41" fontId="59" fillId="54" borderId="14" xfId="1" applyNumberFormat="1" applyFont="1" applyFill="1" applyBorder="1" applyAlignment="1">
      <alignment vertical="center"/>
    </xf>
    <xf numFmtId="168" fontId="141" fillId="54" borderId="15" xfId="14120" applyNumberFormat="1" applyFont="1" applyFill="1" applyBorder="1" applyAlignment="1">
      <alignment vertical="center"/>
    </xf>
    <xf numFmtId="43" fontId="0" fillId="33" borderId="0" xfId="0" applyNumberFormat="1" applyFill="1"/>
    <xf numFmtId="10" fontId="122" fillId="33" borderId="0" xfId="0" applyNumberFormat="1" applyFont="1" applyFill="1" applyAlignment="1">
      <alignment horizontal="center" vertical="center" wrapText="1"/>
    </xf>
    <xf numFmtId="168" fontId="59" fillId="33" borderId="13" xfId="4" applyNumberFormat="1" applyFont="1" applyFill="1" applyBorder="1" applyAlignment="1">
      <alignment horizontal="center" vertical="center"/>
    </xf>
    <xf numFmtId="168" fontId="59" fillId="33" borderId="14" xfId="4" applyNumberFormat="1" applyFont="1" applyFill="1" applyBorder="1" applyAlignment="1">
      <alignment horizontal="center" vertical="center"/>
    </xf>
    <xf numFmtId="168" fontId="59" fillId="33" borderId="13" xfId="21758" applyNumberFormat="1" applyFont="1" applyFill="1" applyBorder="1" applyAlignment="1">
      <alignment horizontal="center" vertical="center"/>
    </xf>
    <xf numFmtId="168" fontId="59" fillId="33" borderId="14" xfId="21758" applyNumberFormat="1" applyFont="1" applyFill="1" applyBorder="1" applyAlignment="1">
      <alignment horizontal="center" vertical="center"/>
    </xf>
    <xf numFmtId="168" fontId="61" fillId="33" borderId="35" xfId="4" applyNumberFormat="1" applyFont="1" applyFill="1" applyBorder="1" applyAlignment="1">
      <alignment horizontal="center" vertical="center"/>
    </xf>
    <xf numFmtId="168" fontId="61" fillId="33" borderId="17" xfId="4" applyNumberFormat="1" applyFont="1" applyFill="1" applyBorder="1" applyAlignment="1">
      <alignment horizontal="center" vertical="center"/>
    </xf>
    <xf numFmtId="168" fontId="61" fillId="33" borderId="36" xfId="4" applyNumberFormat="1" applyFont="1" applyFill="1" applyBorder="1" applyAlignment="1">
      <alignment horizontal="center" vertical="center"/>
    </xf>
    <xf numFmtId="0" fontId="13" fillId="0" borderId="0" xfId="11" applyFont="1" applyAlignment="1">
      <alignment wrapText="1"/>
    </xf>
    <xf numFmtId="10" fontId="11" fillId="0" borderId="0" xfId="10" applyNumberFormat="1" applyFont="1" applyAlignment="1">
      <alignment wrapText="1"/>
    </xf>
    <xf numFmtId="0" fontId="11" fillId="0" borderId="0" xfId="7" applyFont="1" applyAlignment="1">
      <alignment horizontal="right"/>
    </xf>
    <xf numFmtId="10" fontId="0" fillId="68" borderId="0" xfId="14120" applyNumberFormat="1" applyFont="1" applyFill="1"/>
    <xf numFmtId="41" fontId="46" fillId="33" borderId="0" xfId="0" applyNumberFormat="1" applyFont="1" applyFill="1"/>
    <xf numFmtId="10" fontId="46" fillId="33" borderId="0" xfId="14120" applyNumberFormat="1" applyFont="1" applyFill="1"/>
    <xf numFmtId="10" fontId="122" fillId="55" borderId="0" xfId="0" applyNumberFormat="1" applyFont="1" applyFill="1" applyAlignment="1">
      <alignment horizontal="center" vertical="center" wrapText="1"/>
    </xf>
    <xf numFmtId="167" fontId="0" fillId="55" borderId="0" xfId="0" applyNumberFormat="1" applyFill="1" applyAlignment="1">
      <alignment horizontal="center" vertical="center" wrapText="1"/>
    </xf>
    <xf numFmtId="167" fontId="46" fillId="55" borderId="0" xfId="0" applyNumberFormat="1" applyFont="1" applyFill="1" applyAlignment="1">
      <alignment horizontal="center" vertical="center" wrapText="1"/>
    </xf>
    <xf numFmtId="43" fontId="73" fillId="55" borderId="0" xfId="21672" applyNumberFormat="1" applyFont="1" applyFill="1" applyProtection="1">
      <protection locked="0"/>
    </xf>
    <xf numFmtId="43" fontId="86" fillId="55" borderId="0" xfId="21672" applyNumberFormat="1" applyFont="1" applyFill="1" applyProtection="1">
      <protection locked="0"/>
    </xf>
    <xf numFmtId="42" fontId="91" fillId="55" borderId="0" xfId="0" applyNumberFormat="1" applyFont="1" applyFill="1"/>
    <xf numFmtId="43" fontId="72" fillId="55" borderId="0" xfId="0" applyNumberFormat="1" applyFont="1" applyFill="1"/>
    <xf numFmtId="0" fontId="0" fillId="55" borderId="0" xfId="0" applyFill="1"/>
    <xf numFmtId="166" fontId="73" fillId="55" borderId="0" xfId="21672" applyNumberFormat="1" applyFont="1" applyFill="1" applyProtection="1">
      <protection locked="0"/>
    </xf>
    <xf numFmtId="41" fontId="90" fillId="55" borderId="0" xfId="0" applyNumberFormat="1" applyFont="1" applyFill="1"/>
    <xf numFmtId="42" fontId="87" fillId="55" borderId="0" xfId="0" applyNumberFormat="1" applyFont="1" applyFill="1"/>
    <xf numFmtId="166" fontId="0" fillId="55" borderId="0" xfId="0" applyNumberFormat="1" applyFill="1"/>
    <xf numFmtId="167" fontId="87" fillId="55" borderId="0" xfId="0" applyNumberFormat="1" applyFont="1" applyFill="1"/>
    <xf numFmtId="42" fontId="88" fillId="55" borderId="0" xfId="0" applyNumberFormat="1" applyFont="1" applyFill="1"/>
    <xf numFmtId="167" fontId="46" fillId="55" borderId="0" xfId="0" applyNumberFormat="1" applyFont="1" applyFill="1" applyAlignment="1">
      <alignment horizontal="center" vertical="center"/>
    </xf>
    <xf numFmtId="167" fontId="46" fillId="33" borderId="0" xfId="0" applyNumberFormat="1" applyFont="1" applyFill="1" applyAlignment="1">
      <alignment horizontal="center" vertical="center"/>
    </xf>
    <xf numFmtId="0" fontId="90" fillId="33" borderId="0" xfId="0" applyFont="1" applyFill="1"/>
    <xf numFmtId="43" fontId="91" fillId="55" borderId="0" xfId="0" applyNumberFormat="1" applyFont="1" applyFill="1"/>
    <xf numFmtId="43" fontId="91" fillId="33" borderId="0" xfId="0" applyNumberFormat="1" applyFont="1" applyFill="1"/>
    <xf numFmtId="164" fontId="52" fillId="55" borderId="30" xfId="1" applyNumberFormat="1" applyFont="1" applyFill="1" applyBorder="1" applyAlignment="1">
      <alignment horizontal="center" vertical="center" wrapText="1"/>
    </xf>
    <xf numFmtId="0" fontId="73" fillId="33" borderId="32" xfId="1" applyFont="1" applyFill="1" applyBorder="1"/>
    <xf numFmtId="164" fontId="52" fillId="55" borderId="29" xfId="1" applyNumberFormat="1" applyFont="1" applyFill="1" applyBorder="1" applyAlignment="1">
      <alignment horizontal="center" vertical="center" wrapText="1"/>
    </xf>
    <xf numFmtId="164" fontId="52" fillId="55" borderId="33" xfId="1" applyNumberFormat="1" applyFont="1" applyFill="1" applyBorder="1" applyAlignment="1">
      <alignment horizontal="center" vertical="center" wrapText="1"/>
    </xf>
    <xf numFmtId="41" fontId="129" fillId="56" borderId="0" xfId="1" applyNumberFormat="1" applyFont="1" applyFill="1" applyAlignment="1">
      <alignment horizontal="center"/>
    </xf>
    <xf numFmtId="168" fontId="129" fillId="56" borderId="0" xfId="1" applyNumberFormat="1" applyFont="1" applyFill="1" applyAlignment="1">
      <alignment horizontal="center"/>
    </xf>
    <xf numFmtId="9" fontId="77" fillId="34" borderId="0" xfId="14128" applyNumberFormat="1" applyFont="1" applyFill="1" applyAlignment="1" applyProtection="1">
      <alignment vertical="top"/>
      <protection locked="0"/>
    </xf>
    <xf numFmtId="168" fontId="61" fillId="33" borderId="0" xfId="21758" applyNumberFormat="1" applyFont="1" applyFill="1" applyAlignment="1">
      <alignment horizontal="center" vertical="center"/>
    </xf>
    <xf numFmtId="168" fontId="59" fillId="33" borderId="15" xfId="21758" applyNumberFormat="1" applyFont="1" applyFill="1" applyBorder="1" applyAlignment="1">
      <alignment horizontal="center" vertical="center"/>
    </xf>
    <xf numFmtId="41" fontId="0" fillId="68" borderId="0" xfId="0" applyNumberFormat="1" applyFill="1"/>
    <xf numFmtId="38" fontId="73" fillId="33" borderId="0" xfId="1" applyNumberFormat="1" applyFont="1" applyFill="1" applyAlignment="1">
      <alignment horizontal="left"/>
    </xf>
    <xf numFmtId="38" fontId="71" fillId="33" borderId="0" xfId="1" applyNumberFormat="1" applyFont="1" applyFill="1" applyAlignment="1">
      <alignment horizontal="left"/>
    </xf>
    <xf numFmtId="41" fontId="73" fillId="56" borderId="13" xfId="1" applyNumberFormat="1" applyFont="1" applyFill="1" applyBorder="1" applyProtection="1">
      <protection locked="0"/>
    </xf>
    <xf numFmtId="41" fontId="73" fillId="56" borderId="14" xfId="1" applyNumberFormat="1" applyFont="1" applyFill="1" applyBorder="1" applyProtection="1">
      <protection locked="0"/>
    </xf>
    <xf numFmtId="41" fontId="73" fillId="56" borderId="15" xfId="1" applyNumberFormat="1" applyFont="1" applyFill="1" applyBorder="1" applyProtection="1">
      <protection locked="0"/>
    </xf>
    <xf numFmtId="42" fontId="71" fillId="56" borderId="31" xfId="1" applyNumberFormat="1" applyFont="1" applyFill="1" applyBorder="1"/>
    <xf numFmtId="42" fontId="71" fillId="56" borderId="0" xfId="1" applyNumberFormat="1" applyFont="1" applyFill="1"/>
    <xf numFmtId="42" fontId="71" fillId="56" borderId="34" xfId="1" applyNumberFormat="1" applyFont="1" applyFill="1" applyBorder="1"/>
    <xf numFmtId="42" fontId="71" fillId="33" borderId="0" xfId="1" applyNumberFormat="1" applyFont="1" applyFill="1"/>
    <xf numFmtId="41" fontId="73" fillId="56" borderId="13" xfId="1" applyNumberFormat="1" applyFont="1" applyFill="1" applyBorder="1"/>
    <xf numFmtId="41" fontId="73" fillId="56" borderId="14" xfId="1" applyNumberFormat="1" applyFont="1" applyFill="1" applyBorder="1"/>
    <xf numFmtId="41" fontId="73" fillId="56" borderId="15" xfId="1" applyNumberFormat="1" applyFont="1" applyFill="1" applyBorder="1"/>
    <xf numFmtId="38" fontId="71" fillId="56" borderId="0" xfId="1" applyNumberFormat="1" applyFont="1" applyFill="1"/>
    <xf numFmtId="41" fontId="138" fillId="56" borderId="0" xfId="1" applyNumberFormat="1" applyFont="1" applyFill="1"/>
    <xf numFmtId="42" fontId="139" fillId="56" borderId="0" xfId="1" applyNumberFormat="1" applyFont="1" applyFill="1"/>
    <xf numFmtId="38" fontId="71" fillId="56" borderId="31" xfId="1" applyNumberFormat="1" applyFont="1" applyFill="1" applyBorder="1"/>
    <xf numFmtId="38" fontId="71" fillId="56" borderId="34" xfId="1" applyNumberFormat="1" applyFont="1" applyFill="1" applyBorder="1"/>
    <xf numFmtId="41" fontId="138" fillId="56" borderId="31" xfId="1" applyNumberFormat="1" applyFont="1" applyFill="1" applyBorder="1"/>
    <xf numFmtId="42" fontId="139" fillId="56" borderId="31" xfId="1" applyNumberFormat="1" applyFont="1" applyFill="1" applyBorder="1"/>
    <xf numFmtId="0" fontId="73" fillId="56" borderId="13" xfId="1" applyFont="1" applyFill="1" applyBorder="1"/>
    <xf numFmtId="0" fontId="73" fillId="56" borderId="15" xfId="1" applyFont="1" applyFill="1" applyBorder="1"/>
    <xf numFmtId="168" fontId="129" fillId="56" borderId="34" xfId="1" applyNumberFormat="1" applyFont="1" applyFill="1" applyBorder="1" applyAlignment="1">
      <alignment horizontal="center"/>
    </xf>
    <xf numFmtId="38" fontId="144" fillId="33" borderId="0" xfId="1" applyNumberFormat="1" applyFont="1" applyFill="1"/>
    <xf numFmtId="38" fontId="142" fillId="33" borderId="0" xfId="1" applyNumberFormat="1" applyFont="1" applyFill="1"/>
    <xf numFmtId="38" fontId="145" fillId="33" borderId="0" xfId="1" applyNumberFormat="1" applyFont="1" applyFill="1"/>
    <xf numFmtId="168" fontId="142" fillId="56" borderId="34" xfId="14120" applyNumberFormat="1" applyFont="1" applyFill="1" applyBorder="1"/>
    <xf numFmtId="5" fontId="129" fillId="56" borderId="0" xfId="14128" applyNumberFormat="1" applyFont="1" applyFill="1" applyAlignment="1">
      <alignment horizontal="center"/>
    </xf>
    <xf numFmtId="5" fontId="129" fillId="56" borderId="34" xfId="14128" applyNumberFormat="1" applyFont="1" applyFill="1" applyBorder="1" applyAlignment="1">
      <alignment horizontal="center"/>
    </xf>
    <xf numFmtId="5" fontId="129" fillId="56" borderId="14" xfId="14128" applyNumberFormat="1" applyFont="1" applyFill="1" applyBorder="1" applyAlignment="1">
      <alignment horizontal="center"/>
    </xf>
    <xf numFmtId="5" fontId="129" fillId="56" borderId="15" xfId="14128" applyNumberFormat="1" applyFont="1" applyFill="1" applyBorder="1" applyAlignment="1">
      <alignment horizontal="center"/>
    </xf>
    <xf numFmtId="1" fontId="129" fillId="56" borderId="0" xfId="1" applyNumberFormat="1" applyFont="1" applyFill="1" applyAlignment="1">
      <alignment horizontal="center"/>
    </xf>
    <xf numFmtId="1" fontId="129" fillId="56" borderId="34" xfId="1" applyNumberFormat="1" applyFont="1" applyFill="1" applyBorder="1" applyAlignment="1">
      <alignment horizontal="center"/>
    </xf>
    <xf numFmtId="0" fontId="145" fillId="33" borderId="0" xfId="1" applyFont="1" applyFill="1"/>
    <xf numFmtId="168" fontId="144" fillId="56" borderId="31" xfId="14120" applyNumberFormat="1" applyFont="1" applyFill="1" applyBorder="1"/>
    <xf numFmtId="168" fontId="144" fillId="56" borderId="0" xfId="14120" applyNumberFormat="1" applyFont="1" applyFill="1"/>
    <xf numFmtId="168" fontId="144" fillId="56" borderId="34" xfId="14120" applyNumberFormat="1" applyFont="1" applyFill="1" applyBorder="1"/>
    <xf numFmtId="168" fontId="144" fillId="33" borderId="0" xfId="14120" applyNumberFormat="1" applyFont="1" applyFill="1"/>
    <xf numFmtId="0" fontId="73" fillId="56" borderId="34" xfId="1" applyFont="1" applyFill="1" applyBorder="1"/>
    <xf numFmtId="0" fontId="73" fillId="56" borderId="31" xfId="1" applyFont="1" applyFill="1" applyBorder="1"/>
    <xf numFmtId="168" fontId="145" fillId="56" borderId="31" xfId="14120" applyNumberFormat="1" applyFont="1" applyFill="1" applyBorder="1"/>
    <xf numFmtId="168" fontId="145" fillId="56" borderId="0" xfId="14120" applyNumberFormat="1" applyFont="1" applyFill="1"/>
    <xf numFmtId="168" fontId="145" fillId="56" borderId="34" xfId="14120" applyNumberFormat="1" applyFont="1" applyFill="1" applyBorder="1"/>
    <xf numFmtId="41" fontId="146" fillId="56" borderId="31" xfId="1" applyNumberFormat="1" applyFont="1" applyFill="1" applyBorder="1"/>
    <xf numFmtId="41" fontId="146" fillId="56" borderId="0" xfId="1" applyNumberFormat="1" applyFont="1" applyFill="1"/>
    <xf numFmtId="41" fontId="146" fillId="56" borderId="34" xfId="1" applyNumberFormat="1" applyFont="1" applyFill="1" applyBorder="1"/>
    <xf numFmtId="42" fontId="69" fillId="56" borderId="31" xfId="1" applyNumberFormat="1" applyFont="1" applyFill="1" applyBorder="1"/>
    <xf numFmtId="42" fontId="69" fillId="56" borderId="0" xfId="1" applyNumberFormat="1" applyFont="1" applyFill="1"/>
    <xf numFmtId="42" fontId="69" fillId="56" borderId="34" xfId="1" applyNumberFormat="1" applyFont="1" applyFill="1" applyBorder="1"/>
    <xf numFmtId="42" fontId="69" fillId="56" borderId="31" xfId="2" quotePrefix="1" applyNumberFormat="1" applyFont="1" applyFill="1" applyBorder="1"/>
    <xf numFmtId="42" fontId="69" fillId="56" borderId="0" xfId="2" quotePrefix="1" applyNumberFormat="1" applyFont="1" applyFill="1"/>
    <xf numFmtId="42" fontId="69" fillId="56" borderId="34" xfId="2" quotePrefix="1" applyNumberFormat="1" applyFont="1" applyFill="1" applyBorder="1"/>
    <xf numFmtId="42" fontId="69" fillId="33" borderId="0" xfId="2" quotePrefix="1" applyNumberFormat="1" applyFont="1" applyFill="1"/>
    <xf numFmtId="41" fontId="69" fillId="56" borderId="31" xfId="2" quotePrefix="1" applyNumberFormat="1" applyFont="1" applyFill="1" applyBorder="1"/>
    <xf numFmtId="41" fontId="69" fillId="56" borderId="0" xfId="2" quotePrefix="1" applyNumberFormat="1" applyFont="1" applyFill="1"/>
    <xf numFmtId="41" fontId="69" fillId="56" borderId="34" xfId="2" quotePrefix="1" applyNumberFormat="1" applyFont="1" applyFill="1" applyBorder="1"/>
    <xf numFmtId="41" fontId="69" fillId="33" borderId="0" xfId="2" quotePrefix="1" applyNumberFormat="1" applyFont="1" applyFill="1"/>
    <xf numFmtId="41" fontId="69" fillId="56" borderId="31" xfId="1" applyNumberFormat="1" applyFont="1" applyFill="1" applyBorder="1"/>
    <xf numFmtId="41" fontId="69" fillId="56" borderId="0" xfId="1" applyNumberFormat="1" applyFont="1" applyFill="1"/>
    <xf numFmtId="41" fontId="69" fillId="56" borderId="34" xfId="1" applyNumberFormat="1" applyFont="1" applyFill="1" applyBorder="1"/>
    <xf numFmtId="41" fontId="69" fillId="33" borderId="0" xfId="1" applyNumberFormat="1" applyFont="1" applyFill="1"/>
    <xf numFmtId="41" fontId="146" fillId="33" borderId="0" xfId="1" applyNumberFormat="1" applyFont="1" applyFill="1"/>
    <xf numFmtId="41" fontId="69" fillId="56" borderId="0" xfId="1" applyNumberFormat="1" applyFont="1" applyFill="1" applyAlignment="1">
      <alignment horizontal="right"/>
    </xf>
    <xf numFmtId="41" fontId="146" fillId="56" borderId="0" xfId="1" applyNumberFormat="1" applyFont="1" applyFill="1" applyAlignment="1">
      <alignment horizontal="right"/>
    </xf>
    <xf numFmtId="42" fontId="131" fillId="56" borderId="31" xfId="1" applyNumberFormat="1" applyFont="1" applyFill="1" applyBorder="1"/>
    <xf numFmtId="42" fontId="131" fillId="56" borderId="0" xfId="1" applyNumberFormat="1" applyFont="1" applyFill="1"/>
    <xf numFmtId="42" fontId="131" fillId="56" borderId="34" xfId="1" applyNumberFormat="1" applyFont="1" applyFill="1" applyBorder="1"/>
    <xf numFmtId="42" fontId="131" fillId="33" borderId="0" xfId="1" applyNumberFormat="1" applyFont="1" applyFill="1"/>
    <xf numFmtId="42" fontId="69" fillId="56" borderId="0" xfId="1" applyNumberFormat="1" applyFont="1" applyFill="1" applyAlignment="1">
      <alignment horizontal="right"/>
    </xf>
    <xf numFmtId="42" fontId="69" fillId="33" borderId="0" xfId="1" applyNumberFormat="1" applyFont="1" applyFill="1"/>
    <xf numFmtId="9" fontId="134" fillId="33" borderId="0" xfId="1" applyNumberFormat="1" applyFont="1" applyFill="1" applyAlignment="1">
      <alignment vertical="center"/>
    </xf>
    <xf numFmtId="0" fontId="0" fillId="68" borderId="0" xfId="0" applyFill="1"/>
    <xf numFmtId="0" fontId="140" fillId="33" borderId="0" xfId="0" applyFont="1" applyFill="1" applyAlignment="1">
      <alignment wrapText="1"/>
    </xf>
    <xf numFmtId="10" fontId="77" fillId="34" borderId="0" xfId="20512" applyNumberFormat="1" applyFont="1" applyFill="1" applyAlignment="1" applyProtection="1">
      <alignment vertical="top"/>
      <protection locked="0"/>
    </xf>
    <xf numFmtId="42" fontId="90" fillId="55" borderId="0" xfId="0" applyNumberFormat="1" applyFont="1" applyFill="1"/>
    <xf numFmtId="172" fontId="73" fillId="34" borderId="0" xfId="1" applyNumberFormat="1" applyFont="1" applyFill="1" applyAlignment="1" applyProtection="1">
      <alignment vertical="center" wrapText="1"/>
      <protection locked="0"/>
    </xf>
    <xf numFmtId="9" fontId="73" fillId="33" borderId="0" xfId="1" applyNumberFormat="1" applyFont="1" applyFill="1" applyAlignment="1">
      <alignment horizontal="left"/>
    </xf>
    <xf numFmtId="44" fontId="77" fillId="33" borderId="0" xfId="14136" applyFont="1" applyFill="1" applyAlignment="1" applyProtection="1">
      <alignment vertical="top"/>
      <protection locked="0"/>
    </xf>
    <xf numFmtId="168" fontId="61" fillId="33" borderId="31" xfId="21758" applyNumberFormat="1" applyFont="1" applyFill="1" applyBorder="1" applyAlignment="1">
      <alignment horizontal="center" vertical="center"/>
    </xf>
    <xf numFmtId="168" fontId="61" fillId="33" borderId="34" xfId="21758" applyNumberFormat="1" applyFont="1" applyFill="1" applyBorder="1" applyAlignment="1">
      <alignment horizontal="center" vertical="center"/>
    </xf>
    <xf numFmtId="10" fontId="169" fillId="33" borderId="0" xfId="1" applyNumberFormat="1" applyFont="1" applyFill="1" applyAlignment="1">
      <alignment vertical="center"/>
    </xf>
    <xf numFmtId="168" fontId="61" fillId="70" borderId="34" xfId="4" applyNumberFormat="1" applyFont="1" applyFill="1" applyBorder="1" applyAlignment="1">
      <alignment horizontal="center" vertical="center"/>
    </xf>
    <xf numFmtId="168" fontId="61" fillId="70" borderId="34" xfId="4" applyNumberFormat="1" applyFont="1" applyFill="1" applyBorder="1" applyAlignment="1">
      <alignment horizontal="center" vertical="center" wrapText="1"/>
    </xf>
    <xf numFmtId="168" fontId="61" fillId="70" borderId="15" xfId="4" applyNumberFormat="1" applyFont="1" applyFill="1" applyBorder="1" applyAlignment="1">
      <alignment horizontal="center" vertical="center"/>
    </xf>
    <xf numFmtId="9" fontId="61" fillId="70" borderId="0" xfId="4" applyFont="1" applyFill="1" applyAlignment="1">
      <alignment vertical="center"/>
    </xf>
    <xf numFmtId="41" fontId="61" fillId="70" borderId="0" xfId="2" quotePrefix="1" applyNumberFormat="1" applyFont="1" applyFill="1" applyAlignment="1">
      <alignment horizontal="center" vertical="center"/>
    </xf>
    <xf numFmtId="41" fontId="61" fillId="70" borderId="0" xfId="2" quotePrefix="1" applyNumberFormat="1" applyFont="1" applyFill="1" applyAlignment="1">
      <alignment vertical="center"/>
    </xf>
    <xf numFmtId="41" fontId="61" fillId="70" borderId="0" xfId="4" quotePrefix="1" applyNumberFormat="1" applyFont="1" applyFill="1" applyAlignment="1">
      <alignment vertical="center"/>
    </xf>
    <xf numFmtId="41" fontId="61" fillId="70" borderId="0" xfId="4" applyNumberFormat="1" applyFont="1" applyFill="1" applyAlignment="1">
      <alignment vertical="center"/>
    </xf>
    <xf numFmtId="166" fontId="61" fillId="70" borderId="0" xfId="4" applyNumberFormat="1" applyFont="1" applyFill="1" applyAlignment="1">
      <alignment vertical="center"/>
    </xf>
    <xf numFmtId="41" fontId="61" fillId="70" borderId="0" xfId="1" applyNumberFormat="1" applyFont="1" applyFill="1" applyAlignment="1">
      <alignment vertical="center"/>
    </xf>
    <xf numFmtId="41" fontId="59" fillId="70" borderId="17" xfId="1" applyNumberFormat="1" applyFont="1" applyFill="1" applyBorder="1" applyAlignment="1">
      <alignment vertical="center"/>
    </xf>
    <xf numFmtId="41" fontId="61" fillId="70" borderId="17" xfId="4" applyNumberFormat="1" applyFont="1" applyFill="1" applyBorder="1" applyAlignment="1">
      <alignment vertical="center"/>
    </xf>
    <xf numFmtId="41" fontId="56" fillId="70" borderId="14" xfId="1" applyNumberFormat="1" applyFont="1" applyFill="1" applyBorder="1" applyAlignment="1">
      <alignment vertical="center"/>
    </xf>
    <xf numFmtId="41" fontId="59" fillId="70" borderId="0" xfId="1" applyNumberFormat="1" applyFont="1" applyFill="1" applyAlignment="1">
      <alignment vertical="center"/>
    </xf>
    <xf numFmtId="41" fontId="52" fillId="70" borderId="17" xfId="1" applyNumberFormat="1" applyFont="1" applyFill="1" applyBorder="1" applyAlignment="1">
      <alignment vertical="center"/>
    </xf>
    <xf numFmtId="41" fontId="52" fillId="70" borderId="16" xfId="1" applyNumberFormat="1" applyFont="1" applyFill="1" applyBorder="1" applyAlignment="1">
      <alignment vertical="center"/>
    </xf>
    <xf numFmtId="168" fontId="61" fillId="70" borderId="34" xfId="21758" applyNumberFormat="1" applyFont="1" applyFill="1" applyBorder="1" applyAlignment="1">
      <alignment horizontal="center" vertical="center"/>
    </xf>
    <xf numFmtId="168" fontId="61" fillId="70" borderId="34" xfId="21758" applyNumberFormat="1" applyFont="1" applyFill="1" applyBorder="1" applyAlignment="1">
      <alignment horizontal="center" vertical="center" wrapText="1"/>
    </xf>
    <xf numFmtId="168" fontId="61" fillId="70" borderId="15" xfId="21758" applyNumberFormat="1" applyFont="1" applyFill="1" applyBorder="1" applyAlignment="1">
      <alignment horizontal="center" vertical="center"/>
    </xf>
    <xf numFmtId="9" fontId="61" fillId="70" borderId="0" xfId="21758" applyFont="1" applyFill="1" applyAlignment="1">
      <alignment vertical="center"/>
    </xf>
    <xf numFmtId="41" fontId="61" fillId="70" borderId="0" xfId="14131" quotePrefix="1" applyNumberFormat="1" applyFont="1" applyFill="1" applyAlignment="1">
      <alignment horizontal="center" vertical="center"/>
    </xf>
    <xf numFmtId="41" fontId="61" fillId="70" borderId="0" xfId="14131" quotePrefix="1" applyNumberFormat="1" applyFont="1" applyFill="1" applyAlignment="1">
      <alignment vertical="center"/>
    </xf>
    <xf numFmtId="41" fontId="61" fillId="70" borderId="17" xfId="21758" applyNumberFormat="1" applyFont="1" applyFill="1" applyBorder="1" applyAlignment="1">
      <alignment vertical="center"/>
    </xf>
    <xf numFmtId="166" fontId="59" fillId="70" borderId="0" xfId="1" applyNumberFormat="1" applyFont="1" applyFill="1" applyAlignment="1">
      <alignment vertical="center"/>
    </xf>
    <xf numFmtId="41" fontId="61" fillId="70" borderId="0" xfId="21758" applyNumberFormat="1" applyFont="1" applyFill="1" applyAlignment="1">
      <alignment vertical="center"/>
    </xf>
    <xf numFmtId="168" fontId="61" fillId="70" borderId="36" xfId="4" applyNumberFormat="1" applyFont="1" applyFill="1" applyBorder="1" applyAlignment="1">
      <alignment horizontal="center" vertical="center"/>
    </xf>
    <xf numFmtId="41" fontId="61" fillId="70" borderId="0" xfId="21758" quotePrefix="1" applyNumberFormat="1" applyFont="1" applyFill="1" applyAlignment="1">
      <alignment vertical="center"/>
    </xf>
    <xf numFmtId="41" fontId="61" fillId="70" borderId="0" xfId="5" applyNumberFormat="1" applyFont="1" applyFill="1" applyAlignment="1">
      <alignment vertical="center"/>
    </xf>
    <xf numFmtId="9" fontId="52" fillId="69" borderId="0" xfId="21758" applyFont="1" applyFill="1" applyAlignment="1">
      <alignment horizontal="center" vertical="center"/>
    </xf>
    <xf numFmtId="9" fontId="59" fillId="69" borderId="0" xfId="21758" applyFont="1" applyFill="1" applyAlignment="1">
      <alignment vertical="center"/>
    </xf>
    <xf numFmtId="41" fontId="52" fillId="69" borderId="0" xfId="14131" quotePrefix="1" applyNumberFormat="1" applyFont="1" applyFill="1" applyAlignment="1">
      <alignment horizontal="center" vertical="center"/>
    </xf>
    <xf numFmtId="41" fontId="52" fillId="69" borderId="0" xfId="14131" quotePrefix="1" applyNumberFormat="1" applyFont="1" applyFill="1" applyAlignment="1">
      <alignment vertical="center"/>
    </xf>
    <xf numFmtId="41" fontId="52" fillId="69" borderId="0" xfId="21758" applyNumberFormat="1" applyFont="1" applyFill="1" applyAlignment="1">
      <alignment vertical="center"/>
    </xf>
    <xf numFmtId="41" fontId="52" fillId="69" borderId="17" xfId="1" applyNumberFormat="1" applyFont="1" applyFill="1" applyBorder="1" applyAlignment="1">
      <alignment vertical="center"/>
    </xf>
    <xf numFmtId="41" fontId="52" fillId="69" borderId="0" xfId="1" applyNumberFormat="1" applyFont="1" applyFill="1" applyAlignment="1">
      <alignment vertical="center"/>
    </xf>
    <xf numFmtId="41" fontId="52" fillId="69" borderId="17" xfId="21758" applyNumberFormat="1" applyFont="1" applyFill="1" applyBorder="1" applyAlignment="1">
      <alignment vertical="center"/>
    </xf>
    <xf numFmtId="41" fontId="52" fillId="69" borderId="14" xfId="21758" applyNumberFormat="1" applyFont="1" applyFill="1" applyBorder="1" applyAlignment="1">
      <alignment vertical="center"/>
    </xf>
    <xf numFmtId="169" fontId="52" fillId="69" borderId="0" xfId="1" applyNumberFormat="1" applyFont="1" applyFill="1" applyAlignment="1">
      <alignment vertical="center"/>
    </xf>
    <xf numFmtId="41" fontId="52" fillId="69" borderId="16" xfId="1" applyNumberFormat="1" applyFont="1" applyFill="1" applyBorder="1" applyAlignment="1">
      <alignment vertical="center"/>
    </xf>
    <xf numFmtId="9" fontId="52" fillId="69" borderId="0" xfId="14120" applyFont="1" applyFill="1" applyAlignment="1">
      <alignment vertical="center"/>
    </xf>
    <xf numFmtId="41" fontId="59" fillId="69" borderId="0" xfId="1" applyNumberFormat="1" applyFont="1" applyFill="1" applyAlignment="1">
      <alignment vertical="center"/>
    </xf>
    <xf numFmtId="9" fontId="52" fillId="69" borderId="0" xfId="4" applyFont="1" applyFill="1" applyAlignment="1">
      <alignment horizontal="center" vertical="center"/>
    </xf>
    <xf numFmtId="9" fontId="59" fillId="69" borderId="0" xfId="4" applyFont="1" applyFill="1" applyAlignment="1">
      <alignment vertical="center"/>
    </xf>
    <xf numFmtId="41" fontId="52" fillId="69" borderId="0" xfId="2" quotePrefix="1" applyNumberFormat="1" applyFont="1" applyFill="1" applyAlignment="1">
      <alignment horizontal="center" vertical="center"/>
    </xf>
    <xf numFmtId="41" fontId="52" fillId="69" borderId="0" xfId="2" quotePrefix="1" applyNumberFormat="1" applyFont="1" applyFill="1" applyAlignment="1">
      <alignment vertical="center"/>
    </xf>
    <xf numFmtId="41" fontId="52" fillId="69" borderId="0" xfId="4" applyNumberFormat="1" applyFont="1" applyFill="1" applyAlignment="1">
      <alignment vertical="center"/>
    </xf>
    <xf numFmtId="41" fontId="52" fillId="69" borderId="17" xfId="4" applyNumberFormat="1" applyFont="1" applyFill="1" applyBorder="1" applyAlignment="1">
      <alignment vertical="center"/>
    </xf>
    <xf numFmtId="41" fontId="52" fillId="69" borderId="14" xfId="4" applyNumberFormat="1" applyFont="1" applyFill="1" applyBorder="1" applyAlignment="1">
      <alignment vertical="center"/>
    </xf>
    <xf numFmtId="168" fontId="59" fillId="71" borderId="31" xfId="4" applyNumberFormat="1" applyFont="1" applyFill="1" applyBorder="1" applyAlignment="1">
      <alignment horizontal="center" vertical="center"/>
    </xf>
    <xf numFmtId="168" fontId="59" fillId="71" borderId="0" xfId="4" applyNumberFormat="1" applyFont="1" applyFill="1" applyAlignment="1">
      <alignment horizontal="center" vertical="center"/>
    </xf>
    <xf numFmtId="168" fontId="61" fillId="71" borderId="34" xfId="4" applyNumberFormat="1" applyFont="1" applyFill="1" applyBorder="1" applyAlignment="1">
      <alignment horizontal="center" vertical="center"/>
    </xf>
    <xf numFmtId="168" fontId="61" fillId="71" borderId="31" xfId="4" applyNumberFormat="1" applyFont="1" applyFill="1" applyBorder="1" applyAlignment="1">
      <alignment horizontal="center" vertical="center"/>
    </xf>
    <xf numFmtId="168" fontId="61" fillId="71" borderId="0" xfId="4" applyNumberFormat="1" applyFont="1" applyFill="1" applyAlignment="1">
      <alignment horizontal="center" vertical="center"/>
    </xf>
    <xf numFmtId="168" fontId="59" fillId="71" borderId="34" xfId="4" applyNumberFormat="1" applyFont="1" applyFill="1" applyBorder="1" applyAlignment="1">
      <alignment horizontal="center" vertical="center"/>
    </xf>
    <xf numFmtId="168" fontId="61" fillId="71" borderId="31" xfId="4" applyNumberFormat="1" applyFont="1" applyFill="1" applyBorder="1" applyAlignment="1">
      <alignment horizontal="center" vertical="center" wrapText="1"/>
    </xf>
    <xf numFmtId="168" fontId="61" fillId="71" borderId="0" xfId="4" applyNumberFormat="1" applyFont="1" applyFill="1" applyAlignment="1">
      <alignment horizontal="center" vertical="center" wrapText="1"/>
    </xf>
    <xf numFmtId="168" fontId="59" fillId="71" borderId="31" xfId="4" applyNumberFormat="1" applyFont="1" applyFill="1" applyBorder="1" applyAlignment="1">
      <alignment horizontal="center" vertical="center" wrapText="1"/>
    </xf>
    <xf numFmtId="168" fontId="59" fillId="71" borderId="0" xfId="4" applyNumberFormat="1" applyFont="1" applyFill="1" applyAlignment="1">
      <alignment horizontal="center" vertical="center" wrapText="1"/>
    </xf>
    <xf numFmtId="168" fontId="61" fillId="71" borderId="34" xfId="4" applyNumberFormat="1" applyFont="1" applyFill="1" applyBorder="1" applyAlignment="1">
      <alignment horizontal="center" vertical="center" wrapText="1"/>
    </xf>
    <xf numFmtId="0" fontId="63" fillId="70" borderId="31" xfId="3" applyFont="1" applyFill="1" applyBorder="1" applyAlignment="1">
      <alignment horizontal="center" vertical="center"/>
    </xf>
    <xf numFmtId="17" fontId="93" fillId="70" borderId="0" xfId="1" applyNumberFormat="1" applyFont="1" applyFill="1" applyAlignment="1">
      <alignment horizontal="right" vertical="center"/>
    </xf>
    <xf numFmtId="0" fontId="104" fillId="70" borderId="0" xfId="0" applyFont="1" applyFill="1" applyAlignment="1">
      <alignment horizontal="right"/>
    </xf>
    <xf numFmtId="0" fontId="143" fillId="70" borderId="0" xfId="1" applyFont="1" applyFill="1" applyAlignment="1">
      <alignment vertical="center"/>
    </xf>
    <xf numFmtId="0" fontId="59" fillId="70" borderId="0" xfId="1" applyFont="1" applyFill="1" applyAlignment="1">
      <alignment vertical="center"/>
    </xf>
    <xf numFmtId="10" fontId="93" fillId="70" borderId="0" xfId="14120" applyNumberFormat="1" applyFont="1" applyFill="1" applyAlignment="1">
      <alignment horizontal="right" vertical="center"/>
    </xf>
    <xf numFmtId="10" fontId="59" fillId="70" borderId="0" xfId="14120" applyNumberFormat="1" applyFont="1" applyFill="1" applyAlignment="1">
      <alignment vertical="center"/>
    </xf>
    <xf numFmtId="10" fontId="93" fillId="70" borderId="34" xfId="14120" applyNumberFormat="1" applyFont="1" applyFill="1" applyBorder="1" applyAlignment="1">
      <alignment horizontal="right" vertical="center"/>
    </xf>
    <xf numFmtId="0" fontId="63" fillId="70" borderId="13" xfId="3" applyFont="1" applyFill="1" applyBorder="1" applyAlignment="1">
      <alignment horizontal="center" vertical="center"/>
    </xf>
    <xf numFmtId="17" fontId="93" fillId="70" borderId="14" xfId="1" applyNumberFormat="1" applyFont="1" applyFill="1" applyBorder="1" applyAlignment="1">
      <alignment horizontal="right" vertical="center"/>
    </xf>
    <xf numFmtId="43" fontId="93" fillId="70" borderId="14" xfId="1" applyNumberFormat="1" applyFont="1" applyFill="1" applyBorder="1" applyAlignment="1">
      <alignment horizontal="right" vertical="center"/>
    </xf>
    <xf numFmtId="0" fontId="59" fillId="70" borderId="14" xfId="1" applyFont="1" applyFill="1" applyBorder="1" applyAlignment="1">
      <alignment vertical="center"/>
    </xf>
    <xf numFmtId="10" fontId="59" fillId="70" borderId="14" xfId="14120" applyNumberFormat="1" applyFont="1" applyFill="1" applyBorder="1" applyAlignment="1">
      <alignment vertical="center"/>
    </xf>
    <xf numFmtId="43" fontId="93" fillId="70" borderId="15" xfId="1" applyNumberFormat="1" applyFont="1" applyFill="1" applyBorder="1" applyAlignment="1">
      <alignment horizontal="right" vertical="center"/>
    </xf>
    <xf numFmtId="0" fontId="104" fillId="33" borderId="0" xfId="0" applyFont="1" applyFill="1" applyAlignment="1">
      <alignment horizontal="right"/>
    </xf>
    <xf numFmtId="0" fontId="143" fillId="33" borderId="0" xfId="1" applyFont="1" applyFill="1" applyAlignment="1">
      <alignment vertical="center"/>
    </xf>
    <xf numFmtId="10" fontId="93" fillId="33" borderId="0" xfId="14120" applyNumberFormat="1" applyFont="1" applyFill="1" applyAlignment="1">
      <alignment horizontal="right" vertical="center"/>
    </xf>
    <xf numFmtId="10" fontId="93" fillId="33" borderId="34" xfId="14120" applyNumberFormat="1" applyFont="1" applyFill="1" applyBorder="1" applyAlignment="1">
      <alignment horizontal="right" vertical="center"/>
    </xf>
    <xf numFmtId="0" fontId="63" fillId="70" borderId="10" xfId="3" applyFont="1" applyFill="1" applyBorder="1" applyAlignment="1">
      <alignment horizontal="center" vertical="center"/>
    </xf>
    <xf numFmtId="17" fontId="93" fillId="70" borderId="11" xfId="1" applyNumberFormat="1" applyFont="1" applyFill="1" applyBorder="1" applyAlignment="1">
      <alignment horizontal="right" vertical="center"/>
    </xf>
    <xf numFmtId="10" fontId="104" fillId="70" borderId="11" xfId="0" applyNumberFormat="1" applyFont="1" applyFill="1" applyBorder="1" applyAlignment="1">
      <alignment horizontal="right"/>
    </xf>
    <xf numFmtId="10" fontId="104" fillId="70" borderId="12" xfId="0" applyNumberFormat="1" applyFont="1" applyFill="1" applyBorder="1" applyAlignment="1">
      <alignment horizontal="right"/>
    </xf>
    <xf numFmtId="41" fontId="52" fillId="33" borderId="0" xfId="1" applyNumberFormat="1" applyFont="1" applyFill="1" applyAlignment="1">
      <alignment horizontal="center"/>
    </xf>
    <xf numFmtId="41" fontId="52" fillId="69" borderId="32" xfId="1" applyNumberFormat="1" applyFont="1" applyFill="1" applyBorder="1" applyAlignment="1">
      <alignment horizontal="center" vertical="center" wrapText="1"/>
    </xf>
    <xf numFmtId="41" fontId="101" fillId="33" borderId="0" xfId="1" applyNumberFormat="1" applyFont="1" applyFill="1" applyAlignment="1">
      <alignment horizontal="center"/>
    </xf>
    <xf numFmtId="0" fontId="101" fillId="33" borderId="0" xfId="1" applyFont="1" applyFill="1"/>
    <xf numFmtId="0" fontId="170" fillId="33" borderId="0" xfId="1" applyFont="1" applyFill="1"/>
    <xf numFmtId="164" fontId="53" fillId="71" borderId="32" xfId="1" applyNumberFormat="1" applyFont="1" applyFill="1" applyBorder="1" applyAlignment="1">
      <alignment horizontal="center" vertical="center" wrapText="1"/>
    </xf>
    <xf numFmtId="164" fontId="52" fillId="70" borderId="32" xfId="1" applyNumberFormat="1" applyFont="1" applyFill="1" applyBorder="1" applyAlignment="1">
      <alignment horizontal="center" vertical="center" wrapText="1"/>
    </xf>
    <xf numFmtId="0" fontId="141" fillId="33" borderId="0" xfId="1" applyFont="1" applyFill="1"/>
    <xf numFmtId="0" fontId="143" fillId="33" borderId="0" xfId="1" applyFont="1" applyFill="1"/>
    <xf numFmtId="42" fontId="69" fillId="68" borderId="17" xfId="1" applyNumberFormat="1" applyFont="1" applyFill="1" applyBorder="1" applyAlignment="1">
      <alignment vertical="center"/>
    </xf>
    <xf numFmtId="168" fontId="136" fillId="0" borderId="46" xfId="14120" applyNumberFormat="1" applyFont="1" applyBorder="1"/>
    <xf numFmtId="178" fontId="135" fillId="68" borderId="0" xfId="23546" applyNumberFormat="1" applyFont="1" applyFill="1" applyAlignment="1">
      <alignment horizontal="center"/>
    </xf>
    <xf numFmtId="166" fontId="135" fillId="0" borderId="0" xfId="23544" applyNumberFormat="1" applyFont="1"/>
    <xf numFmtId="0" fontId="135" fillId="0" borderId="34" xfId="0" applyFont="1" applyBorder="1"/>
    <xf numFmtId="0" fontId="129" fillId="0" borderId="34" xfId="23546" applyFont="1" applyBorder="1" applyAlignment="1">
      <alignment horizontal="center"/>
    </xf>
    <xf numFmtId="178" fontId="136" fillId="0" borderId="61" xfId="23546" applyNumberFormat="1" applyFont="1" applyBorder="1" applyAlignment="1">
      <alignment horizontal="center"/>
    </xf>
    <xf numFmtId="175" fontId="135" fillId="0" borderId="34" xfId="23546" applyNumberFormat="1" applyFont="1" applyBorder="1"/>
    <xf numFmtId="178" fontId="136" fillId="0" borderId="41" xfId="23546" applyNumberFormat="1" applyFont="1" applyBorder="1" applyAlignment="1">
      <alignment horizontal="center"/>
    </xf>
    <xf numFmtId="178" fontId="136" fillId="0" borderId="19" xfId="23546" applyNumberFormat="1" applyFont="1" applyBorder="1"/>
    <xf numFmtId="178" fontId="136" fillId="0" borderId="19" xfId="23546" applyNumberFormat="1" applyFont="1" applyBorder="1" applyAlignment="1">
      <alignment horizontal="center"/>
    </xf>
    <xf numFmtId="178" fontId="136" fillId="0" borderId="57" xfId="23546" applyNumberFormat="1" applyFont="1" applyBorder="1"/>
    <xf numFmtId="178" fontId="135" fillId="0" borderId="34" xfId="23546" applyNumberFormat="1" applyFont="1" applyBorder="1" applyAlignment="1">
      <alignment horizontal="center"/>
    </xf>
    <xf numFmtId="0" fontId="136" fillId="0" borderId="0" xfId="23546" applyFont="1"/>
    <xf numFmtId="166" fontId="135" fillId="0" borderId="34" xfId="23544" applyNumberFormat="1" applyFont="1" applyBorder="1"/>
    <xf numFmtId="49" fontId="135" fillId="0" borderId="60" xfId="23546" applyNumberFormat="1" applyFont="1" applyBorder="1" applyAlignment="1">
      <alignment horizontal="left" indent="1"/>
    </xf>
    <xf numFmtId="176" fontId="0" fillId="0" borderId="0" xfId="0" applyNumberFormat="1"/>
    <xf numFmtId="0" fontId="135" fillId="0" borderId="60" xfId="23546" applyFont="1" applyBorder="1"/>
    <xf numFmtId="0" fontId="129" fillId="0" borderId="15" xfId="23546" applyFont="1" applyBorder="1" applyAlignment="1">
      <alignment horizontal="center"/>
    </xf>
    <xf numFmtId="168" fontId="135" fillId="0" borderId="59" xfId="14120" applyNumberFormat="1" applyFont="1" applyBorder="1"/>
    <xf numFmtId="0" fontId="135" fillId="0" borderId="60" xfId="0" applyFont="1" applyBorder="1"/>
    <xf numFmtId="178" fontId="135" fillId="0" borderId="34" xfId="23546" applyNumberFormat="1" applyFont="1" applyBorder="1"/>
    <xf numFmtId="178" fontId="135" fillId="0" borderId="0" xfId="23546" applyNumberFormat="1" applyFont="1" applyAlignment="1">
      <alignment horizontal="center"/>
    </xf>
    <xf numFmtId="0" fontId="135" fillId="0" borderId="0" xfId="23546" applyFont="1"/>
    <xf numFmtId="178" fontId="135" fillId="68" borderId="34" xfId="23546" applyNumberFormat="1" applyFont="1" applyFill="1" applyBorder="1"/>
    <xf numFmtId="0" fontId="89" fillId="68" borderId="60" xfId="0" applyFont="1" applyFill="1" applyBorder="1"/>
    <xf numFmtId="176" fontId="135" fillId="0" borderId="0" xfId="23546" applyNumberFormat="1" applyFont="1"/>
    <xf numFmtId="174" fontId="136" fillId="0" borderId="62" xfId="23546" applyNumberFormat="1" applyFont="1" applyBorder="1"/>
    <xf numFmtId="0" fontId="129" fillId="0" borderId="46" xfId="23546" applyFont="1" applyBorder="1" applyAlignment="1">
      <alignment horizontal="center"/>
    </xf>
    <xf numFmtId="166" fontId="135" fillId="0" borderId="0" xfId="1" applyNumberFormat="1" applyFont="1" applyAlignment="1">
      <alignment vertical="center"/>
    </xf>
    <xf numFmtId="0" fontId="135" fillId="54" borderId="59" xfId="23546" applyFont="1" applyFill="1" applyBorder="1"/>
    <xf numFmtId="0" fontId="136" fillId="0" borderId="57" xfId="23546" applyFont="1" applyBorder="1" applyAlignment="1">
      <alignment horizontal="center"/>
    </xf>
    <xf numFmtId="176" fontId="70" fillId="0" borderId="46" xfId="23546" applyNumberFormat="1" applyFont="1" applyBorder="1"/>
    <xf numFmtId="168" fontId="135" fillId="0" borderId="0" xfId="14120" applyNumberFormat="1" applyFont="1"/>
    <xf numFmtId="166" fontId="70" fillId="0" borderId="34" xfId="1" applyNumberFormat="1" applyFont="1" applyBorder="1" applyAlignment="1">
      <alignment vertical="center"/>
    </xf>
    <xf numFmtId="178" fontId="135" fillId="0" borderId="0" xfId="23546" applyNumberFormat="1" applyFont="1"/>
    <xf numFmtId="0" fontId="135" fillId="0" borderId="60" xfId="23546" applyFont="1" applyBorder="1" applyAlignment="1">
      <alignment horizontal="left" indent="1"/>
    </xf>
    <xf numFmtId="166" fontId="135" fillId="0" borderId="15" xfId="23544" applyNumberFormat="1" applyFont="1" applyBorder="1"/>
    <xf numFmtId="0" fontId="73" fillId="33" borderId="0" xfId="1" applyFont="1" applyFill="1" applyAlignment="1">
      <alignment horizontal="center"/>
    </xf>
    <xf numFmtId="0" fontId="135" fillId="0" borderId="0" xfId="23544" applyNumberFormat="1" applyFont="1"/>
    <xf numFmtId="0" fontId="70" fillId="0" borderId="13" xfId="23546" applyFont="1" applyBorder="1"/>
    <xf numFmtId="9" fontId="70" fillId="0" borderId="0" xfId="23548" applyFont="1"/>
    <xf numFmtId="0" fontId="70" fillId="0" borderId="60" xfId="23546" applyFont="1" applyBorder="1" applyAlignment="1">
      <alignment horizontal="left" indent="1"/>
    </xf>
    <xf numFmtId="9" fontId="135" fillId="0" borderId="0" xfId="23548" applyFont="1"/>
    <xf numFmtId="0" fontId="135" fillId="54" borderId="34" xfId="23546" applyFont="1" applyFill="1" applyBorder="1"/>
    <xf numFmtId="166" fontId="135" fillId="0" borderId="34" xfId="1" applyNumberFormat="1" applyFont="1" applyBorder="1" applyAlignment="1">
      <alignment vertical="center"/>
    </xf>
    <xf numFmtId="176" fontId="136" fillId="0" borderId="61" xfId="23546" applyNumberFormat="1" applyFont="1" applyBorder="1"/>
    <xf numFmtId="178" fontId="135" fillId="68" borderId="0" xfId="23546" applyNumberFormat="1" applyFont="1" applyFill="1"/>
    <xf numFmtId="174" fontId="136" fillId="0" borderId="61" xfId="23546" applyNumberFormat="1" applyFont="1" applyBorder="1"/>
    <xf numFmtId="0" fontId="73" fillId="0" borderId="13" xfId="23546" applyFont="1" applyBorder="1"/>
    <xf numFmtId="0" fontId="135" fillId="0" borderId="60" xfId="0" applyFont="1" applyBorder="1" applyAlignment="1">
      <alignment horizontal="left"/>
    </xf>
    <xf numFmtId="0" fontId="135" fillId="54" borderId="57" xfId="23546" applyFont="1" applyFill="1" applyBorder="1"/>
    <xf numFmtId="0" fontId="135" fillId="0" borderId="58" xfId="23546" applyFont="1" applyBorder="1"/>
    <xf numFmtId="0" fontId="70" fillId="0" borderId="13" xfId="23546" applyFont="1" applyBorder="1" applyAlignment="1">
      <alignment horizontal="left" indent="1"/>
    </xf>
    <xf numFmtId="9" fontId="135" fillId="0" borderId="0" xfId="14120" applyFont="1"/>
    <xf numFmtId="166" fontId="70" fillId="0" borderId="0" xfId="1" applyNumberFormat="1" applyFont="1" applyAlignment="1">
      <alignment vertical="center"/>
    </xf>
    <xf numFmtId="178" fontId="136" fillId="0" borderId="59" xfId="23546" applyNumberFormat="1" applyFont="1" applyBorder="1" applyAlignment="1">
      <alignment horizontal="center"/>
    </xf>
    <xf numFmtId="0" fontId="135" fillId="0" borderId="34" xfId="23546" applyFont="1" applyBorder="1"/>
    <xf numFmtId="166" fontId="135" fillId="0" borderId="46" xfId="23544" applyNumberFormat="1" applyFont="1" applyBorder="1"/>
    <xf numFmtId="178" fontId="135" fillId="68" borderId="34" xfId="23546" applyNumberFormat="1" applyFont="1" applyFill="1" applyBorder="1" applyAlignment="1">
      <alignment horizontal="center"/>
    </xf>
    <xf numFmtId="168" fontId="136" fillId="0" borderId="46" xfId="23546" applyNumberFormat="1" applyFont="1" applyBorder="1"/>
    <xf numFmtId="178" fontId="136" fillId="0" borderId="57" xfId="23546" applyNumberFormat="1" applyFont="1" applyBorder="1" applyAlignment="1">
      <alignment horizontal="center"/>
    </xf>
    <xf numFmtId="176" fontId="136" fillId="0" borderId="0" xfId="23546" applyNumberFormat="1" applyFont="1"/>
    <xf numFmtId="176" fontId="136" fillId="0" borderId="57" xfId="23546" applyNumberFormat="1" applyFont="1" applyBorder="1"/>
    <xf numFmtId="0" fontId="1" fillId="0" borderId="0" xfId="23546"/>
    <xf numFmtId="0" fontId="176" fillId="33" borderId="0" xfId="1" applyFont="1" applyFill="1"/>
    <xf numFmtId="0" fontId="83" fillId="0" borderId="13" xfId="0" applyFont="1" applyBorder="1" applyAlignment="1">
      <alignment horizontal="left"/>
    </xf>
    <xf numFmtId="0" fontId="135" fillId="0" borderId="0" xfId="0" applyFont="1"/>
    <xf numFmtId="0" fontId="135" fillId="56" borderId="0" xfId="23546" applyFont="1" applyFill="1"/>
    <xf numFmtId="0" fontId="136" fillId="0" borderId="59" xfId="23546" applyFont="1" applyBorder="1" applyAlignment="1">
      <alignment horizontal="center"/>
    </xf>
    <xf numFmtId="176" fontId="70" fillId="0" borderId="15" xfId="23546" applyNumberFormat="1" applyFont="1" applyBorder="1"/>
    <xf numFmtId="166" fontId="135" fillId="68" borderId="0" xfId="1" applyNumberFormat="1" applyFont="1" applyFill="1" applyAlignment="1">
      <alignment vertical="center"/>
    </xf>
    <xf numFmtId="43" fontId="0" fillId="0" borderId="0" xfId="0" applyNumberFormat="1"/>
    <xf numFmtId="0" fontId="136" fillId="0" borderId="13" xfId="23546" applyFont="1" applyBorder="1"/>
    <xf numFmtId="174" fontId="135" fillId="0" borderId="0" xfId="23546" applyNumberFormat="1" applyFont="1"/>
    <xf numFmtId="176" fontId="135" fillId="0" borderId="46" xfId="23546" applyNumberFormat="1" applyFont="1" applyBorder="1"/>
    <xf numFmtId="178" fontId="70" fillId="0" borderId="15" xfId="23546" applyNumberFormat="1" applyFont="1" applyBorder="1" applyAlignment="1">
      <alignment horizontal="center"/>
    </xf>
    <xf numFmtId="0" fontId="179" fillId="0" borderId="0" xfId="23546" applyFont="1"/>
    <xf numFmtId="177" fontId="70" fillId="0" borderId="0" xfId="23546" applyNumberFormat="1" applyFont="1"/>
    <xf numFmtId="0" fontId="180" fillId="0" borderId="0" xfId="0" applyFont="1"/>
    <xf numFmtId="176" fontId="136" fillId="0" borderId="62" xfId="23546" applyNumberFormat="1" applyFont="1" applyBorder="1"/>
    <xf numFmtId="42" fontId="0" fillId="0" borderId="0" xfId="0" applyNumberFormat="1"/>
    <xf numFmtId="0" fontId="135" fillId="68" borderId="60" xfId="23546" applyFont="1" applyFill="1" applyBorder="1" applyAlignment="1">
      <alignment horizontal="left" indent="1"/>
    </xf>
    <xf numFmtId="0" fontId="135" fillId="0" borderId="13" xfId="23546" applyFont="1" applyBorder="1" applyAlignment="1">
      <alignment horizontal="left" indent="1"/>
    </xf>
    <xf numFmtId="0" fontId="70" fillId="0" borderId="0" xfId="23546" applyFont="1"/>
    <xf numFmtId="176" fontId="136" fillId="0" borderId="59" xfId="23546" applyNumberFormat="1" applyFont="1" applyBorder="1"/>
    <xf numFmtId="0" fontId="135" fillId="54" borderId="0" xfId="23546" applyFont="1" applyFill="1"/>
    <xf numFmtId="0" fontId="178" fillId="0" borderId="0" xfId="23546" applyFont="1"/>
    <xf numFmtId="0" fontId="177" fillId="33" borderId="0" xfId="1" applyFont="1" applyFill="1" applyAlignment="1">
      <alignment vertical="center"/>
    </xf>
    <xf numFmtId="166" fontId="70" fillId="0" borderId="0" xfId="1" applyNumberFormat="1" applyFont="1" applyAlignment="1">
      <alignment horizontal="right" vertical="center"/>
    </xf>
    <xf numFmtId="0" fontId="135" fillId="56" borderId="34" xfId="23546" applyFont="1" applyFill="1" applyBorder="1"/>
    <xf numFmtId="176" fontId="135" fillId="0" borderId="34" xfId="23546" applyNumberFormat="1" applyFont="1" applyBorder="1"/>
    <xf numFmtId="174" fontId="135" fillId="68" borderId="0" xfId="23546" applyNumberFormat="1" applyFont="1" applyFill="1"/>
    <xf numFmtId="175" fontId="136" fillId="0" borderId="62" xfId="23546" applyNumberFormat="1" applyFont="1" applyBorder="1"/>
    <xf numFmtId="0" fontId="136" fillId="0" borderId="60" xfId="23546" applyFont="1" applyBorder="1"/>
    <xf numFmtId="0" fontId="73" fillId="0" borderId="0" xfId="23546" applyFont="1"/>
    <xf numFmtId="0" fontId="97" fillId="0" borderId="60" xfId="0" applyFont="1" applyBorder="1" applyAlignment="1">
      <alignment horizontal="left" vertical="top" wrapText="1"/>
    </xf>
    <xf numFmtId="0" fontId="179" fillId="54" borderId="58" xfId="23546" applyFont="1" applyFill="1" applyBorder="1"/>
    <xf numFmtId="0" fontId="135" fillId="0" borderId="46" xfId="23546" applyFont="1" applyBorder="1"/>
    <xf numFmtId="177" fontId="70" fillId="0" borderId="34" xfId="23546" applyNumberFormat="1" applyFont="1" applyBorder="1"/>
    <xf numFmtId="176" fontId="136" fillId="0" borderId="46" xfId="23546" applyNumberFormat="1" applyFont="1" applyBorder="1"/>
    <xf numFmtId="0" fontId="70" fillId="0" borderId="60" xfId="0" applyFont="1" applyBorder="1" applyAlignment="1">
      <alignment horizontal="left"/>
    </xf>
    <xf numFmtId="0" fontId="179" fillId="0" borderId="60" xfId="23546" applyFont="1" applyBorder="1"/>
    <xf numFmtId="0" fontId="70" fillId="0" borderId="46" xfId="23546" applyFont="1" applyBorder="1"/>
    <xf numFmtId="9" fontId="135" fillId="0" borderId="34" xfId="23548" applyFont="1" applyBorder="1"/>
    <xf numFmtId="168" fontId="136" fillId="0" borderId="15" xfId="14120" applyNumberFormat="1" applyFont="1" applyBorder="1"/>
    <xf numFmtId="0" fontId="179" fillId="54" borderId="60" xfId="23546" applyFont="1" applyFill="1" applyBorder="1"/>
    <xf numFmtId="0" fontId="135" fillId="0" borderId="0" xfId="23546" applyFont="1" applyAlignment="1">
      <alignment horizontal="right"/>
    </xf>
    <xf numFmtId="0" fontId="177" fillId="33" borderId="0" xfId="1" applyFont="1" applyFill="1"/>
    <xf numFmtId="166" fontId="70" fillId="68" borderId="0" xfId="1" applyNumberFormat="1" applyFont="1" applyFill="1" applyAlignment="1">
      <alignment vertical="center"/>
    </xf>
    <xf numFmtId="175" fontId="136" fillId="0" borderId="61" xfId="23546" applyNumberFormat="1" applyFont="1" applyBorder="1"/>
    <xf numFmtId="0" fontId="129" fillId="0" borderId="0" xfId="23546" applyFont="1" applyAlignment="1">
      <alignment horizontal="center"/>
    </xf>
    <xf numFmtId="0" fontId="73" fillId="0" borderId="60" xfId="23546" applyFont="1" applyBorder="1"/>
    <xf numFmtId="175" fontId="135" fillId="56" borderId="34" xfId="23546" applyNumberFormat="1" applyFont="1" applyFill="1" applyBorder="1"/>
    <xf numFmtId="175" fontId="135" fillId="0" borderId="0" xfId="23546" applyNumberFormat="1" applyFont="1"/>
    <xf numFmtId="178" fontId="136" fillId="0" borderId="62" xfId="23546" applyNumberFormat="1" applyFont="1" applyBorder="1" applyAlignment="1">
      <alignment horizontal="center"/>
    </xf>
    <xf numFmtId="178" fontId="136" fillId="0" borderId="61" xfId="23546" applyNumberFormat="1" applyFont="1" applyBorder="1"/>
    <xf numFmtId="168" fontId="0" fillId="0" borderId="0" xfId="14120" applyNumberFormat="1" applyFont="1"/>
    <xf numFmtId="0" fontId="136" fillId="56" borderId="60" xfId="23546" applyFont="1" applyFill="1" applyBorder="1"/>
    <xf numFmtId="178" fontId="70" fillId="0" borderId="46" xfId="23546" applyNumberFormat="1" applyFont="1" applyBorder="1" applyAlignment="1">
      <alignment horizontal="center"/>
    </xf>
    <xf numFmtId="1" fontId="73" fillId="33" borderId="0" xfId="1" applyNumberFormat="1" applyFont="1" applyFill="1" applyAlignment="1" applyProtection="1">
      <alignment horizontal="center" vertical="center"/>
      <protection locked="0"/>
    </xf>
    <xf numFmtId="0" fontId="135" fillId="0" borderId="34" xfId="23544" applyNumberFormat="1" applyFont="1" applyBorder="1"/>
    <xf numFmtId="174" fontId="135" fillId="68" borderId="34" xfId="23546" applyNumberFormat="1" applyFont="1" applyFill="1" applyBorder="1"/>
    <xf numFmtId="0" fontId="69" fillId="33" borderId="0" xfId="1" applyFont="1" applyFill="1" applyAlignment="1">
      <alignment horizontal="center"/>
    </xf>
    <xf numFmtId="175" fontId="135" fillId="56" borderId="0" xfId="23546" applyNumberFormat="1" applyFont="1" applyFill="1"/>
    <xf numFmtId="0" fontId="61" fillId="33" borderId="0" xfId="4" applyNumberFormat="1" applyFont="1" applyFill="1" applyAlignment="1">
      <alignment vertical="center"/>
    </xf>
    <xf numFmtId="41" fontId="52" fillId="54" borderId="32" xfId="1" applyNumberFormat="1" applyFont="1" applyFill="1" applyBorder="1" applyAlignment="1">
      <alignment horizontal="center" vertical="center" wrapText="1"/>
    </xf>
    <xf numFmtId="9" fontId="52" fillId="54" borderId="0" xfId="4" applyFont="1" applyFill="1" applyAlignment="1">
      <alignment horizontal="center" vertical="center"/>
    </xf>
    <xf numFmtId="9" fontId="59" fillId="54" borderId="0" xfId="4" applyFont="1" applyFill="1" applyAlignment="1">
      <alignment vertical="center"/>
    </xf>
    <xf numFmtId="41" fontId="52" fillId="54" borderId="0" xfId="2" quotePrefix="1" applyNumberFormat="1" applyFont="1" applyFill="1" applyAlignment="1">
      <alignment horizontal="center" vertical="center"/>
    </xf>
    <xf numFmtId="41" fontId="52" fillId="54" borderId="0" xfId="2" quotePrefix="1" applyNumberFormat="1" applyFont="1" applyFill="1" applyAlignment="1">
      <alignment vertical="center"/>
    </xf>
    <xf numFmtId="41" fontId="52" fillId="54" borderId="17" xfId="1" applyNumberFormat="1" applyFont="1" applyFill="1" applyBorder="1" applyAlignment="1">
      <alignment vertical="center"/>
    </xf>
    <xf numFmtId="41" fontId="52" fillId="54" borderId="17" xfId="4" applyNumberFormat="1" applyFont="1" applyFill="1" applyBorder="1" applyAlignment="1">
      <alignment vertical="center"/>
    </xf>
    <xf numFmtId="41" fontId="52" fillId="54" borderId="14" xfId="4" applyNumberFormat="1" applyFont="1" applyFill="1" applyBorder="1" applyAlignment="1">
      <alignment vertical="center"/>
    </xf>
    <xf numFmtId="41" fontId="52" fillId="54" borderId="16" xfId="1" applyNumberFormat="1" applyFont="1" applyFill="1" applyBorder="1" applyAlignment="1">
      <alignment vertical="center"/>
    </xf>
    <xf numFmtId="9" fontId="52" fillId="54" borderId="0" xfId="14120" applyFont="1" applyFill="1" applyAlignment="1">
      <alignment vertical="center"/>
    </xf>
    <xf numFmtId="164" fontId="52" fillId="54" borderId="32" xfId="1" applyNumberFormat="1" applyFont="1" applyFill="1" applyBorder="1" applyAlignment="1">
      <alignment horizontal="center" vertical="center" wrapText="1"/>
    </xf>
    <xf numFmtId="41" fontId="59" fillId="0" borderId="0" xfId="1" applyNumberFormat="1" applyFont="1" applyAlignment="1">
      <alignment vertical="center"/>
    </xf>
    <xf numFmtId="41" fontId="59" fillId="0" borderId="0" xfId="20512" applyNumberFormat="1" applyFont="1" applyAlignment="1">
      <alignment vertical="center"/>
    </xf>
    <xf numFmtId="41" fontId="52" fillId="0" borderId="0" xfId="20512" applyNumberFormat="1" applyFont="1" applyAlignment="1">
      <alignment vertical="center"/>
    </xf>
    <xf numFmtId="0" fontId="73" fillId="33" borderId="0" xfId="1" applyFont="1" applyFill="1" applyAlignment="1">
      <alignment horizontal="right"/>
    </xf>
    <xf numFmtId="0" fontId="0" fillId="33" borderId="0" xfId="0" applyFill="1" applyAlignment="1">
      <alignment horizontal="right"/>
    </xf>
    <xf numFmtId="41" fontId="101" fillId="33" borderId="32" xfId="1" applyNumberFormat="1" applyFont="1" applyFill="1" applyBorder="1" applyAlignment="1">
      <alignment horizontal="center"/>
    </xf>
    <xf numFmtId="9" fontId="73" fillId="34" borderId="32" xfId="14120" applyFont="1" applyFill="1" applyBorder="1"/>
    <xf numFmtId="2" fontId="73" fillId="34" borderId="32" xfId="14120" applyNumberFormat="1" applyFont="1" applyFill="1" applyBorder="1"/>
    <xf numFmtId="41" fontId="13" fillId="34" borderId="0" xfId="14128" applyNumberFormat="1" applyFont="1" applyFill="1" applyProtection="1">
      <protection locked="0"/>
    </xf>
    <xf numFmtId="166" fontId="13" fillId="34" borderId="0" xfId="9" applyNumberFormat="1" applyFont="1" applyFill="1"/>
    <xf numFmtId="41" fontId="3" fillId="0" borderId="0" xfId="1" applyNumberFormat="1" applyFont="1"/>
    <xf numFmtId="41" fontId="11" fillId="0" borderId="0" xfId="8" applyNumberFormat="1" applyFont="1" applyAlignment="1">
      <alignment horizontal="center"/>
    </xf>
    <xf numFmtId="41" fontId="11" fillId="36" borderId="32" xfId="8" applyNumberFormat="1" applyFont="1" applyFill="1" applyBorder="1" applyAlignment="1">
      <alignment horizontal="center" vertical="center" wrapText="1"/>
    </xf>
    <xf numFmtId="41" fontId="13" fillId="0" borderId="0" xfId="21672" applyNumberFormat="1" applyFont="1" applyProtection="1">
      <protection locked="0"/>
    </xf>
    <xf numFmtId="41" fontId="11" fillId="0" borderId="0" xfId="21672" applyNumberFormat="1" applyFont="1"/>
    <xf numFmtId="41" fontId="13" fillId="0" borderId="0" xfId="21672" applyNumberFormat="1" applyFont="1"/>
    <xf numFmtId="41" fontId="13" fillId="34" borderId="0" xfId="21672" applyNumberFormat="1" applyFont="1" applyFill="1"/>
    <xf numFmtId="41" fontId="15" fillId="34" borderId="0" xfId="21672" applyNumberFormat="1" applyFont="1" applyFill="1" applyAlignment="1">
      <alignment horizontal="center"/>
    </xf>
    <xf numFmtId="41" fontId="13" fillId="34" borderId="0" xfId="12" applyNumberFormat="1" applyFont="1" applyFill="1" applyAlignment="1">
      <alignment horizontal="center"/>
    </xf>
    <xf numFmtId="41" fontId="13" fillId="34" borderId="0" xfId="21672" applyNumberFormat="1" applyFont="1" applyFill="1" applyAlignment="1" applyProtection="1">
      <alignment horizontal="left"/>
      <protection locked="0"/>
    </xf>
    <xf numFmtId="41" fontId="13" fillId="34" borderId="0" xfId="21672" applyNumberFormat="1" applyFont="1" applyFill="1" applyProtection="1">
      <protection locked="0"/>
    </xf>
    <xf numFmtId="41" fontId="49" fillId="0" borderId="0" xfId="21672" applyNumberFormat="1" applyFont="1"/>
    <xf numFmtId="41" fontId="13" fillId="34" borderId="0" xfId="21672" applyNumberFormat="1" applyFont="1" applyFill="1" applyAlignment="1">
      <alignment horizontal="left"/>
    </xf>
    <xf numFmtId="41" fontId="8" fillId="0" borderId="0" xfId="1" applyNumberFormat="1" applyFont="1"/>
    <xf numFmtId="41" fontId="13" fillId="0" borderId="0" xfId="1" applyNumberFormat="1" applyFont="1"/>
    <xf numFmtId="41" fontId="11" fillId="0" borderId="0" xfId="8" applyNumberFormat="1" applyFont="1" applyAlignment="1">
      <alignment horizontal="center" wrapText="1"/>
    </xf>
    <xf numFmtId="41" fontId="13" fillId="0" borderId="0" xfId="21672" applyNumberFormat="1" applyFont="1" applyAlignment="1" applyProtection="1">
      <alignment horizontal="left"/>
      <protection locked="0"/>
    </xf>
    <xf numFmtId="41" fontId="11" fillId="0" borderId="0" xfId="21672" applyNumberFormat="1" applyFont="1" applyAlignment="1">
      <alignment horizontal="left"/>
    </xf>
    <xf numFmtId="41" fontId="13" fillId="0" borderId="0" xfId="21672" applyNumberFormat="1" applyFont="1" applyAlignment="1">
      <alignment horizontal="left"/>
    </xf>
    <xf numFmtId="41" fontId="13" fillId="0" borderId="0" xfId="12" applyNumberFormat="1" applyFont="1" applyAlignment="1">
      <alignment horizontal="center"/>
    </xf>
    <xf numFmtId="41" fontId="11" fillId="0" borderId="0" xfId="12" applyNumberFormat="1" applyFont="1" applyAlignment="1">
      <alignment horizontal="left"/>
    </xf>
    <xf numFmtId="41" fontId="13" fillId="0" borderId="0" xfId="12" applyNumberFormat="1" applyFont="1" applyAlignment="1">
      <alignment horizontal="left"/>
    </xf>
    <xf numFmtId="41" fontId="8" fillId="0" borderId="0" xfId="7" applyNumberFormat="1" applyFont="1"/>
    <xf numFmtId="41" fontId="11" fillId="0" borderId="0" xfId="1" applyNumberFormat="1" applyFont="1" applyAlignment="1">
      <alignment wrapText="1"/>
    </xf>
    <xf numFmtId="0" fontId="52" fillId="54" borderId="32" xfId="1" applyFont="1" applyFill="1" applyBorder="1" applyAlignment="1">
      <alignment horizontal="center" vertical="center"/>
    </xf>
    <xf numFmtId="41" fontId="59" fillId="33" borderId="32" xfId="1" applyNumberFormat="1" applyFont="1" applyFill="1" applyBorder="1" applyAlignment="1">
      <alignment vertical="center"/>
    </xf>
    <xf numFmtId="9" fontId="59" fillId="33" borderId="32" xfId="14120" applyFont="1" applyFill="1" applyBorder="1" applyAlignment="1">
      <alignment vertical="center"/>
    </xf>
    <xf numFmtId="0" fontId="62" fillId="54" borderId="32" xfId="0" applyFont="1" applyFill="1" applyBorder="1" applyAlignment="1">
      <alignment horizontal="center"/>
    </xf>
    <xf numFmtId="0" fontId="59" fillId="0" borderId="32" xfId="1" applyFont="1" applyBorder="1"/>
    <xf numFmtId="1" fontId="64" fillId="0" borderId="32" xfId="0" applyNumberFormat="1" applyFont="1" applyBorder="1"/>
    <xf numFmtId="0" fontId="64" fillId="0" borderId="32" xfId="0" applyFont="1" applyBorder="1"/>
    <xf numFmtId="166" fontId="64" fillId="0" borderId="32" xfId="23544" applyNumberFormat="1" applyFont="1" applyBorder="1"/>
    <xf numFmtId="1" fontId="64" fillId="0" borderId="0" xfId="0" applyNumberFormat="1" applyFont="1"/>
    <xf numFmtId="0" fontId="52" fillId="0" borderId="0" xfId="1" applyFont="1"/>
    <xf numFmtId="166" fontId="62" fillId="0" borderId="63" xfId="0" applyNumberFormat="1" applyFont="1" applyBorder="1"/>
    <xf numFmtId="0" fontId="177" fillId="33" borderId="0" xfId="1" applyFont="1" applyFill="1" applyAlignment="1">
      <alignment horizontal="center" vertical="center"/>
    </xf>
    <xf numFmtId="41" fontId="177" fillId="33" borderId="0" xfId="1" applyNumberFormat="1" applyFont="1" applyFill="1" applyAlignment="1">
      <alignment horizontal="center" vertical="center"/>
    </xf>
    <xf numFmtId="9" fontId="59" fillId="33" borderId="0" xfId="14120" applyFont="1" applyFill="1" applyAlignment="1">
      <alignment vertical="center"/>
    </xf>
    <xf numFmtId="164" fontId="53" fillId="71" borderId="0" xfId="1" applyNumberFormat="1" applyFont="1" applyFill="1" applyAlignment="1">
      <alignment horizontal="center" vertical="center" wrapText="1"/>
    </xf>
    <xf numFmtId="168" fontId="59" fillId="33" borderId="0" xfId="14120" applyNumberFormat="1" applyFont="1" applyFill="1" applyAlignment="1">
      <alignment vertical="center"/>
    </xf>
    <xf numFmtId="10" fontId="59" fillId="34" borderId="32" xfId="1" applyNumberFormat="1" applyFont="1" applyFill="1" applyBorder="1" applyAlignment="1">
      <alignment vertical="center"/>
    </xf>
    <xf numFmtId="166" fontId="59" fillId="33" borderId="32" xfId="1" applyNumberFormat="1" applyFont="1" applyFill="1" applyBorder="1" applyAlignment="1">
      <alignment vertical="center"/>
    </xf>
    <xf numFmtId="0" fontId="143" fillId="33" borderId="0" xfId="1" applyFont="1" applyFill="1" applyAlignment="1">
      <alignment horizontal="center" vertical="center"/>
    </xf>
    <xf numFmtId="41" fontId="52" fillId="33" borderId="32" xfId="1" applyNumberFormat="1" applyFont="1" applyFill="1" applyBorder="1" applyAlignment="1">
      <alignment vertical="center"/>
    </xf>
    <xf numFmtId="9" fontId="52" fillId="33" borderId="32" xfId="14120" applyFont="1" applyFill="1" applyBorder="1" applyAlignment="1">
      <alignment vertical="center"/>
    </xf>
    <xf numFmtId="41" fontId="59" fillId="33" borderId="46" xfId="1" applyNumberFormat="1" applyFont="1" applyFill="1" applyBorder="1" applyAlignment="1">
      <alignment vertical="center"/>
    </xf>
    <xf numFmtId="41" fontId="59" fillId="68" borderId="32" xfId="1" applyNumberFormat="1" applyFont="1" applyFill="1" applyBorder="1" applyAlignment="1">
      <alignment vertical="center"/>
    </xf>
    <xf numFmtId="41" fontId="52" fillId="68" borderId="32" xfId="1" applyNumberFormat="1" applyFont="1" applyFill="1" applyBorder="1" applyAlignment="1">
      <alignment vertical="center"/>
    </xf>
    <xf numFmtId="41" fontId="59" fillId="68" borderId="0" xfId="1" applyNumberFormat="1" applyFont="1" applyFill="1" applyAlignment="1">
      <alignment vertical="center"/>
    </xf>
    <xf numFmtId="0" fontId="59" fillId="68" borderId="0" xfId="1" applyFont="1" applyFill="1" applyAlignment="1">
      <alignment vertical="center"/>
    </xf>
    <xf numFmtId="0" fontId="73" fillId="68" borderId="0" xfId="1" applyFont="1" applyFill="1"/>
    <xf numFmtId="168" fontId="59" fillId="37" borderId="31" xfId="4" applyNumberFormat="1" applyFont="1" applyFill="1" applyBorder="1" applyAlignment="1">
      <alignment horizontal="center" vertical="center"/>
    </xf>
    <xf numFmtId="168" fontId="59" fillId="37" borderId="31" xfId="4" applyNumberFormat="1" applyFont="1" applyFill="1" applyBorder="1" applyAlignment="1">
      <alignment horizontal="center" vertical="center" wrapText="1"/>
    </xf>
    <xf numFmtId="1" fontId="73" fillId="68" borderId="0" xfId="1" applyNumberFormat="1" applyFont="1" applyFill="1" applyAlignment="1" applyProtection="1">
      <alignment horizontal="center" vertical="center"/>
      <protection locked="0"/>
    </xf>
    <xf numFmtId="0" fontId="76" fillId="33" borderId="0" xfId="1" applyFont="1" applyFill="1" applyAlignment="1">
      <alignment horizontal="right" wrapText="1"/>
    </xf>
    <xf numFmtId="168" fontId="96" fillId="33" borderId="0" xfId="14120" applyNumberFormat="1" applyFont="1" applyFill="1"/>
    <xf numFmtId="0" fontId="76" fillId="33" borderId="0" xfId="1" applyFont="1" applyFill="1" applyAlignment="1">
      <alignment wrapText="1"/>
    </xf>
    <xf numFmtId="1" fontId="71" fillId="33" borderId="19" xfId="1" applyNumberFormat="1" applyFont="1" applyFill="1" applyBorder="1"/>
    <xf numFmtId="44" fontId="177" fillId="68" borderId="32" xfId="14128" applyFont="1" applyFill="1" applyBorder="1" applyAlignment="1">
      <alignment vertical="center"/>
    </xf>
    <xf numFmtId="168" fontId="0" fillId="33" borderId="0" xfId="0" applyNumberFormat="1" applyFill="1"/>
    <xf numFmtId="10" fontId="11" fillId="68" borderId="32" xfId="21758" applyNumberFormat="1" applyFont="1" applyFill="1" applyBorder="1" applyAlignment="1">
      <alignment horizontal="center" vertical="center" wrapText="1"/>
    </xf>
    <xf numFmtId="0" fontId="0" fillId="68" borderId="32" xfId="0" applyFill="1" applyBorder="1" applyAlignment="1">
      <alignment vertical="center"/>
    </xf>
    <xf numFmtId="0" fontId="45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vertical="center"/>
    </xf>
    <xf numFmtId="41" fontId="45" fillId="0" borderId="32" xfId="0" applyNumberFormat="1" applyFont="1" applyFill="1" applyBorder="1" applyAlignment="1">
      <alignment horizontal="center" vertical="center"/>
    </xf>
    <xf numFmtId="166" fontId="45" fillId="0" borderId="32" xfId="0" applyNumberFormat="1" applyFont="1" applyBorder="1" applyAlignment="1">
      <alignment horizontal="center" vertical="center"/>
    </xf>
    <xf numFmtId="41" fontId="0" fillId="0" borderId="0" xfId="0" applyNumberFormat="1"/>
    <xf numFmtId="0" fontId="45" fillId="0" borderId="32" xfId="0" applyFont="1" applyBorder="1" applyAlignment="1">
      <alignment vertical="center"/>
    </xf>
    <xf numFmtId="0" fontId="46" fillId="0" borderId="32" xfId="0" applyFont="1" applyBorder="1" applyAlignment="1">
      <alignment vertical="center"/>
    </xf>
    <xf numFmtId="41" fontId="46" fillId="0" borderId="32" xfId="0" applyNumberFormat="1" applyFont="1" applyFill="1" applyBorder="1" applyAlignment="1">
      <alignment horizontal="center" vertical="center"/>
    </xf>
    <xf numFmtId="41" fontId="46" fillId="0" borderId="32" xfId="0" applyNumberFormat="1" applyFont="1" applyBorder="1" applyAlignment="1">
      <alignment horizontal="center" vertical="center"/>
    </xf>
    <xf numFmtId="0" fontId="0" fillId="73" borderId="32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166" fontId="45" fillId="73" borderId="32" xfId="23544" applyNumberFormat="1" applyFill="1" applyBorder="1" applyAlignment="1">
      <alignment horizontal="center" vertical="center"/>
    </xf>
    <xf numFmtId="166" fontId="45" fillId="34" borderId="32" xfId="23544" applyNumberFormat="1" applyFill="1" applyBorder="1" applyAlignment="1">
      <alignment horizontal="center" vertical="center"/>
    </xf>
    <xf numFmtId="166" fontId="46" fillId="73" borderId="32" xfId="0" applyNumberFormat="1" applyFont="1" applyFill="1" applyBorder="1" applyAlignment="1">
      <alignment horizontal="center" vertical="center"/>
    </xf>
    <xf numFmtId="166" fontId="46" fillId="34" borderId="32" xfId="0" applyNumberFormat="1" applyFont="1" applyFill="1" applyBorder="1" applyAlignment="1">
      <alignment horizontal="center" vertical="center"/>
    </xf>
    <xf numFmtId="41" fontId="45" fillId="73" borderId="32" xfId="0" applyNumberFormat="1" applyFont="1" applyFill="1" applyBorder="1" applyAlignment="1">
      <alignment horizontal="center" vertical="center"/>
    </xf>
    <xf numFmtId="41" fontId="45" fillId="34" borderId="32" xfId="0" applyNumberFormat="1" applyFont="1" applyFill="1" applyBorder="1" applyAlignment="1">
      <alignment horizontal="center" vertical="center"/>
    </xf>
    <xf numFmtId="41" fontId="46" fillId="0" borderId="32" xfId="0" applyNumberFormat="1" applyFont="1" applyBorder="1"/>
    <xf numFmtId="0" fontId="0" fillId="0" borderId="32" xfId="0" applyBorder="1"/>
    <xf numFmtId="41" fontId="45" fillId="0" borderId="32" xfId="0" applyNumberFormat="1" applyFont="1" applyBorder="1"/>
    <xf numFmtId="41" fontId="45" fillId="68" borderId="32" xfId="0" applyNumberFormat="1" applyFont="1" applyFill="1" applyBorder="1"/>
    <xf numFmtId="41" fontId="183" fillId="33" borderId="0" xfId="1" applyNumberFormat="1" applyFont="1" applyFill="1" applyAlignment="1">
      <alignment vertical="center"/>
    </xf>
    <xf numFmtId="41" fontId="59" fillId="70" borderId="61" xfId="1" applyNumberFormat="1" applyFont="1" applyFill="1" applyBorder="1" applyAlignment="1">
      <alignment vertical="center"/>
    </xf>
    <xf numFmtId="41" fontId="59" fillId="55" borderId="17" xfId="1" applyNumberFormat="1" applyFont="1" applyFill="1" applyBorder="1" applyAlignment="1">
      <alignment vertical="center"/>
    </xf>
    <xf numFmtId="41" fontId="59" fillId="33" borderId="0" xfId="1" applyNumberFormat="1" applyFont="1" applyFill="1" applyBorder="1" applyAlignment="1">
      <alignment vertical="center"/>
    </xf>
    <xf numFmtId="41" fontId="59" fillId="70" borderId="0" xfId="1" applyNumberFormat="1" applyFont="1" applyFill="1" applyBorder="1" applyAlignment="1">
      <alignment vertical="center"/>
    </xf>
    <xf numFmtId="41" fontId="59" fillId="33" borderId="64" xfId="1" applyNumberFormat="1" applyFont="1" applyFill="1" applyBorder="1" applyAlignment="1">
      <alignment vertical="center"/>
    </xf>
    <xf numFmtId="41" fontId="59" fillId="70" borderId="64" xfId="1" applyNumberFormat="1" applyFont="1" applyFill="1" applyBorder="1" applyAlignment="1">
      <alignment vertical="center"/>
    </xf>
    <xf numFmtId="44" fontId="73" fillId="33" borderId="0" xfId="1" applyNumberFormat="1" applyFont="1" applyFill="1"/>
    <xf numFmtId="0" fontId="0" fillId="34" borderId="0" xfId="0" applyFill="1"/>
    <xf numFmtId="0" fontId="4" fillId="0" borderId="0" xfId="27157" applyAlignment="1">
      <alignment horizontal="left" vertical="top" wrapText="1"/>
    </xf>
    <xf numFmtId="41" fontId="59" fillId="70" borderId="14" xfId="1" applyNumberFormat="1" applyFont="1" applyFill="1" applyBorder="1" applyAlignment="1">
      <alignment vertical="center"/>
    </xf>
    <xf numFmtId="43" fontId="13" fillId="0" borderId="0" xfId="23544" applyFont="1"/>
    <xf numFmtId="172" fontId="59" fillId="33" borderId="0" xfId="1" applyNumberFormat="1" applyFont="1" applyFill="1" applyAlignment="1">
      <alignment vertical="center"/>
    </xf>
    <xf numFmtId="0" fontId="13" fillId="34" borderId="0" xfId="21672" applyFont="1" applyFill="1" applyAlignment="1" applyProtection="1">
      <alignment horizontal="center"/>
      <protection locked="0"/>
    </xf>
    <xf numFmtId="0" fontId="13" fillId="34" borderId="0" xfId="21920" applyFont="1" applyFill="1" applyAlignment="1" applyProtection="1">
      <alignment horizontal="center"/>
      <protection locked="0"/>
    </xf>
    <xf numFmtId="9" fontId="56" fillId="54" borderId="18" xfId="1" applyNumberFormat="1" applyFont="1" applyFill="1" applyBorder="1" applyAlignment="1">
      <alignment horizontal="center" vertical="center" wrapText="1"/>
    </xf>
    <xf numFmtId="168" fontId="52" fillId="33" borderId="65" xfId="14120" applyNumberFormat="1" applyFont="1" applyFill="1" applyBorder="1" applyAlignment="1">
      <alignment horizontal="center" vertical="center"/>
    </xf>
    <xf numFmtId="168" fontId="52" fillId="33" borderId="66" xfId="14120" applyNumberFormat="1" applyFont="1" applyFill="1" applyBorder="1" applyAlignment="1">
      <alignment horizontal="center" vertical="center"/>
    </xf>
    <xf numFmtId="166" fontId="52" fillId="33" borderId="65" xfId="23544" applyNumberFormat="1" applyFont="1" applyFill="1" applyBorder="1" applyAlignment="1">
      <alignment horizontal="center" vertical="center"/>
    </xf>
    <xf numFmtId="41" fontId="52" fillId="33" borderId="18" xfId="14120" applyNumberFormat="1" applyFont="1" applyFill="1" applyBorder="1" applyAlignment="1">
      <alignment horizontal="center" vertical="center"/>
    </xf>
    <xf numFmtId="2" fontId="52" fillId="33" borderId="65" xfId="1" applyNumberFormat="1" applyFont="1" applyFill="1" applyBorder="1" applyAlignment="1">
      <alignment horizontal="right" vertical="center"/>
    </xf>
    <xf numFmtId="41" fontId="52" fillId="33" borderId="66" xfId="1" applyNumberFormat="1" applyFont="1" applyFill="1" applyBorder="1" applyAlignment="1">
      <alignment horizontal="left" vertical="center"/>
    </xf>
    <xf numFmtId="1" fontId="0" fillId="33" borderId="0" xfId="0" applyNumberFormat="1" applyFill="1"/>
    <xf numFmtId="1" fontId="0" fillId="34" borderId="0" xfId="0" applyNumberFormat="1" applyFill="1"/>
    <xf numFmtId="2" fontId="13" fillId="34" borderId="0" xfId="21672" applyNumberFormat="1" applyFont="1" applyFill="1" applyAlignment="1" applyProtection="1">
      <alignment horizontal="center"/>
      <protection locked="0"/>
    </xf>
    <xf numFmtId="0" fontId="13" fillId="0" borderId="0" xfId="21672" applyFont="1" applyAlignment="1" applyProtection="1">
      <alignment horizontal="center"/>
      <protection locked="0"/>
    </xf>
    <xf numFmtId="0" fontId="11" fillId="0" borderId="0" xfId="21672" applyFont="1" applyAlignment="1">
      <alignment horizontal="center"/>
    </xf>
    <xf numFmtId="0" fontId="13" fillId="0" borderId="0" xfId="21672" applyFont="1" applyAlignment="1">
      <alignment horizontal="center"/>
    </xf>
    <xf numFmtId="0" fontId="13" fillId="34" borderId="0" xfId="21672" applyFont="1" applyFill="1" applyAlignment="1">
      <alignment horizontal="center"/>
    </xf>
    <xf numFmtId="0" fontId="13" fillId="34" borderId="0" xfId="12" applyFont="1" applyFill="1" applyAlignment="1" applyProtection="1">
      <alignment horizontal="center"/>
      <protection locked="0"/>
    </xf>
    <xf numFmtId="0" fontId="11" fillId="0" borderId="0" xfId="12" applyFont="1" applyAlignment="1">
      <alignment horizontal="center"/>
    </xf>
    <xf numFmtId="43" fontId="73" fillId="33" borderId="32" xfId="23544" applyFont="1" applyFill="1" applyBorder="1"/>
    <xf numFmtId="43" fontId="73" fillId="33" borderId="0" xfId="23544" applyFont="1" applyFill="1"/>
    <xf numFmtId="166" fontId="73" fillId="33" borderId="0" xfId="23544" applyNumberFormat="1" applyFont="1" applyFill="1"/>
    <xf numFmtId="166" fontId="73" fillId="33" borderId="32" xfId="23544" applyNumberFormat="1" applyFont="1" applyFill="1" applyBorder="1"/>
    <xf numFmtId="43" fontId="73" fillId="74" borderId="32" xfId="23544" applyFont="1" applyFill="1" applyBorder="1"/>
    <xf numFmtId="166" fontId="73" fillId="33" borderId="0" xfId="1" applyNumberFormat="1" applyFont="1" applyFill="1" applyAlignment="1">
      <alignment horizontal="center"/>
    </xf>
    <xf numFmtId="4" fontId="71" fillId="68" borderId="19" xfId="1" applyNumberFormat="1" applyFont="1" applyFill="1" applyBorder="1" applyAlignment="1">
      <alignment horizontal="center"/>
    </xf>
    <xf numFmtId="0" fontId="73" fillId="68" borderId="0" xfId="1" applyFont="1" applyFill="1" applyAlignment="1">
      <alignment horizontal="center"/>
    </xf>
    <xf numFmtId="164" fontId="52" fillId="68" borderId="33" xfId="1" applyNumberFormat="1" applyFont="1" applyFill="1" applyBorder="1" applyAlignment="1">
      <alignment horizontal="center" vertical="center" wrapText="1"/>
    </xf>
    <xf numFmtId="168" fontId="73" fillId="68" borderId="32" xfId="14120" applyNumberFormat="1" applyFont="1" applyFill="1" applyBorder="1"/>
    <xf numFmtId="2" fontId="73" fillId="68" borderId="0" xfId="1" applyNumberFormat="1" applyFont="1" applyFill="1" applyAlignment="1" applyProtection="1">
      <alignment horizontal="center" vertical="center"/>
      <protection locked="0"/>
    </xf>
    <xf numFmtId="172" fontId="73" fillId="33" borderId="0" xfId="1" applyNumberFormat="1" applyFont="1" applyFill="1" applyAlignment="1">
      <alignment vertical="top"/>
    </xf>
    <xf numFmtId="10" fontId="73" fillId="33" borderId="0" xfId="14120" applyNumberFormat="1" applyFont="1" applyFill="1"/>
    <xf numFmtId="0" fontId="49" fillId="0" borderId="0" xfId="1" applyFont="1" applyAlignment="1">
      <alignment horizontal="right"/>
    </xf>
    <xf numFmtId="43" fontId="192" fillId="0" borderId="0" xfId="23544" applyFont="1" applyAlignment="1">
      <alignment horizontal="right" vertical="top"/>
    </xf>
    <xf numFmtId="43" fontId="190" fillId="0" borderId="0" xfId="23544" applyFont="1" applyAlignment="1">
      <alignment horizontal="right" vertical="top"/>
    </xf>
    <xf numFmtId="43" fontId="0" fillId="0" borderId="0" xfId="23544" applyFont="1"/>
    <xf numFmtId="40" fontId="194" fillId="0" borderId="0" xfId="27157" applyNumberFormat="1" applyFont="1" applyAlignment="1">
      <alignment horizontal="right" wrapText="1"/>
    </xf>
    <xf numFmtId="43" fontId="191" fillId="0" borderId="0" xfId="23544" applyFont="1" applyAlignment="1">
      <alignment horizontal="right" vertical="top"/>
    </xf>
    <xf numFmtId="43" fontId="194" fillId="0" borderId="0" xfId="23544" applyFont="1" applyAlignment="1">
      <alignment horizontal="right" wrapText="1"/>
    </xf>
    <xf numFmtId="43" fontId="185" fillId="0" borderId="0" xfId="23544" applyFont="1" applyAlignment="1">
      <alignment horizontal="right" vertical="top" wrapText="1"/>
    </xf>
    <xf numFmtId="0" fontId="193" fillId="0" borderId="0" xfId="27157" applyFont="1" applyAlignment="1">
      <alignment horizontal="left" wrapText="1"/>
    </xf>
    <xf numFmtId="0" fontId="46" fillId="0" borderId="0" xfId="0" applyFont="1" applyAlignment="1">
      <alignment wrapText="1"/>
    </xf>
    <xf numFmtId="0" fontId="190" fillId="0" borderId="0" xfId="27157" applyFont="1" applyAlignment="1">
      <alignment horizontal="left" vertical="top"/>
    </xf>
    <xf numFmtId="40" fontId="190" fillId="0" borderId="0" xfId="27157" applyNumberFormat="1" applyFont="1" applyAlignment="1">
      <alignment horizontal="right" vertical="top"/>
    </xf>
    <xf numFmtId="0" fontId="190" fillId="0" borderId="0" xfId="27157" applyNumberFormat="1" applyFont="1" applyAlignment="1">
      <alignment horizontal="left" vertical="top"/>
    </xf>
    <xf numFmtId="166" fontId="48" fillId="0" borderId="67" xfId="21724" applyNumberFormat="1" applyFont="1" applyBorder="1"/>
    <xf numFmtId="166" fontId="48" fillId="75" borderId="67" xfId="21724" applyNumberFormat="1" applyFont="1" applyFill="1" applyBorder="1"/>
    <xf numFmtId="166" fontId="48" fillId="75" borderId="68" xfId="21724" applyNumberFormat="1" applyFont="1" applyFill="1" applyBorder="1"/>
    <xf numFmtId="0" fontId="0" fillId="75" borderId="69" xfId="0" applyFill="1" applyBorder="1"/>
    <xf numFmtId="166" fontId="48" fillId="0" borderId="70" xfId="21724" applyNumberFormat="1" applyFont="1" applyBorder="1"/>
    <xf numFmtId="166" fontId="48" fillId="75" borderId="70" xfId="21724" applyNumberFormat="1" applyFont="1" applyFill="1" applyBorder="1"/>
    <xf numFmtId="43" fontId="48" fillId="75" borderId="0" xfId="21724" applyFont="1" applyFill="1" applyBorder="1"/>
    <xf numFmtId="41" fontId="59" fillId="75" borderId="71" xfId="1" applyNumberFormat="1" applyFont="1" applyFill="1" applyBorder="1" applyAlignment="1">
      <alignment vertical="center"/>
    </xf>
    <xf numFmtId="0" fontId="52" fillId="75" borderId="71" xfId="1" applyFont="1" applyFill="1" applyBorder="1" applyAlignment="1">
      <alignment vertical="center"/>
    </xf>
    <xf numFmtId="0" fontId="134" fillId="75" borderId="71" xfId="1" applyFont="1" applyFill="1" applyBorder="1" applyAlignment="1">
      <alignment vertical="center"/>
    </xf>
    <xf numFmtId="43" fontId="59" fillId="75" borderId="71" xfId="1" applyNumberFormat="1" applyFont="1" applyFill="1" applyBorder="1" applyAlignment="1">
      <alignment vertical="center"/>
    </xf>
    <xf numFmtId="166" fontId="195" fillId="0" borderId="70" xfId="21724" applyNumberFormat="1" applyFont="1" applyBorder="1"/>
    <xf numFmtId="166" fontId="195" fillId="75" borderId="70" xfId="21724" applyNumberFormat="1" applyFont="1" applyFill="1" applyBorder="1"/>
    <xf numFmtId="43" fontId="195" fillId="75" borderId="72" xfId="21724" applyFont="1" applyFill="1" applyBorder="1"/>
    <xf numFmtId="43" fontId="195" fillId="75" borderId="73" xfId="21724" applyFont="1" applyFill="1" applyBorder="1"/>
    <xf numFmtId="0" fontId="0" fillId="0" borderId="70" xfId="0" applyBorder="1"/>
    <xf numFmtId="0" fontId="0" fillId="75" borderId="70" xfId="0" applyFill="1" applyBorder="1"/>
    <xf numFmtId="0" fontId="196" fillId="75" borderId="72" xfId="0" applyFont="1" applyFill="1" applyBorder="1" applyAlignment="1">
      <alignment horizontal="left"/>
    </xf>
    <xf numFmtId="0" fontId="196" fillId="75" borderId="0" xfId="0" applyFont="1" applyFill="1" applyAlignment="1">
      <alignment horizontal="left"/>
    </xf>
    <xf numFmtId="0" fontId="59" fillId="75" borderId="71" xfId="1" applyFont="1" applyFill="1" applyBorder="1" applyAlignment="1">
      <alignment vertical="center"/>
    </xf>
    <xf numFmtId="41" fontId="52" fillId="33" borderId="70" xfId="21758" applyNumberFormat="1" applyFont="1" applyFill="1" applyBorder="1" applyAlignment="1">
      <alignment vertical="center" wrapText="1"/>
    </xf>
    <xf numFmtId="41" fontId="52" fillId="75" borderId="70" xfId="21758" applyNumberFormat="1" applyFont="1" applyFill="1" applyBorder="1" applyAlignment="1">
      <alignment vertical="center" wrapText="1"/>
    </xf>
    <xf numFmtId="41" fontId="59" fillId="75" borderId="0" xfId="1" applyNumberFormat="1" applyFont="1" applyFill="1" applyAlignment="1">
      <alignment vertical="center"/>
    </xf>
    <xf numFmtId="0" fontId="59" fillId="75" borderId="0" xfId="1" applyFont="1" applyFill="1" applyAlignment="1">
      <alignment vertical="center"/>
    </xf>
    <xf numFmtId="0" fontId="52" fillId="75" borderId="70" xfId="1" applyFont="1" applyFill="1" applyBorder="1" applyAlignment="1">
      <alignment vertical="center"/>
    </xf>
    <xf numFmtId="41" fontId="53" fillId="33" borderId="70" xfId="21758" applyNumberFormat="1" applyFont="1" applyFill="1" applyBorder="1" applyAlignment="1">
      <alignment vertical="center" wrapText="1"/>
    </xf>
    <xf numFmtId="41" fontId="53" fillId="33" borderId="74" xfId="21758" applyNumberFormat="1" applyFont="1" applyFill="1" applyBorder="1" applyAlignment="1">
      <alignment vertical="center" wrapText="1"/>
    </xf>
    <xf numFmtId="41" fontId="53" fillId="75" borderId="70" xfId="21758" applyNumberFormat="1" applyFont="1" applyFill="1" applyBorder="1" applyAlignment="1">
      <alignment vertical="center" wrapText="1"/>
    </xf>
    <xf numFmtId="43" fontId="59" fillId="75" borderId="0" xfId="1" applyNumberFormat="1" applyFont="1" applyFill="1" applyAlignment="1">
      <alignment vertical="center"/>
    </xf>
    <xf numFmtId="41" fontId="52" fillId="33" borderId="67" xfId="21758" applyNumberFormat="1" applyFont="1" applyFill="1" applyBorder="1" applyAlignment="1">
      <alignment vertical="center" wrapText="1"/>
    </xf>
    <xf numFmtId="41" fontId="53" fillId="75" borderId="74" xfId="21758" applyNumberFormat="1" applyFont="1" applyFill="1" applyBorder="1" applyAlignment="1">
      <alignment vertical="center" wrapText="1"/>
    </xf>
    <xf numFmtId="43" fontId="59" fillId="75" borderId="75" xfId="1" applyNumberFormat="1" applyFont="1" applyFill="1" applyBorder="1" applyAlignment="1">
      <alignment vertical="center"/>
    </xf>
    <xf numFmtId="0" fontId="59" fillId="75" borderId="75" xfId="1" applyFont="1" applyFill="1" applyBorder="1" applyAlignment="1">
      <alignment vertical="center"/>
    </xf>
    <xf numFmtId="0" fontId="59" fillId="75" borderId="76" xfId="1" applyFont="1" applyFill="1" applyBorder="1" applyAlignment="1">
      <alignment vertical="center"/>
    </xf>
    <xf numFmtId="41" fontId="52" fillId="75" borderId="67" xfId="21758" applyNumberFormat="1" applyFont="1" applyFill="1" applyBorder="1" applyAlignment="1">
      <alignment vertical="center" wrapText="1"/>
    </xf>
    <xf numFmtId="43" fontId="59" fillId="75" borderId="68" xfId="1" applyNumberFormat="1" applyFont="1" applyFill="1" applyBorder="1" applyAlignment="1">
      <alignment vertical="center"/>
    </xf>
    <xf numFmtId="0" fontId="59" fillId="75" borderId="68" xfId="1" applyFont="1" applyFill="1" applyBorder="1" applyAlignment="1">
      <alignment vertical="center"/>
    </xf>
    <xf numFmtId="0" fontId="59" fillId="75" borderId="69" xfId="1" applyFont="1" applyFill="1" applyBorder="1" applyAlignment="1">
      <alignment vertical="center"/>
    </xf>
    <xf numFmtId="41" fontId="67" fillId="33" borderId="70" xfId="1" applyNumberFormat="1" applyFont="1" applyFill="1" applyBorder="1" applyAlignment="1">
      <alignment vertical="center"/>
    </xf>
    <xf numFmtId="41" fontId="67" fillId="33" borderId="74" xfId="1" applyNumberFormat="1" applyFont="1" applyFill="1" applyBorder="1"/>
    <xf numFmtId="41" fontId="67" fillId="75" borderId="70" xfId="1" applyNumberFormat="1" applyFont="1" applyFill="1" applyBorder="1" applyAlignment="1">
      <alignment vertical="center"/>
    </xf>
    <xf numFmtId="41" fontId="67" fillId="75" borderId="74" xfId="1" applyNumberFormat="1" applyFont="1" applyFill="1" applyBorder="1"/>
    <xf numFmtId="0" fontId="59" fillId="75" borderId="75" xfId="1" applyFont="1" applyFill="1" applyBorder="1"/>
    <xf numFmtId="0" fontId="59" fillId="75" borderId="76" xfId="1" applyFont="1" applyFill="1" applyBorder="1"/>
    <xf numFmtId="0" fontId="59" fillId="33" borderId="74" xfId="1" applyFont="1" applyFill="1" applyBorder="1"/>
    <xf numFmtId="0" fontId="59" fillId="33" borderId="75" xfId="1" applyFont="1" applyFill="1" applyBorder="1"/>
    <xf numFmtId="0" fontId="59" fillId="33" borderId="76" xfId="1" applyFont="1" applyFill="1" applyBorder="1"/>
    <xf numFmtId="0" fontId="11" fillId="68" borderId="0" xfId="1" applyFont="1" applyFill="1"/>
    <xf numFmtId="9" fontId="11" fillId="68" borderId="0" xfId="14120" applyFont="1" applyFill="1"/>
    <xf numFmtId="0" fontId="13" fillId="57" borderId="0" xfId="21672" applyFont="1" applyFill="1" applyAlignment="1" applyProtection="1">
      <alignment horizontal="left"/>
      <protection locked="0"/>
    </xf>
    <xf numFmtId="2" fontId="13" fillId="57" borderId="0" xfId="21672" applyNumberFormat="1" applyFont="1" applyFill="1" applyAlignment="1" applyProtection="1">
      <alignment horizontal="center"/>
      <protection locked="0"/>
    </xf>
    <xf numFmtId="41" fontId="13" fillId="57" borderId="0" xfId="14128" applyNumberFormat="1" applyFont="1" applyFill="1" applyProtection="1">
      <protection locked="0"/>
    </xf>
    <xf numFmtId="0" fontId="13" fillId="57" borderId="0" xfId="7" applyFont="1" applyFill="1" applyAlignment="1">
      <alignment horizontal="center"/>
    </xf>
    <xf numFmtId="41" fontId="13" fillId="57" borderId="0" xfId="9" applyNumberFormat="1" applyFont="1" applyFill="1" applyAlignment="1">
      <alignment horizontal="center"/>
    </xf>
    <xf numFmtId="41" fontId="13" fillId="57" borderId="0" xfId="9" applyNumberFormat="1" applyFont="1" applyFill="1"/>
    <xf numFmtId="0" fontId="13" fillId="57" borderId="0" xfId="21672" applyFont="1" applyFill="1" applyProtection="1">
      <protection locked="0"/>
    </xf>
    <xf numFmtId="41" fontId="13" fillId="57" borderId="0" xfId="21672" applyNumberFormat="1" applyFont="1" applyFill="1" applyProtection="1">
      <protection locked="0"/>
    </xf>
    <xf numFmtId="172" fontId="59" fillId="70" borderId="0" xfId="1" applyNumberFormat="1" applyFont="1" applyFill="1" applyAlignment="1">
      <alignment vertical="center"/>
    </xf>
    <xf numFmtId="41" fontId="11" fillId="0" borderId="0" xfId="1" applyNumberFormat="1" applyFont="1"/>
    <xf numFmtId="44" fontId="13" fillId="0" borderId="0" xfId="14128" applyFont="1"/>
    <xf numFmtId="44" fontId="13" fillId="0" borderId="0" xfId="1" applyNumberFormat="1" applyFont="1"/>
    <xf numFmtId="41" fontId="59" fillId="0" borderId="0" xfId="1" applyNumberFormat="1" applyFont="1" applyFill="1" applyAlignment="1">
      <alignment vertical="center"/>
    </xf>
    <xf numFmtId="0" fontId="197" fillId="33" borderId="32" xfId="1" applyFont="1" applyFill="1" applyBorder="1"/>
    <xf numFmtId="0" fontId="197" fillId="33" borderId="0" xfId="1" applyFont="1" applyFill="1"/>
    <xf numFmtId="166" fontId="197" fillId="33" borderId="0" xfId="23544" applyNumberFormat="1" applyFont="1" applyFill="1"/>
    <xf numFmtId="43" fontId="197" fillId="33" borderId="0" xfId="23544" applyFont="1" applyFill="1"/>
    <xf numFmtId="41" fontId="125" fillId="68" borderId="0" xfId="1" applyNumberFormat="1" applyFont="1" applyFill="1" applyAlignment="1">
      <alignment vertical="center"/>
    </xf>
    <xf numFmtId="43" fontId="13" fillId="34" borderId="0" xfId="23544" applyFont="1" applyFill="1" applyAlignment="1" applyProtection="1">
      <alignment horizontal="center"/>
      <protection locked="0"/>
    </xf>
    <xf numFmtId="43" fontId="192" fillId="76" borderId="0" xfId="23544" applyFont="1" applyFill="1" applyAlignment="1">
      <alignment horizontal="right" vertical="top"/>
    </xf>
    <xf numFmtId="40" fontId="190" fillId="76" borderId="0" xfId="27157" applyNumberFormat="1" applyFont="1" applyFill="1" applyAlignment="1">
      <alignment horizontal="right" vertical="top"/>
    </xf>
    <xf numFmtId="43" fontId="191" fillId="76" borderId="0" xfId="23544" applyFont="1" applyFill="1" applyAlignment="1">
      <alignment horizontal="right" vertical="top"/>
    </xf>
    <xf numFmtId="43" fontId="184" fillId="76" borderId="0" xfId="23544" applyFont="1" applyFill="1" applyAlignment="1">
      <alignment horizontal="right" vertical="top" wrapText="1"/>
    </xf>
    <xf numFmtId="43" fontId="188" fillId="76" borderId="0" xfId="23544" applyFont="1" applyFill="1" applyAlignment="1">
      <alignment horizontal="right" vertical="top" wrapText="1"/>
    </xf>
    <xf numFmtId="43" fontId="189" fillId="76" borderId="0" xfId="23544" applyFont="1" applyFill="1" applyAlignment="1">
      <alignment horizontal="right" vertical="top" wrapText="1"/>
    </xf>
    <xf numFmtId="43" fontId="188" fillId="76" borderId="0" xfId="23544" applyFont="1" applyFill="1" applyBorder="1" applyAlignment="1">
      <alignment horizontal="right" vertical="top" wrapText="1"/>
    </xf>
    <xf numFmtId="43" fontId="4" fillId="76" borderId="0" xfId="23544" applyFont="1" applyFill="1" applyAlignment="1">
      <alignment horizontal="right" vertical="top" wrapText="1"/>
    </xf>
    <xf numFmtId="43" fontId="185" fillId="76" borderId="0" xfId="23544" applyFont="1" applyFill="1" applyAlignment="1">
      <alignment horizontal="right" vertical="top" wrapText="1"/>
    </xf>
    <xf numFmtId="43" fontId="194" fillId="76" borderId="0" xfId="23544" applyFont="1" applyFill="1" applyAlignment="1">
      <alignment horizontal="right" wrapText="1"/>
    </xf>
    <xf numFmtId="40" fontId="184" fillId="76" borderId="0" xfId="27157" applyNumberFormat="1" applyFont="1" applyFill="1" applyAlignment="1">
      <alignment horizontal="right" vertical="top" wrapText="1"/>
    </xf>
    <xf numFmtId="43" fontId="190" fillId="76" borderId="0" xfId="23544" applyFont="1" applyFill="1" applyAlignment="1">
      <alignment horizontal="right" vertical="top"/>
    </xf>
    <xf numFmtId="0" fontId="59" fillId="33" borderId="0" xfId="1" applyFont="1" applyFill="1" applyBorder="1" applyAlignment="1">
      <alignment vertical="center"/>
    </xf>
    <xf numFmtId="41" fontId="52" fillId="69" borderId="0" xfId="1" applyNumberFormat="1" applyFont="1" applyFill="1" applyBorder="1" applyAlignment="1">
      <alignment vertical="center"/>
    </xf>
    <xf numFmtId="41" fontId="52" fillId="33" borderId="0" xfId="1" applyNumberFormat="1" applyFont="1" applyFill="1" applyBorder="1" applyAlignment="1">
      <alignment vertical="center"/>
    </xf>
    <xf numFmtId="9" fontId="52" fillId="69" borderId="0" xfId="14120" applyNumberFormat="1" applyFont="1" applyFill="1" applyAlignment="1">
      <alignment vertical="center"/>
    </xf>
    <xf numFmtId="41" fontId="59" fillId="37" borderId="31" xfId="4" applyNumberFormat="1" applyFont="1" applyFill="1" applyBorder="1" applyAlignment="1">
      <alignment horizontal="center" vertical="center"/>
    </xf>
    <xf numFmtId="41" fontId="59" fillId="37" borderId="31" xfId="4" applyNumberFormat="1" applyFont="1" applyFill="1" applyBorder="1" applyAlignment="1">
      <alignment horizontal="center" vertical="center" wrapText="1"/>
    </xf>
    <xf numFmtId="41" fontId="59" fillId="33" borderId="13" xfId="4" applyNumberFormat="1" applyFont="1" applyFill="1" applyBorder="1" applyAlignment="1">
      <alignment horizontal="center" vertical="center"/>
    </xf>
    <xf numFmtId="0" fontId="130" fillId="55" borderId="32" xfId="1" applyFont="1" applyFill="1" applyBorder="1" applyAlignment="1">
      <alignment horizontal="center"/>
    </xf>
    <xf numFmtId="0" fontId="130" fillId="54" borderId="35" xfId="1" applyFont="1" applyFill="1" applyBorder="1" applyAlignment="1">
      <alignment horizontal="center"/>
    </xf>
    <xf numFmtId="0" fontId="130" fillId="54" borderId="17" xfId="1" applyFont="1" applyFill="1" applyBorder="1" applyAlignment="1">
      <alignment horizontal="center"/>
    </xf>
    <xf numFmtId="0" fontId="130" fillId="54" borderId="36" xfId="1" applyFont="1" applyFill="1" applyBorder="1" applyAlignment="1">
      <alignment horizontal="center"/>
    </xf>
    <xf numFmtId="41" fontId="52" fillId="54" borderId="65" xfId="1" applyNumberFormat="1" applyFont="1" applyFill="1" applyBorder="1" applyAlignment="1">
      <alignment horizontal="center" vertical="center"/>
    </xf>
    <xf numFmtId="41" fontId="52" fillId="54" borderId="66" xfId="1" applyNumberFormat="1" applyFont="1" applyFill="1" applyBorder="1" applyAlignment="1">
      <alignment horizontal="center" vertical="center"/>
    </xf>
    <xf numFmtId="41" fontId="60" fillId="33" borderId="0" xfId="1" applyNumberFormat="1" applyFont="1" applyFill="1" applyAlignment="1">
      <alignment horizontal="center" vertical="center" wrapText="1"/>
    </xf>
    <xf numFmtId="0" fontId="50" fillId="33" borderId="0" xfId="1" applyFont="1" applyFill="1" applyAlignment="1" applyProtection="1">
      <alignment horizontal="center"/>
      <protection locked="0"/>
    </xf>
    <xf numFmtId="0" fontId="71" fillId="35" borderId="0" xfId="1" applyFont="1" applyFill="1" applyAlignment="1">
      <alignment horizontal="center"/>
    </xf>
    <xf numFmtId="0" fontId="71" fillId="34" borderId="14" xfId="1" applyFont="1" applyFill="1" applyBorder="1" applyAlignment="1" applyProtection="1">
      <alignment horizontal="center"/>
      <protection locked="0"/>
    </xf>
    <xf numFmtId="0" fontId="73" fillId="33" borderId="0" xfId="1" applyFont="1" applyFill="1" applyAlignment="1">
      <alignment horizontal="left" wrapText="1"/>
    </xf>
    <xf numFmtId="0" fontId="76" fillId="33" borderId="0" xfId="1" applyFont="1" applyFill="1" applyAlignment="1">
      <alignment horizontal="right" wrapText="1"/>
    </xf>
    <xf numFmtId="0" fontId="59" fillId="33" borderId="35" xfId="1" applyFont="1" applyFill="1" applyBorder="1" applyAlignment="1">
      <alignment horizontal="center" vertical="center"/>
    </xf>
    <xf numFmtId="0" fontId="59" fillId="33" borderId="62" xfId="1" applyFont="1" applyFill="1" applyBorder="1" applyAlignment="1">
      <alignment horizontal="center" vertical="center"/>
    </xf>
    <xf numFmtId="43" fontId="11" fillId="0" borderId="0" xfId="10" applyFont="1" applyAlignment="1">
      <alignment horizontal="center" wrapText="1"/>
    </xf>
    <xf numFmtId="0" fontId="13" fillId="0" borderId="0" xfId="11" applyFont="1" applyAlignment="1">
      <alignment horizontal="center" wrapText="1"/>
    </xf>
  </cellXfs>
  <cellStyles count="27430">
    <cellStyle name="20% - Accent1 10" xfId="15" xr:uid="{00000000-0005-0000-0000-000000000000}"/>
    <cellStyle name="20% - Accent1 10 10" xfId="16" xr:uid="{00000000-0005-0000-0000-000001000000}"/>
    <cellStyle name="20% - Accent1 10 2" xfId="17" xr:uid="{00000000-0005-0000-0000-000002000000}"/>
    <cellStyle name="20% - Accent1 10 3" xfId="18" xr:uid="{00000000-0005-0000-0000-000003000000}"/>
    <cellStyle name="20% - Accent1 10 4" xfId="19" xr:uid="{00000000-0005-0000-0000-000004000000}"/>
    <cellStyle name="20% - Accent1 10 5" xfId="20" xr:uid="{00000000-0005-0000-0000-000005000000}"/>
    <cellStyle name="20% - Accent1 10 6" xfId="21" xr:uid="{00000000-0005-0000-0000-000006000000}"/>
    <cellStyle name="20% - Accent1 10 7" xfId="22" xr:uid="{00000000-0005-0000-0000-000007000000}"/>
    <cellStyle name="20% - Accent1 10 8" xfId="23" xr:uid="{00000000-0005-0000-0000-000008000000}"/>
    <cellStyle name="20% - Accent1 10 9" xfId="24" xr:uid="{00000000-0005-0000-0000-000009000000}"/>
    <cellStyle name="20% - Accent1 11" xfId="25" xr:uid="{00000000-0005-0000-0000-00000A000000}"/>
    <cellStyle name="20% - Accent1 11 10" xfId="26" xr:uid="{00000000-0005-0000-0000-00000B000000}"/>
    <cellStyle name="20% - Accent1 11 2" xfId="27" xr:uid="{00000000-0005-0000-0000-00000C000000}"/>
    <cellStyle name="20% - Accent1 11 3" xfId="28" xr:uid="{00000000-0005-0000-0000-00000D000000}"/>
    <cellStyle name="20% - Accent1 11 4" xfId="29" xr:uid="{00000000-0005-0000-0000-00000E000000}"/>
    <cellStyle name="20% - Accent1 11 5" xfId="30" xr:uid="{00000000-0005-0000-0000-00000F000000}"/>
    <cellStyle name="20% - Accent1 11 6" xfId="31" xr:uid="{00000000-0005-0000-0000-000010000000}"/>
    <cellStyle name="20% - Accent1 11 7" xfId="32" xr:uid="{00000000-0005-0000-0000-000011000000}"/>
    <cellStyle name="20% - Accent1 11 8" xfId="33" xr:uid="{00000000-0005-0000-0000-000012000000}"/>
    <cellStyle name="20% - Accent1 11 9" xfId="34" xr:uid="{00000000-0005-0000-0000-000013000000}"/>
    <cellStyle name="20% - Accent1 12" xfId="35" xr:uid="{00000000-0005-0000-0000-000014000000}"/>
    <cellStyle name="20% - Accent1 12 10" xfId="36" xr:uid="{00000000-0005-0000-0000-000015000000}"/>
    <cellStyle name="20% - Accent1 12 2" xfId="37" xr:uid="{00000000-0005-0000-0000-000016000000}"/>
    <cellStyle name="20% - Accent1 12 3" xfId="38" xr:uid="{00000000-0005-0000-0000-000017000000}"/>
    <cellStyle name="20% - Accent1 12 4" xfId="39" xr:uid="{00000000-0005-0000-0000-000018000000}"/>
    <cellStyle name="20% - Accent1 12 5" xfId="40" xr:uid="{00000000-0005-0000-0000-000019000000}"/>
    <cellStyle name="20% - Accent1 12 6" xfId="41" xr:uid="{00000000-0005-0000-0000-00001A000000}"/>
    <cellStyle name="20% - Accent1 12 7" xfId="42" xr:uid="{00000000-0005-0000-0000-00001B000000}"/>
    <cellStyle name="20% - Accent1 12 8" xfId="43" xr:uid="{00000000-0005-0000-0000-00001C000000}"/>
    <cellStyle name="20% - Accent1 12 9" xfId="44" xr:uid="{00000000-0005-0000-0000-00001D000000}"/>
    <cellStyle name="20% - Accent1 13" xfId="45" xr:uid="{00000000-0005-0000-0000-00001E000000}"/>
    <cellStyle name="20% - Accent1 13 10" xfId="46" xr:uid="{00000000-0005-0000-0000-00001F000000}"/>
    <cellStyle name="20% - Accent1 13 2" xfId="47" xr:uid="{00000000-0005-0000-0000-000020000000}"/>
    <cellStyle name="20% - Accent1 13 3" xfId="48" xr:uid="{00000000-0005-0000-0000-000021000000}"/>
    <cellStyle name="20% - Accent1 13 4" xfId="49" xr:uid="{00000000-0005-0000-0000-000022000000}"/>
    <cellStyle name="20% - Accent1 13 5" xfId="50" xr:uid="{00000000-0005-0000-0000-000023000000}"/>
    <cellStyle name="20% - Accent1 13 6" xfId="51" xr:uid="{00000000-0005-0000-0000-000024000000}"/>
    <cellStyle name="20% - Accent1 13 7" xfId="52" xr:uid="{00000000-0005-0000-0000-000025000000}"/>
    <cellStyle name="20% - Accent1 13 8" xfId="53" xr:uid="{00000000-0005-0000-0000-000026000000}"/>
    <cellStyle name="20% - Accent1 13 9" xfId="54" xr:uid="{00000000-0005-0000-0000-000027000000}"/>
    <cellStyle name="20% - Accent1 14" xfId="55" xr:uid="{00000000-0005-0000-0000-000028000000}"/>
    <cellStyle name="20% - Accent1 14 10" xfId="56" xr:uid="{00000000-0005-0000-0000-000029000000}"/>
    <cellStyle name="20% - Accent1 14 2" xfId="57" xr:uid="{00000000-0005-0000-0000-00002A000000}"/>
    <cellStyle name="20% - Accent1 14 3" xfId="58" xr:uid="{00000000-0005-0000-0000-00002B000000}"/>
    <cellStyle name="20% - Accent1 14 4" xfId="59" xr:uid="{00000000-0005-0000-0000-00002C000000}"/>
    <cellStyle name="20% - Accent1 14 5" xfId="60" xr:uid="{00000000-0005-0000-0000-00002D000000}"/>
    <cellStyle name="20% - Accent1 14 6" xfId="61" xr:uid="{00000000-0005-0000-0000-00002E000000}"/>
    <cellStyle name="20% - Accent1 14 7" xfId="62" xr:uid="{00000000-0005-0000-0000-00002F000000}"/>
    <cellStyle name="20% - Accent1 14 8" xfId="63" xr:uid="{00000000-0005-0000-0000-000030000000}"/>
    <cellStyle name="20% - Accent1 14 9" xfId="64" xr:uid="{00000000-0005-0000-0000-000031000000}"/>
    <cellStyle name="20% - Accent1 15" xfId="65" xr:uid="{00000000-0005-0000-0000-000032000000}"/>
    <cellStyle name="20% - Accent1 15 10" xfId="66" xr:uid="{00000000-0005-0000-0000-000033000000}"/>
    <cellStyle name="20% - Accent1 15 2" xfId="67" xr:uid="{00000000-0005-0000-0000-000034000000}"/>
    <cellStyle name="20% - Accent1 15 3" xfId="68" xr:uid="{00000000-0005-0000-0000-000035000000}"/>
    <cellStyle name="20% - Accent1 15 4" xfId="69" xr:uid="{00000000-0005-0000-0000-000036000000}"/>
    <cellStyle name="20% - Accent1 15 5" xfId="70" xr:uid="{00000000-0005-0000-0000-000037000000}"/>
    <cellStyle name="20% - Accent1 15 6" xfId="71" xr:uid="{00000000-0005-0000-0000-000038000000}"/>
    <cellStyle name="20% - Accent1 15 7" xfId="72" xr:uid="{00000000-0005-0000-0000-000039000000}"/>
    <cellStyle name="20% - Accent1 15 8" xfId="73" xr:uid="{00000000-0005-0000-0000-00003A000000}"/>
    <cellStyle name="20% - Accent1 15 9" xfId="74" xr:uid="{00000000-0005-0000-0000-00003B000000}"/>
    <cellStyle name="20% - Accent1 16" xfId="75" xr:uid="{00000000-0005-0000-0000-00003C000000}"/>
    <cellStyle name="20% - Accent1 16 10" xfId="76" xr:uid="{00000000-0005-0000-0000-00003D000000}"/>
    <cellStyle name="20% - Accent1 16 2" xfId="77" xr:uid="{00000000-0005-0000-0000-00003E000000}"/>
    <cellStyle name="20% - Accent1 16 3" xfId="78" xr:uid="{00000000-0005-0000-0000-00003F000000}"/>
    <cellStyle name="20% - Accent1 16 4" xfId="79" xr:uid="{00000000-0005-0000-0000-000040000000}"/>
    <cellStyle name="20% - Accent1 16 5" xfId="80" xr:uid="{00000000-0005-0000-0000-000041000000}"/>
    <cellStyle name="20% - Accent1 16 6" xfId="81" xr:uid="{00000000-0005-0000-0000-000042000000}"/>
    <cellStyle name="20% - Accent1 16 7" xfId="82" xr:uid="{00000000-0005-0000-0000-000043000000}"/>
    <cellStyle name="20% - Accent1 16 8" xfId="83" xr:uid="{00000000-0005-0000-0000-000044000000}"/>
    <cellStyle name="20% - Accent1 16 9" xfId="84" xr:uid="{00000000-0005-0000-0000-000045000000}"/>
    <cellStyle name="20% - Accent1 17" xfId="85" xr:uid="{00000000-0005-0000-0000-000046000000}"/>
    <cellStyle name="20% - Accent1 17 10" xfId="86" xr:uid="{00000000-0005-0000-0000-000047000000}"/>
    <cellStyle name="20% - Accent1 17 2" xfId="87" xr:uid="{00000000-0005-0000-0000-000048000000}"/>
    <cellStyle name="20% - Accent1 17 3" xfId="88" xr:uid="{00000000-0005-0000-0000-000049000000}"/>
    <cellStyle name="20% - Accent1 17 4" xfId="89" xr:uid="{00000000-0005-0000-0000-00004A000000}"/>
    <cellStyle name="20% - Accent1 17 5" xfId="90" xr:uid="{00000000-0005-0000-0000-00004B000000}"/>
    <cellStyle name="20% - Accent1 17 6" xfId="91" xr:uid="{00000000-0005-0000-0000-00004C000000}"/>
    <cellStyle name="20% - Accent1 17 7" xfId="92" xr:uid="{00000000-0005-0000-0000-00004D000000}"/>
    <cellStyle name="20% - Accent1 17 8" xfId="93" xr:uid="{00000000-0005-0000-0000-00004E000000}"/>
    <cellStyle name="20% - Accent1 17 9" xfId="94" xr:uid="{00000000-0005-0000-0000-00004F000000}"/>
    <cellStyle name="20% - Accent1 18" xfId="95" xr:uid="{00000000-0005-0000-0000-000050000000}"/>
    <cellStyle name="20% - Accent1 18 2" xfId="96" xr:uid="{00000000-0005-0000-0000-000051000000}"/>
    <cellStyle name="20% - Accent1 18 3" xfId="97" xr:uid="{00000000-0005-0000-0000-000052000000}"/>
    <cellStyle name="20% - Accent1 18 4" xfId="98" xr:uid="{00000000-0005-0000-0000-000053000000}"/>
    <cellStyle name="20% - Accent1 18 5" xfId="99" xr:uid="{00000000-0005-0000-0000-000054000000}"/>
    <cellStyle name="20% - Accent1 18 6" xfId="100" xr:uid="{00000000-0005-0000-0000-000055000000}"/>
    <cellStyle name="20% - Accent1 18 7" xfId="101" xr:uid="{00000000-0005-0000-0000-000056000000}"/>
    <cellStyle name="20% - Accent1 18 8" xfId="102" xr:uid="{00000000-0005-0000-0000-000057000000}"/>
    <cellStyle name="20% - Accent1 19" xfId="103" xr:uid="{00000000-0005-0000-0000-000058000000}"/>
    <cellStyle name="20% - Accent1 19 2" xfId="104" xr:uid="{00000000-0005-0000-0000-000059000000}"/>
    <cellStyle name="20% - Accent1 19 3" xfId="105" xr:uid="{00000000-0005-0000-0000-00005A000000}"/>
    <cellStyle name="20% - Accent1 19 4" xfId="106" xr:uid="{00000000-0005-0000-0000-00005B000000}"/>
    <cellStyle name="20% - Accent1 19 5" xfId="107" xr:uid="{00000000-0005-0000-0000-00005C000000}"/>
    <cellStyle name="20% - Accent1 19 6" xfId="108" xr:uid="{00000000-0005-0000-0000-00005D000000}"/>
    <cellStyle name="20% - Accent1 19 7" xfId="109" xr:uid="{00000000-0005-0000-0000-00005E000000}"/>
    <cellStyle name="20% - Accent1 19 8" xfId="110" xr:uid="{00000000-0005-0000-0000-00005F000000}"/>
    <cellStyle name="20% - Accent1 2" xfId="111" xr:uid="{00000000-0005-0000-0000-000060000000}"/>
    <cellStyle name="20% - Accent1 2 10" xfId="112" xr:uid="{00000000-0005-0000-0000-000061000000}"/>
    <cellStyle name="20% - Accent1 2 11" xfId="21673" xr:uid="{00000000-0005-0000-0000-000062000000}"/>
    <cellStyle name="20% - Accent1 2 2" xfId="113" xr:uid="{00000000-0005-0000-0000-000063000000}"/>
    <cellStyle name="20% - Accent1 2 2 2" xfId="21923" xr:uid="{00000000-0005-0000-0000-000064000000}"/>
    <cellStyle name="20% - Accent1 2 3" xfId="114" xr:uid="{00000000-0005-0000-0000-000065000000}"/>
    <cellStyle name="20% - Accent1 2 4" xfId="115" xr:uid="{00000000-0005-0000-0000-000066000000}"/>
    <cellStyle name="20% - Accent1 2 5" xfId="116" xr:uid="{00000000-0005-0000-0000-000067000000}"/>
    <cellStyle name="20% - Accent1 2 6" xfId="117" xr:uid="{00000000-0005-0000-0000-000068000000}"/>
    <cellStyle name="20% - Accent1 2 7" xfId="118" xr:uid="{00000000-0005-0000-0000-000069000000}"/>
    <cellStyle name="20% - Accent1 2 8" xfId="119" xr:uid="{00000000-0005-0000-0000-00006A000000}"/>
    <cellStyle name="20% - Accent1 2 9" xfId="120" xr:uid="{00000000-0005-0000-0000-00006B000000}"/>
    <cellStyle name="20% - Accent1 20" xfId="121" xr:uid="{00000000-0005-0000-0000-00006C000000}"/>
    <cellStyle name="20% - Accent1 20 2" xfId="122" xr:uid="{00000000-0005-0000-0000-00006D000000}"/>
    <cellStyle name="20% - Accent1 20 3" xfId="123" xr:uid="{00000000-0005-0000-0000-00006E000000}"/>
    <cellStyle name="20% - Accent1 20 4" xfId="124" xr:uid="{00000000-0005-0000-0000-00006F000000}"/>
    <cellStyle name="20% - Accent1 20 5" xfId="125" xr:uid="{00000000-0005-0000-0000-000070000000}"/>
    <cellStyle name="20% - Accent1 20 6" xfId="126" xr:uid="{00000000-0005-0000-0000-000071000000}"/>
    <cellStyle name="20% - Accent1 20 7" xfId="127" xr:uid="{00000000-0005-0000-0000-000072000000}"/>
    <cellStyle name="20% - Accent1 20 8" xfId="128" xr:uid="{00000000-0005-0000-0000-000073000000}"/>
    <cellStyle name="20% - Accent1 21" xfId="129" xr:uid="{00000000-0005-0000-0000-000074000000}"/>
    <cellStyle name="20% - Accent1 21 2" xfId="130" xr:uid="{00000000-0005-0000-0000-000075000000}"/>
    <cellStyle name="20% - Accent1 21 3" xfId="131" xr:uid="{00000000-0005-0000-0000-000076000000}"/>
    <cellStyle name="20% - Accent1 21 4" xfId="132" xr:uid="{00000000-0005-0000-0000-000077000000}"/>
    <cellStyle name="20% - Accent1 21 5" xfId="133" xr:uid="{00000000-0005-0000-0000-000078000000}"/>
    <cellStyle name="20% - Accent1 21 6" xfId="134" xr:uid="{00000000-0005-0000-0000-000079000000}"/>
    <cellStyle name="20% - Accent1 21 7" xfId="135" xr:uid="{00000000-0005-0000-0000-00007A000000}"/>
    <cellStyle name="20% - Accent1 21 8" xfId="136" xr:uid="{00000000-0005-0000-0000-00007B000000}"/>
    <cellStyle name="20% - Accent1 22" xfId="137" xr:uid="{00000000-0005-0000-0000-00007C000000}"/>
    <cellStyle name="20% - Accent1 22 2" xfId="138" xr:uid="{00000000-0005-0000-0000-00007D000000}"/>
    <cellStyle name="20% - Accent1 22 3" xfId="139" xr:uid="{00000000-0005-0000-0000-00007E000000}"/>
    <cellStyle name="20% - Accent1 22 4" xfId="140" xr:uid="{00000000-0005-0000-0000-00007F000000}"/>
    <cellStyle name="20% - Accent1 22 5" xfId="141" xr:uid="{00000000-0005-0000-0000-000080000000}"/>
    <cellStyle name="20% - Accent1 22 6" xfId="142" xr:uid="{00000000-0005-0000-0000-000081000000}"/>
    <cellStyle name="20% - Accent1 22 7" xfId="143" xr:uid="{00000000-0005-0000-0000-000082000000}"/>
    <cellStyle name="20% - Accent1 22 8" xfId="144" xr:uid="{00000000-0005-0000-0000-000083000000}"/>
    <cellStyle name="20% - Accent1 23" xfId="145" xr:uid="{00000000-0005-0000-0000-000084000000}"/>
    <cellStyle name="20% - Accent1 23 2" xfId="146" xr:uid="{00000000-0005-0000-0000-000085000000}"/>
    <cellStyle name="20% - Accent1 23 3" xfId="147" xr:uid="{00000000-0005-0000-0000-000086000000}"/>
    <cellStyle name="20% - Accent1 23 4" xfId="148" xr:uid="{00000000-0005-0000-0000-000087000000}"/>
    <cellStyle name="20% - Accent1 23 5" xfId="149" xr:uid="{00000000-0005-0000-0000-000088000000}"/>
    <cellStyle name="20% - Accent1 23 6" xfId="150" xr:uid="{00000000-0005-0000-0000-000089000000}"/>
    <cellStyle name="20% - Accent1 23 7" xfId="151" xr:uid="{00000000-0005-0000-0000-00008A000000}"/>
    <cellStyle name="20% - Accent1 23 8" xfId="152" xr:uid="{00000000-0005-0000-0000-00008B000000}"/>
    <cellStyle name="20% - Accent1 24" xfId="153" xr:uid="{00000000-0005-0000-0000-00008C000000}"/>
    <cellStyle name="20% - Accent1 24 2" xfId="154" xr:uid="{00000000-0005-0000-0000-00008D000000}"/>
    <cellStyle name="20% - Accent1 24 3" xfId="155" xr:uid="{00000000-0005-0000-0000-00008E000000}"/>
    <cellStyle name="20% - Accent1 24 4" xfId="156" xr:uid="{00000000-0005-0000-0000-00008F000000}"/>
    <cellStyle name="20% - Accent1 24 5" xfId="157" xr:uid="{00000000-0005-0000-0000-000090000000}"/>
    <cellStyle name="20% - Accent1 24 6" xfId="158" xr:uid="{00000000-0005-0000-0000-000091000000}"/>
    <cellStyle name="20% - Accent1 24 7" xfId="159" xr:uid="{00000000-0005-0000-0000-000092000000}"/>
    <cellStyle name="20% - Accent1 24 8" xfId="160" xr:uid="{00000000-0005-0000-0000-000093000000}"/>
    <cellStyle name="20% - Accent1 25" xfId="161" xr:uid="{00000000-0005-0000-0000-000094000000}"/>
    <cellStyle name="20% - Accent1 25 2" xfId="162" xr:uid="{00000000-0005-0000-0000-000095000000}"/>
    <cellStyle name="20% - Accent1 25 3" xfId="163" xr:uid="{00000000-0005-0000-0000-000096000000}"/>
    <cellStyle name="20% - Accent1 25 4" xfId="164" xr:uid="{00000000-0005-0000-0000-000097000000}"/>
    <cellStyle name="20% - Accent1 25 5" xfId="165" xr:uid="{00000000-0005-0000-0000-000098000000}"/>
    <cellStyle name="20% - Accent1 25 6" xfId="166" xr:uid="{00000000-0005-0000-0000-000099000000}"/>
    <cellStyle name="20% - Accent1 25 7" xfId="167" xr:uid="{00000000-0005-0000-0000-00009A000000}"/>
    <cellStyle name="20% - Accent1 25 8" xfId="168" xr:uid="{00000000-0005-0000-0000-00009B000000}"/>
    <cellStyle name="20% - Accent1 26" xfId="169" xr:uid="{00000000-0005-0000-0000-00009C000000}"/>
    <cellStyle name="20% - Accent1 26 2" xfId="170" xr:uid="{00000000-0005-0000-0000-00009D000000}"/>
    <cellStyle name="20% - Accent1 26 3" xfId="171" xr:uid="{00000000-0005-0000-0000-00009E000000}"/>
    <cellStyle name="20% - Accent1 26 4" xfId="172" xr:uid="{00000000-0005-0000-0000-00009F000000}"/>
    <cellStyle name="20% - Accent1 26 5" xfId="173" xr:uid="{00000000-0005-0000-0000-0000A0000000}"/>
    <cellStyle name="20% - Accent1 26 6" xfId="174" xr:uid="{00000000-0005-0000-0000-0000A1000000}"/>
    <cellStyle name="20% - Accent1 26 7" xfId="175" xr:uid="{00000000-0005-0000-0000-0000A2000000}"/>
    <cellStyle name="20% - Accent1 26 8" xfId="176" xr:uid="{00000000-0005-0000-0000-0000A3000000}"/>
    <cellStyle name="20% - Accent1 27" xfId="177" xr:uid="{00000000-0005-0000-0000-0000A4000000}"/>
    <cellStyle name="20% - Accent1 27 2" xfId="178" xr:uid="{00000000-0005-0000-0000-0000A5000000}"/>
    <cellStyle name="20% - Accent1 27 3" xfId="179" xr:uid="{00000000-0005-0000-0000-0000A6000000}"/>
    <cellStyle name="20% - Accent1 27 4" xfId="180" xr:uid="{00000000-0005-0000-0000-0000A7000000}"/>
    <cellStyle name="20% - Accent1 27 5" xfId="181" xr:uid="{00000000-0005-0000-0000-0000A8000000}"/>
    <cellStyle name="20% - Accent1 27 6" xfId="182" xr:uid="{00000000-0005-0000-0000-0000A9000000}"/>
    <cellStyle name="20% - Accent1 27 7" xfId="183" xr:uid="{00000000-0005-0000-0000-0000AA000000}"/>
    <cellStyle name="20% - Accent1 27 8" xfId="184" xr:uid="{00000000-0005-0000-0000-0000AB000000}"/>
    <cellStyle name="20% - Accent1 28" xfId="185" xr:uid="{00000000-0005-0000-0000-0000AC000000}"/>
    <cellStyle name="20% - Accent1 28 2" xfId="186" xr:uid="{00000000-0005-0000-0000-0000AD000000}"/>
    <cellStyle name="20% - Accent1 28 3" xfId="187" xr:uid="{00000000-0005-0000-0000-0000AE000000}"/>
    <cellStyle name="20% - Accent1 28 4" xfId="188" xr:uid="{00000000-0005-0000-0000-0000AF000000}"/>
    <cellStyle name="20% - Accent1 28 5" xfId="189" xr:uid="{00000000-0005-0000-0000-0000B0000000}"/>
    <cellStyle name="20% - Accent1 28 6" xfId="190" xr:uid="{00000000-0005-0000-0000-0000B1000000}"/>
    <cellStyle name="20% - Accent1 28 7" xfId="191" xr:uid="{00000000-0005-0000-0000-0000B2000000}"/>
    <cellStyle name="20% - Accent1 28 8" xfId="192" xr:uid="{00000000-0005-0000-0000-0000B3000000}"/>
    <cellStyle name="20% - Accent1 29" xfId="193" xr:uid="{00000000-0005-0000-0000-0000B4000000}"/>
    <cellStyle name="20% - Accent1 29 2" xfId="194" xr:uid="{00000000-0005-0000-0000-0000B5000000}"/>
    <cellStyle name="20% - Accent1 29 3" xfId="195" xr:uid="{00000000-0005-0000-0000-0000B6000000}"/>
    <cellStyle name="20% - Accent1 29 4" xfId="196" xr:uid="{00000000-0005-0000-0000-0000B7000000}"/>
    <cellStyle name="20% - Accent1 29 5" xfId="197" xr:uid="{00000000-0005-0000-0000-0000B8000000}"/>
    <cellStyle name="20% - Accent1 29 6" xfId="198" xr:uid="{00000000-0005-0000-0000-0000B9000000}"/>
    <cellStyle name="20% - Accent1 29 7" xfId="199" xr:uid="{00000000-0005-0000-0000-0000BA000000}"/>
    <cellStyle name="20% - Accent1 29 8" xfId="200" xr:uid="{00000000-0005-0000-0000-0000BB000000}"/>
    <cellStyle name="20% - Accent1 3" xfId="201" xr:uid="{00000000-0005-0000-0000-0000BC000000}"/>
    <cellStyle name="20% - Accent1 3 10" xfId="202" xr:uid="{00000000-0005-0000-0000-0000BD000000}"/>
    <cellStyle name="20% - Accent1 3 11" xfId="21924" xr:uid="{00000000-0005-0000-0000-0000BE000000}"/>
    <cellStyle name="20% - Accent1 3 2" xfId="203" xr:uid="{00000000-0005-0000-0000-0000BF000000}"/>
    <cellStyle name="20% - Accent1 3 2 2" xfId="21925" xr:uid="{00000000-0005-0000-0000-0000C0000000}"/>
    <cellStyle name="20% - Accent1 3 3" xfId="204" xr:uid="{00000000-0005-0000-0000-0000C1000000}"/>
    <cellStyle name="20% - Accent1 3 4" xfId="205" xr:uid="{00000000-0005-0000-0000-0000C2000000}"/>
    <cellStyle name="20% - Accent1 3 5" xfId="206" xr:uid="{00000000-0005-0000-0000-0000C3000000}"/>
    <cellStyle name="20% - Accent1 3 6" xfId="207" xr:uid="{00000000-0005-0000-0000-0000C4000000}"/>
    <cellStyle name="20% - Accent1 3 7" xfId="208" xr:uid="{00000000-0005-0000-0000-0000C5000000}"/>
    <cellStyle name="20% - Accent1 3 8" xfId="209" xr:uid="{00000000-0005-0000-0000-0000C6000000}"/>
    <cellStyle name="20% - Accent1 3 9" xfId="210" xr:uid="{00000000-0005-0000-0000-0000C7000000}"/>
    <cellStyle name="20% - Accent1 30" xfId="211" xr:uid="{00000000-0005-0000-0000-0000C8000000}"/>
    <cellStyle name="20% - Accent1 31" xfId="212" xr:uid="{00000000-0005-0000-0000-0000C9000000}"/>
    <cellStyle name="20% - Accent1 32" xfId="213" xr:uid="{00000000-0005-0000-0000-0000CA000000}"/>
    <cellStyle name="20% - Accent1 33" xfId="214" xr:uid="{00000000-0005-0000-0000-0000CB000000}"/>
    <cellStyle name="20% - Accent1 34" xfId="215" xr:uid="{00000000-0005-0000-0000-0000CC000000}"/>
    <cellStyle name="20% - Accent1 35" xfId="216" xr:uid="{00000000-0005-0000-0000-0000CD000000}"/>
    <cellStyle name="20% - Accent1 36" xfId="217" xr:uid="{00000000-0005-0000-0000-0000CE000000}"/>
    <cellStyle name="20% - Accent1 37" xfId="218" xr:uid="{00000000-0005-0000-0000-0000CF000000}"/>
    <cellStyle name="20% - Accent1 38" xfId="219" xr:uid="{00000000-0005-0000-0000-0000D0000000}"/>
    <cellStyle name="20% - Accent1 39" xfId="220" xr:uid="{00000000-0005-0000-0000-0000D1000000}"/>
    <cellStyle name="20% - Accent1 4" xfId="221" xr:uid="{00000000-0005-0000-0000-0000D2000000}"/>
    <cellStyle name="20% - Accent1 4 10" xfId="222" xr:uid="{00000000-0005-0000-0000-0000D3000000}"/>
    <cellStyle name="20% - Accent1 4 11" xfId="21926" xr:uid="{00000000-0005-0000-0000-0000D4000000}"/>
    <cellStyle name="20% - Accent1 4 2" xfId="223" xr:uid="{00000000-0005-0000-0000-0000D5000000}"/>
    <cellStyle name="20% - Accent1 4 2 2" xfId="21927" xr:uid="{00000000-0005-0000-0000-0000D6000000}"/>
    <cellStyle name="20% - Accent1 4 3" xfId="224" xr:uid="{00000000-0005-0000-0000-0000D7000000}"/>
    <cellStyle name="20% - Accent1 4 4" xfId="225" xr:uid="{00000000-0005-0000-0000-0000D8000000}"/>
    <cellStyle name="20% - Accent1 4 5" xfId="226" xr:uid="{00000000-0005-0000-0000-0000D9000000}"/>
    <cellStyle name="20% - Accent1 4 6" xfId="227" xr:uid="{00000000-0005-0000-0000-0000DA000000}"/>
    <cellStyle name="20% - Accent1 4 7" xfId="228" xr:uid="{00000000-0005-0000-0000-0000DB000000}"/>
    <cellStyle name="20% - Accent1 4 8" xfId="229" xr:uid="{00000000-0005-0000-0000-0000DC000000}"/>
    <cellStyle name="20% - Accent1 4 9" xfId="230" xr:uid="{00000000-0005-0000-0000-0000DD000000}"/>
    <cellStyle name="20% - Accent1 40" xfId="21674" xr:uid="{00000000-0005-0000-0000-0000DE000000}"/>
    <cellStyle name="20% - Accent1 5" xfId="231" xr:uid="{00000000-0005-0000-0000-0000DF000000}"/>
    <cellStyle name="20% - Accent1 5 10" xfId="232" xr:uid="{00000000-0005-0000-0000-0000E0000000}"/>
    <cellStyle name="20% - Accent1 5 11" xfId="21928" xr:uid="{00000000-0005-0000-0000-0000E1000000}"/>
    <cellStyle name="20% - Accent1 5 2" xfId="233" xr:uid="{00000000-0005-0000-0000-0000E2000000}"/>
    <cellStyle name="20% - Accent1 5 2 2" xfId="21929" xr:uid="{00000000-0005-0000-0000-0000E3000000}"/>
    <cellStyle name="20% - Accent1 5 3" xfId="234" xr:uid="{00000000-0005-0000-0000-0000E4000000}"/>
    <cellStyle name="20% - Accent1 5 4" xfId="235" xr:uid="{00000000-0005-0000-0000-0000E5000000}"/>
    <cellStyle name="20% - Accent1 5 5" xfId="236" xr:uid="{00000000-0005-0000-0000-0000E6000000}"/>
    <cellStyle name="20% - Accent1 5 6" xfId="237" xr:uid="{00000000-0005-0000-0000-0000E7000000}"/>
    <cellStyle name="20% - Accent1 5 7" xfId="238" xr:uid="{00000000-0005-0000-0000-0000E8000000}"/>
    <cellStyle name="20% - Accent1 5 8" xfId="239" xr:uid="{00000000-0005-0000-0000-0000E9000000}"/>
    <cellStyle name="20% - Accent1 5 9" xfId="240" xr:uid="{00000000-0005-0000-0000-0000EA000000}"/>
    <cellStyle name="20% - Accent1 6" xfId="241" xr:uid="{00000000-0005-0000-0000-0000EB000000}"/>
    <cellStyle name="20% - Accent1 6 10" xfId="242" xr:uid="{00000000-0005-0000-0000-0000EC000000}"/>
    <cellStyle name="20% - Accent1 6 2" xfId="243" xr:uid="{00000000-0005-0000-0000-0000ED000000}"/>
    <cellStyle name="20% - Accent1 6 3" xfId="244" xr:uid="{00000000-0005-0000-0000-0000EE000000}"/>
    <cellStyle name="20% - Accent1 6 4" xfId="245" xr:uid="{00000000-0005-0000-0000-0000EF000000}"/>
    <cellStyle name="20% - Accent1 6 5" xfId="246" xr:uid="{00000000-0005-0000-0000-0000F0000000}"/>
    <cellStyle name="20% - Accent1 6 6" xfId="247" xr:uid="{00000000-0005-0000-0000-0000F1000000}"/>
    <cellStyle name="20% - Accent1 6 7" xfId="248" xr:uid="{00000000-0005-0000-0000-0000F2000000}"/>
    <cellStyle name="20% - Accent1 6 8" xfId="249" xr:uid="{00000000-0005-0000-0000-0000F3000000}"/>
    <cellStyle name="20% - Accent1 6 9" xfId="250" xr:uid="{00000000-0005-0000-0000-0000F4000000}"/>
    <cellStyle name="20% - Accent1 7" xfId="251" xr:uid="{00000000-0005-0000-0000-0000F5000000}"/>
    <cellStyle name="20% - Accent1 7 10" xfId="252" xr:uid="{00000000-0005-0000-0000-0000F6000000}"/>
    <cellStyle name="20% - Accent1 7 2" xfId="253" xr:uid="{00000000-0005-0000-0000-0000F7000000}"/>
    <cellStyle name="20% - Accent1 7 3" xfId="254" xr:uid="{00000000-0005-0000-0000-0000F8000000}"/>
    <cellStyle name="20% - Accent1 7 4" xfId="255" xr:uid="{00000000-0005-0000-0000-0000F9000000}"/>
    <cellStyle name="20% - Accent1 7 5" xfId="256" xr:uid="{00000000-0005-0000-0000-0000FA000000}"/>
    <cellStyle name="20% - Accent1 7 6" xfId="257" xr:uid="{00000000-0005-0000-0000-0000FB000000}"/>
    <cellStyle name="20% - Accent1 7 7" xfId="258" xr:uid="{00000000-0005-0000-0000-0000FC000000}"/>
    <cellStyle name="20% - Accent1 7 8" xfId="259" xr:uid="{00000000-0005-0000-0000-0000FD000000}"/>
    <cellStyle name="20% - Accent1 7 9" xfId="260" xr:uid="{00000000-0005-0000-0000-0000FE000000}"/>
    <cellStyle name="20% - Accent1 8" xfId="261" xr:uid="{00000000-0005-0000-0000-0000FF000000}"/>
    <cellStyle name="20% - Accent1 8 10" xfId="262" xr:uid="{00000000-0005-0000-0000-000000010000}"/>
    <cellStyle name="20% - Accent1 8 2" xfId="263" xr:uid="{00000000-0005-0000-0000-000001010000}"/>
    <cellStyle name="20% - Accent1 8 3" xfId="264" xr:uid="{00000000-0005-0000-0000-000002010000}"/>
    <cellStyle name="20% - Accent1 8 4" xfId="265" xr:uid="{00000000-0005-0000-0000-000003010000}"/>
    <cellStyle name="20% - Accent1 8 5" xfId="266" xr:uid="{00000000-0005-0000-0000-000004010000}"/>
    <cellStyle name="20% - Accent1 8 6" xfId="267" xr:uid="{00000000-0005-0000-0000-000005010000}"/>
    <cellStyle name="20% - Accent1 8 7" xfId="268" xr:uid="{00000000-0005-0000-0000-000006010000}"/>
    <cellStyle name="20% - Accent1 8 8" xfId="269" xr:uid="{00000000-0005-0000-0000-000007010000}"/>
    <cellStyle name="20% - Accent1 8 9" xfId="270" xr:uid="{00000000-0005-0000-0000-000008010000}"/>
    <cellStyle name="20% - Accent1 9" xfId="271" xr:uid="{00000000-0005-0000-0000-000009010000}"/>
    <cellStyle name="20% - Accent1 9 10" xfId="272" xr:uid="{00000000-0005-0000-0000-00000A010000}"/>
    <cellStyle name="20% - Accent1 9 2" xfId="273" xr:uid="{00000000-0005-0000-0000-00000B010000}"/>
    <cellStyle name="20% - Accent1 9 3" xfId="274" xr:uid="{00000000-0005-0000-0000-00000C010000}"/>
    <cellStyle name="20% - Accent1 9 4" xfId="275" xr:uid="{00000000-0005-0000-0000-00000D010000}"/>
    <cellStyle name="20% - Accent1 9 5" xfId="276" xr:uid="{00000000-0005-0000-0000-00000E010000}"/>
    <cellStyle name="20% - Accent1 9 6" xfId="277" xr:uid="{00000000-0005-0000-0000-00000F010000}"/>
    <cellStyle name="20% - Accent1 9 7" xfId="278" xr:uid="{00000000-0005-0000-0000-000010010000}"/>
    <cellStyle name="20% - Accent1 9 8" xfId="279" xr:uid="{00000000-0005-0000-0000-000011010000}"/>
    <cellStyle name="20% - Accent1 9 9" xfId="280" xr:uid="{00000000-0005-0000-0000-000012010000}"/>
    <cellStyle name="20% - Accent2 10" xfId="281" xr:uid="{00000000-0005-0000-0000-000013010000}"/>
    <cellStyle name="20% - Accent2 10 10" xfId="282" xr:uid="{00000000-0005-0000-0000-000014010000}"/>
    <cellStyle name="20% - Accent2 10 2" xfId="283" xr:uid="{00000000-0005-0000-0000-000015010000}"/>
    <cellStyle name="20% - Accent2 10 3" xfId="284" xr:uid="{00000000-0005-0000-0000-000016010000}"/>
    <cellStyle name="20% - Accent2 10 4" xfId="285" xr:uid="{00000000-0005-0000-0000-000017010000}"/>
    <cellStyle name="20% - Accent2 10 5" xfId="286" xr:uid="{00000000-0005-0000-0000-000018010000}"/>
    <cellStyle name="20% - Accent2 10 6" xfId="287" xr:uid="{00000000-0005-0000-0000-000019010000}"/>
    <cellStyle name="20% - Accent2 10 7" xfId="288" xr:uid="{00000000-0005-0000-0000-00001A010000}"/>
    <cellStyle name="20% - Accent2 10 8" xfId="289" xr:uid="{00000000-0005-0000-0000-00001B010000}"/>
    <cellStyle name="20% - Accent2 10 9" xfId="290" xr:uid="{00000000-0005-0000-0000-00001C010000}"/>
    <cellStyle name="20% - Accent2 11" xfId="291" xr:uid="{00000000-0005-0000-0000-00001D010000}"/>
    <cellStyle name="20% - Accent2 11 10" xfId="292" xr:uid="{00000000-0005-0000-0000-00001E010000}"/>
    <cellStyle name="20% - Accent2 11 2" xfId="293" xr:uid="{00000000-0005-0000-0000-00001F010000}"/>
    <cellStyle name="20% - Accent2 11 3" xfId="294" xr:uid="{00000000-0005-0000-0000-000020010000}"/>
    <cellStyle name="20% - Accent2 11 4" xfId="295" xr:uid="{00000000-0005-0000-0000-000021010000}"/>
    <cellStyle name="20% - Accent2 11 5" xfId="296" xr:uid="{00000000-0005-0000-0000-000022010000}"/>
    <cellStyle name="20% - Accent2 11 6" xfId="297" xr:uid="{00000000-0005-0000-0000-000023010000}"/>
    <cellStyle name="20% - Accent2 11 7" xfId="298" xr:uid="{00000000-0005-0000-0000-000024010000}"/>
    <cellStyle name="20% - Accent2 11 8" xfId="299" xr:uid="{00000000-0005-0000-0000-000025010000}"/>
    <cellStyle name="20% - Accent2 11 9" xfId="300" xr:uid="{00000000-0005-0000-0000-000026010000}"/>
    <cellStyle name="20% - Accent2 12" xfId="301" xr:uid="{00000000-0005-0000-0000-000027010000}"/>
    <cellStyle name="20% - Accent2 12 10" xfId="302" xr:uid="{00000000-0005-0000-0000-000028010000}"/>
    <cellStyle name="20% - Accent2 12 2" xfId="303" xr:uid="{00000000-0005-0000-0000-000029010000}"/>
    <cellStyle name="20% - Accent2 12 3" xfId="304" xr:uid="{00000000-0005-0000-0000-00002A010000}"/>
    <cellStyle name="20% - Accent2 12 4" xfId="305" xr:uid="{00000000-0005-0000-0000-00002B010000}"/>
    <cellStyle name="20% - Accent2 12 5" xfId="306" xr:uid="{00000000-0005-0000-0000-00002C010000}"/>
    <cellStyle name="20% - Accent2 12 6" xfId="307" xr:uid="{00000000-0005-0000-0000-00002D010000}"/>
    <cellStyle name="20% - Accent2 12 7" xfId="308" xr:uid="{00000000-0005-0000-0000-00002E010000}"/>
    <cellStyle name="20% - Accent2 12 8" xfId="309" xr:uid="{00000000-0005-0000-0000-00002F010000}"/>
    <cellStyle name="20% - Accent2 12 9" xfId="310" xr:uid="{00000000-0005-0000-0000-000030010000}"/>
    <cellStyle name="20% - Accent2 13" xfId="311" xr:uid="{00000000-0005-0000-0000-000031010000}"/>
    <cellStyle name="20% - Accent2 13 10" xfId="312" xr:uid="{00000000-0005-0000-0000-000032010000}"/>
    <cellStyle name="20% - Accent2 13 2" xfId="313" xr:uid="{00000000-0005-0000-0000-000033010000}"/>
    <cellStyle name="20% - Accent2 13 3" xfId="314" xr:uid="{00000000-0005-0000-0000-000034010000}"/>
    <cellStyle name="20% - Accent2 13 4" xfId="315" xr:uid="{00000000-0005-0000-0000-000035010000}"/>
    <cellStyle name="20% - Accent2 13 5" xfId="316" xr:uid="{00000000-0005-0000-0000-000036010000}"/>
    <cellStyle name="20% - Accent2 13 6" xfId="317" xr:uid="{00000000-0005-0000-0000-000037010000}"/>
    <cellStyle name="20% - Accent2 13 7" xfId="318" xr:uid="{00000000-0005-0000-0000-000038010000}"/>
    <cellStyle name="20% - Accent2 13 8" xfId="319" xr:uid="{00000000-0005-0000-0000-000039010000}"/>
    <cellStyle name="20% - Accent2 13 9" xfId="320" xr:uid="{00000000-0005-0000-0000-00003A010000}"/>
    <cellStyle name="20% - Accent2 14" xfId="321" xr:uid="{00000000-0005-0000-0000-00003B010000}"/>
    <cellStyle name="20% - Accent2 14 10" xfId="322" xr:uid="{00000000-0005-0000-0000-00003C010000}"/>
    <cellStyle name="20% - Accent2 14 2" xfId="323" xr:uid="{00000000-0005-0000-0000-00003D010000}"/>
    <cellStyle name="20% - Accent2 14 3" xfId="324" xr:uid="{00000000-0005-0000-0000-00003E010000}"/>
    <cellStyle name="20% - Accent2 14 4" xfId="325" xr:uid="{00000000-0005-0000-0000-00003F010000}"/>
    <cellStyle name="20% - Accent2 14 5" xfId="326" xr:uid="{00000000-0005-0000-0000-000040010000}"/>
    <cellStyle name="20% - Accent2 14 6" xfId="327" xr:uid="{00000000-0005-0000-0000-000041010000}"/>
    <cellStyle name="20% - Accent2 14 7" xfId="328" xr:uid="{00000000-0005-0000-0000-000042010000}"/>
    <cellStyle name="20% - Accent2 14 8" xfId="329" xr:uid="{00000000-0005-0000-0000-000043010000}"/>
    <cellStyle name="20% - Accent2 14 9" xfId="330" xr:uid="{00000000-0005-0000-0000-000044010000}"/>
    <cellStyle name="20% - Accent2 15" xfId="331" xr:uid="{00000000-0005-0000-0000-000045010000}"/>
    <cellStyle name="20% - Accent2 15 10" xfId="332" xr:uid="{00000000-0005-0000-0000-000046010000}"/>
    <cellStyle name="20% - Accent2 15 2" xfId="333" xr:uid="{00000000-0005-0000-0000-000047010000}"/>
    <cellStyle name="20% - Accent2 15 3" xfId="334" xr:uid="{00000000-0005-0000-0000-000048010000}"/>
    <cellStyle name="20% - Accent2 15 4" xfId="335" xr:uid="{00000000-0005-0000-0000-000049010000}"/>
    <cellStyle name="20% - Accent2 15 5" xfId="336" xr:uid="{00000000-0005-0000-0000-00004A010000}"/>
    <cellStyle name="20% - Accent2 15 6" xfId="337" xr:uid="{00000000-0005-0000-0000-00004B010000}"/>
    <cellStyle name="20% - Accent2 15 7" xfId="338" xr:uid="{00000000-0005-0000-0000-00004C010000}"/>
    <cellStyle name="20% - Accent2 15 8" xfId="339" xr:uid="{00000000-0005-0000-0000-00004D010000}"/>
    <cellStyle name="20% - Accent2 15 9" xfId="340" xr:uid="{00000000-0005-0000-0000-00004E010000}"/>
    <cellStyle name="20% - Accent2 16" xfId="341" xr:uid="{00000000-0005-0000-0000-00004F010000}"/>
    <cellStyle name="20% - Accent2 16 10" xfId="342" xr:uid="{00000000-0005-0000-0000-000050010000}"/>
    <cellStyle name="20% - Accent2 16 2" xfId="343" xr:uid="{00000000-0005-0000-0000-000051010000}"/>
    <cellStyle name="20% - Accent2 16 3" xfId="344" xr:uid="{00000000-0005-0000-0000-000052010000}"/>
    <cellStyle name="20% - Accent2 16 4" xfId="345" xr:uid="{00000000-0005-0000-0000-000053010000}"/>
    <cellStyle name="20% - Accent2 16 5" xfId="346" xr:uid="{00000000-0005-0000-0000-000054010000}"/>
    <cellStyle name="20% - Accent2 16 6" xfId="347" xr:uid="{00000000-0005-0000-0000-000055010000}"/>
    <cellStyle name="20% - Accent2 16 7" xfId="348" xr:uid="{00000000-0005-0000-0000-000056010000}"/>
    <cellStyle name="20% - Accent2 16 8" xfId="349" xr:uid="{00000000-0005-0000-0000-000057010000}"/>
    <cellStyle name="20% - Accent2 16 9" xfId="350" xr:uid="{00000000-0005-0000-0000-000058010000}"/>
    <cellStyle name="20% - Accent2 17" xfId="351" xr:uid="{00000000-0005-0000-0000-000059010000}"/>
    <cellStyle name="20% - Accent2 17 10" xfId="352" xr:uid="{00000000-0005-0000-0000-00005A010000}"/>
    <cellStyle name="20% - Accent2 17 2" xfId="353" xr:uid="{00000000-0005-0000-0000-00005B010000}"/>
    <cellStyle name="20% - Accent2 17 3" xfId="354" xr:uid="{00000000-0005-0000-0000-00005C010000}"/>
    <cellStyle name="20% - Accent2 17 4" xfId="355" xr:uid="{00000000-0005-0000-0000-00005D010000}"/>
    <cellStyle name="20% - Accent2 17 5" xfId="356" xr:uid="{00000000-0005-0000-0000-00005E010000}"/>
    <cellStyle name="20% - Accent2 17 6" xfId="357" xr:uid="{00000000-0005-0000-0000-00005F010000}"/>
    <cellStyle name="20% - Accent2 17 7" xfId="358" xr:uid="{00000000-0005-0000-0000-000060010000}"/>
    <cellStyle name="20% - Accent2 17 8" xfId="359" xr:uid="{00000000-0005-0000-0000-000061010000}"/>
    <cellStyle name="20% - Accent2 17 9" xfId="360" xr:uid="{00000000-0005-0000-0000-000062010000}"/>
    <cellStyle name="20% - Accent2 18" xfId="361" xr:uid="{00000000-0005-0000-0000-000063010000}"/>
    <cellStyle name="20% - Accent2 18 2" xfId="362" xr:uid="{00000000-0005-0000-0000-000064010000}"/>
    <cellStyle name="20% - Accent2 18 3" xfId="363" xr:uid="{00000000-0005-0000-0000-000065010000}"/>
    <cellStyle name="20% - Accent2 18 4" xfId="364" xr:uid="{00000000-0005-0000-0000-000066010000}"/>
    <cellStyle name="20% - Accent2 18 5" xfId="365" xr:uid="{00000000-0005-0000-0000-000067010000}"/>
    <cellStyle name="20% - Accent2 18 6" xfId="366" xr:uid="{00000000-0005-0000-0000-000068010000}"/>
    <cellStyle name="20% - Accent2 18 7" xfId="367" xr:uid="{00000000-0005-0000-0000-000069010000}"/>
    <cellStyle name="20% - Accent2 18 8" xfId="368" xr:uid="{00000000-0005-0000-0000-00006A010000}"/>
    <cellStyle name="20% - Accent2 19" xfId="369" xr:uid="{00000000-0005-0000-0000-00006B010000}"/>
    <cellStyle name="20% - Accent2 19 2" xfId="370" xr:uid="{00000000-0005-0000-0000-00006C010000}"/>
    <cellStyle name="20% - Accent2 19 3" xfId="371" xr:uid="{00000000-0005-0000-0000-00006D010000}"/>
    <cellStyle name="20% - Accent2 19 4" xfId="372" xr:uid="{00000000-0005-0000-0000-00006E010000}"/>
    <cellStyle name="20% - Accent2 19 5" xfId="373" xr:uid="{00000000-0005-0000-0000-00006F010000}"/>
    <cellStyle name="20% - Accent2 19 6" xfId="374" xr:uid="{00000000-0005-0000-0000-000070010000}"/>
    <cellStyle name="20% - Accent2 19 7" xfId="375" xr:uid="{00000000-0005-0000-0000-000071010000}"/>
    <cellStyle name="20% - Accent2 19 8" xfId="376" xr:uid="{00000000-0005-0000-0000-000072010000}"/>
    <cellStyle name="20% - Accent2 2" xfId="377" xr:uid="{00000000-0005-0000-0000-000073010000}"/>
    <cellStyle name="20% - Accent2 2 10" xfId="378" xr:uid="{00000000-0005-0000-0000-000074010000}"/>
    <cellStyle name="20% - Accent2 2 11" xfId="21675" xr:uid="{00000000-0005-0000-0000-000075010000}"/>
    <cellStyle name="20% - Accent2 2 2" xfId="379" xr:uid="{00000000-0005-0000-0000-000076010000}"/>
    <cellStyle name="20% - Accent2 2 2 2" xfId="21930" xr:uid="{00000000-0005-0000-0000-000077010000}"/>
    <cellStyle name="20% - Accent2 2 3" xfId="380" xr:uid="{00000000-0005-0000-0000-000078010000}"/>
    <cellStyle name="20% - Accent2 2 4" xfId="381" xr:uid="{00000000-0005-0000-0000-000079010000}"/>
    <cellStyle name="20% - Accent2 2 5" xfId="382" xr:uid="{00000000-0005-0000-0000-00007A010000}"/>
    <cellStyle name="20% - Accent2 2 6" xfId="383" xr:uid="{00000000-0005-0000-0000-00007B010000}"/>
    <cellStyle name="20% - Accent2 2 7" xfId="384" xr:uid="{00000000-0005-0000-0000-00007C010000}"/>
    <cellStyle name="20% - Accent2 2 8" xfId="385" xr:uid="{00000000-0005-0000-0000-00007D010000}"/>
    <cellStyle name="20% - Accent2 2 9" xfId="386" xr:uid="{00000000-0005-0000-0000-00007E010000}"/>
    <cellStyle name="20% - Accent2 20" xfId="387" xr:uid="{00000000-0005-0000-0000-00007F010000}"/>
    <cellStyle name="20% - Accent2 20 2" xfId="388" xr:uid="{00000000-0005-0000-0000-000080010000}"/>
    <cellStyle name="20% - Accent2 20 3" xfId="389" xr:uid="{00000000-0005-0000-0000-000081010000}"/>
    <cellStyle name="20% - Accent2 20 4" xfId="390" xr:uid="{00000000-0005-0000-0000-000082010000}"/>
    <cellStyle name="20% - Accent2 20 5" xfId="391" xr:uid="{00000000-0005-0000-0000-000083010000}"/>
    <cellStyle name="20% - Accent2 20 6" xfId="392" xr:uid="{00000000-0005-0000-0000-000084010000}"/>
    <cellStyle name="20% - Accent2 20 7" xfId="393" xr:uid="{00000000-0005-0000-0000-000085010000}"/>
    <cellStyle name="20% - Accent2 20 8" xfId="394" xr:uid="{00000000-0005-0000-0000-000086010000}"/>
    <cellStyle name="20% - Accent2 21" xfId="395" xr:uid="{00000000-0005-0000-0000-000087010000}"/>
    <cellStyle name="20% - Accent2 21 2" xfId="396" xr:uid="{00000000-0005-0000-0000-000088010000}"/>
    <cellStyle name="20% - Accent2 21 3" xfId="397" xr:uid="{00000000-0005-0000-0000-000089010000}"/>
    <cellStyle name="20% - Accent2 21 4" xfId="398" xr:uid="{00000000-0005-0000-0000-00008A010000}"/>
    <cellStyle name="20% - Accent2 21 5" xfId="399" xr:uid="{00000000-0005-0000-0000-00008B010000}"/>
    <cellStyle name="20% - Accent2 21 6" xfId="400" xr:uid="{00000000-0005-0000-0000-00008C010000}"/>
    <cellStyle name="20% - Accent2 21 7" xfId="401" xr:uid="{00000000-0005-0000-0000-00008D010000}"/>
    <cellStyle name="20% - Accent2 21 8" xfId="402" xr:uid="{00000000-0005-0000-0000-00008E010000}"/>
    <cellStyle name="20% - Accent2 22" xfId="403" xr:uid="{00000000-0005-0000-0000-00008F010000}"/>
    <cellStyle name="20% - Accent2 22 2" xfId="404" xr:uid="{00000000-0005-0000-0000-000090010000}"/>
    <cellStyle name="20% - Accent2 22 3" xfId="405" xr:uid="{00000000-0005-0000-0000-000091010000}"/>
    <cellStyle name="20% - Accent2 22 4" xfId="406" xr:uid="{00000000-0005-0000-0000-000092010000}"/>
    <cellStyle name="20% - Accent2 22 5" xfId="407" xr:uid="{00000000-0005-0000-0000-000093010000}"/>
    <cellStyle name="20% - Accent2 22 6" xfId="408" xr:uid="{00000000-0005-0000-0000-000094010000}"/>
    <cellStyle name="20% - Accent2 22 7" xfId="409" xr:uid="{00000000-0005-0000-0000-000095010000}"/>
    <cellStyle name="20% - Accent2 22 8" xfId="410" xr:uid="{00000000-0005-0000-0000-000096010000}"/>
    <cellStyle name="20% - Accent2 23" xfId="411" xr:uid="{00000000-0005-0000-0000-000097010000}"/>
    <cellStyle name="20% - Accent2 23 2" xfId="412" xr:uid="{00000000-0005-0000-0000-000098010000}"/>
    <cellStyle name="20% - Accent2 23 3" xfId="413" xr:uid="{00000000-0005-0000-0000-000099010000}"/>
    <cellStyle name="20% - Accent2 23 4" xfId="414" xr:uid="{00000000-0005-0000-0000-00009A010000}"/>
    <cellStyle name="20% - Accent2 23 5" xfId="415" xr:uid="{00000000-0005-0000-0000-00009B010000}"/>
    <cellStyle name="20% - Accent2 23 6" xfId="416" xr:uid="{00000000-0005-0000-0000-00009C010000}"/>
    <cellStyle name="20% - Accent2 23 7" xfId="417" xr:uid="{00000000-0005-0000-0000-00009D010000}"/>
    <cellStyle name="20% - Accent2 23 8" xfId="418" xr:uid="{00000000-0005-0000-0000-00009E010000}"/>
    <cellStyle name="20% - Accent2 24" xfId="419" xr:uid="{00000000-0005-0000-0000-00009F010000}"/>
    <cellStyle name="20% - Accent2 24 2" xfId="420" xr:uid="{00000000-0005-0000-0000-0000A0010000}"/>
    <cellStyle name="20% - Accent2 24 3" xfId="421" xr:uid="{00000000-0005-0000-0000-0000A1010000}"/>
    <cellStyle name="20% - Accent2 24 4" xfId="422" xr:uid="{00000000-0005-0000-0000-0000A2010000}"/>
    <cellStyle name="20% - Accent2 24 5" xfId="423" xr:uid="{00000000-0005-0000-0000-0000A3010000}"/>
    <cellStyle name="20% - Accent2 24 6" xfId="424" xr:uid="{00000000-0005-0000-0000-0000A4010000}"/>
    <cellStyle name="20% - Accent2 24 7" xfId="425" xr:uid="{00000000-0005-0000-0000-0000A5010000}"/>
    <cellStyle name="20% - Accent2 24 8" xfId="426" xr:uid="{00000000-0005-0000-0000-0000A6010000}"/>
    <cellStyle name="20% - Accent2 25" xfId="427" xr:uid="{00000000-0005-0000-0000-0000A7010000}"/>
    <cellStyle name="20% - Accent2 25 2" xfId="428" xr:uid="{00000000-0005-0000-0000-0000A8010000}"/>
    <cellStyle name="20% - Accent2 25 3" xfId="429" xr:uid="{00000000-0005-0000-0000-0000A9010000}"/>
    <cellStyle name="20% - Accent2 25 4" xfId="430" xr:uid="{00000000-0005-0000-0000-0000AA010000}"/>
    <cellStyle name="20% - Accent2 25 5" xfId="431" xr:uid="{00000000-0005-0000-0000-0000AB010000}"/>
    <cellStyle name="20% - Accent2 25 6" xfId="432" xr:uid="{00000000-0005-0000-0000-0000AC010000}"/>
    <cellStyle name="20% - Accent2 25 7" xfId="433" xr:uid="{00000000-0005-0000-0000-0000AD010000}"/>
    <cellStyle name="20% - Accent2 25 8" xfId="434" xr:uid="{00000000-0005-0000-0000-0000AE010000}"/>
    <cellStyle name="20% - Accent2 26" xfId="435" xr:uid="{00000000-0005-0000-0000-0000AF010000}"/>
    <cellStyle name="20% - Accent2 26 2" xfId="436" xr:uid="{00000000-0005-0000-0000-0000B0010000}"/>
    <cellStyle name="20% - Accent2 26 3" xfId="437" xr:uid="{00000000-0005-0000-0000-0000B1010000}"/>
    <cellStyle name="20% - Accent2 26 4" xfId="438" xr:uid="{00000000-0005-0000-0000-0000B2010000}"/>
    <cellStyle name="20% - Accent2 26 5" xfId="439" xr:uid="{00000000-0005-0000-0000-0000B3010000}"/>
    <cellStyle name="20% - Accent2 26 6" xfId="440" xr:uid="{00000000-0005-0000-0000-0000B4010000}"/>
    <cellStyle name="20% - Accent2 26 7" xfId="441" xr:uid="{00000000-0005-0000-0000-0000B5010000}"/>
    <cellStyle name="20% - Accent2 26 8" xfId="442" xr:uid="{00000000-0005-0000-0000-0000B6010000}"/>
    <cellStyle name="20% - Accent2 27" xfId="443" xr:uid="{00000000-0005-0000-0000-0000B7010000}"/>
    <cellStyle name="20% - Accent2 27 2" xfId="444" xr:uid="{00000000-0005-0000-0000-0000B8010000}"/>
    <cellStyle name="20% - Accent2 27 3" xfId="445" xr:uid="{00000000-0005-0000-0000-0000B9010000}"/>
    <cellStyle name="20% - Accent2 27 4" xfId="446" xr:uid="{00000000-0005-0000-0000-0000BA010000}"/>
    <cellStyle name="20% - Accent2 27 5" xfId="447" xr:uid="{00000000-0005-0000-0000-0000BB010000}"/>
    <cellStyle name="20% - Accent2 27 6" xfId="448" xr:uid="{00000000-0005-0000-0000-0000BC010000}"/>
    <cellStyle name="20% - Accent2 27 7" xfId="449" xr:uid="{00000000-0005-0000-0000-0000BD010000}"/>
    <cellStyle name="20% - Accent2 27 8" xfId="450" xr:uid="{00000000-0005-0000-0000-0000BE010000}"/>
    <cellStyle name="20% - Accent2 28" xfId="451" xr:uid="{00000000-0005-0000-0000-0000BF010000}"/>
    <cellStyle name="20% - Accent2 28 2" xfId="452" xr:uid="{00000000-0005-0000-0000-0000C0010000}"/>
    <cellStyle name="20% - Accent2 28 3" xfId="453" xr:uid="{00000000-0005-0000-0000-0000C1010000}"/>
    <cellStyle name="20% - Accent2 28 4" xfId="454" xr:uid="{00000000-0005-0000-0000-0000C2010000}"/>
    <cellStyle name="20% - Accent2 28 5" xfId="455" xr:uid="{00000000-0005-0000-0000-0000C3010000}"/>
    <cellStyle name="20% - Accent2 28 6" xfId="456" xr:uid="{00000000-0005-0000-0000-0000C4010000}"/>
    <cellStyle name="20% - Accent2 28 7" xfId="457" xr:uid="{00000000-0005-0000-0000-0000C5010000}"/>
    <cellStyle name="20% - Accent2 28 8" xfId="458" xr:uid="{00000000-0005-0000-0000-0000C6010000}"/>
    <cellStyle name="20% - Accent2 29" xfId="459" xr:uid="{00000000-0005-0000-0000-0000C7010000}"/>
    <cellStyle name="20% - Accent2 29 2" xfId="460" xr:uid="{00000000-0005-0000-0000-0000C8010000}"/>
    <cellStyle name="20% - Accent2 29 3" xfId="461" xr:uid="{00000000-0005-0000-0000-0000C9010000}"/>
    <cellStyle name="20% - Accent2 29 4" xfId="462" xr:uid="{00000000-0005-0000-0000-0000CA010000}"/>
    <cellStyle name="20% - Accent2 29 5" xfId="463" xr:uid="{00000000-0005-0000-0000-0000CB010000}"/>
    <cellStyle name="20% - Accent2 29 6" xfId="464" xr:uid="{00000000-0005-0000-0000-0000CC010000}"/>
    <cellStyle name="20% - Accent2 29 7" xfId="465" xr:uid="{00000000-0005-0000-0000-0000CD010000}"/>
    <cellStyle name="20% - Accent2 29 8" xfId="466" xr:uid="{00000000-0005-0000-0000-0000CE010000}"/>
    <cellStyle name="20% - Accent2 3" xfId="467" xr:uid="{00000000-0005-0000-0000-0000CF010000}"/>
    <cellStyle name="20% - Accent2 3 10" xfId="468" xr:uid="{00000000-0005-0000-0000-0000D0010000}"/>
    <cellStyle name="20% - Accent2 3 11" xfId="21931" xr:uid="{00000000-0005-0000-0000-0000D1010000}"/>
    <cellStyle name="20% - Accent2 3 2" xfId="469" xr:uid="{00000000-0005-0000-0000-0000D2010000}"/>
    <cellStyle name="20% - Accent2 3 2 2" xfId="21932" xr:uid="{00000000-0005-0000-0000-0000D3010000}"/>
    <cellStyle name="20% - Accent2 3 3" xfId="470" xr:uid="{00000000-0005-0000-0000-0000D4010000}"/>
    <cellStyle name="20% - Accent2 3 4" xfId="471" xr:uid="{00000000-0005-0000-0000-0000D5010000}"/>
    <cellStyle name="20% - Accent2 3 5" xfId="472" xr:uid="{00000000-0005-0000-0000-0000D6010000}"/>
    <cellStyle name="20% - Accent2 3 6" xfId="473" xr:uid="{00000000-0005-0000-0000-0000D7010000}"/>
    <cellStyle name="20% - Accent2 3 7" xfId="474" xr:uid="{00000000-0005-0000-0000-0000D8010000}"/>
    <cellStyle name="20% - Accent2 3 8" xfId="475" xr:uid="{00000000-0005-0000-0000-0000D9010000}"/>
    <cellStyle name="20% - Accent2 3 9" xfId="476" xr:uid="{00000000-0005-0000-0000-0000DA010000}"/>
    <cellStyle name="20% - Accent2 30" xfId="477" xr:uid="{00000000-0005-0000-0000-0000DB010000}"/>
    <cellStyle name="20% - Accent2 31" xfId="478" xr:uid="{00000000-0005-0000-0000-0000DC010000}"/>
    <cellStyle name="20% - Accent2 32" xfId="479" xr:uid="{00000000-0005-0000-0000-0000DD010000}"/>
    <cellStyle name="20% - Accent2 33" xfId="480" xr:uid="{00000000-0005-0000-0000-0000DE010000}"/>
    <cellStyle name="20% - Accent2 34" xfId="481" xr:uid="{00000000-0005-0000-0000-0000DF010000}"/>
    <cellStyle name="20% - Accent2 35" xfId="482" xr:uid="{00000000-0005-0000-0000-0000E0010000}"/>
    <cellStyle name="20% - Accent2 36" xfId="483" xr:uid="{00000000-0005-0000-0000-0000E1010000}"/>
    <cellStyle name="20% - Accent2 37" xfId="484" xr:uid="{00000000-0005-0000-0000-0000E2010000}"/>
    <cellStyle name="20% - Accent2 38" xfId="485" xr:uid="{00000000-0005-0000-0000-0000E3010000}"/>
    <cellStyle name="20% - Accent2 39" xfId="486" xr:uid="{00000000-0005-0000-0000-0000E4010000}"/>
    <cellStyle name="20% - Accent2 4" xfId="487" xr:uid="{00000000-0005-0000-0000-0000E5010000}"/>
    <cellStyle name="20% - Accent2 4 10" xfId="488" xr:uid="{00000000-0005-0000-0000-0000E6010000}"/>
    <cellStyle name="20% - Accent2 4 11" xfId="21933" xr:uid="{00000000-0005-0000-0000-0000E7010000}"/>
    <cellStyle name="20% - Accent2 4 2" xfId="489" xr:uid="{00000000-0005-0000-0000-0000E8010000}"/>
    <cellStyle name="20% - Accent2 4 2 2" xfId="21934" xr:uid="{00000000-0005-0000-0000-0000E9010000}"/>
    <cellStyle name="20% - Accent2 4 3" xfId="490" xr:uid="{00000000-0005-0000-0000-0000EA010000}"/>
    <cellStyle name="20% - Accent2 4 4" xfId="491" xr:uid="{00000000-0005-0000-0000-0000EB010000}"/>
    <cellStyle name="20% - Accent2 4 5" xfId="492" xr:uid="{00000000-0005-0000-0000-0000EC010000}"/>
    <cellStyle name="20% - Accent2 4 6" xfId="493" xr:uid="{00000000-0005-0000-0000-0000ED010000}"/>
    <cellStyle name="20% - Accent2 4 7" xfId="494" xr:uid="{00000000-0005-0000-0000-0000EE010000}"/>
    <cellStyle name="20% - Accent2 4 8" xfId="495" xr:uid="{00000000-0005-0000-0000-0000EF010000}"/>
    <cellStyle name="20% - Accent2 4 9" xfId="496" xr:uid="{00000000-0005-0000-0000-0000F0010000}"/>
    <cellStyle name="20% - Accent2 40" xfId="21676" xr:uid="{00000000-0005-0000-0000-0000F1010000}"/>
    <cellStyle name="20% - Accent2 5" xfId="497" xr:uid="{00000000-0005-0000-0000-0000F2010000}"/>
    <cellStyle name="20% - Accent2 5 10" xfId="498" xr:uid="{00000000-0005-0000-0000-0000F3010000}"/>
    <cellStyle name="20% - Accent2 5 11" xfId="21935" xr:uid="{00000000-0005-0000-0000-0000F4010000}"/>
    <cellStyle name="20% - Accent2 5 2" xfId="499" xr:uid="{00000000-0005-0000-0000-0000F5010000}"/>
    <cellStyle name="20% - Accent2 5 2 2" xfId="21936" xr:uid="{00000000-0005-0000-0000-0000F6010000}"/>
    <cellStyle name="20% - Accent2 5 3" xfId="500" xr:uid="{00000000-0005-0000-0000-0000F7010000}"/>
    <cellStyle name="20% - Accent2 5 4" xfId="501" xr:uid="{00000000-0005-0000-0000-0000F8010000}"/>
    <cellStyle name="20% - Accent2 5 5" xfId="502" xr:uid="{00000000-0005-0000-0000-0000F9010000}"/>
    <cellStyle name="20% - Accent2 5 6" xfId="503" xr:uid="{00000000-0005-0000-0000-0000FA010000}"/>
    <cellStyle name="20% - Accent2 5 7" xfId="504" xr:uid="{00000000-0005-0000-0000-0000FB010000}"/>
    <cellStyle name="20% - Accent2 5 8" xfId="505" xr:uid="{00000000-0005-0000-0000-0000FC010000}"/>
    <cellStyle name="20% - Accent2 5 9" xfId="506" xr:uid="{00000000-0005-0000-0000-0000FD010000}"/>
    <cellStyle name="20% - Accent2 6" xfId="507" xr:uid="{00000000-0005-0000-0000-0000FE010000}"/>
    <cellStyle name="20% - Accent2 6 10" xfId="508" xr:uid="{00000000-0005-0000-0000-0000FF010000}"/>
    <cellStyle name="20% - Accent2 6 2" xfId="509" xr:uid="{00000000-0005-0000-0000-000000020000}"/>
    <cellStyle name="20% - Accent2 6 3" xfId="510" xr:uid="{00000000-0005-0000-0000-000001020000}"/>
    <cellStyle name="20% - Accent2 6 4" xfId="511" xr:uid="{00000000-0005-0000-0000-000002020000}"/>
    <cellStyle name="20% - Accent2 6 5" xfId="512" xr:uid="{00000000-0005-0000-0000-000003020000}"/>
    <cellStyle name="20% - Accent2 6 6" xfId="513" xr:uid="{00000000-0005-0000-0000-000004020000}"/>
    <cellStyle name="20% - Accent2 6 7" xfId="514" xr:uid="{00000000-0005-0000-0000-000005020000}"/>
    <cellStyle name="20% - Accent2 6 8" xfId="515" xr:uid="{00000000-0005-0000-0000-000006020000}"/>
    <cellStyle name="20% - Accent2 6 9" xfId="516" xr:uid="{00000000-0005-0000-0000-000007020000}"/>
    <cellStyle name="20% - Accent2 7" xfId="517" xr:uid="{00000000-0005-0000-0000-000008020000}"/>
    <cellStyle name="20% - Accent2 7 10" xfId="518" xr:uid="{00000000-0005-0000-0000-000009020000}"/>
    <cellStyle name="20% - Accent2 7 2" xfId="519" xr:uid="{00000000-0005-0000-0000-00000A020000}"/>
    <cellStyle name="20% - Accent2 7 3" xfId="520" xr:uid="{00000000-0005-0000-0000-00000B020000}"/>
    <cellStyle name="20% - Accent2 7 4" xfId="521" xr:uid="{00000000-0005-0000-0000-00000C020000}"/>
    <cellStyle name="20% - Accent2 7 5" xfId="522" xr:uid="{00000000-0005-0000-0000-00000D020000}"/>
    <cellStyle name="20% - Accent2 7 6" xfId="523" xr:uid="{00000000-0005-0000-0000-00000E020000}"/>
    <cellStyle name="20% - Accent2 7 7" xfId="524" xr:uid="{00000000-0005-0000-0000-00000F020000}"/>
    <cellStyle name="20% - Accent2 7 8" xfId="525" xr:uid="{00000000-0005-0000-0000-000010020000}"/>
    <cellStyle name="20% - Accent2 7 9" xfId="526" xr:uid="{00000000-0005-0000-0000-000011020000}"/>
    <cellStyle name="20% - Accent2 8" xfId="527" xr:uid="{00000000-0005-0000-0000-000012020000}"/>
    <cellStyle name="20% - Accent2 8 10" xfId="528" xr:uid="{00000000-0005-0000-0000-000013020000}"/>
    <cellStyle name="20% - Accent2 8 2" xfId="529" xr:uid="{00000000-0005-0000-0000-000014020000}"/>
    <cellStyle name="20% - Accent2 8 3" xfId="530" xr:uid="{00000000-0005-0000-0000-000015020000}"/>
    <cellStyle name="20% - Accent2 8 4" xfId="531" xr:uid="{00000000-0005-0000-0000-000016020000}"/>
    <cellStyle name="20% - Accent2 8 5" xfId="532" xr:uid="{00000000-0005-0000-0000-000017020000}"/>
    <cellStyle name="20% - Accent2 8 6" xfId="533" xr:uid="{00000000-0005-0000-0000-000018020000}"/>
    <cellStyle name="20% - Accent2 8 7" xfId="534" xr:uid="{00000000-0005-0000-0000-000019020000}"/>
    <cellStyle name="20% - Accent2 8 8" xfId="535" xr:uid="{00000000-0005-0000-0000-00001A020000}"/>
    <cellStyle name="20% - Accent2 8 9" xfId="536" xr:uid="{00000000-0005-0000-0000-00001B020000}"/>
    <cellStyle name="20% - Accent2 9" xfId="537" xr:uid="{00000000-0005-0000-0000-00001C020000}"/>
    <cellStyle name="20% - Accent2 9 10" xfId="538" xr:uid="{00000000-0005-0000-0000-00001D020000}"/>
    <cellStyle name="20% - Accent2 9 2" xfId="539" xr:uid="{00000000-0005-0000-0000-00001E020000}"/>
    <cellStyle name="20% - Accent2 9 3" xfId="540" xr:uid="{00000000-0005-0000-0000-00001F020000}"/>
    <cellStyle name="20% - Accent2 9 4" xfId="541" xr:uid="{00000000-0005-0000-0000-000020020000}"/>
    <cellStyle name="20% - Accent2 9 5" xfId="542" xr:uid="{00000000-0005-0000-0000-000021020000}"/>
    <cellStyle name="20% - Accent2 9 6" xfId="543" xr:uid="{00000000-0005-0000-0000-000022020000}"/>
    <cellStyle name="20% - Accent2 9 7" xfId="544" xr:uid="{00000000-0005-0000-0000-000023020000}"/>
    <cellStyle name="20% - Accent2 9 8" xfId="545" xr:uid="{00000000-0005-0000-0000-000024020000}"/>
    <cellStyle name="20% - Accent2 9 9" xfId="546" xr:uid="{00000000-0005-0000-0000-000025020000}"/>
    <cellStyle name="20% - Accent3 10" xfId="547" xr:uid="{00000000-0005-0000-0000-000026020000}"/>
    <cellStyle name="20% - Accent3 10 10" xfId="548" xr:uid="{00000000-0005-0000-0000-000027020000}"/>
    <cellStyle name="20% - Accent3 10 2" xfId="549" xr:uid="{00000000-0005-0000-0000-000028020000}"/>
    <cellStyle name="20% - Accent3 10 3" xfId="550" xr:uid="{00000000-0005-0000-0000-000029020000}"/>
    <cellStyle name="20% - Accent3 10 4" xfId="551" xr:uid="{00000000-0005-0000-0000-00002A020000}"/>
    <cellStyle name="20% - Accent3 10 5" xfId="552" xr:uid="{00000000-0005-0000-0000-00002B020000}"/>
    <cellStyle name="20% - Accent3 10 6" xfId="553" xr:uid="{00000000-0005-0000-0000-00002C020000}"/>
    <cellStyle name="20% - Accent3 10 7" xfId="554" xr:uid="{00000000-0005-0000-0000-00002D020000}"/>
    <cellStyle name="20% - Accent3 10 8" xfId="555" xr:uid="{00000000-0005-0000-0000-00002E020000}"/>
    <cellStyle name="20% - Accent3 10 9" xfId="556" xr:uid="{00000000-0005-0000-0000-00002F020000}"/>
    <cellStyle name="20% - Accent3 11" xfId="557" xr:uid="{00000000-0005-0000-0000-000030020000}"/>
    <cellStyle name="20% - Accent3 11 10" xfId="558" xr:uid="{00000000-0005-0000-0000-000031020000}"/>
    <cellStyle name="20% - Accent3 11 2" xfId="559" xr:uid="{00000000-0005-0000-0000-000032020000}"/>
    <cellStyle name="20% - Accent3 11 3" xfId="560" xr:uid="{00000000-0005-0000-0000-000033020000}"/>
    <cellStyle name="20% - Accent3 11 4" xfId="561" xr:uid="{00000000-0005-0000-0000-000034020000}"/>
    <cellStyle name="20% - Accent3 11 5" xfId="562" xr:uid="{00000000-0005-0000-0000-000035020000}"/>
    <cellStyle name="20% - Accent3 11 6" xfId="563" xr:uid="{00000000-0005-0000-0000-000036020000}"/>
    <cellStyle name="20% - Accent3 11 7" xfId="564" xr:uid="{00000000-0005-0000-0000-000037020000}"/>
    <cellStyle name="20% - Accent3 11 8" xfId="565" xr:uid="{00000000-0005-0000-0000-000038020000}"/>
    <cellStyle name="20% - Accent3 11 9" xfId="566" xr:uid="{00000000-0005-0000-0000-000039020000}"/>
    <cellStyle name="20% - Accent3 12" xfId="567" xr:uid="{00000000-0005-0000-0000-00003A020000}"/>
    <cellStyle name="20% - Accent3 12 10" xfId="568" xr:uid="{00000000-0005-0000-0000-00003B020000}"/>
    <cellStyle name="20% - Accent3 12 2" xfId="569" xr:uid="{00000000-0005-0000-0000-00003C020000}"/>
    <cellStyle name="20% - Accent3 12 3" xfId="570" xr:uid="{00000000-0005-0000-0000-00003D020000}"/>
    <cellStyle name="20% - Accent3 12 4" xfId="571" xr:uid="{00000000-0005-0000-0000-00003E020000}"/>
    <cellStyle name="20% - Accent3 12 5" xfId="572" xr:uid="{00000000-0005-0000-0000-00003F020000}"/>
    <cellStyle name="20% - Accent3 12 6" xfId="573" xr:uid="{00000000-0005-0000-0000-000040020000}"/>
    <cellStyle name="20% - Accent3 12 7" xfId="574" xr:uid="{00000000-0005-0000-0000-000041020000}"/>
    <cellStyle name="20% - Accent3 12 8" xfId="575" xr:uid="{00000000-0005-0000-0000-000042020000}"/>
    <cellStyle name="20% - Accent3 12 9" xfId="576" xr:uid="{00000000-0005-0000-0000-000043020000}"/>
    <cellStyle name="20% - Accent3 13" xfId="577" xr:uid="{00000000-0005-0000-0000-000044020000}"/>
    <cellStyle name="20% - Accent3 13 10" xfId="578" xr:uid="{00000000-0005-0000-0000-000045020000}"/>
    <cellStyle name="20% - Accent3 13 2" xfId="579" xr:uid="{00000000-0005-0000-0000-000046020000}"/>
    <cellStyle name="20% - Accent3 13 3" xfId="580" xr:uid="{00000000-0005-0000-0000-000047020000}"/>
    <cellStyle name="20% - Accent3 13 4" xfId="581" xr:uid="{00000000-0005-0000-0000-000048020000}"/>
    <cellStyle name="20% - Accent3 13 5" xfId="582" xr:uid="{00000000-0005-0000-0000-000049020000}"/>
    <cellStyle name="20% - Accent3 13 6" xfId="583" xr:uid="{00000000-0005-0000-0000-00004A020000}"/>
    <cellStyle name="20% - Accent3 13 7" xfId="584" xr:uid="{00000000-0005-0000-0000-00004B020000}"/>
    <cellStyle name="20% - Accent3 13 8" xfId="585" xr:uid="{00000000-0005-0000-0000-00004C020000}"/>
    <cellStyle name="20% - Accent3 13 9" xfId="586" xr:uid="{00000000-0005-0000-0000-00004D020000}"/>
    <cellStyle name="20% - Accent3 14" xfId="587" xr:uid="{00000000-0005-0000-0000-00004E020000}"/>
    <cellStyle name="20% - Accent3 14 10" xfId="588" xr:uid="{00000000-0005-0000-0000-00004F020000}"/>
    <cellStyle name="20% - Accent3 14 2" xfId="589" xr:uid="{00000000-0005-0000-0000-000050020000}"/>
    <cellStyle name="20% - Accent3 14 3" xfId="590" xr:uid="{00000000-0005-0000-0000-000051020000}"/>
    <cellStyle name="20% - Accent3 14 4" xfId="591" xr:uid="{00000000-0005-0000-0000-000052020000}"/>
    <cellStyle name="20% - Accent3 14 5" xfId="592" xr:uid="{00000000-0005-0000-0000-000053020000}"/>
    <cellStyle name="20% - Accent3 14 6" xfId="593" xr:uid="{00000000-0005-0000-0000-000054020000}"/>
    <cellStyle name="20% - Accent3 14 7" xfId="594" xr:uid="{00000000-0005-0000-0000-000055020000}"/>
    <cellStyle name="20% - Accent3 14 8" xfId="595" xr:uid="{00000000-0005-0000-0000-000056020000}"/>
    <cellStyle name="20% - Accent3 14 9" xfId="596" xr:uid="{00000000-0005-0000-0000-000057020000}"/>
    <cellStyle name="20% - Accent3 15" xfId="597" xr:uid="{00000000-0005-0000-0000-000058020000}"/>
    <cellStyle name="20% - Accent3 15 10" xfId="598" xr:uid="{00000000-0005-0000-0000-000059020000}"/>
    <cellStyle name="20% - Accent3 15 2" xfId="599" xr:uid="{00000000-0005-0000-0000-00005A020000}"/>
    <cellStyle name="20% - Accent3 15 3" xfId="600" xr:uid="{00000000-0005-0000-0000-00005B020000}"/>
    <cellStyle name="20% - Accent3 15 4" xfId="601" xr:uid="{00000000-0005-0000-0000-00005C020000}"/>
    <cellStyle name="20% - Accent3 15 5" xfId="602" xr:uid="{00000000-0005-0000-0000-00005D020000}"/>
    <cellStyle name="20% - Accent3 15 6" xfId="603" xr:uid="{00000000-0005-0000-0000-00005E020000}"/>
    <cellStyle name="20% - Accent3 15 7" xfId="604" xr:uid="{00000000-0005-0000-0000-00005F020000}"/>
    <cellStyle name="20% - Accent3 15 8" xfId="605" xr:uid="{00000000-0005-0000-0000-000060020000}"/>
    <cellStyle name="20% - Accent3 15 9" xfId="606" xr:uid="{00000000-0005-0000-0000-000061020000}"/>
    <cellStyle name="20% - Accent3 16" xfId="607" xr:uid="{00000000-0005-0000-0000-000062020000}"/>
    <cellStyle name="20% - Accent3 16 10" xfId="608" xr:uid="{00000000-0005-0000-0000-000063020000}"/>
    <cellStyle name="20% - Accent3 16 2" xfId="609" xr:uid="{00000000-0005-0000-0000-000064020000}"/>
    <cellStyle name="20% - Accent3 16 3" xfId="610" xr:uid="{00000000-0005-0000-0000-000065020000}"/>
    <cellStyle name="20% - Accent3 16 4" xfId="611" xr:uid="{00000000-0005-0000-0000-000066020000}"/>
    <cellStyle name="20% - Accent3 16 5" xfId="612" xr:uid="{00000000-0005-0000-0000-000067020000}"/>
    <cellStyle name="20% - Accent3 16 6" xfId="613" xr:uid="{00000000-0005-0000-0000-000068020000}"/>
    <cellStyle name="20% - Accent3 16 7" xfId="614" xr:uid="{00000000-0005-0000-0000-000069020000}"/>
    <cellStyle name="20% - Accent3 16 8" xfId="615" xr:uid="{00000000-0005-0000-0000-00006A020000}"/>
    <cellStyle name="20% - Accent3 16 9" xfId="616" xr:uid="{00000000-0005-0000-0000-00006B020000}"/>
    <cellStyle name="20% - Accent3 17" xfId="617" xr:uid="{00000000-0005-0000-0000-00006C020000}"/>
    <cellStyle name="20% - Accent3 17 10" xfId="618" xr:uid="{00000000-0005-0000-0000-00006D020000}"/>
    <cellStyle name="20% - Accent3 17 2" xfId="619" xr:uid="{00000000-0005-0000-0000-00006E020000}"/>
    <cellStyle name="20% - Accent3 17 3" xfId="620" xr:uid="{00000000-0005-0000-0000-00006F020000}"/>
    <cellStyle name="20% - Accent3 17 4" xfId="621" xr:uid="{00000000-0005-0000-0000-000070020000}"/>
    <cellStyle name="20% - Accent3 17 5" xfId="622" xr:uid="{00000000-0005-0000-0000-000071020000}"/>
    <cellStyle name="20% - Accent3 17 6" xfId="623" xr:uid="{00000000-0005-0000-0000-000072020000}"/>
    <cellStyle name="20% - Accent3 17 7" xfId="624" xr:uid="{00000000-0005-0000-0000-000073020000}"/>
    <cellStyle name="20% - Accent3 17 8" xfId="625" xr:uid="{00000000-0005-0000-0000-000074020000}"/>
    <cellStyle name="20% - Accent3 17 9" xfId="626" xr:uid="{00000000-0005-0000-0000-000075020000}"/>
    <cellStyle name="20% - Accent3 18" xfId="627" xr:uid="{00000000-0005-0000-0000-000076020000}"/>
    <cellStyle name="20% - Accent3 18 2" xfId="628" xr:uid="{00000000-0005-0000-0000-000077020000}"/>
    <cellStyle name="20% - Accent3 18 3" xfId="629" xr:uid="{00000000-0005-0000-0000-000078020000}"/>
    <cellStyle name="20% - Accent3 18 4" xfId="630" xr:uid="{00000000-0005-0000-0000-000079020000}"/>
    <cellStyle name="20% - Accent3 18 5" xfId="631" xr:uid="{00000000-0005-0000-0000-00007A020000}"/>
    <cellStyle name="20% - Accent3 18 6" xfId="632" xr:uid="{00000000-0005-0000-0000-00007B020000}"/>
    <cellStyle name="20% - Accent3 18 7" xfId="633" xr:uid="{00000000-0005-0000-0000-00007C020000}"/>
    <cellStyle name="20% - Accent3 18 8" xfId="634" xr:uid="{00000000-0005-0000-0000-00007D020000}"/>
    <cellStyle name="20% - Accent3 19" xfId="635" xr:uid="{00000000-0005-0000-0000-00007E020000}"/>
    <cellStyle name="20% - Accent3 19 2" xfId="636" xr:uid="{00000000-0005-0000-0000-00007F020000}"/>
    <cellStyle name="20% - Accent3 19 3" xfId="637" xr:uid="{00000000-0005-0000-0000-000080020000}"/>
    <cellStyle name="20% - Accent3 19 4" xfId="638" xr:uid="{00000000-0005-0000-0000-000081020000}"/>
    <cellStyle name="20% - Accent3 19 5" xfId="639" xr:uid="{00000000-0005-0000-0000-000082020000}"/>
    <cellStyle name="20% - Accent3 19 6" xfId="640" xr:uid="{00000000-0005-0000-0000-000083020000}"/>
    <cellStyle name="20% - Accent3 19 7" xfId="641" xr:uid="{00000000-0005-0000-0000-000084020000}"/>
    <cellStyle name="20% - Accent3 19 8" xfId="642" xr:uid="{00000000-0005-0000-0000-000085020000}"/>
    <cellStyle name="20% - Accent3 2" xfId="643" xr:uid="{00000000-0005-0000-0000-000086020000}"/>
    <cellStyle name="20% - Accent3 2 10" xfId="644" xr:uid="{00000000-0005-0000-0000-000087020000}"/>
    <cellStyle name="20% - Accent3 2 11" xfId="21677" xr:uid="{00000000-0005-0000-0000-000088020000}"/>
    <cellStyle name="20% - Accent3 2 2" xfId="645" xr:uid="{00000000-0005-0000-0000-000089020000}"/>
    <cellStyle name="20% - Accent3 2 2 2" xfId="21937" xr:uid="{00000000-0005-0000-0000-00008A020000}"/>
    <cellStyle name="20% - Accent3 2 3" xfId="646" xr:uid="{00000000-0005-0000-0000-00008B020000}"/>
    <cellStyle name="20% - Accent3 2 4" xfId="647" xr:uid="{00000000-0005-0000-0000-00008C020000}"/>
    <cellStyle name="20% - Accent3 2 5" xfId="648" xr:uid="{00000000-0005-0000-0000-00008D020000}"/>
    <cellStyle name="20% - Accent3 2 6" xfId="649" xr:uid="{00000000-0005-0000-0000-00008E020000}"/>
    <cellStyle name="20% - Accent3 2 7" xfId="650" xr:uid="{00000000-0005-0000-0000-00008F020000}"/>
    <cellStyle name="20% - Accent3 2 8" xfId="651" xr:uid="{00000000-0005-0000-0000-000090020000}"/>
    <cellStyle name="20% - Accent3 2 9" xfId="652" xr:uid="{00000000-0005-0000-0000-000091020000}"/>
    <cellStyle name="20% - Accent3 20" xfId="653" xr:uid="{00000000-0005-0000-0000-000092020000}"/>
    <cellStyle name="20% - Accent3 20 2" xfId="654" xr:uid="{00000000-0005-0000-0000-000093020000}"/>
    <cellStyle name="20% - Accent3 20 3" xfId="655" xr:uid="{00000000-0005-0000-0000-000094020000}"/>
    <cellStyle name="20% - Accent3 20 4" xfId="656" xr:uid="{00000000-0005-0000-0000-000095020000}"/>
    <cellStyle name="20% - Accent3 20 5" xfId="657" xr:uid="{00000000-0005-0000-0000-000096020000}"/>
    <cellStyle name="20% - Accent3 20 6" xfId="658" xr:uid="{00000000-0005-0000-0000-000097020000}"/>
    <cellStyle name="20% - Accent3 20 7" xfId="659" xr:uid="{00000000-0005-0000-0000-000098020000}"/>
    <cellStyle name="20% - Accent3 20 8" xfId="660" xr:uid="{00000000-0005-0000-0000-000099020000}"/>
    <cellStyle name="20% - Accent3 21" xfId="661" xr:uid="{00000000-0005-0000-0000-00009A020000}"/>
    <cellStyle name="20% - Accent3 21 2" xfId="662" xr:uid="{00000000-0005-0000-0000-00009B020000}"/>
    <cellStyle name="20% - Accent3 21 3" xfId="663" xr:uid="{00000000-0005-0000-0000-00009C020000}"/>
    <cellStyle name="20% - Accent3 21 4" xfId="664" xr:uid="{00000000-0005-0000-0000-00009D020000}"/>
    <cellStyle name="20% - Accent3 21 5" xfId="665" xr:uid="{00000000-0005-0000-0000-00009E020000}"/>
    <cellStyle name="20% - Accent3 21 6" xfId="666" xr:uid="{00000000-0005-0000-0000-00009F020000}"/>
    <cellStyle name="20% - Accent3 21 7" xfId="667" xr:uid="{00000000-0005-0000-0000-0000A0020000}"/>
    <cellStyle name="20% - Accent3 21 8" xfId="668" xr:uid="{00000000-0005-0000-0000-0000A1020000}"/>
    <cellStyle name="20% - Accent3 22" xfId="669" xr:uid="{00000000-0005-0000-0000-0000A2020000}"/>
    <cellStyle name="20% - Accent3 22 2" xfId="670" xr:uid="{00000000-0005-0000-0000-0000A3020000}"/>
    <cellStyle name="20% - Accent3 22 3" xfId="671" xr:uid="{00000000-0005-0000-0000-0000A4020000}"/>
    <cellStyle name="20% - Accent3 22 4" xfId="672" xr:uid="{00000000-0005-0000-0000-0000A5020000}"/>
    <cellStyle name="20% - Accent3 22 5" xfId="673" xr:uid="{00000000-0005-0000-0000-0000A6020000}"/>
    <cellStyle name="20% - Accent3 22 6" xfId="674" xr:uid="{00000000-0005-0000-0000-0000A7020000}"/>
    <cellStyle name="20% - Accent3 22 7" xfId="675" xr:uid="{00000000-0005-0000-0000-0000A8020000}"/>
    <cellStyle name="20% - Accent3 22 8" xfId="676" xr:uid="{00000000-0005-0000-0000-0000A9020000}"/>
    <cellStyle name="20% - Accent3 23" xfId="677" xr:uid="{00000000-0005-0000-0000-0000AA020000}"/>
    <cellStyle name="20% - Accent3 23 2" xfId="678" xr:uid="{00000000-0005-0000-0000-0000AB020000}"/>
    <cellStyle name="20% - Accent3 23 3" xfId="679" xr:uid="{00000000-0005-0000-0000-0000AC020000}"/>
    <cellStyle name="20% - Accent3 23 4" xfId="680" xr:uid="{00000000-0005-0000-0000-0000AD020000}"/>
    <cellStyle name="20% - Accent3 23 5" xfId="681" xr:uid="{00000000-0005-0000-0000-0000AE020000}"/>
    <cellStyle name="20% - Accent3 23 6" xfId="682" xr:uid="{00000000-0005-0000-0000-0000AF020000}"/>
    <cellStyle name="20% - Accent3 23 7" xfId="683" xr:uid="{00000000-0005-0000-0000-0000B0020000}"/>
    <cellStyle name="20% - Accent3 23 8" xfId="684" xr:uid="{00000000-0005-0000-0000-0000B1020000}"/>
    <cellStyle name="20% - Accent3 24" xfId="685" xr:uid="{00000000-0005-0000-0000-0000B2020000}"/>
    <cellStyle name="20% - Accent3 24 2" xfId="686" xr:uid="{00000000-0005-0000-0000-0000B3020000}"/>
    <cellStyle name="20% - Accent3 24 3" xfId="687" xr:uid="{00000000-0005-0000-0000-0000B4020000}"/>
    <cellStyle name="20% - Accent3 24 4" xfId="688" xr:uid="{00000000-0005-0000-0000-0000B5020000}"/>
    <cellStyle name="20% - Accent3 24 5" xfId="689" xr:uid="{00000000-0005-0000-0000-0000B6020000}"/>
    <cellStyle name="20% - Accent3 24 6" xfId="690" xr:uid="{00000000-0005-0000-0000-0000B7020000}"/>
    <cellStyle name="20% - Accent3 24 7" xfId="691" xr:uid="{00000000-0005-0000-0000-0000B8020000}"/>
    <cellStyle name="20% - Accent3 24 8" xfId="692" xr:uid="{00000000-0005-0000-0000-0000B9020000}"/>
    <cellStyle name="20% - Accent3 25" xfId="693" xr:uid="{00000000-0005-0000-0000-0000BA020000}"/>
    <cellStyle name="20% - Accent3 25 2" xfId="694" xr:uid="{00000000-0005-0000-0000-0000BB020000}"/>
    <cellStyle name="20% - Accent3 25 3" xfId="695" xr:uid="{00000000-0005-0000-0000-0000BC020000}"/>
    <cellStyle name="20% - Accent3 25 4" xfId="696" xr:uid="{00000000-0005-0000-0000-0000BD020000}"/>
    <cellStyle name="20% - Accent3 25 5" xfId="697" xr:uid="{00000000-0005-0000-0000-0000BE020000}"/>
    <cellStyle name="20% - Accent3 25 6" xfId="698" xr:uid="{00000000-0005-0000-0000-0000BF020000}"/>
    <cellStyle name="20% - Accent3 25 7" xfId="699" xr:uid="{00000000-0005-0000-0000-0000C0020000}"/>
    <cellStyle name="20% - Accent3 25 8" xfId="700" xr:uid="{00000000-0005-0000-0000-0000C1020000}"/>
    <cellStyle name="20% - Accent3 26" xfId="701" xr:uid="{00000000-0005-0000-0000-0000C2020000}"/>
    <cellStyle name="20% - Accent3 26 2" xfId="702" xr:uid="{00000000-0005-0000-0000-0000C3020000}"/>
    <cellStyle name="20% - Accent3 26 3" xfId="703" xr:uid="{00000000-0005-0000-0000-0000C4020000}"/>
    <cellStyle name="20% - Accent3 26 4" xfId="704" xr:uid="{00000000-0005-0000-0000-0000C5020000}"/>
    <cellStyle name="20% - Accent3 26 5" xfId="705" xr:uid="{00000000-0005-0000-0000-0000C6020000}"/>
    <cellStyle name="20% - Accent3 26 6" xfId="706" xr:uid="{00000000-0005-0000-0000-0000C7020000}"/>
    <cellStyle name="20% - Accent3 26 7" xfId="707" xr:uid="{00000000-0005-0000-0000-0000C8020000}"/>
    <cellStyle name="20% - Accent3 26 8" xfId="708" xr:uid="{00000000-0005-0000-0000-0000C9020000}"/>
    <cellStyle name="20% - Accent3 27" xfId="709" xr:uid="{00000000-0005-0000-0000-0000CA020000}"/>
    <cellStyle name="20% - Accent3 27 2" xfId="710" xr:uid="{00000000-0005-0000-0000-0000CB020000}"/>
    <cellStyle name="20% - Accent3 27 3" xfId="711" xr:uid="{00000000-0005-0000-0000-0000CC020000}"/>
    <cellStyle name="20% - Accent3 27 4" xfId="712" xr:uid="{00000000-0005-0000-0000-0000CD020000}"/>
    <cellStyle name="20% - Accent3 27 5" xfId="713" xr:uid="{00000000-0005-0000-0000-0000CE020000}"/>
    <cellStyle name="20% - Accent3 27 6" xfId="714" xr:uid="{00000000-0005-0000-0000-0000CF020000}"/>
    <cellStyle name="20% - Accent3 27 7" xfId="715" xr:uid="{00000000-0005-0000-0000-0000D0020000}"/>
    <cellStyle name="20% - Accent3 27 8" xfId="716" xr:uid="{00000000-0005-0000-0000-0000D1020000}"/>
    <cellStyle name="20% - Accent3 28" xfId="717" xr:uid="{00000000-0005-0000-0000-0000D2020000}"/>
    <cellStyle name="20% - Accent3 28 2" xfId="718" xr:uid="{00000000-0005-0000-0000-0000D3020000}"/>
    <cellStyle name="20% - Accent3 28 3" xfId="719" xr:uid="{00000000-0005-0000-0000-0000D4020000}"/>
    <cellStyle name="20% - Accent3 28 4" xfId="720" xr:uid="{00000000-0005-0000-0000-0000D5020000}"/>
    <cellStyle name="20% - Accent3 28 5" xfId="721" xr:uid="{00000000-0005-0000-0000-0000D6020000}"/>
    <cellStyle name="20% - Accent3 28 6" xfId="722" xr:uid="{00000000-0005-0000-0000-0000D7020000}"/>
    <cellStyle name="20% - Accent3 28 7" xfId="723" xr:uid="{00000000-0005-0000-0000-0000D8020000}"/>
    <cellStyle name="20% - Accent3 28 8" xfId="724" xr:uid="{00000000-0005-0000-0000-0000D9020000}"/>
    <cellStyle name="20% - Accent3 29" xfId="725" xr:uid="{00000000-0005-0000-0000-0000DA020000}"/>
    <cellStyle name="20% - Accent3 29 2" xfId="726" xr:uid="{00000000-0005-0000-0000-0000DB020000}"/>
    <cellStyle name="20% - Accent3 29 3" xfId="727" xr:uid="{00000000-0005-0000-0000-0000DC020000}"/>
    <cellStyle name="20% - Accent3 29 4" xfId="728" xr:uid="{00000000-0005-0000-0000-0000DD020000}"/>
    <cellStyle name="20% - Accent3 29 5" xfId="729" xr:uid="{00000000-0005-0000-0000-0000DE020000}"/>
    <cellStyle name="20% - Accent3 29 6" xfId="730" xr:uid="{00000000-0005-0000-0000-0000DF020000}"/>
    <cellStyle name="20% - Accent3 29 7" xfId="731" xr:uid="{00000000-0005-0000-0000-0000E0020000}"/>
    <cellStyle name="20% - Accent3 29 8" xfId="732" xr:uid="{00000000-0005-0000-0000-0000E1020000}"/>
    <cellStyle name="20% - Accent3 3" xfId="733" xr:uid="{00000000-0005-0000-0000-0000E2020000}"/>
    <cellStyle name="20% - Accent3 3 10" xfId="734" xr:uid="{00000000-0005-0000-0000-0000E3020000}"/>
    <cellStyle name="20% - Accent3 3 11" xfId="21938" xr:uid="{00000000-0005-0000-0000-0000E4020000}"/>
    <cellStyle name="20% - Accent3 3 2" xfId="735" xr:uid="{00000000-0005-0000-0000-0000E5020000}"/>
    <cellStyle name="20% - Accent3 3 2 2" xfId="21939" xr:uid="{00000000-0005-0000-0000-0000E6020000}"/>
    <cellStyle name="20% - Accent3 3 3" xfId="736" xr:uid="{00000000-0005-0000-0000-0000E7020000}"/>
    <cellStyle name="20% - Accent3 3 4" xfId="737" xr:uid="{00000000-0005-0000-0000-0000E8020000}"/>
    <cellStyle name="20% - Accent3 3 5" xfId="738" xr:uid="{00000000-0005-0000-0000-0000E9020000}"/>
    <cellStyle name="20% - Accent3 3 6" xfId="739" xr:uid="{00000000-0005-0000-0000-0000EA020000}"/>
    <cellStyle name="20% - Accent3 3 7" xfId="740" xr:uid="{00000000-0005-0000-0000-0000EB020000}"/>
    <cellStyle name="20% - Accent3 3 8" xfId="741" xr:uid="{00000000-0005-0000-0000-0000EC020000}"/>
    <cellStyle name="20% - Accent3 3 9" xfId="742" xr:uid="{00000000-0005-0000-0000-0000ED020000}"/>
    <cellStyle name="20% - Accent3 30" xfId="743" xr:uid="{00000000-0005-0000-0000-0000EE020000}"/>
    <cellStyle name="20% - Accent3 31" xfId="744" xr:uid="{00000000-0005-0000-0000-0000EF020000}"/>
    <cellStyle name="20% - Accent3 32" xfId="745" xr:uid="{00000000-0005-0000-0000-0000F0020000}"/>
    <cellStyle name="20% - Accent3 33" xfId="746" xr:uid="{00000000-0005-0000-0000-0000F1020000}"/>
    <cellStyle name="20% - Accent3 34" xfId="747" xr:uid="{00000000-0005-0000-0000-0000F2020000}"/>
    <cellStyle name="20% - Accent3 35" xfId="748" xr:uid="{00000000-0005-0000-0000-0000F3020000}"/>
    <cellStyle name="20% - Accent3 36" xfId="749" xr:uid="{00000000-0005-0000-0000-0000F4020000}"/>
    <cellStyle name="20% - Accent3 37" xfId="750" xr:uid="{00000000-0005-0000-0000-0000F5020000}"/>
    <cellStyle name="20% - Accent3 38" xfId="751" xr:uid="{00000000-0005-0000-0000-0000F6020000}"/>
    <cellStyle name="20% - Accent3 39" xfId="752" xr:uid="{00000000-0005-0000-0000-0000F7020000}"/>
    <cellStyle name="20% - Accent3 4" xfId="753" xr:uid="{00000000-0005-0000-0000-0000F8020000}"/>
    <cellStyle name="20% - Accent3 4 10" xfId="754" xr:uid="{00000000-0005-0000-0000-0000F9020000}"/>
    <cellStyle name="20% - Accent3 4 11" xfId="21940" xr:uid="{00000000-0005-0000-0000-0000FA020000}"/>
    <cellStyle name="20% - Accent3 4 2" xfId="755" xr:uid="{00000000-0005-0000-0000-0000FB020000}"/>
    <cellStyle name="20% - Accent3 4 2 2" xfId="21941" xr:uid="{00000000-0005-0000-0000-0000FC020000}"/>
    <cellStyle name="20% - Accent3 4 3" xfId="756" xr:uid="{00000000-0005-0000-0000-0000FD020000}"/>
    <cellStyle name="20% - Accent3 4 4" xfId="757" xr:uid="{00000000-0005-0000-0000-0000FE020000}"/>
    <cellStyle name="20% - Accent3 4 5" xfId="758" xr:uid="{00000000-0005-0000-0000-0000FF020000}"/>
    <cellStyle name="20% - Accent3 4 6" xfId="759" xr:uid="{00000000-0005-0000-0000-000000030000}"/>
    <cellStyle name="20% - Accent3 4 7" xfId="760" xr:uid="{00000000-0005-0000-0000-000001030000}"/>
    <cellStyle name="20% - Accent3 4 8" xfId="761" xr:uid="{00000000-0005-0000-0000-000002030000}"/>
    <cellStyle name="20% - Accent3 4 9" xfId="762" xr:uid="{00000000-0005-0000-0000-000003030000}"/>
    <cellStyle name="20% - Accent3 40" xfId="21678" xr:uid="{00000000-0005-0000-0000-000004030000}"/>
    <cellStyle name="20% - Accent3 5" xfId="763" xr:uid="{00000000-0005-0000-0000-000005030000}"/>
    <cellStyle name="20% - Accent3 5 10" xfId="764" xr:uid="{00000000-0005-0000-0000-000006030000}"/>
    <cellStyle name="20% - Accent3 5 11" xfId="21942" xr:uid="{00000000-0005-0000-0000-000007030000}"/>
    <cellStyle name="20% - Accent3 5 2" xfId="765" xr:uid="{00000000-0005-0000-0000-000008030000}"/>
    <cellStyle name="20% - Accent3 5 2 2" xfId="21943" xr:uid="{00000000-0005-0000-0000-000009030000}"/>
    <cellStyle name="20% - Accent3 5 3" xfId="766" xr:uid="{00000000-0005-0000-0000-00000A030000}"/>
    <cellStyle name="20% - Accent3 5 4" xfId="767" xr:uid="{00000000-0005-0000-0000-00000B030000}"/>
    <cellStyle name="20% - Accent3 5 5" xfId="768" xr:uid="{00000000-0005-0000-0000-00000C030000}"/>
    <cellStyle name="20% - Accent3 5 6" xfId="769" xr:uid="{00000000-0005-0000-0000-00000D030000}"/>
    <cellStyle name="20% - Accent3 5 7" xfId="770" xr:uid="{00000000-0005-0000-0000-00000E030000}"/>
    <cellStyle name="20% - Accent3 5 8" xfId="771" xr:uid="{00000000-0005-0000-0000-00000F030000}"/>
    <cellStyle name="20% - Accent3 5 9" xfId="772" xr:uid="{00000000-0005-0000-0000-000010030000}"/>
    <cellStyle name="20% - Accent3 6" xfId="773" xr:uid="{00000000-0005-0000-0000-000011030000}"/>
    <cellStyle name="20% - Accent3 6 10" xfId="774" xr:uid="{00000000-0005-0000-0000-000012030000}"/>
    <cellStyle name="20% - Accent3 6 2" xfId="775" xr:uid="{00000000-0005-0000-0000-000013030000}"/>
    <cellStyle name="20% - Accent3 6 3" xfId="776" xr:uid="{00000000-0005-0000-0000-000014030000}"/>
    <cellStyle name="20% - Accent3 6 4" xfId="777" xr:uid="{00000000-0005-0000-0000-000015030000}"/>
    <cellStyle name="20% - Accent3 6 5" xfId="778" xr:uid="{00000000-0005-0000-0000-000016030000}"/>
    <cellStyle name="20% - Accent3 6 6" xfId="779" xr:uid="{00000000-0005-0000-0000-000017030000}"/>
    <cellStyle name="20% - Accent3 6 7" xfId="780" xr:uid="{00000000-0005-0000-0000-000018030000}"/>
    <cellStyle name="20% - Accent3 6 8" xfId="781" xr:uid="{00000000-0005-0000-0000-000019030000}"/>
    <cellStyle name="20% - Accent3 6 9" xfId="782" xr:uid="{00000000-0005-0000-0000-00001A030000}"/>
    <cellStyle name="20% - Accent3 7" xfId="783" xr:uid="{00000000-0005-0000-0000-00001B030000}"/>
    <cellStyle name="20% - Accent3 7 10" xfId="784" xr:uid="{00000000-0005-0000-0000-00001C030000}"/>
    <cellStyle name="20% - Accent3 7 2" xfId="785" xr:uid="{00000000-0005-0000-0000-00001D030000}"/>
    <cellStyle name="20% - Accent3 7 3" xfId="786" xr:uid="{00000000-0005-0000-0000-00001E030000}"/>
    <cellStyle name="20% - Accent3 7 4" xfId="787" xr:uid="{00000000-0005-0000-0000-00001F030000}"/>
    <cellStyle name="20% - Accent3 7 5" xfId="788" xr:uid="{00000000-0005-0000-0000-000020030000}"/>
    <cellStyle name="20% - Accent3 7 6" xfId="789" xr:uid="{00000000-0005-0000-0000-000021030000}"/>
    <cellStyle name="20% - Accent3 7 7" xfId="790" xr:uid="{00000000-0005-0000-0000-000022030000}"/>
    <cellStyle name="20% - Accent3 7 8" xfId="791" xr:uid="{00000000-0005-0000-0000-000023030000}"/>
    <cellStyle name="20% - Accent3 7 9" xfId="792" xr:uid="{00000000-0005-0000-0000-000024030000}"/>
    <cellStyle name="20% - Accent3 8" xfId="793" xr:uid="{00000000-0005-0000-0000-000025030000}"/>
    <cellStyle name="20% - Accent3 8 10" xfId="794" xr:uid="{00000000-0005-0000-0000-000026030000}"/>
    <cellStyle name="20% - Accent3 8 2" xfId="795" xr:uid="{00000000-0005-0000-0000-000027030000}"/>
    <cellStyle name="20% - Accent3 8 3" xfId="796" xr:uid="{00000000-0005-0000-0000-000028030000}"/>
    <cellStyle name="20% - Accent3 8 4" xfId="797" xr:uid="{00000000-0005-0000-0000-000029030000}"/>
    <cellStyle name="20% - Accent3 8 5" xfId="798" xr:uid="{00000000-0005-0000-0000-00002A030000}"/>
    <cellStyle name="20% - Accent3 8 6" xfId="799" xr:uid="{00000000-0005-0000-0000-00002B030000}"/>
    <cellStyle name="20% - Accent3 8 7" xfId="800" xr:uid="{00000000-0005-0000-0000-00002C030000}"/>
    <cellStyle name="20% - Accent3 8 8" xfId="801" xr:uid="{00000000-0005-0000-0000-00002D030000}"/>
    <cellStyle name="20% - Accent3 8 9" xfId="802" xr:uid="{00000000-0005-0000-0000-00002E030000}"/>
    <cellStyle name="20% - Accent3 9" xfId="803" xr:uid="{00000000-0005-0000-0000-00002F030000}"/>
    <cellStyle name="20% - Accent3 9 10" xfId="804" xr:uid="{00000000-0005-0000-0000-000030030000}"/>
    <cellStyle name="20% - Accent3 9 2" xfId="805" xr:uid="{00000000-0005-0000-0000-000031030000}"/>
    <cellStyle name="20% - Accent3 9 3" xfId="806" xr:uid="{00000000-0005-0000-0000-000032030000}"/>
    <cellStyle name="20% - Accent3 9 4" xfId="807" xr:uid="{00000000-0005-0000-0000-000033030000}"/>
    <cellStyle name="20% - Accent3 9 5" xfId="808" xr:uid="{00000000-0005-0000-0000-000034030000}"/>
    <cellStyle name="20% - Accent3 9 6" xfId="809" xr:uid="{00000000-0005-0000-0000-000035030000}"/>
    <cellStyle name="20% - Accent3 9 7" xfId="810" xr:uid="{00000000-0005-0000-0000-000036030000}"/>
    <cellStyle name="20% - Accent3 9 8" xfId="811" xr:uid="{00000000-0005-0000-0000-000037030000}"/>
    <cellStyle name="20% - Accent3 9 9" xfId="812" xr:uid="{00000000-0005-0000-0000-000038030000}"/>
    <cellStyle name="20% - Accent4 10" xfId="813" xr:uid="{00000000-0005-0000-0000-000039030000}"/>
    <cellStyle name="20% - Accent4 10 10" xfId="814" xr:uid="{00000000-0005-0000-0000-00003A030000}"/>
    <cellStyle name="20% - Accent4 10 2" xfId="815" xr:uid="{00000000-0005-0000-0000-00003B030000}"/>
    <cellStyle name="20% - Accent4 10 3" xfId="816" xr:uid="{00000000-0005-0000-0000-00003C030000}"/>
    <cellStyle name="20% - Accent4 10 4" xfId="817" xr:uid="{00000000-0005-0000-0000-00003D030000}"/>
    <cellStyle name="20% - Accent4 10 5" xfId="818" xr:uid="{00000000-0005-0000-0000-00003E030000}"/>
    <cellStyle name="20% - Accent4 10 6" xfId="819" xr:uid="{00000000-0005-0000-0000-00003F030000}"/>
    <cellStyle name="20% - Accent4 10 7" xfId="820" xr:uid="{00000000-0005-0000-0000-000040030000}"/>
    <cellStyle name="20% - Accent4 10 8" xfId="821" xr:uid="{00000000-0005-0000-0000-000041030000}"/>
    <cellStyle name="20% - Accent4 10 9" xfId="822" xr:uid="{00000000-0005-0000-0000-000042030000}"/>
    <cellStyle name="20% - Accent4 11" xfId="823" xr:uid="{00000000-0005-0000-0000-000043030000}"/>
    <cellStyle name="20% - Accent4 11 10" xfId="824" xr:uid="{00000000-0005-0000-0000-000044030000}"/>
    <cellStyle name="20% - Accent4 11 2" xfId="825" xr:uid="{00000000-0005-0000-0000-000045030000}"/>
    <cellStyle name="20% - Accent4 11 3" xfId="826" xr:uid="{00000000-0005-0000-0000-000046030000}"/>
    <cellStyle name="20% - Accent4 11 4" xfId="827" xr:uid="{00000000-0005-0000-0000-000047030000}"/>
    <cellStyle name="20% - Accent4 11 5" xfId="828" xr:uid="{00000000-0005-0000-0000-000048030000}"/>
    <cellStyle name="20% - Accent4 11 6" xfId="829" xr:uid="{00000000-0005-0000-0000-000049030000}"/>
    <cellStyle name="20% - Accent4 11 7" xfId="830" xr:uid="{00000000-0005-0000-0000-00004A030000}"/>
    <cellStyle name="20% - Accent4 11 8" xfId="831" xr:uid="{00000000-0005-0000-0000-00004B030000}"/>
    <cellStyle name="20% - Accent4 11 9" xfId="832" xr:uid="{00000000-0005-0000-0000-00004C030000}"/>
    <cellStyle name="20% - Accent4 12" xfId="833" xr:uid="{00000000-0005-0000-0000-00004D030000}"/>
    <cellStyle name="20% - Accent4 12 10" xfId="834" xr:uid="{00000000-0005-0000-0000-00004E030000}"/>
    <cellStyle name="20% - Accent4 12 2" xfId="835" xr:uid="{00000000-0005-0000-0000-00004F030000}"/>
    <cellStyle name="20% - Accent4 12 3" xfId="836" xr:uid="{00000000-0005-0000-0000-000050030000}"/>
    <cellStyle name="20% - Accent4 12 4" xfId="837" xr:uid="{00000000-0005-0000-0000-000051030000}"/>
    <cellStyle name="20% - Accent4 12 5" xfId="838" xr:uid="{00000000-0005-0000-0000-000052030000}"/>
    <cellStyle name="20% - Accent4 12 6" xfId="839" xr:uid="{00000000-0005-0000-0000-000053030000}"/>
    <cellStyle name="20% - Accent4 12 7" xfId="840" xr:uid="{00000000-0005-0000-0000-000054030000}"/>
    <cellStyle name="20% - Accent4 12 8" xfId="841" xr:uid="{00000000-0005-0000-0000-000055030000}"/>
    <cellStyle name="20% - Accent4 12 9" xfId="842" xr:uid="{00000000-0005-0000-0000-000056030000}"/>
    <cellStyle name="20% - Accent4 13" xfId="843" xr:uid="{00000000-0005-0000-0000-000057030000}"/>
    <cellStyle name="20% - Accent4 13 10" xfId="844" xr:uid="{00000000-0005-0000-0000-000058030000}"/>
    <cellStyle name="20% - Accent4 13 2" xfId="845" xr:uid="{00000000-0005-0000-0000-000059030000}"/>
    <cellStyle name="20% - Accent4 13 3" xfId="846" xr:uid="{00000000-0005-0000-0000-00005A030000}"/>
    <cellStyle name="20% - Accent4 13 4" xfId="847" xr:uid="{00000000-0005-0000-0000-00005B030000}"/>
    <cellStyle name="20% - Accent4 13 5" xfId="848" xr:uid="{00000000-0005-0000-0000-00005C030000}"/>
    <cellStyle name="20% - Accent4 13 6" xfId="849" xr:uid="{00000000-0005-0000-0000-00005D030000}"/>
    <cellStyle name="20% - Accent4 13 7" xfId="850" xr:uid="{00000000-0005-0000-0000-00005E030000}"/>
    <cellStyle name="20% - Accent4 13 8" xfId="851" xr:uid="{00000000-0005-0000-0000-00005F030000}"/>
    <cellStyle name="20% - Accent4 13 9" xfId="852" xr:uid="{00000000-0005-0000-0000-000060030000}"/>
    <cellStyle name="20% - Accent4 14" xfId="853" xr:uid="{00000000-0005-0000-0000-000061030000}"/>
    <cellStyle name="20% - Accent4 14 10" xfId="854" xr:uid="{00000000-0005-0000-0000-000062030000}"/>
    <cellStyle name="20% - Accent4 14 2" xfId="855" xr:uid="{00000000-0005-0000-0000-000063030000}"/>
    <cellStyle name="20% - Accent4 14 3" xfId="856" xr:uid="{00000000-0005-0000-0000-000064030000}"/>
    <cellStyle name="20% - Accent4 14 4" xfId="857" xr:uid="{00000000-0005-0000-0000-000065030000}"/>
    <cellStyle name="20% - Accent4 14 5" xfId="858" xr:uid="{00000000-0005-0000-0000-000066030000}"/>
    <cellStyle name="20% - Accent4 14 6" xfId="859" xr:uid="{00000000-0005-0000-0000-000067030000}"/>
    <cellStyle name="20% - Accent4 14 7" xfId="860" xr:uid="{00000000-0005-0000-0000-000068030000}"/>
    <cellStyle name="20% - Accent4 14 8" xfId="861" xr:uid="{00000000-0005-0000-0000-000069030000}"/>
    <cellStyle name="20% - Accent4 14 9" xfId="862" xr:uid="{00000000-0005-0000-0000-00006A030000}"/>
    <cellStyle name="20% - Accent4 15" xfId="863" xr:uid="{00000000-0005-0000-0000-00006B030000}"/>
    <cellStyle name="20% - Accent4 15 10" xfId="864" xr:uid="{00000000-0005-0000-0000-00006C030000}"/>
    <cellStyle name="20% - Accent4 15 2" xfId="865" xr:uid="{00000000-0005-0000-0000-00006D030000}"/>
    <cellStyle name="20% - Accent4 15 3" xfId="866" xr:uid="{00000000-0005-0000-0000-00006E030000}"/>
    <cellStyle name="20% - Accent4 15 4" xfId="867" xr:uid="{00000000-0005-0000-0000-00006F030000}"/>
    <cellStyle name="20% - Accent4 15 5" xfId="868" xr:uid="{00000000-0005-0000-0000-000070030000}"/>
    <cellStyle name="20% - Accent4 15 6" xfId="869" xr:uid="{00000000-0005-0000-0000-000071030000}"/>
    <cellStyle name="20% - Accent4 15 7" xfId="870" xr:uid="{00000000-0005-0000-0000-000072030000}"/>
    <cellStyle name="20% - Accent4 15 8" xfId="871" xr:uid="{00000000-0005-0000-0000-000073030000}"/>
    <cellStyle name="20% - Accent4 15 9" xfId="872" xr:uid="{00000000-0005-0000-0000-000074030000}"/>
    <cellStyle name="20% - Accent4 16" xfId="873" xr:uid="{00000000-0005-0000-0000-000075030000}"/>
    <cellStyle name="20% - Accent4 16 10" xfId="874" xr:uid="{00000000-0005-0000-0000-000076030000}"/>
    <cellStyle name="20% - Accent4 16 2" xfId="875" xr:uid="{00000000-0005-0000-0000-000077030000}"/>
    <cellStyle name="20% - Accent4 16 3" xfId="876" xr:uid="{00000000-0005-0000-0000-000078030000}"/>
    <cellStyle name="20% - Accent4 16 4" xfId="877" xr:uid="{00000000-0005-0000-0000-000079030000}"/>
    <cellStyle name="20% - Accent4 16 5" xfId="878" xr:uid="{00000000-0005-0000-0000-00007A030000}"/>
    <cellStyle name="20% - Accent4 16 6" xfId="879" xr:uid="{00000000-0005-0000-0000-00007B030000}"/>
    <cellStyle name="20% - Accent4 16 7" xfId="880" xr:uid="{00000000-0005-0000-0000-00007C030000}"/>
    <cellStyle name="20% - Accent4 16 8" xfId="881" xr:uid="{00000000-0005-0000-0000-00007D030000}"/>
    <cellStyle name="20% - Accent4 16 9" xfId="882" xr:uid="{00000000-0005-0000-0000-00007E030000}"/>
    <cellStyle name="20% - Accent4 17" xfId="883" xr:uid="{00000000-0005-0000-0000-00007F030000}"/>
    <cellStyle name="20% - Accent4 17 10" xfId="884" xr:uid="{00000000-0005-0000-0000-000080030000}"/>
    <cellStyle name="20% - Accent4 17 2" xfId="885" xr:uid="{00000000-0005-0000-0000-000081030000}"/>
    <cellStyle name="20% - Accent4 17 3" xfId="886" xr:uid="{00000000-0005-0000-0000-000082030000}"/>
    <cellStyle name="20% - Accent4 17 4" xfId="887" xr:uid="{00000000-0005-0000-0000-000083030000}"/>
    <cellStyle name="20% - Accent4 17 5" xfId="888" xr:uid="{00000000-0005-0000-0000-000084030000}"/>
    <cellStyle name="20% - Accent4 17 6" xfId="889" xr:uid="{00000000-0005-0000-0000-000085030000}"/>
    <cellStyle name="20% - Accent4 17 7" xfId="890" xr:uid="{00000000-0005-0000-0000-000086030000}"/>
    <cellStyle name="20% - Accent4 17 8" xfId="891" xr:uid="{00000000-0005-0000-0000-000087030000}"/>
    <cellStyle name="20% - Accent4 17 9" xfId="892" xr:uid="{00000000-0005-0000-0000-000088030000}"/>
    <cellStyle name="20% - Accent4 18" xfId="893" xr:uid="{00000000-0005-0000-0000-000089030000}"/>
    <cellStyle name="20% - Accent4 18 2" xfId="894" xr:uid="{00000000-0005-0000-0000-00008A030000}"/>
    <cellStyle name="20% - Accent4 18 3" xfId="895" xr:uid="{00000000-0005-0000-0000-00008B030000}"/>
    <cellStyle name="20% - Accent4 18 4" xfId="896" xr:uid="{00000000-0005-0000-0000-00008C030000}"/>
    <cellStyle name="20% - Accent4 18 5" xfId="897" xr:uid="{00000000-0005-0000-0000-00008D030000}"/>
    <cellStyle name="20% - Accent4 18 6" xfId="898" xr:uid="{00000000-0005-0000-0000-00008E030000}"/>
    <cellStyle name="20% - Accent4 18 7" xfId="899" xr:uid="{00000000-0005-0000-0000-00008F030000}"/>
    <cellStyle name="20% - Accent4 18 8" xfId="900" xr:uid="{00000000-0005-0000-0000-000090030000}"/>
    <cellStyle name="20% - Accent4 19" xfId="901" xr:uid="{00000000-0005-0000-0000-000091030000}"/>
    <cellStyle name="20% - Accent4 19 2" xfId="902" xr:uid="{00000000-0005-0000-0000-000092030000}"/>
    <cellStyle name="20% - Accent4 19 3" xfId="903" xr:uid="{00000000-0005-0000-0000-000093030000}"/>
    <cellStyle name="20% - Accent4 19 4" xfId="904" xr:uid="{00000000-0005-0000-0000-000094030000}"/>
    <cellStyle name="20% - Accent4 19 5" xfId="905" xr:uid="{00000000-0005-0000-0000-000095030000}"/>
    <cellStyle name="20% - Accent4 19 6" xfId="906" xr:uid="{00000000-0005-0000-0000-000096030000}"/>
    <cellStyle name="20% - Accent4 19 7" xfId="907" xr:uid="{00000000-0005-0000-0000-000097030000}"/>
    <cellStyle name="20% - Accent4 19 8" xfId="908" xr:uid="{00000000-0005-0000-0000-000098030000}"/>
    <cellStyle name="20% - Accent4 2" xfId="909" xr:uid="{00000000-0005-0000-0000-000099030000}"/>
    <cellStyle name="20% - Accent4 2 10" xfId="910" xr:uid="{00000000-0005-0000-0000-00009A030000}"/>
    <cellStyle name="20% - Accent4 2 11" xfId="21679" xr:uid="{00000000-0005-0000-0000-00009B030000}"/>
    <cellStyle name="20% - Accent4 2 2" xfId="911" xr:uid="{00000000-0005-0000-0000-00009C030000}"/>
    <cellStyle name="20% - Accent4 2 2 2" xfId="21944" xr:uid="{00000000-0005-0000-0000-00009D030000}"/>
    <cellStyle name="20% - Accent4 2 3" xfId="912" xr:uid="{00000000-0005-0000-0000-00009E030000}"/>
    <cellStyle name="20% - Accent4 2 4" xfId="913" xr:uid="{00000000-0005-0000-0000-00009F030000}"/>
    <cellStyle name="20% - Accent4 2 5" xfId="914" xr:uid="{00000000-0005-0000-0000-0000A0030000}"/>
    <cellStyle name="20% - Accent4 2 6" xfId="915" xr:uid="{00000000-0005-0000-0000-0000A1030000}"/>
    <cellStyle name="20% - Accent4 2 7" xfId="916" xr:uid="{00000000-0005-0000-0000-0000A2030000}"/>
    <cellStyle name="20% - Accent4 2 8" xfId="917" xr:uid="{00000000-0005-0000-0000-0000A3030000}"/>
    <cellStyle name="20% - Accent4 2 9" xfId="918" xr:uid="{00000000-0005-0000-0000-0000A4030000}"/>
    <cellStyle name="20% - Accent4 20" xfId="919" xr:uid="{00000000-0005-0000-0000-0000A5030000}"/>
    <cellStyle name="20% - Accent4 20 2" xfId="920" xr:uid="{00000000-0005-0000-0000-0000A6030000}"/>
    <cellStyle name="20% - Accent4 20 3" xfId="921" xr:uid="{00000000-0005-0000-0000-0000A7030000}"/>
    <cellStyle name="20% - Accent4 20 4" xfId="922" xr:uid="{00000000-0005-0000-0000-0000A8030000}"/>
    <cellStyle name="20% - Accent4 20 5" xfId="923" xr:uid="{00000000-0005-0000-0000-0000A9030000}"/>
    <cellStyle name="20% - Accent4 20 6" xfId="924" xr:uid="{00000000-0005-0000-0000-0000AA030000}"/>
    <cellStyle name="20% - Accent4 20 7" xfId="925" xr:uid="{00000000-0005-0000-0000-0000AB030000}"/>
    <cellStyle name="20% - Accent4 20 8" xfId="926" xr:uid="{00000000-0005-0000-0000-0000AC030000}"/>
    <cellStyle name="20% - Accent4 21" xfId="927" xr:uid="{00000000-0005-0000-0000-0000AD030000}"/>
    <cellStyle name="20% - Accent4 21 2" xfId="928" xr:uid="{00000000-0005-0000-0000-0000AE030000}"/>
    <cellStyle name="20% - Accent4 21 3" xfId="929" xr:uid="{00000000-0005-0000-0000-0000AF030000}"/>
    <cellStyle name="20% - Accent4 21 4" xfId="930" xr:uid="{00000000-0005-0000-0000-0000B0030000}"/>
    <cellStyle name="20% - Accent4 21 5" xfId="931" xr:uid="{00000000-0005-0000-0000-0000B1030000}"/>
    <cellStyle name="20% - Accent4 21 6" xfId="932" xr:uid="{00000000-0005-0000-0000-0000B2030000}"/>
    <cellStyle name="20% - Accent4 21 7" xfId="933" xr:uid="{00000000-0005-0000-0000-0000B3030000}"/>
    <cellStyle name="20% - Accent4 21 8" xfId="934" xr:uid="{00000000-0005-0000-0000-0000B4030000}"/>
    <cellStyle name="20% - Accent4 22" xfId="935" xr:uid="{00000000-0005-0000-0000-0000B5030000}"/>
    <cellStyle name="20% - Accent4 22 2" xfId="936" xr:uid="{00000000-0005-0000-0000-0000B6030000}"/>
    <cellStyle name="20% - Accent4 22 3" xfId="937" xr:uid="{00000000-0005-0000-0000-0000B7030000}"/>
    <cellStyle name="20% - Accent4 22 4" xfId="938" xr:uid="{00000000-0005-0000-0000-0000B8030000}"/>
    <cellStyle name="20% - Accent4 22 5" xfId="939" xr:uid="{00000000-0005-0000-0000-0000B9030000}"/>
    <cellStyle name="20% - Accent4 22 6" xfId="940" xr:uid="{00000000-0005-0000-0000-0000BA030000}"/>
    <cellStyle name="20% - Accent4 22 7" xfId="941" xr:uid="{00000000-0005-0000-0000-0000BB030000}"/>
    <cellStyle name="20% - Accent4 22 8" xfId="942" xr:uid="{00000000-0005-0000-0000-0000BC030000}"/>
    <cellStyle name="20% - Accent4 23" xfId="943" xr:uid="{00000000-0005-0000-0000-0000BD030000}"/>
    <cellStyle name="20% - Accent4 23 2" xfId="944" xr:uid="{00000000-0005-0000-0000-0000BE030000}"/>
    <cellStyle name="20% - Accent4 23 3" xfId="945" xr:uid="{00000000-0005-0000-0000-0000BF030000}"/>
    <cellStyle name="20% - Accent4 23 4" xfId="946" xr:uid="{00000000-0005-0000-0000-0000C0030000}"/>
    <cellStyle name="20% - Accent4 23 5" xfId="947" xr:uid="{00000000-0005-0000-0000-0000C1030000}"/>
    <cellStyle name="20% - Accent4 23 6" xfId="948" xr:uid="{00000000-0005-0000-0000-0000C2030000}"/>
    <cellStyle name="20% - Accent4 23 7" xfId="949" xr:uid="{00000000-0005-0000-0000-0000C3030000}"/>
    <cellStyle name="20% - Accent4 23 8" xfId="950" xr:uid="{00000000-0005-0000-0000-0000C4030000}"/>
    <cellStyle name="20% - Accent4 24" xfId="951" xr:uid="{00000000-0005-0000-0000-0000C5030000}"/>
    <cellStyle name="20% - Accent4 24 2" xfId="952" xr:uid="{00000000-0005-0000-0000-0000C6030000}"/>
    <cellStyle name="20% - Accent4 24 3" xfId="953" xr:uid="{00000000-0005-0000-0000-0000C7030000}"/>
    <cellStyle name="20% - Accent4 24 4" xfId="954" xr:uid="{00000000-0005-0000-0000-0000C8030000}"/>
    <cellStyle name="20% - Accent4 24 5" xfId="955" xr:uid="{00000000-0005-0000-0000-0000C9030000}"/>
    <cellStyle name="20% - Accent4 24 6" xfId="956" xr:uid="{00000000-0005-0000-0000-0000CA030000}"/>
    <cellStyle name="20% - Accent4 24 7" xfId="957" xr:uid="{00000000-0005-0000-0000-0000CB030000}"/>
    <cellStyle name="20% - Accent4 24 8" xfId="958" xr:uid="{00000000-0005-0000-0000-0000CC030000}"/>
    <cellStyle name="20% - Accent4 25" xfId="959" xr:uid="{00000000-0005-0000-0000-0000CD030000}"/>
    <cellStyle name="20% - Accent4 25 2" xfId="960" xr:uid="{00000000-0005-0000-0000-0000CE030000}"/>
    <cellStyle name="20% - Accent4 25 3" xfId="961" xr:uid="{00000000-0005-0000-0000-0000CF030000}"/>
    <cellStyle name="20% - Accent4 25 4" xfId="962" xr:uid="{00000000-0005-0000-0000-0000D0030000}"/>
    <cellStyle name="20% - Accent4 25 5" xfId="963" xr:uid="{00000000-0005-0000-0000-0000D1030000}"/>
    <cellStyle name="20% - Accent4 25 6" xfId="964" xr:uid="{00000000-0005-0000-0000-0000D2030000}"/>
    <cellStyle name="20% - Accent4 25 7" xfId="965" xr:uid="{00000000-0005-0000-0000-0000D3030000}"/>
    <cellStyle name="20% - Accent4 25 8" xfId="966" xr:uid="{00000000-0005-0000-0000-0000D4030000}"/>
    <cellStyle name="20% - Accent4 26" xfId="967" xr:uid="{00000000-0005-0000-0000-0000D5030000}"/>
    <cellStyle name="20% - Accent4 26 2" xfId="968" xr:uid="{00000000-0005-0000-0000-0000D6030000}"/>
    <cellStyle name="20% - Accent4 26 3" xfId="969" xr:uid="{00000000-0005-0000-0000-0000D7030000}"/>
    <cellStyle name="20% - Accent4 26 4" xfId="970" xr:uid="{00000000-0005-0000-0000-0000D8030000}"/>
    <cellStyle name="20% - Accent4 26 5" xfId="971" xr:uid="{00000000-0005-0000-0000-0000D9030000}"/>
    <cellStyle name="20% - Accent4 26 6" xfId="972" xr:uid="{00000000-0005-0000-0000-0000DA030000}"/>
    <cellStyle name="20% - Accent4 26 7" xfId="973" xr:uid="{00000000-0005-0000-0000-0000DB030000}"/>
    <cellStyle name="20% - Accent4 26 8" xfId="974" xr:uid="{00000000-0005-0000-0000-0000DC030000}"/>
    <cellStyle name="20% - Accent4 27" xfId="975" xr:uid="{00000000-0005-0000-0000-0000DD030000}"/>
    <cellStyle name="20% - Accent4 27 2" xfId="976" xr:uid="{00000000-0005-0000-0000-0000DE030000}"/>
    <cellStyle name="20% - Accent4 27 3" xfId="977" xr:uid="{00000000-0005-0000-0000-0000DF030000}"/>
    <cellStyle name="20% - Accent4 27 4" xfId="978" xr:uid="{00000000-0005-0000-0000-0000E0030000}"/>
    <cellStyle name="20% - Accent4 27 5" xfId="979" xr:uid="{00000000-0005-0000-0000-0000E1030000}"/>
    <cellStyle name="20% - Accent4 27 6" xfId="980" xr:uid="{00000000-0005-0000-0000-0000E2030000}"/>
    <cellStyle name="20% - Accent4 27 7" xfId="981" xr:uid="{00000000-0005-0000-0000-0000E3030000}"/>
    <cellStyle name="20% - Accent4 27 8" xfId="982" xr:uid="{00000000-0005-0000-0000-0000E4030000}"/>
    <cellStyle name="20% - Accent4 28" xfId="983" xr:uid="{00000000-0005-0000-0000-0000E5030000}"/>
    <cellStyle name="20% - Accent4 28 2" xfId="984" xr:uid="{00000000-0005-0000-0000-0000E6030000}"/>
    <cellStyle name="20% - Accent4 28 3" xfId="985" xr:uid="{00000000-0005-0000-0000-0000E7030000}"/>
    <cellStyle name="20% - Accent4 28 4" xfId="986" xr:uid="{00000000-0005-0000-0000-0000E8030000}"/>
    <cellStyle name="20% - Accent4 28 5" xfId="987" xr:uid="{00000000-0005-0000-0000-0000E9030000}"/>
    <cellStyle name="20% - Accent4 28 6" xfId="988" xr:uid="{00000000-0005-0000-0000-0000EA030000}"/>
    <cellStyle name="20% - Accent4 28 7" xfId="989" xr:uid="{00000000-0005-0000-0000-0000EB030000}"/>
    <cellStyle name="20% - Accent4 28 8" xfId="990" xr:uid="{00000000-0005-0000-0000-0000EC030000}"/>
    <cellStyle name="20% - Accent4 29" xfId="991" xr:uid="{00000000-0005-0000-0000-0000ED030000}"/>
    <cellStyle name="20% - Accent4 29 2" xfId="992" xr:uid="{00000000-0005-0000-0000-0000EE030000}"/>
    <cellStyle name="20% - Accent4 29 3" xfId="993" xr:uid="{00000000-0005-0000-0000-0000EF030000}"/>
    <cellStyle name="20% - Accent4 29 4" xfId="994" xr:uid="{00000000-0005-0000-0000-0000F0030000}"/>
    <cellStyle name="20% - Accent4 29 5" xfId="995" xr:uid="{00000000-0005-0000-0000-0000F1030000}"/>
    <cellStyle name="20% - Accent4 29 6" xfId="996" xr:uid="{00000000-0005-0000-0000-0000F2030000}"/>
    <cellStyle name="20% - Accent4 29 7" xfId="997" xr:uid="{00000000-0005-0000-0000-0000F3030000}"/>
    <cellStyle name="20% - Accent4 29 8" xfId="998" xr:uid="{00000000-0005-0000-0000-0000F4030000}"/>
    <cellStyle name="20% - Accent4 3" xfId="999" xr:uid="{00000000-0005-0000-0000-0000F5030000}"/>
    <cellStyle name="20% - Accent4 3 10" xfId="1000" xr:uid="{00000000-0005-0000-0000-0000F6030000}"/>
    <cellStyle name="20% - Accent4 3 11" xfId="21945" xr:uid="{00000000-0005-0000-0000-0000F7030000}"/>
    <cellStyle name="20% - Accent4 3 2" xfId="1001" xr:uid="{00000000-0005-0000-0000-0000F8030000}"/>
    <cellStyle name="20% - Accent4 3 2 2" xfId="21946" xr:uid="{00000000-0005-0000-0000-0000F9030000}"/>
    <cellStyle name="20% - Accent4 3 3" xfId="1002" xr:uid="{00000000-0005-0000-0000-0000FA030000}"/>
    <cellStyle name="20% - Accent4 3 4" xfId="1003" xr:uid="{00000000-0005-0000-0000-0000FB030000}"/>
    <cellStyle name="20% - Accent4 3 5" xfId="1004" xr:uid="{00000000-0005-0000-0000-0000FC030000}"/>
    <cellStyle name="20% - Accent4 3 6" xfId="1005" xr:uid="{00000000-0005-0000-0000-0000FD030000}"/>
    <cellStyle name="20% - Accent4 3 7" xfId="1006" xr:uid="{00000000-0005-0000-0000-0000FE030000}"/>
    <cellStyle name="20% - Accent4 3 8" xfId="1007" xr:uid="{00000000-0005-0000-0000-0000FF030000}"/>
    <cellStyle name="20% - Accent4 3 9" xfId="1008" xr:uid="{00000000-0005-0000-0000-000000040000}"/>
    <cellStyle name="20% - Accent4 30" xfId="1009" xr:uid="{00000000-0005-0000-0000-000001040000}"/>
    <cellStyle name="20% - Accent4 31" xfId="1010" xr:uid="{00000000-0005-0000-0000-000002040000}"/>
    <cellStyle name="20% - Accent4 32" xfId="1011" xr:uid="{00000000-0005-0000-0000-000003040000}"/>
    <cellStyle name="20% - Accent4 33" xfId="1012" xr:uid="{00000000-0005-0000-0000-000004040000}"/>
    <cellStyle name="20% - Accent4 34" xfId="1013" xr:uid="{00000000-0005-0000-0000-000005040000}"/>
    <cellStyle name="20% - Accent4 35" xfId="1014" xr:uid="{00000000-0005-0000-0000-000006040000}"/>
    <cellStyle name="20% - Accent4 36" xfId="1015" xr:uid="{00000000-0005-0000-0000-000007040000}"/>
    <cellStyle name="20% - Accent4 37" xfId="1016" xr:uid="{00000000-0005-0000-0000-000008040000}"/>
    <cellStyle name="20% - Accent4 38" xfId="1017" xr:uid="{00000000-0005-0000-0000-000009040000}"/>
    <cellStyle name="20% - Accent4 39" xfId="1018" xr:uid="{00000000-0005-0000-0000-00000A040000}"/>
    <cellStyle name="20% - Accent4 4" xfId="1019" xr:uid="{00000000-0005-0000-0000-00000B040000}"/>
    <cellStyle name="20% - Accent4 4 10" xfId="1020" xr:uid="{00000000-0005-0000-0000-00000C040000}"/>
    <cellStyle name="20% - Accent4 4 11" xfId="21947" xr:uid="{00000000-0005-0000-0000-00000D040000}"/>
    <cellStyle name="20% - Accent4 4 2" xfId="1021" xr:uid="{00000000-0005-0000-0000-00000E040000}"/>
    <cellStyle name="20% - Accent4 4 2 2" xfId="21948" xr:uid="{00000000-0005-0000-0000-00000F040000}"/>
    <cellStyle name="20% - Accent4 4 3" xfId="1022" xr:uid="{00000000-0005-0000-0000-000010040000}"/>
    <cellStyle name="20% - Accent4 4 4" xfId="1023" xr:uid="{00000000-0005-0000-0000-000011040000}"/>
    <cellStyle name="20% - Accent4 4 5" xfId="1024" xr:uid="{00000000-0005-0000-0000-000012040000}"/>
    <cellStyle name="20% - Accent4 4 6" xfId="1025" xr:uid="{00000000-0005-0000-0000-000013040000}"/>
    <cellStyle name="20% - Accent4 4 7" xfId="1026" xr:uid="{00000000-0005-0000-0000-000014040000}"/>
    <cellStyle name="20% - Accent4 4 8" xfId="1027" xr:uid="{00000000-0005-0000-0000-000015040000}"/>
    <cellStyle name="20% - Accent4 4 9" xfId="1028" xr:uid="{00000000-0005-0000-0000-000016040000}"/>
    <cellStyle name="20% - Accent4 40" xfId="21680" xr:uid="{00000000-0005-0000-0000-000017040000}"/>
    <cellStyle name="20% - Accent4 5" xfId="1029" xr:uid="{00000000-0005-0000-0000-000018040000}"/>
    <cellStyle name="20% - Accent4 5 10" xfId="1030" xr:uid="{00000000-0005-0000-0000-000019040000}"/>
    <cellStyle name="20% - Accent4 5 11" xfId="21949" xr:uid="{00000000-0005-0000-0000-00001A040000}"/>
    <cellStyle name="20% - Accent4 5 2" xfId="1031" xr:uid="{00000000-0005-0000-0000-00001B040000}"/>
    <cellStyle name="20% - Accent4 5 2 2" xfId="21950" xr:uid="{00000000-0005-0000-0000-00001C040000}"/>
    <cellStyle name="20% - Accent4 5 3" xfId="1032" xr:uid="{00000000-0005-0000-0000-00001D040000}"/>
    <cellStyle name="20% - Accent4 5 4" xfId="1033" xr:uid="{00000000-0005-0000-0000-00001E040000}"/>
    <cellStyle name="20% - Accent4 5 5" xfId="1034" xr:uid="{00000000-0005-0000-0000-00001F040000}"/>
    <cellStyle name="20% - Accent4 5 6" xfId="1035" xr:uid="{00000000-0005-0000-0000-000020040000}"/>
    <cellStyle name="20% - Accent4 5 7" xfId="1036" xr:uid="{00000000-0005-0000-0000-000021040000}"/>
    <cellStyle name="20% - Accent4 5 8" xfId="1037" xr:uid="{00000000-0005-0000-0000-000022040000}"/>
    <cellStyle name="20% - Accent4 5 9" xfId="1038" xr:uid="{00000000-0005-0000-0000-000023040000}"/>
    <cellStyle name="20% - Accent4 6" xfId="1039" xr:uid="{00000000-0005-0000-0000-000024040000}"/>
    <cellStyle name="20% - Accent4 6 10" xfId="1040" xr:uid="{00000000-0005-0000-0000-000025040000}"/>
    <cellStyle name="20% - Accent4 6 2" xfId="1041" xr:uid="{00000000-0005-0000-0000-000026040000}"/>
    <cellStyle name="20% - Accent4 6 3" xfId="1042" xr:uid="{00000000-0005-0000-0000-000027040000}"/>
    <cellStyle name="20% - Accent4 6 4" xfId="1043" xr:uid="{00000000-0005-0000-0000-000028040000}"/>
    <cellStyle name="20% - Accent4 6 5" xfId="1044" xr:uid="{00000000-0005-0000-0000-000029040000}"/>
    <cellStyle name="20% - Accent4 6 6" xfId="1045" xr:uid="{00000000-0005-0000-0000-00002A040000}"/>
    <cellStyle name="20% - Accent4 6 7" xfId="1046" xr:uid="{00000000-0005-0000-0000-00002B040000}"/>
    <cellStyle name="20% - Accent4 6 8" xfId="1047" xr:uid="{00000000-0005-0000-0000-00002C040000}"/>
    <cellStyle name="20% - Accent4 6 9" xfId="1048" xr:uid="{00000000-0005-0000-0000-00002D040000}"/>
    <cellStyle name="20% - Accent4 7" xfId="1049" xr:uid="{00000000-0005-0000-0000-00002E040000}"/>
    <cellStyle name="20% - Accent4 7 10" xfId="1050" xr:uid="{00000000-0005-0000-0000-00002F040000}"/>
    <cellStyle name="20% - Accent4 7 2" xfId="1051" xr:uid="{00000000-0005-0000-0000-000030040000}"/>
    <cellStyle name="20% - Accent4 7 3" xfId="1052" xr:uid="{00000000-0005-0000-0000-000031040000}"/>
    <cellStyle name="20% - Accent4 7 4" xfId="1053" xr:uid="{00000000-0005-0000-0000-000032040000}"/>
    <cellStyle name="20% - Accent4 7 5" xfId="1054" xr:uid="{00000000-0005-0000-0000-000033040000}"/>
    <cellStyle name="20% - Accent4 7 6" xfId="1055" xr:uid="{00000000-0005-0000-0000-000034040000}"/>
    <cellStyle name="20% - Accent4 7 7" xfId="1056" xr:uid="{00000000-0005-0000-0000-000035040000}"/>
    <cellStyle name="20% - Accent4 7 8" xfId="1057" xr:uid="{00000000-0005-0000-0000-000036040000}"/>
    <cellStyle name="20% - Accent4 7 9" xfId="1058" xr:uid="{00000000-0005-0000-0000-000037040000}"/>
    <cellStyle name="20% - Accent4 8" xfId="1059" xr:uid="{00000000-0005-0000-0000-000038040000}"/>
    <cellStyle name="20% - Accent4 8 10" xfId="1060" xr:uid="{00000000-0005-0000-0000-000039040000}"/>
    <cellStyle name="20% - Accent4 8 2" xfId="1061" xr:uid="{00000000-0005-0000-0000-00003A040000}"/>
    <cellStyle name="20% - Accent4 8 3" xfId="1062" xr:uid="{00000000-0005-0000-0000-00003B040000}"/>
    <cellStyle name="20% - Accent4 8 4" xfId="1063" xr:uid="{00000000-0005-0000-0000-00003C040000}"/>
    <cellStyle name="20% - Accent4 8 5" xfId="1064" xr:uid="{00000000-0005-0000-0000-00003D040000}"/>
    <cellStyle name="20% - Accent4 8 6" xfId="1065" xr:uid="{00000000-0005-0000-0000-00003E040000}"/>
    <cellStyle name="20% - Accent4 8 7" xfId="1066" xr:uid="{00000000-0005-0000-0000-00003F040000}"/>
    <cellStyle name="20% - Accent4 8 8" xfId="1067" xr:uid="{00000000-0005-0000-0000-000040040000}"/>
    <cellStyle name="20% - Accent4 8 9" xfId="1068" xr:uid="{00000000-0005-0000-0000-000041040000}"/>
    <cellStyle name="20% - Accent4 9" xfId="1069" xr:uid="{00000000-0005-0000-0000-000042040000}"/>
    <cellStyle name="20% - Accent4 9 10" xfId="1070" xr:uid="{00000000-0005-0000-0000-000043040000}"/>
    <cellStyle name="20% - Accent4 9 2" xfId="1071" xr:uid="{00000000-0005-0000-0000-000044040000}"/>
    <cellStyle name="20% - Accent4 9 3" xfId="1072" xr:uid="{00000000-0005-0000-0000-000045040000}"/>
    <cellStyle name="20% - Accent4 9 4" xfId="1073" xr:uid="{00000000-0005-0000-0000-000046040000}"/>
    <cellStyle name="20% - Accent4 9 5" xfId="1074" xr:uid="{00000000-0005-0000-0000-000047040000}"/>
    <cellStyle name="20% - Accent4 9 6" xfId="1075" xr:uid="{00000000-0005-0000-0000-000048040000}"/>
    <cellStyle name="20% - Accent4 9 7" xfId="1076" xr:uid="{00000000-0005-0000-0000-000049040000}"/>
    <cellStyle name="20% - Accent4 9 8" xfId="1077" xr:uid="{00000000-0005-0000-0000-00004A040000}"/>
    <cellStyle name="20% - Accent4 9 9" xfId="1078" xr:uid="{00000000-0005-0000-0000-00004B040000}"/>
    <cellStyle name="20% - Accent5 10" xfId="1079" xr:uid="{00000000-0005-0000-0000-00004C040000}"/>
    <cellStyle name="20% - Accent5 10 10" xfId="1080" xr:uid="{00000000-0005-0000-0000-00004D040000}"/>
    <cellStyle name="20% - Accent5 10 2" xfId="1081" xr:uid="{00000000-0005-0000-0000-00004E040000}"/>
    <cellStyle name="20% - Accent5 10 3" xfId="1082" xr:uid="{00000000-0005-0000-0000-00004F040000}"/>
    <cellStyle name="20% - Accent5 10 4" xfId="1083" xr:uid="{00000000-0005-0000-0000-000050040000}"/>
    <cellStyle name="20% - Accent5 10 5" xfId="1084" xr:uid="{00000000-0005-0000-0000-000051040000}"/>
    <cellStyle name="20% - Accent5 10 6" xfId="1085" xr:uid="{00000000-0005-0000-0000-000052040000}"/>
    <cellStyle name="20% - Accent5 10 7" xfId="1086" xr:uid="{00000000-0005-0000-0000-000053040000}"/>
    <cellStyle name="20% - Accent5 10 8" xfId="1087" xr:uid="{00000000-0005-0000-0000-000054040000}"/>
    <cellStyle name="20% - Accent5 10 9" xfId="1088" xr:uid="{00000000-0005-0000-0000-000055040000}"/>
    <cellStyle name="20% - Accent5 11" xfId="1089" xr:uid="{00000000-0005-0000-0000-000056040000}"/>
    <cellStyle name="20% - Accent5 11 10" xfId="1090" xr:uid="{00000000-0005-0000-0000-000057040000}"/>
    <cellStyle name="20% - Accent5 11 2" xfId="1091" xr:uid="{00000000-0005-0000-0000-000058040000}"/>
    <cellStyle name="20% - Accent5 11 3" xfId="1092" xr:uid="{00000000-0005-0000-0000-000059040000}"/>
    <cellStyle name="20% - Accent5 11 4" xfId="1093" xr:uid="{00000000-0005-0000-0000-00005A040000}"/>
    <cellStyle name="20% - Accent5 11 5" xfId="1094" xr:uid="{00000000-0005-0000-0000-00005B040000}"/>
    <cellStyle name="20% - Accent5 11 6" xfId="1095" xr:uid="{00000000-0005-0000-0000-00005C040000}"/>
    <cellStyle name="20% - Accent5 11 7" xfId="1096" xr:uid="{00000000-0005-0000-0000-00005D040000}"/>
    <cellStyle name="20% - Accent5 11 8" xfId="1097" xr:uid="{00000000-0005-0000-0000-00005E040000}"/>
    <cellStyle name="20% - Accent5 11 9" xfId="1098" xr:uid="{00000000-0005-0000-0000-00005F040000}"/>
    <cellStyle name="20% - Accent5 12" xfId="1099" xr:uid="{00000000-0005-0000-0000-000060040000}"/>
    <cellStyle name="20% - Accent5 12 10" xfId="1100" xr:uid="{00000000-0005-0000-0000-000061040000}"/>
    <cellStyle name="20% - Accent5 12 2" xfId="1101" xr:uid="{00000000-0005-0000-0000-000062040000}"/>
    <cellStyle name="20% - Accent5 12 3" xfId="1102" xr:uid="{00000000-0005-0000-0000-000063040000}"/>
    <cellStyle name="20% - Accent5 12 4" xfId="1103" xr:uid="{00000000-0005-0000-0000-000064040000}"/>
    <cellStyle name="20% - Accent5 12 5" xfId="1104" xr:uid="{00000000-0005-0000-0000-000065040000}"/>
    <cellStyle name="20% - Accent5 12 6" xfId="1105" xr:uid="{00000000-0005-0000-0000-000066040000}"/>
    <cellStyle name="20% - Accent5 12 7" xfId="1106" xr:uid="{00000000-0005-0000-0000-000067040000}"/>
    <cellStyle name="20% - Accent5 12 8" xfId="1107" xr:uid="{00000000-0005-0000-0000-000068040000}"/>
    <cellStyle name="20% - Accent5 12 9" xfId="1108" xr:uid="{00000000-0005-0000-0000-000069040000}"/>
    <cellStyle name="20% - Accent5 13" xfId="1109" xr:uid="{00000000-0005-0000-0000-00006A040000}"/>
    <cellStyle name="20% - Accent5 13 10" xfId="1110" xr:uid="{00000000-0005-0000-0000-00006B040000}"/>
    <cellStyle name="20% - Accent5 13 2" xfId="1111" xr:uid="{00000000-0005-0000-0000-00006C040000}"/>
    <cellStyle name="20% - Accent5 13 3" xfId="1112" xr:uid="{00000000-0005-0000-0000-00006D040000}"/>
    <cellStyle name="20% - Accent5 13 4" xfId="1113" xr:uid="{00000000-0005-0000-0000-00006E040000}"/>
    <cellStyle name="20% - Accent5 13 5" xfId="1114" xr:uid="{00000000-0005-0000-0000-00006F040000}"/>
    <cellStyle name="20% - Accent5 13 6" xfId="1115" xr:uid="{00000000-0005-0000-0000-000070040000}"/>
    <cellStyle name="20% - Accent5 13 7" xfId="1116" xr:uid="{00000000-0005-0000-0000-000071040000}"/>
    <cellStyle name="20% - Accent5 13 8" xfId="1117" xr:uid="{00000000-0005-0000-0000-000072040000}"/>
    <cellStyle name="20% - Accent5 13 9" xfId="1118" xr:uid="{00000000-0005-0000-0000-000073040000}"/>
    <cellStyle name="20% - Accent5 14" xfId="1119" xr:uid="{00000000-0005-0000-0000-000074040000}"/>
    <cellStyle name="20% - Accent5 14 10" xfId="1120" xr:uid="{00000000-0005-0000-0000-000075040000}"/>
    <cellStyle name="20% - Accent5 14 2" xfId="1121" xr:uid="{00000000-0005-0000-0000-000076040000}"/>
    <cellStyle name="20% - Accent5 14 3" xfId="1122" xr:uid="{00000000-0005-0000-0000-000077040000}"/>
    <cellStyle name="20% - Accent5 14 4" xfId="1123" xr:uid="{00000000-0005-0000-0000-000078040000}"/>
    <cellStyle name="20% - Accent5 14 5" xfId="1124" xr:uid="{00000000-0005-0000-0000-000079040000}"/>
    <cellStyle name="20% - Accent5 14 6" xfId="1125" xr:uid="{00000000-0005-0000-0000-00007A040000}"/>
    <cellStyle name="20% - Accent5 14 7" xfId="1126" xr:uid="{00000000-0005-0000-0000-00007B040000}"/>
    <cellStyle name="20% - Accent5 14 8" xfId="1127" xr:uid="{00000000-0005-0000-0000-00007C040000}"/>
    <cellStyle name="20% - Accent5 14 9" xfId="1128" xr:uid="{00000000-0005-0000-0000-00007D040000}"/>
    <cellStyle name="20% - Accent5 15" xfId="1129" xr:uid="{00000000-0005-0000-0000-00007E040000}"/>
    <cellStyle name="20% - Accent5 15 10" xfId="1130" xr:uid="{00000000-0005-0000-0000-00007F040000}"/>
    <cellStyle name="20% - Accent5 15 2" xfId="1131" xr:uid="{00000000-0005-0000-0000-000080040000}"/>
    <cellStyle name="20% - Accent5 15 3" xfId="1132" xr:uid="{00000000-0005-0000-0000-000081040000}"/>
    <cellStyle name="20% - Accent5 15 4" xfId="1133" xr:uid="{00000000-0005-0000-0000-000082040000}"/>
    <cellStyle name="20% - Accent5 15 5" xfId="1134" xr:uid="{00000000-0005-0000-0000-000083040000}"/>
    <cellStyle name="20% - Accent5 15 6" xfId="1135" xr:uid="{00000000-0005-0000-0000-000084040000}"/>
    <cellStyle name="20% - Accent5 15 7" xfId="1136" xr:uid="{00000000-0005-0000-0000-000085040000}"/>
    <cellStyle name="20% - Accent5 15 8" xfId="1137" xr:uid="{00000000-0005-0000-0000-000086040000}"/>
    <cellStyle name="20% - Accent5 15 9" xfId="1138" xr:uid="{00000000-0005-0000-0000-000087040000}"/>
    <cellStyle name="20% - Accent5 16" xfId="1139" xr:uid="{00000000-0005-0000-0000-000088040000}"/>
    <cellStyle name="20% - Accent5 16 10" xfId="1140" xr:uid="{00000000-0005-0000-0000-000089040000}"/>
    <cellStyle name="20% - Accent5 16 2" xfId="1141" xr:uid="{00000000-0005-0000-0000-00008A040000}"/>
    <cellStyle name="20% - Accent5 16 3" xfId="1142" xr:uid="{00000000-0005-0000-0000-00008B040000}"/>
    <cellStyle name="20% - Accent5 16 4" xfId="1143" xr:uid="{00000000-0005-0000-0000-00008C040000}"/>
    <cellStyle name="20% - Accent5 16 5" xfId="1144" xr:uid="{00000000-0005-0000-0000-00008D040000}"/>
    <cellStyle name="20% - Accent5 16 6" xfId="1145" xr:uid="{00000000-0005-0000-0000-00008E040000}"/>
    <cellStyle name="20% - Accent5 16 7" xfId="1146" xr:uid="{00000000-0005-0000-0000-00008F040000}"/>
    <cellStyle name="20% - Accent5 16 8" xfId="1147" xr:uid="{00000000-0005-0000-0000-000090040000}"/>
    <cellStyle name="20% - Accent5 16 9" xfId="1148" xr:uid="{00000000-0005-0000-0000-000091040000}"/>
    <cellStyle name="20% - Accent5 17" xfId="1149" xr:uid="{00000000-0005-0000-0000-000092040000}"/>
    <cellStyle name="20% - Accent5 17 10" xfId="1150" xr:uid="{00000000-0005-0000-0000-000093040000}"/>
    <cellStyle name="20% - Accent5 17 2" xfId="1151" xr:uid="{00000000-0005-0000-0000-000094040000}"/>
    <cellStyle name="20% - Accent5 17 3" xfId="1152" xr:uid="{00000000-0005-0000-0000-000095040000}"/>
    <cellStyle name="20% - Accent5 17 4" xfId="1153" xr:uid="{00000000-0005-0000-0000-000096040000}"/>
    <cellStyle name="20% - Accent5 17 5" xfId="1154" xr:uid="{00000000-0005-0000-0000-000097040000}"/>
    <cellStyle name="20% - Accent5 17 6" xfId="1155" xr:uid="{00000000-0005-0000-0000-000098040000}"/>
    <cellStyle name="20% - Accent5 17 7" xfId="1156" xr:uid="{00000000-0005-0000-0000-000099040000}"/>
    <cellStyle name="20% - Accent5 17 8" xfId="1157" xr:uid="{00000000-0005-0000-0000-00009A040000}"/>
    <cellStyle name="20% - Accent5 17 9" xfId="1158" xr:uid="{00000000-0005-0000-0000-00009B040000}"/>
    <cellStyle name="20% - Accent5 18" xfId="1159" xr:uid="{00000000-0005-0000-0000-00009C040000}"/>
    <cellStyle name="20% - Accent5 18 2" xfId="1160" xr:uid="{00000000-0005-0000-0000-00009D040000}"/>
    <cellStyle name="20% - Accent5 18 3" xfId="1161" xr:uid="{00000000-0005-0000-0000-00009E040000}"/>
    <cellStyle name="20% - Accent5 18 4" xfId="1162" xr:uid="{00000000-0005-0000-0000-00009F040000}"/>
    <cellStyle name="20% - Accent5 18 5" xfId="1163" xr:uid="{00000000-0005-0000-0000-0000A0040000}"/>
    <cellStyle name="20% - Accent5 18 6" xfId="1164" xr:uid="{00000000-0005-0000-0000-0000A1040000}"/>
    <cellStyle name="20% - Accent5 18 7" xfId="1165" xr:uid="{00000000-0005-0000-0000-0000A2040000}"/>
    <cellStyle name="20% - Accent5 18 8" xfId="1166" xr:uid="{00000000-0005-0000-0000-0000A3040000}"/>
    <cellStyle name="20% - Accent5 19" xfId="1167" xr:uid="{00000000-0005-0000-0000-0000A4040000}"/>
    <cellStyle name="20% - Accent5 19 2" xfId="1168" xr:uid="{00000000-0005-0000-0000-0000A5040000}"/>
    <cellStyle name="20% - Accent5 19 3" xfId="1169" xr:uid="{00000000-0005-0000-0000-0000A6040000}"/>
    <cellStyle name="20% - Accent5 19 4" xfId="1170" xr:uid="{00000000-0005-0000-0000-0000A7040000}"/>
    <cellStyle name="20% - Accent5 19 5" xfId="1171" xr:uid="{00000000-0005-0000-0000-0000A8040000}"/>
    <cellStyle name="20% - Accent5 19 6" xfId="1172" xr:uid="{00000000-0005-0000-0000-0000A9040000}"/>
    <cellStyle name="20% - Accent5 19 7" xfId="1173" xr:uid="{00000000-0005-0000-0000-0000AA040000}"/>
    <cellStyle name="20% - Accent5 19 8" xfId="1174" xr:uid="{00000000-0005-0000-0000-0000AB040000}"/>
    <cellStyle name="20% - Accent5 2" xfId="1175" xr:uid="{00000000-0005-0000-0000-0000AC040000}"/>
    <cellStyle name="20% - Accent5 2 10" xfId="1176" xr:uid="{00000000-0005-0000-0000-0000AD040000}"/>
    <cellStyle name="20% - Accent5 2 11" xfId="21681" xr:uid="{00000000-0005-0000-0000-0000AE040000}"/>
    <cellStyle name="20% - Accent5 2 2" xfId="1177" xr:uid="{00000000-0005-0000-0000-0000AF040000}"/>
    <cellStyle name="20% - Accent5 2 2 2" xfId="21951" xr:uid="{00000000-0005-0000-0000-0000B0040000}"/>
    <cellStyle name="20% - Accent5 2 3" xfId="1178" xr:uid="{00000000-0005-0000-0000-0000B1040000}"/>
    <cellStyle name="20% - Accent5 2 4" xfId="1179" xr:uid="{00000000-0005-0000-0000-0000B2040000}"/>
    <cellStyle name="20% - Accent5 2 5" xfId="1180" xr:uid="{00000000-0005-0000-0000-0000B3040000}"/>
    <cellStyle name="20% - Accent5 2 6" xfId="1181" xr:uid="{00000000-0005-0000-0000-0000B4040000}"/>
    <cellStyle name="20% - Accent5 2 7" xfId="1182" xr:uid="{00000000-0005-0000-0000-0000B5040000}"/>
    <cellStyle name="20% - Accent5 2 8" xfId="1183" xr:uid="{00000000-0005-0000-0000-0000B6040000}"/>
    <cellStyle name="20% - Accent5 2 9" xfId="1184" xr:uid="{00000000-0005-0000-0000-0000B7040000}"/>
    <cellStyle name="20% - Accent5 20" xfId="1185" xr:uid="{00000000-0005-0000-0000-0000B8040000}"/>
    <cellStyle name="20% - Accent5 20 2" xfId="1186" xr:uid="{00000000-0005-0000-0000-0000B9040000}"/>
    <cellStyle name="20% - Accent5 20 3" xfId="1187" xr:uid="{00000000-0005-0000-0000-0000BA040000}"/>
    <cellStyle name="20% - Accent5 20 4" xfId="1188" xr:uid="{00000000-0005-0000-0000-0000BB040000}"/>
    <cellStyle name="20% - Accent5 20 5" xfId="1189" xr:uid="{00000000-0005-0000-0000-0000BC040000}"/>
    <cellStyle name="20% - Accent5 20 6" xfId="1190" xr:uid="{00000000-0005-0000-0000-0000BD040000}"/>
    <cellStyle name="20% - Accent5 20 7" xfId="1191" xr:uid="{00000000-0005-0000-0000-0000BE040000}"/>
    <cellStyle name="20% - Accent5 20 8" xfId="1192" xr:uid="{00000000-0005-0000-0000-0000BF040000}"/>
    <cellStyle name="20% - Accent5 21" xfId="1193" xr:uid="{00000000-0005-0000-0000-0000C0040000}"/>
    <cellStyle name="20% - Accent5 21 2" xfId="1194" xr:uid="{00000000-0005-0000-0000-0000C1040000}"/>
    <cellStyle name="20% - Accent5 21 3" xfId="1195" xr:uid="{00000000-0005-0000-0000-0000C2040000}"/>
    <cellStyle name="20% - Accent5 21 4" xfId="1196" xr:uid="{00000000-0005-0000-0000-0000C3040000}"/>
    <cellStyle name="20% - Accent5 21 5" xfId="1197" xr:uid="{00000000-0005-0000-0000-0000C4040000}"/>
    <cellStyle name="20% - Accent5 21 6" xfId="1198" xr:uid="{00000000-0005-0000-0000-0000C5040000}"/>
    <cellStyle name="20% - Accent5 21 7" xfId="1199" xr:uid="{00000000-0005-0000-0000-0000C6040000}"/>
    <cellStyle name="20% - Accent5 21 8" xfId="1200" xr:uid="{00000000-0005-0000-0000-0000C7040000}"/>
    <cellStyle name="20% - Accent5 22" xfId="1201" xr:uid="{00000000-0005-0000-0000-0000C8040000}"/>
    <cellStyle name="20% - Accent5 22 2" xfId="1202" xr:uid="{00000000-0005-0000-0000-0000C9040000}"/>
    <cellStyle name="20% - Accent5 22 3" xfId="1203" xr:uid="{00000000-0005-0000-0000-0000CA040000}"/>
    <cellStyle name="20% - Accent5 22 4" xfId="1204" xr:uid="{00000000-0005-0000-0000-0000CB040000}"/>
    <cellStyle name="20% - Accent5 22 5" xfId="1205" xr:uid="{00000000-0005-0000-0000-0000CC040000}"/>
    <cellStyle name="20% - Accent5 22 6" xfId="1206" xr:uid="{00000000-0005-0000-0000-0000CD040000}"/>
    <cellStyle name="20% - Accent5 22 7" xfId="1207" xr:uid="{00000000-0005-0000-0000-0000CE040000}"/>
    <cellStyle name="20% - Accent5 22 8" xfId="1208" xr:uid="{00000000-0005-0000-0000-0000CF040000}"/>
    <cellStyle name="20% - Accent5 23" xfId="1209" xr:uid="{00000000-0005-0000-0000-0000D0040000}"/>
    <cellStyle name="20% - Accent5 23 2" xfId="1210" xr:uid="{00000000-0005-0000-0000-0000D1040000}"/>
    <cellStyle name="20% - Accent5 23 3" xfId="1211" xr:uid="{00000000-0005-0000-0000-0000D2040000}"/>
    <cellStyle name="20% - Accent5 23 4" xfId="1212" xr:uid="{00000000-0005-0000-0000-0000D3040000}"/>
    <cellStyle name="20% - Accent5 23 5" xfId="1213" xr:uid="{00000000-0005-0000-0000-0000D4040000}"/>
    <cellStyle name="20% - Accent5 23 6" xfId="1214" xr:uid="{00000000-0005-0000-0000-0000D5040000}"/>
    <cellStyle name="20% - Accent5 23 7" xfId="1215" xr:uid="{00000000-0005-0000-0000-0000D6040000}"/>
    <cellStyle name="20% - Accent5 23 8" xfId="1216" xr:uid="{00000000-0005-0000-0000-0000D7040000}"/>
    <cellStyle name="20% - Accent5 24" xfId="1217" xr:uid="{00000000-0005-0000-0000-0000D8040000}"/>
    <cellStyle name="20% - Accent5 24 2" xfId="1218" xr:uid="{00000000-0005-0000-0000-0000D9040000}"/>
    <cellStyle name="20% - Accent5 24 3" xfId="1219" xr:uid="{00000000-0005-0000-0000-0000DA040000}"/>
    <cellStyle name="20% - Accent5 24 4" xfId="1220" xr:uid="{00000000-0005-0000-0000-0000DB040000}"/>
    <cellStyle name="20% - Accent5 24 5" xfId="1221" xr:uid="{00000000-0005-0000-0000-0000DC040000}"/>
    <cellStyle name="20% - Accent5 24 6" xfId="1222" xr:uid="{00000000-0005-0000-0000-0000DD040000}"/>
    <cellStyle name="20% - Accent5 24 7" xfId="1223" xr:uid="{00000000-0005-0000-0000-0000DE040000}"/>
    <cellStyle name="20% - Accent5 24 8" xfId="1224" xr:uid="{00000000-0005-0000-0000-0000DF040000}"/>
    <cellStyle name="20% - Accent5 25" xfId="1225" xr:uid="{00000000-0005-0000-0000-0000E0040000}"/>
    <cellStyle name="20% - Accent5 25 2" xfId="1226" xr:uid="{00000000-0005-0000-0000-0000E1040000}"/>
    <cellStyle name="20% - Accent5 25 3" xfId="1227" xr:uid="{00000000-0005-0000-0000-0000E2040000}"/>
    <cellStyle name="20% - Accent5 25 4" xfId="1228" xr:uid="{00000000-0005-0000-0000-0000E3040000}"/>
    <cellStyle name="20% - Accent5 25 5" xfId="1229" xr:uid="{00000000-0005-0000-0000-0000E4040000}"/>
    <cellStyle name="20% - Accent5 25 6" xfId="1230" xr:uid="{00000000-0005-0000-0000-0000E5040000}"/>
    <cellStyle name="20% - Accent5 25 7" xfId="1231" xr:uid="{00000000-0005-0000-0000-0000E6040000}"/>
    <cellStyle name="20% - Accent5 25 8" xfId="1232" xr:uid="{00000000-0005-0000-0000-0000E7040000}"/>
    <cellStyle name="20% - Accent5 26" xfId="1233" xr:uid="{00000000-0005-0000-0000-0000E8040000}"/>
    <cellStyle name="20% - Accent5 26 2" xfId="1234" xr:uid="{00000000-0005-0000-0000-0000E9040000}"/>
    <cellStyle name="20% - Accent5 26 3" xfId="1235" xr:uid="{00000000-0005-0000-0000-0000EA040000}"/>
    <cellStyle name="20% - Accent5 26 4" xfId="1236" xr:uid="{00000000-0005-0000-0000-0000EB040000}"/>
    <cellStyle name="20% - Accent5 26 5" xfId="1237" xr:uid="{00000000-0005-0000-0000-0000EC040000}"/>
    <cellStyle name="20% - Accent5 26 6" xfId="1238" xr:uid="{00000000-0005-0000-0000-0000ED040000}"/>
    <cellStyle name="20% - Accent5 26 7" xfId="1239" xr:uid="{00000000-0005-0000-0000-0000EE040000}"/>
    <cellStyle name="20% - Accent5 26 8" xfId="1240" xr:uid="{00000000-0005-0000-0000-0000EF040000}"/>
    <cellStyle name="20% - Accent5 27" xfId="1241" xr:uid="{00000000-0005-0000-0000-0000F0040000}"/>
    <cellStyle name="20% - Accent5 27 2" xfId="1242" xr:uid="{00000000-0005-0000-0000-0000F1040000}"/>
    <cellStyle name="20% - Accent5 27 3" xfId="1243" xr:uid="{00000000-0005-0000-0000-0000F2040000}"/>
    <cellStyle name="20% - Accent5 27 4" xfId="1244" xr:uid="{00000000-0005-0000-0000-0000F3040000}"/>
    <cellStyle name="20% - Accent5 27 5" xfId="1245" xr:uid="{00000000-0005-0000-0000-0000F4040000}"/>
    <cellStyle name="20% - Accent5 27 6" xfId="1246" xr:uid="{00000000-0005-0000-0000-0000F5040000}"/>
    <cellStyle name="20% - Accent5 27 7" xfId="1247" xr:uid="{00000000-0005-0000-0000-0000F6040000}"/>
    <cellStyle name="20% - Accent5 27 8" xfId="1248" xr:uid="{00000000-0005-0000-0000-0000F7040000}"/>
    <cellStyle name="20% - Accent5 28" xfId="1249" xr:uid="{00000000-0005-0000-0000-0000F8040000}"/>
    <cellStyle name="20% - Accent5 28 2" xfId="1250" xr:uid="{00000000-0005-0000-0000-0000F9040000}"/>
    <cellStyle name="20% - Accent5 28 3" xfId="1251" xr:uid="{00000000-0005-0000-0000-0000FA040000}"/>
    <cellStyle name="20% - Accent5 28 4" xfId="1252" xr:uid="{00000000-0005-0000-0000-0000FB040000}"/>
    <cellStyle name="20% - Accent5 28 5" xfId="1253" xr:uid="{00000000-0005-0000-0000-0000FC040000}"/>
    <cellStyle name="20% - Accent5 28 6" xfId="1254" xr:uid="{00000000-0005-0000-0000-0000FD040000}"/>
    <cellStyle name="20% - Accent5 28 7" xfId="1255" xr:uid="{00000000-0005-0000-0000-0000FE040000}"/>
    <cellStyle name="20% - Accent5 28 8" xfId="1256" xr:uid="{00000000-0005-0000-0000-0000FF040000}"/>
    <cellStyle name="20% - Accent5 29" xfId="1257" xr:uid="{00000000-0005-0000-0000-000000050000}"/>
    <cellStyle name="20% - Accent5 29 2" xfId="1258" xr:uid="{00000000-0005-0000-0000-000001050000}"/>
    <cellStyle name="20% - Accent5 29 3" xfId="1259" xr:uid="{00000000-0005-0000-0000-000002050000}"/>
    <cellStyle name="20% - Accent5 29 4" xfId="1260" xr:uid="{00000000-0005-0000-0000-000003050000}"/>
    <cellStyle name="20% - Accent5 29 5" xfId="1261" xr:uid="{00000000-0005-0000-0000-000004050000}"/>
    <cellStyle name="20% - Accent5 29 6" xfId="1262" xr:uid="{00000000-0005-0000-0000-000005050000}"/>
    <cellStyle name="20% - Accent5 29 7" xfId="1263" xr:uid="{00000000-0005-0000-0000-000006050000}"/>
    <cellStyle name="20% - Accent5 29 8" xfId="1264" xr:uid="{00000000-0005-0000-0000-000007050000}"/>
    <cellStyle name="20% - Accent5 3" xfId="1265" xr:uid="{00000000-0005-0000-0000-000008050000}"/>
    <cellStyle name="20% - Accent5 3 10" xfId="1266" xr:uid="{00000000-0005-0000-0000-000009050000}"/>
    <cellStyle name="20% - Accent5 3 11" xfId="21952" xr:uid="{00000000-0005-0000-0000-00000A050000}"/>
    <cellStyle name="20% - Accent5 3 2" xfId="1267" xr:uid="{00000000-0005-0000-0000-00000B050000}"/>
    <cellStyle name="20% - Accent5 3 2 2" xfId="21953" xr:uid="{00000000-0005-0000-0000-00000C050000}"/>
    <cellStyle name="20% - Accent5 3 3" xfId="1268" xr:uid="{00000000-0005-0000-0000-00000D050000}"/>
    <cellStyle name="20% - Accent5 3 4" xfId="1269" xr:uid="{00000000-0005-0000-0000-00000E050000}"/>
    <cellStyle name="20% - Accent5 3 5" xfId="1270" xr:uid="{00000000-0005-0000-0000-00000F050000}"/>
    <cellStyle name="20% - Accent5 3 6" xfId="1271" xr:uid="{00000000-0005-0000-0000-000010050000}"/>
    <cellStyle name="20% - Accent5 3 7" xfId="1272" xr:uid="{00000000-0005-0000-0000-000011050000}"/>
    <cellStyle name="20% - Accent5 3 8" xfId="1273" xr:uid="{00000000-0005-0000-0000-000012050000}"/>
    <cellStyle name="20% - Accent5 3 9" xfId="1274" xr:uid="{00000000-0005-0000-0000-000013050000}"/>
    <cellStyle name="20% - Accent5 30" xfId="1275" xr:uid="{00000000-0005-0000-0000-000014050000}"/>
    <cellStyle name="20% - Accent5 31" xfId="1276" xr:uid="{00000000-0005-0000-0000-000015050000}"/>
    <cellStyle name="20% - Accent5 32" xfId="1277" xr:uid="{00000000-0005-0000-0000-000016050000}"/>
    <cellStyle name="20% - Accent5 33" xfId="1278" xr:uid="{00000000-0005-0000-0000-000017050000}"/>
    <cellStyle name="20% - Accent5 34" xfId="1279" xr:uid="{00000000-0005-0000-0000-000018050000}"/>
    <cellStyle name="20% - Accent5 35" xfId="1280" xr:uid="{00000000-0005-0000-0000-000019050000}"/>
    <cellStyle name="20% - Accent5 36" xfId="1281" xr:uid="{00000000-0005-0000-0000-00001A050000}"/>
    <cellStyle name="20% - Accent5 37" xfId="1282" xr:uid="{00000000-0005-0000-0000-00001B050000}"/>
    <cellStyle name="20% - Accent5 38" xfId="1283" xr:uid="{00000000-0005-0000-0000-00001C050000}"/>
    <cellStyle name="20% - Accent5 39" xfId="1284" xr:uid="{00000000-0005-0000-0000-00001D050000}"/>
    <cellStyle name="20% - Accent5 4" xfId="1285" xr:uid="{00000000-0005-0000-0000-00001E050000}"/>
    <cellStyle name="20% - Accent5 4 10" xfId="1286" xr:uid="{00000000-0005-0000-0000-00001F050000}"/>
    <cellStyle name="20% - Accent5 4 11" xfId="21954" xr:uid="{00000000-0005-0000-0000-000020050000}"/>
    <cellStyle name="20% - Accent5 4 2" xfId="1287" xr:uid="{00000000-0005-0000-0000-000021050000}"/>
    <cellStyle name="20% - Accent5 4 2 2" xfId="21955" xr:uid="{00000000-0005-0000-0000-000022050000}"/>
    <cellStyle name="20% - Accent5 4 3" xfId="1288" xr:uid="{00000000-0005-0000-0000-000023050000}"/>
    <cellStyle name="20% - Accent5 4 4" xfId="1289" xr:uid="{00000000-0005-0000-0000-000024050000}"/>
    <cellStyle name="20% - Accent5 4 5" xfId="1290" xr:uid="{00000000-0005-0000-0000-000025050000}"/>
    <cellStyle name="20% - Accent5 4 6" xfId="1291" xr:uid="{00000000-0005-0000-0000-000026050000}"/>
    <cellStyle name="20% - Accent5 4 7" xfId="1292" xr:uid="{00000000-0005-0000-0000-000027050000}"/>
    <cellStyle name="20% - Accent5 4 8" xfId="1293" xr:uid="{00000000-0005-0000-0000-000028050000}"/>
    <cellStyle name="20% - Accent5 4 9" xfId="1294" xr:uid="{00000000-0005-0000-0000-000029050000}"/>
    <cellStyle name="20% - Accent5 40" xfId="21682" xr:uid="{00000000-0005-0000-0000-00002A050000}"/>
    <cellStyle name="20% - Accent5 5" xfId="1295" xr:uid="{00000000-0005-0000-0000-00002B050000}"/>
    <cellStyle name="20% - Accent5 5 10" xfId="1296" xr:uid="{00000000-0005-0000-0000-00002C050000}"/>
    <cellStyle name="20% - Accent5 5 11" xfId="21956" xr:uid="{00000000-0005-0000-0000-00002D050000}"/>
    <cellStyle name="20% - Accent5 5 2" xfId="1297" xr:uid="{00000000-0005-0000-0000-00002E050000}"/>
    <cellStyle name="20% - Accent5 5 2 2" xfId="21957" xr:uid="{00000000-0005-0000-0000-00002F050000}"/>
    <cellStyle name="20% - Accent5 5 3" xfId="1298" xr:uid="{00000000-0005-0000-0000-000030050000}"/>
    <cellStyle name="20% - Accent5 5 4" xfId="1299" xr:uid="{00000000-0005-0000-0000-000031050000}"/>
    <cellStyle name="20% - Accent5 5 5" xfId="1300" xr:uid="{00000000-0005-0000-0000-000032050000}"/>
    <cellStyle name="20% - Accent5 5 6" xfId="1301" xr:uid="{00000000-0005-0000-0000-000033050000}"/>
    <cellStyle name="20% - Accent5 5 7" xfId="1302" xr:uid="{00000000-0005-0000-0000-000034050000}"/>
    <cellStyle name="20% - Accent5 5 8" xfId="1303" xr:uid="{00000000-0005-0000-0000-000035050000}"/>
    <cellStyle name="20% - Accent5 5 9" xfId="1304" xr:uid="{00000000-0005-0000-0000-000036050000}"/>
    <cellStyle name="20% - Accent5 6" xfId="1305" xr:uid="{00000000-0005-0000-0000-000037050000}"/>
    <cellStyle name="20% - Accent5 6 10" xfId="1306" xr:uid="{00000000-0005-0000-0000-000038050000}"/>
    <cellStyle name="20% - Accent5 6 2" xfId="1307" xr:uid="{00000000-0005-0000-0000-000039050000}"/>
    <cellStyle name="20% - Accent5 6 3" xfId="1308" xr:uid="{00000000-0005-0000-0000-00003A050000}"/>
    <cellStyle name="20% - Accent5 6 4" xfId="1309" xr:uid="{00000000-0005-0000-0000-00003B050000}"/>
    <cellStyle name="20% - Accent5 6 5" xfId="1310" xr:uid="{00000000-0005-0000-0000-00003C050000}"/>
    <cellStyle name="20% - Accent5 6 6" xfId="1311" xr:uid="{00000000-0005-0000-0000-00003D050000}"/>
    <cellStyle name="20% - Accent5 6 7" xfId="1312" xr:uid="{00000000-0005-0000-0000-00003E050000}"/>
    <cellStyle name="20% - Accent5 6 8" xfId="1313" xr:uid="{00000000-0005-0000-0000-00003F050000}"/>
    <cellStyle name="20% - Accent5 6 9" xfId="1314" xr:uid="{00000000-0005-0000-0000-000040050000}"/>
    <cellStyle name="20% - Accent5 7" xfId="1315" xr:uid="{00000000-0005-0000-0000-000041050000}"/>
    <cellStyle name="20% - Accent5 7 10" xfId="1316" xr:uid="{00000000-0005-0000-0000-000042050000}"/>
    <cellStyle name="20% - Accent5 7 2" xfId="1317" xr:uid="{00000000-0005-0000-0000-000043050000}"/>
    <cellStyle name="20% - Accent5 7 3" xfId="1318" xr:uid="{00000000-0005-0000-0000-000044050000}"/>
    <cellStyle name="20% - Accent5 7 4" xfId="1319" xr:uid="{00000000-0005-0000-0000-000045050000}"/>
    <cellStyle name="20% - Accent5 7 5" xfId="1320" xr:uid="{00000000-0005-0000-0000-000046050000}"/>
    <cellStyle name="20% - Accent5 7 6" xfId="1321" xr:uid="{00000000-0005-0000-0000-000047050000}"/>
    <cellStyle name="20% - Accent5 7 7" xfId="1322" xr:uid="{00000000-0005-0000-0000-000048050000}"/>
    <cellStyle name="20% - Accent5 7 8" xfId="1323" xr:uid="{00000000-0005-0000-0000-000049050000}"/>
    <cellStyle name="20% - Accent5 7 9" xfId="1324" xr:uid="{00000000-0005-0000-0000-00004A050000}"/>
    <cellStyle name="20% - Accent5 8" xfId="1325" xr:uid="{00000000-0005-0000-0000-00004B050000}"/>
    <cellStyle name="20% - Accent5 8 10" xfId="1326" xr:uid="{00000000-0005-0000-0000-00004C050000}"/>
    <cellStyle name="20% - Accent5 8 2" xfId="1327" xr:uid="{00000000-0005-0000-0000-00004D050000}"/>
    <cellStyle name="20% - Accent5 8 3" xfId="1328" xr:uid="{00000000-0005-0000-0000-00004E050000}"/>
    <cellStyle name="20% - Accent5 8 4" xfId="1329" xr:uid="{00000000-0005-0000-0000-00004F050000}"/>
    <cellStyle name="20% - Accent5 8 5" xfId="1330" xr:uid="{00000000-0005-0000-0000-000050050000}"/>
    <cellStyle name="20% - Accent5 8 6" xfId="1331" xr:uid="{00000000-0005-0000-0000-000051050000}"/>
    <cellStyle name="20% - Accent5 8 7" xfId="1332" xr:uid="{00000000-0005-0000-0000-000052050000}"/>
    <cellStyle name="20% - Accent5 8 8" xfId="1333" xr:uid="{00000000-0005-0000-0000-000053050000}"/>
    <cellStyle name="20% - Accent5 8 9" xfId="1334" xr:uid="{00000000-0005-0000-0000-000054050000}"/>
    <cellStyle name="20% - Accent5 9" xfId="1335" xr:uid="{00000000-0005-0000-0000-000055050000}"/>
    <cellStyle name="20% - Accent5 9 10" xfId="1336" xr:uid="{00000000-0005-0000-0000-000056050000}"/>
    <cellStyle name="20% - Accent5 9 2" xfId="1337" xr:uid="{00000000-0005-0000-0000-000057050000}"/>
    <cellStyle name="20% - Accent5 9 3" xfId="1338" xr:uid="{00000000-0005-0000-0000-000058050000}"/>
    <cellStyle name="20% - Accent5 9 4" xfId="1339" xr:uid="{00000000-0005-0000-0000-000059050000}"/>
    <cellStyle name="20% - Accent5 9 5" xfId="1340" xr:uid="{00000000-0005-0000-0000-00005A050000}"/>
    <cellStyle name="20% - Accent5 9 6" xfId="1341" xr:uid="{00000000-0005-0000-0000-00005B050000}"/>
    <cellStyle name="20% - Accent5 9 7" xfId="1342" xr:uid="{00000000-0005-0000-0000-00005C050000}"/>
    <cellStyle name="20% - Accent5 9 8" xfId="1343" xr:uid="{00000000-0005-0000-0000-00005D050000}"/>
    <cellStyle name="20% - Accent5 9 9" xfId="1344" xr:uid="{00000000-0005-0000-0000-00005E050000}"/>
    <cellStyle name="20% - Accent6 10" xfId="1345" xr:uid="{00000000-0005-0000-0000-00005F050000}"/>
    <cellStyle name="20% - Accent6 10 10" xfId="1346" xr:uid="{00000000-0005-0000-0000-000060050000}"/>
    <cellStyle name="20% - Accent6 10 2" xfId="1347" xr:uid="{00000000-0005-0000-0000-000061050000}"/>
    <cellStyle name="20% - Accent6 10 3" xfId="1348" xr:uid="{00000000-0005-0000-0000-000062050000}"/>
    <cellStyle name="20% - Accent6 10 4" xfId="1349" xr:uid="{00000000-0005-0000-0000-000063050000}"/>
    <cellStyle name="20% - Accent6 10 5" xfId="1350" xr:uid="{00000000-0005-0000-0000-000064050000}"/>
    <cellStyle name="20% - Accent6 10 6" xfId="1351" xr:uid="{00000000-0005-0000-0000-000065050000}"/>
    <cellStyle name="20% - Accent6 10 7" xfId="1352" xr:uid="{00000000-0005-0000-0000-000066050000}"/>
    <cellStyle name="20% - Accent6 10 8" xfId="1353" xr:uid="{00000000-0005-0000-0000-000067050000}"/>
    <cellStyle name="20% - Accent6 10 9" xfId="1354" xr:uid="{00000000-0005-0000-0000-000068050000}"/>
    <cellStyle name="20% - Accent6 11" xfId="1355" xr:uid="{00000000-0005-0000-0000-000069050000}"/>
    <cellStyle name="20% - Accent6 11 10" xfId="1356" xr:uid="{00000000-0005-0000-0000-00006A050000}"/>
    <cellStyle name="20% - Accent6 11 2" xfId="1357" xr:uid="{00000000-0005-0000-0000-00006B050000}"/>
    <cellStyle name="20% - Accent6 11 3" xfId="1358" xr:uid="{00000000-0005-0000-0000-00006C050000}"/>
    <cellStyle name="20% - Accent6 11 4" xfId="1359" xr:uid="{00000000-0005-0000-0000-00006D050000}"/>
    <cellStyle name="20% - Accent6 11 5" xfId="1360" xr:uid="{00000000-0005-0000-0000-00006E050000}"/>
    <cellStyle name="20% - Accent6 11 6" xfId="1361" xr:uid="{00000000-0005-0000-0000-00006F050000}"/>
    <cellStyle name="20% - Accent6 11 7" xfId="1362" xr:uid="{00000000-0005-0000-0000-000070050000}"/>
    <cellStyle name="20% - Accent6 11 8" xfId="1363" xr:uid="{00000000-0005-0000-0000-000071050000}"/>
    <cellStyle name="20% - Accent6 11 9" xfId="1364" xr:uid="{00000000-0005-0000-0000-000072050000}"/>
    <cellStyle name="20% - Accent6 12" xfId="1365" xr:uid="{00000000-0005-0000-0000-000073050000}"/>
    <cellStyle name="20% - Accent6 12 10" xfId="1366" xr:uid="{00000000-0005-0000-0000-000074050000}"/>
    <cellStyle name="20% - Accent6 12 2" xfId="1367" xr:uid="{00000000-0005-0000-0000-000075050000}"/>
    <cellStyle name="20% - Accent6 12 3" xfId="1368" xr:uid="{00000000-0005-0000-0000-000076050000}"/>
    <cellStyle name="20% - Accent6 12 4" xfId="1369" xr:uid="{00000000-0005-0000-0000-000077050000}"/>
    <cellStyle name="20% - Accent6 12 5" xfId="1370" xr:uid="{00000000-0005-0000-0000-000078050000}"/>
    <cellStyle name="20% - Accent6 12 6" xfId="1371" xr:uid="{00000000-0005-0000-0000-000079050000}"/>
    <cellStyle name="20% - Accent6 12 7" xfId="1372" xr:uid="{00000000-0005-0000-0000-00007A050000}"/>
    <cellStyle name="20% - Accent6 12 8" xfId="1373" xr:uid="{00000000-0005-0000-0000-00007B050000}"/>
    <cellStyle name="20% - Accent6 12 9" xfId="1374" xr:uid="{00000000-0005-0000-0000-00007C050000}"/>
    <cellStyle name="20% - Accent6 13" xfId="1375" xr:uid="{00000000-0005-0000-0000-00007D050000}"/>
    <cellStyle name="20% - Accent6 13 10" xfId="1376" xr:uid="{00000000-0005-0000-0000-00007E050000}"/>
    <cellStyle name="20% - Accent6 13 2" xfId="1377" xr:uid="{00000000-0005-0000-0000-00007F050000}"/>
    <cellStyle name="20% - Accent6 13 3" xfId="1378" xr:uid="{00000000-0005-0000-0000-000080050000}"/>
    <cellStyle name="20% - Accent6 13 4" xfId="1379" xr:uid="{00000000-0005-0000-0000-000081050000}"/>
    <cellStyle name="20% - Accent6 13 5" xfId="1380" xr:uid="{00000000-0005-0000-0000-000082050000}"/>
    <cellStyle name="20% - Accent6 13 6" xfId="1381" xr:uid="{00000000-0005-0000-0000-000083050000}"/>
    <cellStyle name="20% - Accent6 13 7" xfId="1382" xr:uid="{00000000-0005-0000-0000-000084050000}"/>
    <cellStyle name="20% - Accent6 13 8" xfId="1383" xr:uid="{00000000-0005-0000-0000-000085050000}"/>
    <cellStyle name="20% - Accent6 13 9" xfId="1384" xr:uid="{00000000-0005-0000-0000-000086050000}"/>
    <cellStyle name="20% - Accent6 14" xfId="1385" xr:uid="{00000000-0005-0000-0000-000087050000}"/>
    <cellStyle name="20% - Accent6 14 10" xfId="1386" xr:uid="{00000000-0005-0000-0000-000088050000}"/>
    <cellStyle name="20% - Accent6 14 2" xfId="1387" xr:uid="{00000000-0005-0000-0000-000089050000}"/>
    <cellStyle name="20% - Accent6 14 3" xfId="1388" xr:uid="{00000000-0005-0000-0000-00008A050000}"/>
    <cellStyle name="20% - Accent6 14 4" xfId="1389" xr:uid="{00000000-0005-0000-0000-00008B050000}"/>
    <cellStyle name="20% - Accent6 14 5" xfId="1390" xr:uid="{00000000-0005-0000-0000-00008C050000}"/>
    <cellStyle name="20% - Accent6 14 6" xfId="1391" xr:uid="{00000000-0005-0000-0000-00008D050000}"/>
    <cellStyle name="20% - Accent6 14 7" xfId="1392" xr:uid="{00000000-0005-0000-0000-00008E050000}"/>
    <cellStyle name="20% - Accent6 14 8" xfId="1393" xr:uid="{00000000-0005-0000-0000-00008F050000}"/>
    <cellStyle name="20% - Accent6 14 9" xfId="1394" xr:uid="{00000000-0005-0000-0000-000090050000}"/>
    <cellStyle name="20% - Accent6 15" xfId="1395" xr:uid="{00000000-0005-0000-0000-000091050000}"/>
    <cellStyle name="20% - Accent6 15 10" xfId="1396" xr:uid="{00000000-0005-0000-0000-000092050000}"/>
    <cellStyle name="20% - Accent6 15 2" xfId="1397" xr:uid="{00000000-0005-0000-0000-000093050000}"/>
    <cellStyle name="20% - Accent6 15 3" xfId="1398" xr:uid="{00000000-0005-0000-0000-000094050000}"/>
    <cellStyle name="20% - Accent6 15 4" xfId="1399" xr:uid="{00000000-0005-0000-0000-000095050000}"/>
    <cellStyle name="20% - Accent6 15 5" xfId="1400" xr:uid="{00000000-0005-0000-0000-000096050000}"/>
    <cellStyle name="20% - Accent6 15 6" xfId="1401" xr:uid="{00000000-0005-0000-0000-000097050000}"/>
    <cellStyle name="20% - Accent6 15 7" xfId="1402" xr:uid="{00000000-0005-0000-0000-000098050000}"/>
    <cellStyle name="20% - Accent6 15 8" xfId="1403" xr:uid="{00000000-0005-0000-0000-000099050000}"/>
    <cellStyle name="20% - Accent6 15 9" xfId="1404" xr:uid="{00000000-0005-0000-0000-00009A050000}"/>
    <cellStyle name="20% - Accent6 16" xfId="1405" xr:uid="{00000000-0005-0000-0000-00009B050000}"/>
    <cellStyle name="20% - Accent6 16 10" xfId="1406" xr:uid="{00000000-0005-0000-0000-00009C050000}"/>
    <cellStyle name="20% - Accent6 16 2" xfId="1407" xr:uid="{00000000-0005-0000-0000-00009D050000}"/>
    <cellStyle name="20% - Accent6 16 3" xfId="1408" xr:uid="{00000000-0005-0000-0000-00009E050000}"/>
    <cellStyle name="20% - Accent6 16 4" xfId="1409" xr:uid="{00000000-0005-0000-0000-00009F050000}"/>
    <cellStyle name="20% - Accent6 16 5" xfId="1410" xr:uid="{00000000-0005-0000-0000-0000A0050000}"/>
    <cellStyle name="20% - Accent6 16 6" xfId="1411" xr:uid="{00000000-0005-0000-0000-0000A1050000}"/>
    <cellStyle name="20% - Accent6 16 7" xfId="1412" xr:uid="{00000000-0005-0000-0000-0000A2050000}"/>
    <cellStyle name="20% - Accent6 16 8" xfId="1413" xr:uid="{00000000-0005-0000-0000-0000A3050000}"/>
    <cellStyle name="20% - Accent6 16 9" xfId="1414" xr:uid="{00000000-0005-0000-0000-0000A4050000}"/>
    <cellStyle name="20% - Accent6 17" xfId="1415" xr:uid="{00000000-0005-0000-0000-0000A5050000}"/>
    <cellStyle name="20% - Accent6 17 10" xfId="1416" xr:uid="{00000000-0005-0000-0000-0000A6050000}"/>
    <cellStyle name="20% - Accent6 17 2" xfId="1417" xr:uid="{00000000-0005-0000-0000-0000A7050000}"/>
    <cellStyle name="20% - Accent6 17 3" xfId="1418" xr:uid="{00000000-0005-0000-0000-0000A8050000}"/>
    <cellStyle name="20% - Accent6 17 4" xfId="1419" xr:uid="{00000000-0005-0000-0000-0000A9050000}"/>
    <cellStyle name="20% - Accent6 17 5" xfId="1420" xr:uid="{00000000-0005-0000-0000-0000AA050000}"/>
    <cellStyle name="20% - Accent6 17 6" xfId="1421" xr:uid="{00000000-0005-0000-0000-0000AB050000}"/>
    <cellStyle name="20% - Accent6 17 7" xfId="1422" xr:uid="{00000000-0005-0000-0000-0000AC050000}"/>
    <cellStyle name="20% - Accent6 17 8" xfId="1423" xr:uid="{00000000-0005-0000-0000-0000AD050000}"/>
    <cellStyle name="20% - Accent6 17 9" xfId="1424" xr:uid="{00000000-0005-0000-0000-0000AE050000}"/>
    <cellStyle name="20% - Accent6 18" xfId="1425" xr:uid="{00000000-0005-0000-0000-0000AF050000}"/>
    <cellStyle name="20% - Accent6 18 2" xfId="1426" xr:uid="{00000000-0005-0000-0000-0000B0050000}"/>
    <cellStyle name="20% - Accent6 18 3" xfId="1427" xr:uid="{00000000-0005-0000-0000-0000B1050000}"/>
    <cellStyle name="20% - Accent6 18 4" xfId="1428" xr:uid="{00000000-0005-0000-0000-0000B2050000}"/>
    <cellStyle name="20% - Accent6 18 5" xfId="1429" xr:uid="{00000000-0005-0000-0000-0000B3050000}"/>
    <cellStyle name="20% - Accent6 18 6" xfId="1430" xr:uid="{00000000-0005-0000-0000-0000B4050000}"/>
    <cellStyle name="20% - Accent6 18 7" xfId="1431" xr:uid="{00000000-0005-0000-0000-0000B5050000}"/>
    <cellStyle name="20% - Accent6 18 8" xfId="1432" xr:uid="{00000000-0005-0000-0000-0000B6050000}"/>
    <cellStyle name="20% - Accent6 19" xfId="1433" xr:uid="{00000000-0005-0000-0000-0000B7050000}"/>
    <cellStyle name="20% - Accent6 19 2" xfId="1434" xr:uid="{00000000-0005-0000-0000-0000B8050000}"/>
    <cellStyle name="20% - Accent6 19 3" xfId="1435" xr:uid="{00000000-0005-0000-0000-0000B9050000}"/>
    <cellStyle name="20% - Accent6 19 4" xfId="1436" xr:uid="{00000000-0005-0000-0000-0000BA050000}"/>
    <cellStyle name="20% - Accent6 19 5" xfId="1437" xr:uid="{00000000-0005-0000-0000-0000BB050000}"/>
    <cellStyle name="20% - Accent6 19 6" xfId="1438" xr:uid="{00000000-0005-0000-0000-0000BC050000}"/>
    <cellStyle name="20% - Accent6 19 7" xfId="1439" xr:uid="{00000000-0005-0000-0000-0000BD050000}"/>
    <cellStyle name="20% - Accent6 19 8" xfId="1440" xr:uid="{00000000-0005-0000-0000-0000BE050000}"/>
    <cellStyle name="20% - Accent6 2" xfId="1441" xr:uid="{00000000-0005-0000-0000-0000BF050000}"/>
    <cellStyle name="20% - Accent6 2 10" xfId="1442" xr:uid="{00000000-0005-0000-0000-0000C0050000}"/>
    <cellStyle name="20% - Accent6 2 11" xfId="21683" xr:uid="{00000000-0005-0000-0000-0000C1050000}"/>
    <cellStyle name="20% - Accent6 2 2" xfId="1443" xr:uid="{00000000-0005-0000-0000-0000C2050000}"/>
    <cellStyle name="20% - Accent6 2 2 2" xfId="21958" xr:uid="{00000000-0005-0000-0000-0000C3050000}"/>
    <cellStyle name="20% - Accent6 2 3" xfId="1444" xr:uid="{00000000-0005-0000-0000-0000C4050000}"/>
    <cellStyle name="20% - Accent6 2 4" xfId="1445" xr:uid="{00000000-0005-0000-0000-0000C5050000}"/>
    <cellStyle name="20% - Accent6 2 5" xfId="1446" xr:uid="{00000000-0005-0000-0000-0000C6050000}"/>
    <cellStyle name="20% - Accent6 2 6" xfId="1447" xr:uid="{00000000-0005-0000-0000-0000C7050000}"/>
    <cellStyle name="20% - Accent6 2 7" xfId="1448" xr:uid="{00000000-0005-0000-0000-0000C8050000}"/>
    <cellStyle name="20% - Accent6 2 8" xfId="1449" xr:uid="{00000000-0005-0000-0000-0000C9050000}"/>
    <cellStyle name="20% - Accent6 2 9" xfId="1450" xr:uid="{00000000-0005-0000-0000-0000CA050000}"/>
    <cellStyle name="20% - Accent6 20" xfId="1451" xr:uid="{00000000-0005-0000-0000-0000CB050000}"/>
    <cellStyle name="20% - Accent6 20 2" xfId="1452" xr:uid="{00000000-0005-0000-0000-0000CC050000}"/>
    <cellStyle name="20% - Accent6 20 3" xfId="1453" xr:uid="{00000000-0005-0000-0000-0000CD050000}"/>
    <cellStyle name="20% - Accent6 20 4" xfId="1454" xr:uid="{00000000-0005-0000-0000-0000CE050000}"/>
    <cellStyle name="20% - Accent6 20 5" xfId="1455" xr:uid="{00000000-0005-0000-0000-0000CF050000}"/>
    <cellStyle name="20% - Accent6 20 6" xfId="1456" xr:uid="{00000000-0005-0000-0000-0000D0050000}"/>
    <cellStyle name="20% - Accent6 20 7" xfId="1457" xr:uid="{00000000-0005-0000-0000-0000D1050000}"/>
    <cellStyle name="20% - Accent6 20 8" xfId="1458" xr:uid="{00000000-0005-0000-0000-0000D2050000}"/>
    <cellStyle name="20% - Accent6 21" xfId="1459" xr:uid="{00000000-0005-0000-0000-0000D3050000}"/>
    <cellStyle name="20% - Accent6 21 2" xfId="1460" xr:uid="{00000000-0005-0000-0000-0000D4050000}"/>
    <cellStyle name="20% - Accent6 21 3" xfId="1461" xr:uid="{00000000-0005-0000-0000-0000D5050000}"/>
    <cellStyle name="20% - Accent6 21 4" xfId="1462" xr:uid="{00000000-0005-0000-0000-0000D6050000}"/>
    <cellStyle name="20% - Accent6 21 5" xfId="1463" xr:uid="{00000000-0005-0000-0000-0000D7050000}"/>
    <cellStyle name="20% - Accent6 21 6" xfId="1464" xr:uid="{00000000-0005-0000-0000-0000D8050000}"/>
    <cellStyle name="20% - Accent6 21 7" xfId="1465" xr:uid="{00000000-0005-0000-0000-0000D9050000}"/>
    <cellStyle name="20% - Accent6 21 8" xfId="1466" xr:uid="{00000000-0005-0000-0000-0000DA050000}"/>
    <cellStyle name="20% - Accent6 22" xfId="1467" xr:uid="{00000000-0005-0000-0000-0000DB050000}"/>
    <cellStyle name="20% - Accent6 22 2" xfId="1468" xr:uid="{00000000-0005-0000-0000-0000DC050000}"/>
    <cellStyle name="20% - Accent6 22 3" xfId="1469" xr:uid="{00000000-0005-0000-0000-0000DD050000}"/>
    <cellStyle name="20% - Accent6 22 4" xfId="1470" xr:uid="{00000000-0005-0000-0000-0000DE050000}"/>
    <cellStyle name="20% - Accent6 22 5" xfId="1471" xr:uid="{00000000-0005-0000-0000-0000DF050000}"/>
    <cellStyle name="20% - Accent6 22 6" xfId="1472" xr:uid="{00000000-0005-0000-0000-0000E0050000}"/>
    <cellStyle name="20% - Accent6 22 7" xfId="1473" xr:uid="{00000000-0005-0000-0000-0000E1050000}"/>
    <cellStyle name="20% - Accent6 22 8" xfId="1474" xr:uid="{00000000-0005-0000-0000-0000E2050000}"/>
    <cellStyle name="20% - Accent6 23" xfId="1475" xr:uid="{00000000-0005-0000-0000-0000E3050000}"/>
    <cellStyle name="20% - Accent6 23 2" xfId="1476" xr:uid="{00000000-0005-0000-0000-0000E4050000}"/>
    <cellStyle name="20% - Accent6 23 3" xfId="1477" xr:uid="{00000000-0005-0000-0000-0000E5050000}"/>
    <cellStyle name="20% - Accent6 23 4" xfId="1478" xr:uid="{00000000-0005-0000-0000-0000E6050000}"/>
    <cellStyle name="20% - Accent6 23 5" xfId="1479" xr:uid="{00000000-0005-0000-0000-0000E7050000}"/>
    <cellStyle name="20% - Accent6 23 6" xfId="1480" xr:uid="{00000000-0005-0000-0000-0000E8050000}"/>
    <cellStyle name="20% - Accent6 23 7" xfId="1481" xr:uid="{00000000-0005-0000-0000-0000E9050000}"/>
    <cellStyle name="20% - Accent6 23 8" xfId="1482" xr:uid="{00000000-0005-0000-0000-0000EA050000}"/>
    <cellStyle name="20% - Accent6 24" xfId="1483" xr:uid="{00000000-0005-0000-0000-0000EB050000}"/>
    <cellStyle name="20% - Accent6 24 2" xfId="1484" xr:uid="{00000000-0005-0000-0000-0000EC050000}"/>
    <cellStyle name="20% - Accent6 24 3" xfId="1485" xr:uid="{00000000-0005-0000-0000-0000ED050000}"/>
    <cellStyle name="20% - Accent6 24 4" xfId="1486" xr:uid="{00000000-0005-0000-0000-0000EE050000}"/>
    <cellStyle name="20% - Accent6 24 5" xfId="1487" xr:uid="{00000000-0005-0000-0000-0000EF050000}"/>
    <cellStyle name="20% - Accent6 24 6" xfId="1488" xr:uid="{00000000-0005-0000-0000-0000F0050000}"/>
    <cellStyle name="20% - Accent6 24 7" xfId="1489" xr:uid="{00000000-0005-0000-0000-0000F1050000}"/>
    <cellStyle name="20% - Accent6 24 8" xfId="1490" xr:uid="{00000000-0005-0000-0000-0000F2050000}"/>
    <cellStyle name="20% - Accent6 25" xfId="1491" xr:uid="{00000000-0005-0000-0000-0000F3050000}"/>
    <cellStyle name="20% - Accent6 25 2" xfId="1492" xr:uid="{00000000-0005-0000-0000-0000F4050000}"/>
    <cellStyle name="20% - Accent6 25 3" xfId="1493" xr:uid="{00000000-0005-0000-0000-0000F5050000}"/>
    <cellStyle name="20% - Accent6 25 4" xfId="1494" xr:uid="{00000000-0005-0000-0000-0000F6050000}"/>
    <cellStyle name="20% - Accent6 25 5" xfId="1495" xr:uid="{00000000-0005-0000-0000-0000F7050000}"/>
    <cellStyle name="20% - Accent6 25 6" xfId="1496" xr:uid="{00000000-0005-0000-0000-0000F8050000}"/>
    <cellStyle name="20% - Accent6 25 7" xfId="1497" xr:uid="{00000000-0005-0000-0000-0000F9050000}"/>
    <cellStyle name="20% - Accent6 25 8" xfId="1498" xr:uid="{00000000-0005-0000-0000-0000FA050000}"/>
    <cellStyle name="20% - Accent6 26" xfId="1499" xr:uid="{00000000-0005-0000-0000-0000FB050000}"/>
    <cellStyle name="20% - Accent6 26 2" xfId="1500" xr:uid="{00000000-0005-0000-0000-0000FC050000}"/>
    <cellStyle name="20% - Accent6 26 3" xfId="1501" xr:uid="{00000000-0005-0000-0000-0000FD050000}"/>
    <cellStyle name="20% - Accent6 26 4" xfId="1502" xr:uid="{00000000-0005-0000-0000-0000FE050000}"/>
    <cellStyle name="20% - Accent6 26 5" xfId="1503" xr:uid="{00000000-0005-0000-0000-0000FF050000}"/>
    <cellStyle name="20% - Accent6 26 6" xfId="1504" xr:uid="{00000000-0005-0000-0000-000000060000}"/>
    <cellStyle name="20% - Accent6 26 7" xfId="1505" xr:uid="{00000000-0005-0000-0000-000001060000}"/>
    <cellStyle name="20% - Accent6 26 8" xfId="1506" xr:uid="{00000000-0005-0000-0000-000002060000}"/>
    <cellStyle name="20% - Accent6 27" xfId="1507" xr:uid="{00000000-0005-0000-0000-000003060000}"/>
    <cellStyle name="20% - Accent6 27 2" xfId="1508" xr:uid="{00000000-0005-0000-0000-000004060000}"/>
    <cellStyle name="20% - Accent6 27 3" xfId="1509" xr:uid="{00000000-0005-0000-0000-000005060000}"/>
    <cellStyle name="20% - Accent6 27 4" xfId="1510" xr:uid="{00000000-0005-0000-0000-000006060000}"/>
    <cellStyle name="20% - Accent6 27 5" xfId="1511" xr:uid="{00000000-0005-0000-0000-000007060000}"/>
    <cellStyle name="20% - Accent6 27 6" xfId="1512" xr:uid="{00000000-0005-0000-0000-000008060000}"/>
    <cellStyle name="20% - Accent6 27 7" xfId="1513" xr:uid="{00000000-0005-0000-0000-000009060000}"/>
    <cellStyle name="20% - Accent6 27 8" xfId="1514" xr:uid="{00000000-0005-0000-0000-00000A060000}"/>
    <cellStyle name="20% - Accent6 28" xfId="1515" xr:uid="{00000000-0005-0000-0000-00000B060000}"/>
    <cellStyle name="20% - Accent6 28 2" xfId="1516" xr:uid="{00000000-0005-0000-0000-00000C060000}"/>
    <cellStyle name="20% - Accent6 28 3" xfId="1517" xr:uid="{00000000-0005-0000-0000-00000D060000}"/>
    <cellStyle name="20% - Accent6 28 4" xfId="1518" xr:uid="{00000000-0005-0000-0000-00000E060000}"/>
    <cellStyle name="20% - Accent6 28 5" xfId="1519" xr:uid="{00000000-0005-0000-0000-00000F060000}"/>
    <cellStyle name="20% - Accent6 28 6" xfId="1520" xr:uid="{00000000-0005-0000-0000-000010060000}"/>
    <cellStyle name="20% - Accent6 28 7" xfId="1521" xr:uid="{00000000-0005-0000-0000-000011060000}"/>
    <cellStyle name="20% - Accent6 28 8" xfId="1522" xr:uid="{00000000-0005-0000-0000-000012060000}"/>
    <cellStyle name="20% - Accent6 29" xfId="1523" xr:uid="{00000000-0005-0000-0000-000013060000}"/>
    <cellStyle name="20% - Accent6 29 2" xfId="1524" xr:uid="{00000000-0005-0000-0000-000014060000}"/>
    <cellStyle name="20% - Accent6 29 3" xfId="1525" xr:uid="{00000000-0005-0000-0000-000015060000}"/>
    <cellStyle name="20% - Accent6 29 4" xfId="1526" xr:uid="{00000000-0005-0000-0000-000016060000}"/>
    <cellStyle name="20% - Accent6 29 5" xfId="1527" xr:uid="{00000000-0005-0000-0000-000017060000}"/>
    <cellStyle name="20% - Accent6 29 6" xfId="1528" xr:uid="{00000000-0005-0000-0000-000018060000}"/>
    <cellStyle name="20% - Accent6 29 7" xfId="1529" xr:uid="{00000000-0005-0000-0000-000019060000}"/>
    <cellStyle name="20% - Accent6 29 8" xfId="1530" xr:uid="{00000000-0005-0000-0000-00001A060000}"/>
    <cellStyle name="20% - Accent6 3" xfId="1531" xr:uid="{00000000-0005-0000-0000-00001B060000}"/>
    <cellStyle name="20% - Accent6 3 10" xfId="1532" xr:uid="{00000000-0005-0000-0000-00001C060000}"/>
    <cellStyle name="20% - Accent6 3 11" xfId="21959" xr:uid="{00000000-0005-0000-0000-00001D060000}"/>
    <cellStyle name="20% - Accent6 3 2" xfId="1533" xr:uid="{00000000-0005-0000-0000-00001E060000}"/>
    <cellStyle name="20% - Accent6 3 2 2" xfId="21960" xr:uid="{00000000-0005-0000-0000-00001F060000}"/>
    <cellStyle name="20% - Accent6 3 3" xfId="1534" xr:uid="{00000000-0005-0000-0000-000020060000}"/>
    <cellStyle name="20% - Accent6 3 4" xfId="1535" xr:uid="{00000000-0005-0000-0000-000021060000}"/>
    <cellStyle name="20% - Accent6 3 5" xfId="1536" xr:uid="{00000000-0005-0000-0000-000022060000}"/>
    <cellStyle name="20% - Accent6 3 6" xfId="1537" xr:uid="{00000000-0005-0000-0000-000023060000}"/>
    <cellStyle name="20% - Accent6 3 7" xfId="1538" xr:uid="{00000000-0005-0000-0000-000024060000}"/>
    <cellStyle name="20% - Accent6 3 8" xfId="1539" xr:uid="{00000000-0005-0000-0000-000025060000}"/>
    <cellStyle name="20% - Accent6 3 9" xfId="1540" xr:uid="{00000000-0005-0000-0000-000026060000}"/>
    <cellStyle name="20% - Accent6 30" xfId="1541" xr:uid="{00000000-0005-0000-0000-000027060000}"/>
    <cellStyle name="20% - Accent6 31" xfId="1542" xr:uid="{00000000-0005-0000-0000-000028060000}"/>
    <cellStyle name="20% - Accent6 32" xfId="1543" xr:uid="{00000000-0005-0000-0000-000029060000}"/>
    <cellStyle name="20% - Accent6 33" xfId="1544" xr:uid="{00000000-0005-0000-0000-00002A060000}"/>
    <cellStyle name="20% - Accent6 34" xfId="1545" xr:uid="{00000000-0005-0000-0000-00002B060000}"/>
    <cellStyle name="20% - Accent6 35" xfId="1546" xr:uid="{00000000-0005-0000-0000-00002C060000}"/>
    <cellStyle name="20% - Accent6 36" xfId="1547" xr:uid="{00000000-0005-0000-0000-00002D060000}"/>
    <cellStyle name="20% - Accent6 37" xfId="1548" xr:uid="{00000000-0005-0000-0000-00002E060000}"/>
    <cellStyle name="20% - Accent6 38" xfId="1549" xr:uid="{00000000-0005-0000-0000-00002F060000}"/>
    <cellStyle name="20% - Accent6 39" xfId="1550" xr:uid="{00000000-0005-0000-0000-000030060000}"/>
    <cellStyle name="20% - Accent6 4" xfId="1551" xr:uid="{00000000-0005-0000-0000-000031060000}"/>
    <cellStyle name="20% - Accent6 4 10" xfId="1552" xr:uid="{00000000-0005-0000-0000-000032060000}"/>
    <cellStyle name="20% - Accent6 4 11" xfId="21961" xr:uid="{00000000-0005-0000-0000-000033060000}"/>
    <cellStyle name="20% - Accent6 4 2" xfId="1553" xr:uid="{00000000-0005-0000-0000-000034060000}"/>
    <cellStyle name="20% - Accent6 4 2 2" xfId="21962" xr:uid="{00000000-0005-0000-0000-000035060000}"/>
    <cellStyle name="20% - Accent6 4 3" xfId="1554" xr:uid="{00000000-0005-0000-0000-000036060000}"/>
    <cellStyle name="20% - Accent6 4 4" xfId="1555" xr:uid="{00000000-0005-0000-0000-000037060000}"/>
    <cellStyle name="20% - Accent6 4 5" xfId="1556" xr:uid="{00000000-0005-0000-0000-000038060000}"/>
    <cellStyle name="20% - Accent6 4 6" xfId="1557" xr:uid="{00000000-0005-0000-0000-000039060000}"/>
    <cellStyle name="20% - Accent6 4 7" xfId="1558" xr:uid="{00000000-0005-0000-0000-00003A060000}"/>
    <cellStyle name="20% - Accent6 4 8" xfId="1559" xr:uid="{00000000-0005-0000-0000-00003B060000}"/>
    <cellStyle name="20% - Accent6 4 9" xfId="1560" xr:uid="{00000000-0005-0000-0000-00003C060000}"/>
    <cellStyle name="20% - Accent6 40" xfId="21684" xr:uid="{00000000-0005-0000-0000-00003D060000}"/>
    <cellStyle name="20% - Accent6 5" xfId="1561" xr:uid="{00000000-0005-0000-0000-00003E060000}"/>
    <cellStyle name="20% - Accent6 5 10" xfId="1562" xr:uid="{00000000-0005-0000-0000-00003F060000}"/>
    <cellStyle name="20% - Accent6 5 11" xfId="21963" xr:uid="{00000000-0005-0000-0000-000040060000}"/>
    <cellStyle name="20% - Accent6 5 2" xfId="1563" xr:uid="{00000000-0005-0000-0000-000041060000}"/>
    <cellStyle name="20% - Accent6 5 2 2" xfId="21964" xr:uid="{00000000-0005-0000-0000-000042060000}"/>
    <cellStyle name="20% - Accent6 5 3" xfId="1564" xr:uid="{00000000-0005-0000-0000-000043060000}"/>
    <cellStyle name="20% - Accent6 5 4" xfId="1565" xr:uid="{00000000-0005-0000-0000-000044060000}"/>
    <cellStyle name="20% - Accent6 5 5" xfId="1566" xr:uid="{00000000-0005-0000-0000-000045060000}"/>
    <cellStyle name="20% - Accent6 5 6" xfId="1567" xr:uid="{00000000-0005-0000-0000-000046060000}"/>
    <cellStyle name="20% - Accent6 5 7" xfId="1568" xr:uid="{00000000-0005-0000-0000-000047060000}"/>
    <cellStyle name="20% - Accent6 5 8" xfId="1569" xr:uid="{00000000-0005-0000-0000-000048060000}"/>
    <cellStyle name="20% - Accent6 5 9" xfId="1570" xr:uid="{00000000-0005-0000-0000-000049060000}"/>
    <cellStyle name="20% - Accent6 6" xfId="1571" xr:uid="{00000000-0005-0000-0000-00004A060000}"/>
    <cellStyle name="20% - Accent6 6 10" xfId="1572" xr:uid="{00000000-0005-0000-0000-00004B060000}"/>
    <cellStyle name="20% - Accent6 6 2" xfId="1573" xr:uid="{00000000-0005-0000-0000-00004C060000}"/>
    <cellStyle name="20% - Accent6 6 3" xfId="1574" xr:uid="{00000000-0005-0000-0000-00004D060000}"/>
    <cellStyle name="20% - Accent6 6 4" xfId="1575" xr:uid="{00000000-0005-0000-0000-00004E060000}"/>
    <cellStyle name="20% - Accent6 6 5" xfId="1576" xr:uid="{00000000-0005-0000-0000-00004F060000}"/>
    <cellStyle name="20% - Accent6 6 6" xfId="1577" xr:uid="{00000000-0005-0000-0000-000050060000}"/>
    <cellStyle name="20% - Accent6 6 7" xfId="1578" xr:uid="{00000000-0005-0000-0000-000051060000}"/>
    <cellStyle name="20% - Accent6 6 8" xfId="1579" xr:uid="{00000000-0005-0000-0000-000052060000}"/>
    <cellStyle name="20% - Accent6 6 9" xfId="1580" xr:uid="{00000000-0005-0000-0000-000053060000}"/>
    <cellStyle name="20% - Accent6 7" xfId="1581" xr:uid="{00000000-0005-0000-0000-000054060000}"/>
    <cellStyle name="20% - Accent6 7 10" xfId="1582" xr:uid="{00000000-0005-0000-0000-000055060000}"/>
    <cellStyle name="20% - Accent6 7 2" xfId="1583" xr:uid="{00000000-0005-0000-0000-000056060000}"/>
    <cellStyle name="20% - Accent6 7 3" xfId="1584" xr:uid="{00000000-0005-0000-0000-000057060000}"/>
    <cellStyle name="20% - Accent6 7 4" xfId="1585" xr:uid="{00000000-0005-0000-0000-000058060000}"/>
    <cellStyle name="20% - Accent6 7 5" xfId="1586" xr:uid="{00000000-0005-0000-0000-000059060000}"/>
    <cellStyle name="20% - Accent6 7 6" xfId="1587" xr:uid="{00000000-0005-0000-0000-00005A060000}"/>
    <cellStyle name="20% - Accent6 7 7" xfId="1588" xr:uid="{00000000-0005-0000-0000-00005B060000}"/>
    <cellStyle name="20% - Accent6 7 8" xfId="1589" xr:uid="{00000000-0005-0000-0000-00005C060000}"/>
    <cellStyle name="20% - Accent6 7 9" xfId="1590" xr:uid="{00000000-0005-0000-0000-00005D060000}"/>
    <cellStyle name="20% - Accent6 8" xfId="1591" xr:uid="{00000000-0005-0000-0000-00005E060000}"/>
    <cellStyle name="20% - Accent6 8 10" xfId="1592" xr:uid="{00000000-0005-0000-0000-00005F060000}"/>
    <cellStyle name="20% - Accent6 8 2" xfId="1593" xr:uid="{00000000-0005-0000-0000-000060060000}"/>
    <cellStyle name="20% - Accent6 8 3" xfId="1594" xr:uid="{00000000-0005-0000-0000-000061060000}"/>
    <cellStyle name="20% - Accent6 8 4" xfId="1595" xr:uid="{00000000-0005-0000-0000-000062060000}"/>
    <cellStyle name="20% - Accent6 8 5" xfId="1596" xr:uid="{00000000-0005-0000-0000-000063060000}"/>
    <cellStyle name="20% - Accent6 8 6" xfId="1597" xr:uid="{00000000-0005-0000-0000-000064060000}"/>
    <cellStyle name="20% - Accent6 8 7" xfId="1598" xr:uid="{00000000-0005-0000-0000-000065060000}"/>
    <cellStyle name="20% - Accent6 8 8" xfId="1599" xr:uid="{00000000-0005-0000-0000-000066060000}"/>
    <cellStyle name="20% - Accent6 8 9" xfId="1600" xr:uid="{00000000-0005-0000-0000-000067060000}"/>
    <cellStyle name="20% - Accent6 9" xfId="1601" xr:uid="{00000000-0005-0000-0000-000068060000}"/>
    <cellStyle name="20% - Accent6 9 10" xfId="1602" xr:uid="{00000000-0005-0000-0000-000069060000}"/>
    <cellStyle name="20% - Accent6 9 2" xfId="1603" xr:uid="{00000000-0005-0000-0000-00006A060000}"/>
    <cellStyle name="20% - Accent6 9 3" xfId="1604" xr:uid="{00000000-0005-0000-0000-00006B060000}"/>
    <cellStyle name="20% - Accent6 9 4" xfId="1605" xr:uid="{00000000-0005-0000-0000-00006C060000}"/>
    <cellStyle name="20% - Accent6 9 5" xfId="1606" xr:uid="{00000000-0005-0000-0000-00006D060000}"/>
    <cellStyle name="20% - Accent6 9 6" xfId="1607" xr:uid="{00000000-0005-0000-0000-00006E060000}"/>
    <cellStyle name="20% - Accent6 9 7" xfId="1608" xr:uid="{00000000-0005-0000-0000-00006F060000}"/>
    <cellStyle name="20% - Accent6 9 8" xfId="1609" xr:uid="{00000000-0005-0000-0000-000070060000}"/>
    <cellStyle name="20% - Accent6 9 9" xfId="1610" xr:uid="{00000000-0005-0000-0000-000071060000}"/>
    <cellStyle name="40% - Accent1 10" xfId="1611" xr:uid="{00000000-0005-0000-0000-000072060000}"/>
    <cellStyle name="40% - Accent1 10 10" xfId="1612" xr:uid="{00000000-0005-0000-0000-000073060000}"/>
    <cellStyle name="40% - Accent1 10 2" xfId="1613" xr:uid="{00000000-0005-0000-0000-000074060000}"/>
    <cellStyle name="40% - Accent1 10 3" xfId="1614" xr:uid="{00000000-0005-0000-0000-000075060000}"/>
    <cellStyle name="40% - Accent1 10 4" xfId="1615" xr:uid="{00000000-0005-0000-0000-000076060000}"/>
    <cellStyle name="40% - Accent1 10 5" xfId="1616" xr:uid="{00000000-0005-0000-0000-000077060000}"/>
    <cellStyle name="40% - Accent1 10 6" xfId="1617" xr:uid="{00000000-0005-0000-0000-000078060000}"/>
    <cellStyle name="40% - Accent1 10 7" xfId="1618" xr:uid="{00000000-0005-0000-0000-000079060000}"/>
    <cellStyle name="40% - Accent1 10 8" xfId="1619" xr:uid="{00000000-0005-0000-0000-00007A060000}"/>
    <cellStyle name="40% - Accent1 10 9" xfId="1620" xr:uid="{00000000-0005-0000-0000-00007B060000}"/>
    <cellStyle name="40% - Accent1 11" xfId="1621" xr:uid="{00000000-0005-0000-0000-00007C060000}"/>
    <cellStyle name="40% - Accent1 11 10" xfId="1622" xr:uid="{00000000-0005-0000-0000-00007D060000}"/>
    <cellStyle name="40% - Accent1 11 2" xfId="1623" xr:uid="{00000000-0005-0000-0000-00007E060000}"/>
    <cellStyle name="40% - Accent1 11 3" xfId="1624" xr:uid="{00000000-0005-0000-0000-00007F060000}"/>
    <cellStyle name="40% - Accent1 11 4" xfId="1625" xr:uid="{00000000-0005-0000-0000-000080060000}"/>
    <cellStyle name="40% - Accent1 11 5" xfId="1626" xr:uid="{00000000-0005-0000-0000-000081060000}"/>
    <cellStyle name="40% - Accent1 11 6" xfId="1627" xr:uid="{00000000-0005-0000-0000-000082060000}"/>
    <cellStyle name="40% - Accent1 11 7" xfId="1628" xr:uid="{00000000-0005-0000-0000-000083060000}"/>
    <cellStyle name="40% - Accent1 11 8" xfId="1629" xr:uid="{00000000-0005-0000-0000-000084060000}"/>
    <cellStyle name="40% - Accent1 11 9" xfId="1630" xr:uid="{00000000-0005-0000-0000-000085060000}"/>
    <cellStyle name="40% - Accent1 12" xfId="1631" xr:uid="{00000000-0005-0000-0000-000086060000}"/>
    <cellStyle name="40% - Accent1 12 10" xfId="1632" xr:uid="{00000000-0005-0000-0000-000087060000}"/>
    <cellStyle name="40% - Accent1 12 2" xfId="1633" xr:uid="{00000000-0005-0000-0000-000088060000}"/>
    <cellStyle name="40% - Accent1 12 3" xfId="1634" xr:uid="{00000000-0005-0000-0000-000089060000}"/>
    <cellStyle name="40% - Accent1 12 4" xfId="1635" xr:uid="{00000000-0005-0000-0000-00008A060000}"/>
    <cellStyle name="40% - Accent1 12 5" xfId="1636" xr:uid="{00000000-0005-0000-0000-00008B060000}"/>
    <cellStyle name="40% - Accent1 12 6" xfId="1637" xr:uid="{00000000-0005-0000-0000-00008C060000}"/>
    <cellStyle name="40% - Accent1 12 7" xfId="1638" xr:uid="{00000000-0005-0000-0000-00008D060000}"/>
    <cellStyle name="40% - Accent1 12 8" xfId="1639" xr:uid="{00000000-0005-0000-0000-00008E060000}"/>
    <cellStyle name="40% - Accent1 12 9" xfId="1640" xr:uid="{00000000-0005-0000-0000-00008F060000}"/>
    <cellStyle name="40% - Accent1 13" xfId="1641" xr:uid="{00000000-0005-0000-0000-000090060000}"/>
    <cellStyle name="40% - Accent1 13 10" xfId="1642" xr:uid="{00000000-0005-0000-0000-000091060000}"/>
    <cellStyle name="40% - Accent1 13 2" xfId="1643" xr:uid="{00000000-0005-0000-0000-000092060000}"/>
    <cellStyle name="40% - Accent1 13 3" xfId="1644" xr:uid="{00000000-0005-0000-0000-000093060000}"/>
    <cellStyle name="40% - Accent1 13 4" xfId="1645" xr:uid="{00000000-0005-0000-0000-000094060000}"/>
    <cellStyle name="40% - Accent1 13 5" xfId="1646" xr:uid="{00000000-0005-0000-0000-000095060000}"/>
    <cellStyle name="40% - Accent1 13 6" xfId="1647" xr:uid="{00000000-0005-0000-0000-000096060000}"/>
    <cellStyle name="40% - Accent1 13 7" xfId="1648" xr:uid="{00000000-0005-0000-0000-000097060000}"/>
    <cellStyle name="40% - Accent1 13 8" xfId="1649" xr:uid="{00000000-0005-0000-0000-000098060000}"/>
    <cellStyle name="40% - Accent1 13 9" xfId="1650" xr:uid="{00000000-0005-0000-0000-000099060000}"/>
    <cellStyle name="40% - Accent1 14" xfId="1651" xr:uid="{00000000-0005-0000-0000-00009A060000}"/>
    <cellStyle name="40% - Accent1 14 10" xfId="1652" xr:uid="{00000000-0005-0000-0000-00009B060000}"/>
    <cellStyle name="40% - Accent1 14 2" xfId="1653" xr:uid="{00000000-0005-0000-0000-00009C060000}"/>
    <cellStyle name="40% - Accent1 14 3" xfId="1654" xr:uid="{00000000-0005-0000-0000-00009D060000}"/>
    <cellStyle name="40% - Accent1 14 4" xfId="1655" xr:uid="{00000000-0005-0000-0000-00009E060000}"/>
    <cellStyle name="40% - Accent1 14 5" xfId="1656" xr:uid="{00000000-0005-0000-0000-00009F060000}"/>
    <cellStyle name="40% - Accent1 14 6" xfId="1657" xr:uid="{00000000-0005-0000-0000-0000A0060000}"/>
    <cellStyle name="40% - Accent1 14 7" xfId="1658" xr:uid="{00000000-0005-0000-0000-0000A1060000}"/>
    <cellStyle name="40% - Accent1 14 8" xfId="1659" xr:uid="{00000000-0005-0000-0000-0000A2060000}"/>
    <cellStyle name="40% - Accent1 14 9" xfId="1660" xr:uid="{00000000-0005-0000-0000-0000A3060000}"/>
    <cellStyle name="40% - Accent1 15" xfId="1661" xr:uid="{00000000-0005-0000-0000-0000A4060000}"/>
    <cellStyle name="40% - Accent1 15 10" xfId="1662" xr:uid="{00000000-0005-0000-0000-0000A5060000}"/>
    <cellStyle name="40% - Accent1 15 2" xfId="1663" xr:uid="{00000000-0005-0000-0000-0000A6060000}"/>
    <cellStyle name="40% - Accent1 15 3" xfId="1664" xr:uid="{00000000-0005-0000-0000-0000A7060000}"/>
    <cellStyle name="40% - Accent1 15 4" xfId="1665" xr:uid="{00000000-0005-0000-0000-0000A8060000}"/>
    <cellStyle name="40% - Accent1 15 5" xfId="1666" xr:uid="{00000000-0005-0000-0000-0000A9060000}"/>
    <cellStyle name="40% - Accent1 15 6" xfId="1667" xr:uid="{00000000-0005-0000-0000-0000AA060000}"/>
    <cellStyle name="40% - Accent1 15 7" xfId="1668" xr:uid="{00000000-0005-0000-0000-0000AB060000}"/>
    <cellStyle name="40% - Accent1 15 8" xfId="1669" xr:uid="{00000000-0005-0000-0000-0000AC060000}"/>
    <cellStyle name="40% - Accent1 15 9" xfId="1670" xr:uid="{00000000-0005-0000-0000-0000AD060000}"/>
    <cellStyle name="40% - Accent1 16" xfId="1671" xr:uid="{00000000-0005-0000-0000-0000AE060000}"/>
    <cellStyle name="40% - Accent1 16 10" xfId="1672" xr:uid="{00000000-0005-0000-0000-0000AF060000}"/>
    <cellStyle name="40% - Accent1 16 2" xfId="1673" xr:uid="{00000000-0005-0000-0000-0000B0060000}"/>
    <cellStyle name="40% - Accent1 16 3" xfId="1674" xr:uid="{00000000-0005-0000-0000-0000B1060000}"/>
    <cellStyle name="40% - Accent1 16 4" xfId="1675" xr:uid="{00000000-0005-0000-0000-0000B2060000}"/>
    <cellStyle name="40% - Accent1 16 5" xfId="1676" xr:uid="{00000000-0005-0000-0000-0000B3060000}"/>
    <cellStyle name="40% - Accent1 16 6" xfId="1677" xr:uid="{00000000-0005-0000-0000-0000B4060000}"/>
    <cellStyle name="40% - Accent1 16 7" xfId="1678" xr:uid="{00000000-0005-0000-0000-0000B5060000}"/>
    <cellStyle name="40% - Accent1 16 8" xfId="1679" xr:uid="{00000000-0005-0000-0000-0000B6060000}"/>
    <cellStyle name="40% - Accent1 16 9" xfId="1680" xr:uid="{00000000-0005-0000-0000-0000B7060000}"/>
    <cellStyle name="40% - Accent1 17" xfId="1681" xr:uid="{00000000-0005-0000-0000-0000B8060000}"/>
    <cellStyle name="40% - Accent1 17 10" xfId="1682" xr:uid="{00000000-0005-0000-0000-0000B9060000}"/>
    <cellStyle name="40% - Accent1 17 2" xfId="1683" xr:uid="{00000000-0005-0000-0000-0000BA060000}"/>
    <cellStyle name="40% - Accent1 17 3" xfId="1684" xr:uid="{00000000-0005-0000-0000-0000BB060000}"/>
    <cellStyle name="40% - Accent1 17 4" xfId="1685" xr:uid="{00000000-0005-0000-0000-0000BC060000}"/>
    <cellStyle name="40% - Accent1 17 5" xfId="1686" xr:uid="{00000000-0005-0000-0000-0000BD060000}"/>
    <cellStyle name="40% - Accent1 17 6" xfId="1687" xr:uid="{00000000-0005-0000-0000-0000BE060000}"/>
    <cellStyle name="40% - Accent1 17 7" xfId="1688" xr:uid="{00000000-0005-0000-0000-0000BF060000}"/>
    <cellStyle name="40% - Accent1 17 8" xfId="1689" xr:uid="{00000000-0005-0000-0000-0000C0060000}"/>
    <cellStyle name="40% - Accent1 17 9" xfId="1690" xr:uid="{00000000-0005-0000-0000-0000C1060000}"/>
    <cellStyle name="40% - Accent1 18" xfId="1691" xr:uid="{00000000-0005-0000-0000-0000C2060000}"/>
    <cellStyle name="40% - Accent1 18 2" xfId="1692" xr:uid="{00000000-0005-0000-0000-0000C3060000}"/>
    <cellStyle name="40% - Accent1 18 3" xfId="1693" xr:uid="{00000000-0005-0000-0000-0000C4060000}"/>
    <cellStyle name="40% - Accent1 18 4" xfId="1694" xr:uid="{00000000-0005-0000-0000-0000C5060000}"/>
    <cellStyle name="40% - Accent1 18 5" xfId="1695" xr:uid="{00000000-0005-0000-0000-0000C6060000}"/>
    <cellStyle name="40% - Accent1 18 6" xfId="1696" xr:uid="{00000000-0005-0000-0000-0000C7060000}"/>
    <cellStyle name="40% - Accent1 18 7" xfId="1697" xr:uid="{00000000-0005-0000-0000-0000C8060000}"/>
    <cellStyle name="40% - Accent1 18 8" xfId="1698" xr:uid="{00000000-0005-0000-0000-0000C9060000}"/>
    <cellStyle name="40% - Accent1 19" xfId="1699" xr:uid="{00000000-0005-0000-0000-0000CA060000}"/>
    <cellStyle name="40% - Accent1 19 2" xfId="1700" xr:uid="{00000000-0005-0000-0000-0000CB060000}"/>
    <cellStyle name="40% - Accent1 19 3" xfId="1701" xr:uid="{00000000-0005-0000-0000-0000CC060000}"/>
    <cellStyle name="40% - Accent1 19 4" xfId="1702" xr:uid="{00000000-0005-0000-0000-0000CD060000}"/>
    <cellStyle name="40% - Accent1 19 5" xfId="1703" xr:uid="{00000000-0005-0000-0000-0000CE060000}"/>
    <cellStyle name="40% - Accent1 19 6" xfId="1704" xr:uid="{00000000-0005-0000-0000-0000CF060000}"/>
    <cellStyle name="40% - Accent1 19 7" xfId="1705" xr:uid="{00000000-0005-0000-0000-0000D0060000}"/>
    <cellStyle name="40% - Accent1 19 8" xfId="1706" xr:uid="{00000000-0005-0000-0000-0000D1060000}"/>
    <cellStyle name="40% - Accent1 2" xfId="1707" xr:uid="{00000000-0005-0000-0000-0000D2060000}"/>
    <cellStyle name="40% - Accent1 2 10" xfId="1708" xr:uid="{00000000-0005-0000-0000-0000D3060000}"/>
    <cellStyle name="40% - Accent1 2 11" xfId="21685" xr:uid="{00000000-0005-0000-0000-0000D4060000}"/>
    <cellStyle name="40% - Accent1 2 2" xfId="1709" xr:uid="{00000000-0005-0000-0000-0000D5060000}"/>
    <cellStyle name="40% - Accent1 2 2 2" xfId="21965" xr:uid="{00000000-0005-0000-0000-0000D6060000}"/>
    <cellStyle name="40% - Accent1 2 3" xfId="1710" xr:uid="{00000000-0005-0000-0000-0000D7060000}"/>
    <cellStyle name="40% - Accent1 2 4" xfId="1711" xr:uid="{00000000-0005-0000-0000-0000D8060000}"/>
    <cellStyle name="40% - Accent1 2 5" xfId="1712" xr:uid="{00000000-0005-0000-0000-0000D9060000}"/>
    <cellStyle name="40% - Accent1 2 6" xfId="1713" xr:uid="{00000000-0005-0000-0000-0000DA060000}"/>
    <cellStyle name="40% - Accent1 2 7" xfId="1714" xr:uid="{00000000-0005-0000-0000-0000DB060000}"/>
    <cellStyle name="40% - Accent1 2 8" xfId="1715" xr:uid="{00000000-0005-0000-0000-0000DC060000}"/>
    <cellStyle name="40% - Accent1 2 9" xfId="1716" xr:uid="{00000000-0005-0000-0000-0000DD060000}"/>
    <cellStyle name="40% - Accent1 20" xfId="1717" xr:uid="{00000000-0005-0000-0000-0000DE060000}"/>
    <cellStyle name="40% - Accent1 20 2" xfId="1718" xr:uid="{00000000-0005-0000-0000-0000DF060000}"/>
    <cellStyle name="40% - Accent1 20 3" xfId="1719" xr:uid="{00000000-0005-0000-0000-0000E0060000}"/>
    <cellStyle name="40% - Accent1 20 4" xfId="1720" xr:uid="{00000000-0005-0000-0000-0000E1060000}"/>
    <cellStyle name="40% - Accent1 20 5" xfId="1721" xr:uid="{00000000-0005-0000-0000-0000E2060000}"/>
    <cellStyle name="40% - Accent1 20 6" xfId="1722" xr:uid="{00000000-0005-0000-0000-0000E3060000}"/>
    <cellStyle name="40% - Accent1 20 7" xfId="1723" xr:uid="{00000000-0005-0000-0000-0000E4060000}"/>
    <cellStyle name="40% - Accent1 20 8" xfId="1724" xr:uid="{00000000-0005-0000-0000-0000E5060000}"/>
    <cellStyle name="40% - Accent1 21" xfId="1725" xr:uid="{00000000-0005-0000-0000-0000E6060000}"/>
    <cellStyle name="40% - Accent1 21 2" xfId="1726" xr:uid="{00000000-0005-0000-0000-0000E7060000}"/>
    <cellStyle name="40% - Accent1 21 3" xfId="1727" xr:uid="{00000000-0005-0000-0000-0000E8060000}"/>
    <cellStyle name="40% - Accent1 21 4" xfId="1728" xr:uid="{00000000-0005-0000-0000-0000E9060000}"/>
    <cellStyle name="40% - Accent1 21 5" xfId="1729" xr:uid="{00000000-0005-0000-0000-0000EA060000}"/>
    <cellStyle name="40% - Accent1 21 6" xfId="1730" xr:uid="{00000000-0005-0000-0000-0000EB060000}"/>
    <cellStyle name="40% - Accent1 21 7" xfId="1731" xr:uid="{00000000-0005-0000-0000-0000EC060000}"/>
    <cellStyle name="40% - Accent1 21 8" xfId="1732" xr:uid="{00000000-0005-0000-0000-0000ED060000}"/>
    <cellStyle name="40% - Accent1 22" xfId="1733" xr:uid="{00000000-0005-0000-0000-0000EE060000}"/>
    <cellStyle name="40% - Accent1 22 2" xfId="1734" xr:uid="{00000000-0005-0000-0000-0000EF060000}"/>
    <cellStyle name="40% - Accent1 22 3" xfId="1735" xr:uid="{00000000-0005-0000-0000-0000F0060000}"/>
    <cellStyle name="40% - Accent1 22 4" xfId="1736" xr:uid="{00000000-0005-0000-0000-0000F1060000}"/>
    <cellStyle name="40% - Accent1 22 5" xfId="1737" xr:uid="{00000000-0005-0000-0000-0000F2060000}"/>
    <cellStyle name="40% - Accent1 22 6" xfId="1738" xr:uid="{00000000-0005-0000-0000-0000F3060000}"/>
    <cellStyle name="40% - Accent1 22 7" xfId="1739" xr:uid="{00000000-0005-0000-0000-0000F4060000}"/>
    <cellStyle name="40% - Accent1 22 8" xfId="1740" xr:uid="{00000000-0005-0000-0000-0000F5060000}"/>
    <cellStyle name="40% - Accent1 23" xfId="1741" xr:uid="{00000000-0005-0000-0000-0000F6060000}"/>
    <cellStyle name="40% - Accent1 23 2" xfId="1742" xr:uid="{00000000-0005-0000-0000-0000F7060000}"/>
    <cellStyle name="40% - Accent1 23 3" xfId="1743" xr:uid="{00000000-0005-0000-0000-0000F8060000}"/>
    <cellStyle name="40% - Accent1 23 4" xfId="1744" xr:uid="{00000000-0005-0000-0000-0000F9060000}"/>
    <cellStyle name="40% - Accent1 23 5" xfId="1745" xr:uid="{00000000-0005-0000-0000-0000FA060000}"/>
    <cellStyle name="40% - Accent1 23 6" xfId="1746" xr:uid="{00000000-0005-0000-0000-0000FB060000}"/>
    <cellStyle name="40% - Accent1 23 7" xfId="1747" xr:uid="{00000000-0005-0000-0000-0000FC060000}"/>
    <cellStyle name="40% - Accent1 23 8" xfId="1748" xr:uid="{00000000-0005-0000-0000-0000FD060000}"/>
    <cellStyle name="40% - Accent1 24" xfId="1749" xr:uid="{00000000-0005-0000-0000-0000FE060000}"/>
    <cellStyle name="40% - Accent1 24 2" xfId="1750" xr:uid="{00000000-0005-0000-0000-0000FF060000}"/>
    <cellStyle name="40% - Accent1 24 3" xfId="1751" xr:uid="{00000000-0005-0000-0000-000000070000}"/>
    <cellStyle name="40% - Accent1 24 4" xfId="1752" xr:uid="{00000000-0005-0000-0000-000001070000}"/>
    <cellStyle name="40% - Accent1 24 5" xfId="1753" xr:uid="{00000000-0005-0000-0000-000002070000}"/>
    <cellStyle name="40% - Accent1 24 6" xfId="1754" xr:uid="{00000000-0005-0000-0000-000003070000}"/>
    <cellStyle name="40% - Accent1 24 7" xfId="1755" xr:uid="{00000000-0005-0000-0000-000004070000}"/>
    <cellStyle name="40% - Accent1 24 8" xfId="1756" xr:uid="{00000000-0005-0000-0000-000005070000}"/>
    <cellStyle name="40% - Accent1 25" xfId="1757" xr:uid="{00000000-0005-0000-0000-000006070000}"/>
    <cellStyle name="40% - Accent1 25 2" xfId="1758" xr:uid="{00000000-0005-0000-0000-000007070000}"/>
    <cellStyle name="40% - Accent1 25 3" xfId="1759" xr:uid="{00000000-0005-0000-0000-000008070000}"/>
    <cellStyle name="40% - Accent1 25 4" xfId="1760" xr:uid="{00000000-0005-0000-0000-000009070000}"/>
    <cellStyle name="40% - Accent1 25 5" xfId="1761" xr:uid="{00000000-0005-0000-0000-00000A070000}"/>
    <cellStyle name="40% - Accent1 25 6" xfId="1762" xr:uid="{00000000-0005-0000-0000-00000B070000}"/>
    <cellStyle name="40% - Accent1 25 7" xfId="1763" xr:uid="{00000000-0005-0000-0000-00000C070000}"/>
    <cellStyle name="40% - Accent1 25 8" xfId="1764" xr:uid="{00000000-0005-0000-0000-00000D070000}"/>
    <cellStyle name="40% - Accent1 26" xfId="1765" xr:uid="{00000000-0005-0000-0000-00000E070000}"/>
    <cellStyle name="40% - Accent1 26 2" xfId="1766" xr:uid="{00000000-0005-0000-0000-00000F070000}"/>
    <cellStyle name="40% - Accent1 26 3" xfId="1767" xr:uid="{00000000-0005-0000-0000-000010070000}"/>
    <cellStyle name="40% - Accent1 26 4" xfId="1768" xr:uid="{00000000-0005-0000-0000-000011070000}"/>
    <cellStyle name="40% - Accent1 26 5" xfId="1769" xr:uid="{00000000-0005-0000-0000-000012070000}"/>
    <cellStyle name="40% - Accent1 26 6" xfId="1770" xr:uid="{00000000-0005-0000-0000-000013070000}"/>
    <cellStyle name="40% - Accent1 26 7" xfId="1771" xr:uid="{00000000-0005-0000-0000-000014070000}"/>
    <cellStyle name="40% - Accent1 26 8" xfId="1772" xr:uid="{00000000-0005-0000-0000-000015070000}"/>
    <cellStyle name="40% - Accent1 27" xfId="1773" xr:uid="{00000000-0005-0000-0000-000016070000}"/>
    <cellStyle name="40% - Accent1 27 2" xfId="1774" xr:uid="{00000000-0005-0000-0000-000017070000}"/>
    <cellStyle name="40% - Accent1 27 3" xfId="1775" xr:uid="{00000000-0005-0000-0000-000018070000}"/>
    <cellStyle name="40% - Accent1 27 4" xfId="1776" xr:uid="{00000000-0005-0000-0000-000019070000}"/>
    <cellStyle name="40% - Accent1 27 5" xfId="1777" xr:uid="{00000000-0005-0000-0000-00001A070000}"/>
    <cellStyle name="40% - Accent1 27 6" xfId="1778" xr:uid="{00000000-0005-0000-0000-00001B070000}"/>
    <cellStyle name="40% - Accent1 27 7" xfId="1779" xr:uid="{00000000-0005-0000-0000-00001C070000}"/>
    <cellStyle name="40% - Accent1 27 8" xfId="1780" xr:uid="{00000000-0005-0000-0000-00001D070000}"/>
    <cellStyle name="40% - Accent1 28" xfId="1781" xr:uid="{00000000-0005-0000-0000-00001E070000}"/>
    <cellStyle name="40% - Accent1 28 2" xfId="1782" xr:uid="{00000000-0005-0000-0000-00001F070000}"/>
    <cellStyle name="40% - Accent1 28 3" xfId="1783" xr:uid="{00000000-0005-0000-0000-000020070000}"/>
    <cellStyle name="40% - Accent1 28 4" xfId="1784" xr:uid="{00000000-0005-0000-0000-000021070000}"/>
    <cellStyle name="40% - Accent1 28 5" xfId="1785" xr:uid="{00000000-0005-0000-0000-000022070000}"/>
    <cellStyle name="40% - Accent1 28 6" xfId="1786" xr:uid="{00000000-0005-0000-0000-000023070000}"/>
    <cellStyle name="40% - Accent1 28 7" xfId="1787" xr:uid="{00000000-0005-0000-0000-000024070000}"/>
    <cellStyle name="40% - Accent1 28 8" xfId="1788" xr:uid="{00000000-0005-0000-0000-000025070000}"/>
    <cellStyle name="40% - Accent1 29" xfId="1789" xr:uid="{00000000-0005-0000-0000-000026070000}"/>
    <cellStyle name="40% - Accent1 29 2" xfId="1790" xr:uid="{00000000-0005-0000-0000-000027070000}"/>
    <cellStyle name="40% - Accent1 29 3" xfId="1791" xr:uid="{00000000-0005-0000-0000-000028070000}"/>
    <cellStyle name="40% - Accent1 29 4" xfId="1792" xr:uid="{00000000-0005-0000-0000-000029070000}"/>
    <cellStyle name="40% - Accent1 29 5" xfId="1793" xr:uid="{00000000-0005-0000-0000-00002A070000}"/>
    <cellStyle name="40% - Accent1 29 6" xfId="1794" xr:uid="{00000000-0005-0000-0000-00002B070000}"/>
    <cellStyle name="40% - Accent1 29 7" xfId="1795" xr:uid="{00000000-0005-0000-0000-00002C070000}"/>
    <cellStyle name="40% - Accent1 29 8" xfId="1796" xr:uid="{00000000-0005-0000-0000-00002D070000}"/>
    <cellStyle name="40% - Accent1 3" xfId="1797" xr:uid="{00000000-0005-0000-0000-00002E070000}"/>
    <cellStyle name="40% - Accent1 3 10" xfId="1798" xr:uid="{00000000-0005-0000-0000-00002F070000}"/>
    <cellStyle name="40% - Accent1 3 11" xfId="21966" xr:uid="{00000000-0005-0000-0000-000030070000}"/>
    <cellStyle name="40% - Accent1 3 2" xfId="1799" xr:uid="{00000000-0005-0000-0000-000031070000}"/>
    <cellStyle name="40% - Accent1 3 2 2" xfId="21967" xr:uid="{00000000-0005-0000-0000-000032070000}"/>
    <cellStyle name="40% - Accent1 3 3" xfId="1800" xr:uid="{00000000-0005-0000-0000-000033070000}"/>
    <cellStyle name="40% - Accent1 3 4" xfId="1801" xr:uid="{00000000-0005-0000-0000-000034070000}"/>
    <cellStyle name="40% - Accent1 3 5" xfId="1802" xr:uid="{00000000-0005-0000-0000-000035070000}"/>
    <cellStyle name="40% - Accent1 3 6" xfId="1803" xr:uid="{00000000-0005-0000-0000-000036070000}"/>
    <cellStyle name="40% - Accent1 3 7" xfId="1804" xr:uid="{00000000-0005-0000-0000-000037070000}"/>
    <cellStyle name="40% - Accent1 3 8" xfId="1805" xr:uid="{00000000-0005-0000-0000-000038070000}"/>
    <cellStyle name="40% - Accent1 3 9" xfId="1806" xr:uid="{00000000-0005-0000-0000-000039070000}"/>
    <cellStyle name="40% - Accent1 30" xfId="1807" xr:uid="{00000000-0005-0000-0000-00003A070000}"/>
    <cellStyle name="40% - Accent1 31" xfId="1808" xr:uid="{00000000-0005-0000-0000-00003B070000}"/>
    <cellStyle name="40% - Accent1 32" xfId="1809" xr:uid="{00000000-0005-0000-0000-00003C070000}"/>
    <cellStyle name="40% - Accent1 33" xfId="1810" xr:uid="{00000000-0005-0000-0000-00003D070000}"/>
    <cellStyle name="40% - Accent1 34" xfId="1811" xr:uid="{00000000-0005-0000-0000-00003E070000}"/>
    <cellStyle name="40% - Accent1 35" xfId="1812" xr:uid="{00000000-0005-0000-0000-00003F070000}"/>
    <cellStyle name="40% - Accent1 36" xfId="1813" xr:uid="{00000000-0005-0000-0000-000040070000}"/>
    <cellStyle name="40% - Accent1 37" xfId="1814" xr:uid="{00000000-0005-0000-0000-000041070000}"/>
    <cellStyle name="40% - Accent1 38" xfId="1815" xr:uid="{00000000-0005-0000-0000-000042070000}"/>
    <cellStyle name="40% - Accent1 39" xfId="1816" xr:uid="{00000000-0005-0000-0000-000043070000}"/>
    <cellStyle name="40% - Accent1 4" xfId="1817" xr:uid="{00000000-0005-0000-0000-000044070000}"/>
    <cellStyle name="40% - Accent1 4 10" xfId="1818" xr:uid="{00000000-0005-0000-0000-000045070000}"/>
    <cellStyle name="40% - Accent1 4 11" xfId="21968" xr:uid="{00000000-0005-0000-0000-000046070000}"/>
    <cellStyle name="40% - Accent1 4 2" xfId="1819" xr:uid="{00000000-0005-0000-0000-000047070000}"/>
    <cellStyle name="40% - Accent1 4 2 2" xfId="21969" xr:uid="{00000000-0005-0000-0000-000048070000}"/>
    <cellStyle name="40% - Accent1 4 3" xfId="1820" xr:uid="{00000000-0005-0000-0000-000049070000}"/>
    <cellStyle name="40% - Accent1 4 4" xfId="1821" xr:uid="{00000000-0005-0000-0000-00004A070000}"/>
    <cellStyle name="40% - Accent1 4 5" xfId="1822" xr:uid="{00000000-0005-0000-0000-00004B070000}"/>
    <cellStyle name="40% - Accent1 4 6" xfId="1823" xr:uid="{00000000-0005-0000-0000-00004C070000}"/>
    <cellStyle name="40% - Accent1 4 7" xfId="1824" xr:uid="{00000000-0005-0000-0000-00004D070000}"/>
    <cellStyle name="40% - Accent1 4 8" xfId="1825" xr:uid="{00000000-0005-0000-0000-00004E070000}"/>
    <cellStyle name="40% - Accent1 4 9" xfId="1826" xr:uid="{00000000-0005-0000-0000-00004F070000}"/>
    <cellStyle name="40% - Accent1 40" xfId="21686" xr:uid="{00000000-0005-0000-0000-000050070000}"/>
    <cellStyle name="40% - Accent1 5" xfId="1827" xr:uid="{00000000-0005-0000-0000-000051070000}"/>
    <cellStyle name="40% - Accent1 5 10" xfId="1828" xr:uid="{00000000-0005-0000-0000-000052070000}"/>
    <cellStyle name="40% - Accent1 5 11" xfId="21970" xr:uid="{00000000-0005-0000-0000-000053070000}"/>
    <cellStyle name="40% - Accent1 5 2" xfId="1829" xr:uid="{00000000-0005-0000-0000-000054070000}"/>
    <cellStyle name="40% - Accent1 5 2 2" xfId="21971" xr:uid="{00000000-0005-0000-0000-000055070000}"/>
    <cellStyle name="40% - Accent1 5 3" xfId="1830" xr:uid="{00000000-0005-0000-0000-000056070000}"/>
    <cellStyle name="40% - Accent1 5 4" xfId="1831" xr:uid="{00000000-0005-0000-0000-000057070000}"/>
    <cellStyle name="40% - Accent1 5 5" xfId="1832" xr:uid="{00000000-0005-0000-0000-000058070000}"/>
    <cellStyle name="40% - Accent1 5 6" xfId="1833" xr:uid="{00000000-0005-0000-0000-000059070000}"/>
    <cellStyle name="40% - Accent1 5 7" xfId="1834" xr:uid="{00000000-0005-0000-0000-00005A070000}"/>
    <cellStyle name="40% - Accent1 5 8" xfId="1835" xr:uid="{00000000-0005-0000-0000-00005B070000}"/>
    <cellStyle name="40% - Accent1 5 9" xfId="1836" xr:uid="{00000000-0005-0000-0000-00005C070000}"/>
    <cellStyle name="40% - Accent1 6" xfId="1837" xr:uid="{00000000-0005-0000-0000-00005D070000}"/>
    <cellStyle name="40% - Accent1 6 10" xfId="1838" xr:uid="{00000000-0005-0000-0000-00005E070000}"/>
    <cellStyle name="40% - Accent1 6 2" xfId="1839" xr:uid="{00000000-0005-0000-0000-00005F070000}"/>
    <cellStyle name="40% - Accent1 6 3" xfId="1840" xr:uid="{00000000-0005-0000-0000-000060070000}"/>
    <cellStyle name="40% - Accent1 6 4" xfId="1841" xr:uid="{00000000-0005-0000-0000-000061070000}"/>
    <cellStyle name="40% - Accent1 6 5" xfId="1842" xr:uid="{00000000-0005-0000-0000-000062070000}"/>
    <cellStyle name="40% - Accent1 6 6" xfId="1843" xr:uid="{00000000-0005-0000-0000-000063070000}"/>
    <cellStyle name="40% - Accent1 6 7" xfId="1844" xr:uid="{00000000-0005-0000-0000-000064070000}"/>
    <cellStyle name="40% - Accent1 6 8" xfId="1845" xr:uid="{00000000-0005-0000-0000-000065070000}"/>
    <cellStyle name="40% - Accent1 6 9" xfId="1846" xr:uid="{00000000-0005-0000-0000-000066070000}"/>
    <cellStyle name="40% - Accent1 7" xfId="1847" xr:uid="{00000000-0005-0000-0000-000067070000}"/>
    <cellStyle name="40% - Accent1 7 10" xfId="1848" xr:uid="{00000000-0005-0000-0000-000068070000}"/>
    <cellStyle name="40% - Accent1 7 2" xfId="1849" xr:uid="{00000000-0005-0000-0000-000069070000}"/>
    <cellStyle name="40% - Accent1 7 3" xfId="1850" xr:uid="{00000000-0005-0000-0000-00006A070000}"/>
    <cellStyle name="40% - Accent1 7 4" xfId="1851" xr:uid="{00000000-0005-0000-0000-00006B070000}"/>
    <cellStyle name="40% - Accent1 7 5" xfId="1852" xr:uid="{00000000-0005-0000-0000-00006C070000}"/>
    <cellStyle name="40% - Accent1 7 6" xfId="1853" xr:uid="{00000000-0005-0000-0000-00006D070000}"/>
    <cellStyle name="40% - Accent1 7 7" xfId="1854" xr:uid="{00000000-0005-0000-0000-00006E070000}"/>
    <cellStyle name="40% - Accent1 7 8" xfId="1855" xr:uid="{00000000-0005-0000-0000-00006F070000}"/>
    <cellStyle name="40% - Accent1 7 9" xfId="1856" xr:uid="{00000000-0005-0000-0000-000070070000}"/>
    <cellStyle name="40% - Accent1 8" xfId="1857" xr:uid="{00000000-0005-0000-0000-000071070000}"/>
    <cellStyle name="40% - Accent1 8 10" xfId="1858" xr:uid="{00000000-0005-0000-0000-000072070000}"/>
    <cellStyle name="40% - Accent1 8 2" xfId="1859" xr:uid="{00000000-0005-0000-0000-000073070000}"/>
    <cellStyle name="40% - Accent1 8 3" xfId="1860" xr:uid="{00000000-0005-0000-0000-000074070000}"/>
    <cellStyle name="40% - Accent1 8 4" xfId="1861" xr:uid="{00000000-0005-0000-0000-000075070000}"/>
    <cellStyle name="40% - Accent1 8 5" xfId="1862" xr:uid="{00000000-0005-0000-0000-000076070000}"/>
    <cellStyle name="40% - Accent1 8 6" xfId="1863" xr:uid="{00000000-0005-0000-0000-000077070000}"/>
    <cellStyle name="40% - Accent1 8 7" xfId="1864" xr:uid="{00000000-0005-0000-0000-000078070000}"/>
    <cellStyle name="40% - Accent1 8 8" xfId="1865" xr:uid="{00000000-0005-0000-0000-000079070000}"/>
    <cellStyle name="40% - Accent1 8 9" xfId="1866" xr:uid="{00000000-0005-0000-0000-00007A070000}"/>
    <cellStyle name="40% - Accent1 9" xfId="1867" xr:uid="{00000000-0005-0000-0000-00007B070000}"/>
    <cellStyle name="40% - Accent1 9 10" xfId="1868" xr:uid="{00000000-0005-0000-0000-00007C070000}"/>
    <cellStyle name="40% - Accent1 9 2" xfId="1869" xr:uid="{00000000-0005-0000-0000-00007D070000}"/>
    <cellStyle name="40% - Accent1 9 3" xfId="1870" xr:uid="{00000000-0005-0000-0000-00007E070000}"/>
    <cellStyle name="40% - Accent1 9 4" xfId="1871" xr:uid="{00000000-0005-0000-0000-00007F070000}"/>
    <cellStyle name="40% - Accent1 9 5" xfId="1872" xr:uid="{00000000-0005-0000-0000-000080070000}"/>
    <cellStyle name="40% - Accent1 9 6" xfId="1873" xr:uid="{00000000-0005-0000-0000-000081070000}"/>
    <cellStyle name="40% - Accent1 9 7" xfId="1874" xr:uid="{00000000-0005-0000-0000-000082070000}"/>
    <cellStyle name="40% - Accent1 9 8" xfId="1875" xr:uid="{00000000-0005-0000-0000-000083070000}"/>
    <cellStyle name="40% - Accent1 9 9" xfId="1876" xr:uid="{00000000-0005-0000-0000-000084070000}"/>
    <cellStyle name="40% - Accent2 10" xfId="1877" xr:uid="{00000000-0005-0000-0000-000085070000}"/>
    <cellStyle name="40% - Accent2 10 10" xfId="1878" xr:uid="{00000000-0005-0000-0000-000086070000}"/>
    <cellStyle name="40% - Accent2 10 2" xfId="1879" xr:uid="{00000000-0005-0000-0000-000087070000}"/>
    <cellStyle name="40% - Accent2 10 3" xfId="1880" xr:uid="{00000000-0005-0000-0000-000088070000}"/>
    <cellStyle name="40% - Accent2 10 4" xfId="1881" xr:uid="{00000000-0005-0000-0000-000089070000}"/>
    <cellStyle name="40% - Accent2 10 5" xfId="1882" xr:uid="{00000000-0005-0000-0000-00008A070000}"/>
    <cellStyle name="40% - Accent2 10 6" xfId="1883" xr:uid="{00000000-0005-0000-0000-00008B070000}"/>
    <cellStyle name="40% - Accent2 10 7" xfId="1884" xr:uid="{00000000-0005-0000-0000-00008C070000}"/>
    <cellStyle name="40% - Accent2 10 8" xfId="1885" xr:uid="{00000000-0005-0000-0000-00008D070000}"/>
    <cellStyle name="40% - Accent2 10 9" xfId="1886" xr:uid="{00000000-0005-0000-0000-00008E070000}"/>
    <cellStyle name="40% - Accent2 11" xfId="1887" xr:uid="{00000000-0005-0000-0000-00008F070000}"/>
    <cellStyle name="40% - Accent2 11 10" xfId="1888" xr:uid="{00000000-0005-0000-0000-000090070000}"/>
    <cellStyle name="40% - Accent2 11 2" xfId="1889" xr:uid="{00000000-0005-0000-0000-000091070000}"/>
    <cellStyle name="40% - Accent2 11 3" xfId="1890" xr:uid="{00000000-0005-0000-0000-000092070000}"/>
    <cellStyle name="40% - Accent2 11 4" xfId="1891" xr:uid="{00000000-0005-0000-0000-000093070000}"/>
    <cellStyle name="40% - Accent2 11 5" xfId="1892" xr:uid="{00000000-0005-0000-0000-000094070000}"/>
    <cellStyle name="40% - Accent2 11 6" xfId="1893" xr:uid="{00000000-0005-0000-0000-000095070000}"/>
    <cellStyle name="40% - Accent2 11 7" xfId="1894" xr:uid="{00000000-0005-0000-0000-000096070000}"/>
    <cellStyle name="40% - Accent2 11 8" xfId="1895" xr:uid="{00000000-0005-0000-0000-000097070000}"/>
    <cellStyle name="40% - Accent2 11 9" xfId="1896" xr:uid="{00000000-0005-0000-0000-000098070000}"/>
    <cellStyle name="40% - Accent2 12" xfId="1897" xr:uid="{00000000-0005-0000-0000-000099070000}"/>
    <cellStyle name="40% - Accent2 12 10" xfId="1898" xr:uid="{00000000-0005-0000-0000-00009A070000}"/>
    <cellStyle name="40% - Accent2 12 2" xfId="1899" xr:uid="{00000000-0005-0000-0000-00009B070000}"/>
    <cellStyle name="40% - Accent2 12 3" xfId="1900" xr:uid="{00000000-0005-0000-0000-00009C070000}"/>
    <cellStyle name="40% - Accent2 12 4" xfId="1901" xr:uid="{00000000-0005-0000-0000-00009D070000}"/>
    <cellStyle name="40% - Accent2 12 5" xfId="1902" xr:uid="{00000000-0005-0000-0000-00009E070000}"/>
    <cellStyle name="40% - Accent2 12 6" xfId="1903" xr:uid="{00000000-0005-0000-0000-00009F070000}"/>
    <cellStyle name="40% - Accent2 12 7" xfId="1904" xr:uid="{00000000-0005-0000-0000-0000A0070000}"/>
    <cellStyle name="40% - Accent2 12 8" xfId="1905" xr:uid="{00000000-0005-0000-0000-0000A1070000}"/>
    <cellStyle name="40% - Accent2 12 9" xfId="1906" xr:uid="{00000000-0005-0000-0000-0000A2070000}"/>
    <cellStyle name="40% - Accent2 13" xfId="1907" xr:uid="{00000000-0005-0000-0000-0000A3070000}"/>
    <cellStyle name="40% - Accent2 13 10" xfId="1908" xr:uid="{00000000-0005-0000-0000-0000A4070000}"/>
    <cellStyle name="40% - Accent2 13 2" xfId="1909" xr:uid="{00000000-0005-0000-0000-0000A5070000}"/>
    <cellStyle name="40% - Accent2 13 3" xfId="1910" xr:uid="{00000000-0005-0000-0000-0000A6070000}"/>
    <cellStyle name="40% - Accent2 13 4" xfId="1911" xr:uid="{00000000-0005-0000-0000-0000A7070000}"/>
    <cellStyle name="40% - Accent2 13 5" xfId="1912" xr:uid="{00000000-0005-0000-0000-0000A8070000}"/>
    <cellStyle name="40% - Accent2 13 6" xfId="1913" xr:uid="{00000000-0005-0000-0000-0000A9070000}"/>
    <cellStyle name="40% - Accent2 13 7" xfId="1914" xr:uid="{00000000-0005-0000-0000-0000AA070000}"/>
    <cellStyle name="40% - Accent2 13 8" xfId="1915" xr:uid="{00000000-0005-0000-0000-0000AB070000}"/>
    <cellStyle name="40% - Accent2 13 9" xfId="1916" xr:uid="{00000000-0005-0000-0000-0000AC070000}"/>
    <cellStyle name="40% - Accent2 14" xfId="1917" xr:uid="{00000000-0005-0000-0000-0000AD070000}"/>
    <cellStyle name="40% - Accent2 14 10" xfId="1918" xr:uid="{00000000-0005-0000-0000-0000AE070000}"/>
    <cellStyle name="40% - Accent2 14 2" xfId="1919" xr:uid="{00000000-0005-0000-0000-0000AF070000}"/>
    <cellStyle name="40% - Accent2 14 3" xfId="1920" xr:uid="{00000000-0005-0000-0000-0000B0070000}"/>
    <cellStyle name="40% - Accent2 14 4" xfId="1921" xr:uid="{00000000-0005-0000-0000-0000B1070000}"/>
    <cellStyle name="40% - Accent2 14 5" xfId="1922" xr:uid="{00000000-0005-0000-0000-0000B2070000}"/>
    <cellStyle name="40% - Accent2 14 6" xfId="1923" xr:uid="{00000000-0005-0000-0000-0000B3070000}"/>
    <cellStyle name="40% - Accent2 14 7" xfId="1924" xr:uid="{00000000-0005-0000-0000-0000B4070000}"/>
    <cellStyle name="40% - Accent2 14 8" xfId="1925" xr:uid="{00000000-0005-0000-0000-0000B5070000}"/>
    <cellStyle name="40% - Accent2 14 9" xfId="1926" xr:uid="{00000000-0005-0000-0000-0000B6070000}"/>
    <cellStyle name="40% - Accent2 15" xfId="1927" xr:uid="{00000000-0005-0000-0000-0000B7070000}"/>
    <cellStyle name="40% - Accent2 15 10" xfId="1928" xr:uid="{00000000-0005-0000-0000-0000B8070000}"/>
    <cellStyle name="40% - Accent2 15 2" xfId="1929" xr:uid="{00000000-0005-0000-0000-0000B9070000}"/>
    <cellStyle name="40% - Accent2 15 3" xfId="1930" xr:uid="{00000000-0005-0000-0000-0000BA070000}"/>
    <cellStyle name="40% - Accent2 15 4" xfId="1931" xr:uid="{00000000-0005-0000-0000-0000BB070000}"/>
    <cellStyle name="40% - Accent2 15 5" xfId="1932" xr:uid="{00000000-0005-0000-0000-0000BC070000}"/>
    <cellStyle name="40% - Accent2 15 6" xfId="1933" xr:uid="{00000000-0005-0000-0000-0000BD070000}"/>
    <cellStyle name="40% - Accent2 15 7" xfId="1934" xr:uid="{00000000-0005-0000-0000-0000BE070000}"/>
    <cellStyle name="40% - Accent2 15 8" xfId="1935" xr:uid="{00000000-0005-0000-0000-0000BF070000}"/>
    <cellStyle name="40% - Accent2 15 9" xfId="1936" xr:uid="{00000000-0005-0000-0000-0000C0070000}"/>
    <cellStyle name="40% - Accent2 16" xfId="1937" xr:uid="{00000000-0005-0000-0000-0000C1070000}"/>
    <cellStyle name="40% - Accent2 16 10" xfId="1938" xr:uid="{00000000-0005-0000-0000-0000C2070000}"/>
    <cellStyle name="40% - Accent2 16 2" xfId="1939" xr:uid="{00000000-0005-0000-0000-0000C3070000}"/>
    <cellStyle name="40% - Accent2 16 3" xfId="1940" xr:uid="{00000000-0005-0000-0000-0000C4070000}"/>
    <cellStyle name="40% - Accent2 16 4" xfId="1941" xr:uid="{00000000-0005-0000-0000-0000C5070000}"/>
    <cellStyle name="40% - Accent2 16 5" xfId="1942" xr:uid="{00000000-0005-0000-0000-0000C6070000}"/>
    <cellStyle name="40% - Accent2 16 6" xfId="1943" xr:uid="{00000000-0005-0000-0000-0000C7070000}"/>
    <cellStyle name="40% - Accent2 16 7" xfId="1944" xr:uid="{00000000-0005-0000-0000-0000C8070000}"/>
    <cellStyle name="40% - Accent2 16 8" xfId="1945" xr:uid="{00000000-0005-0000-0000-0000C9070000}"/>
    <cellStyle name="40% - Accent2 16 9" xfId="1946" xr:uid="{00000000-0005-0000-0000-0000CA070000}"/>
    <cellStyle name="40% - Accent2 17" xfId="1947" xr:uid="{00000000-0005-0000-0000-0000CB070000}"/>
    <cellStyle name="40% - Accent2 17 10" xfId="1948" xr:uid="{00000000-0005-0000-0000-0000CC070000}"/>
    <cellStyle name="40% - Accent2 17 2" xfId="1949" xr:uid="{00000000-0005-0000-0000-0000CD070000}"/>
    <cellStyle name="40% - Accent2 17 3" xfId="1950" xr:uid="{00000000-0005-0000-0000-0000CE070000}"/>
    <cellStyle name="40% - Accent2 17 4" xfId="1951" xr:uid="{00000000-0005-0000-0000-0000CF070000}"/>
    <cellStyle name="40% - Accent2 17 5" xfId="1952" xr:uid="{00000000-0005-0000-0000-0000D0070000}"/>
    <cellStyle name="40% - Accent2 17 6" xfId="1953" xr:uid="{00000000-0005-0000-0000-0000D1070000}"/>
    <cellStyle name="40% - Accent2 17 7" xfId="1954" xr:uid="{00000000-0005-0000-0000-0000D2070000}"/>
    <cellStyle name="40% - Accent2 17 8" xfId="1955" xr:uid="{00000000-0005-0000-0000-0000D3070000}"/>
    <cellStyle name="40% - Accent2 17 9" xfId="1956" xr:uid="{00000000-0005-0000-0000-0000D4070000}"/>
    <cellStyle name="40% - Accent2 18" xfId="1957" xr:uid="{00000000-0005-0000-0000-0000D5070000}"/>
    <cellStyle name="40% - Accent2 18 2" xfId="1958" xr:uid="{00000000-0005-0000-0000-0000D6070000}"/>
    <cellStyle name="40% - Accent2 18 3" xfId="1959" xr:uid="{00000000-0005-0000-0000-0000D7070000}"/>
    <cellStyle name="40% - Accent2 18 4" xfId="1960" xr:uid="{00000000-0005-0000-0000-0000D8070000}"/>
    <cellStyle name="40% - Accent2 18 5" xfId="1961" xr:uid="{00000000-0005-0000-0000-0000D9070000}"/>
    <cellStyle name="40% - Accent2 18 6" xfId="1962" xr:uid="{00000000-0005-0000-0000-0000DA070000}"/>
    <cellStyle name="40% - Accent2 18 7" xfId="1963" xr:uid="{00000000-0005-0000-0000-0000DB070000}"/>
    <cellStyle name="40% - Accent2 18 8" xfId="1964" xr:uid="{00000000-0005-0000-0000-0000DC070000}"/>
    <cellStyle name="40% - Accent2 19" xfId="1965" xr:uid="{00000000-0005-0000-0000-0000DD070000}"/>
    <cellStyle name="40% - Accent2 19 2" xfId="1966" xr:uid="{00000000-0005-0000-0000-0000DE070000}"/>
    <cellStyle name="40% - Accent2 19 3" xfId="1967" xr:uid="{00000000-0005-0000-0000-0000DF070000}"/>
    <cellStyle name="40% - Accent2 19 4" xfId="1968" xr:uid="{00000000-0005-0000-0000-0000E0070000}"/>
    <cellStyle name="40% - Accent2 19 5" xfId="1969" xr:uid="{00000000-0005-0000-0000-0000E1070000}"/>
    <cellStyle name="40% - Accent2 19 6" xfId="1970" xr:uid="{00000000-0005-0000-0000-0000E2070000}"/>
    <cellStyle name="40% - Accent2 19 7" xfId="1971" xr:uid="{00000000-0005-0000-0000-0000E3070000}"/>
    <cellStyle name="40% - Accent2 19 8" xfId="1972" xr:uid="{00000000-0005-0000-0000-0000E4070000}"/>
    <cellStyle name="40% - Accent2 2" xfId="1973" xr:uid="{00000000-0005-0000-0000-0000E5070000}"/>
    <cellStyle name="40% - Accent2 2 10" xfId="1974" xr:uid="{00000000-0005-0000-0000-0000E6070000}"/>
    <cellStyle name="40% - Accent2 2 11" xfId="21687" xr:uid="{00000000-0005-0000-0000-0000E7070000}"/>
    <cellStyle name="40% - Accent2 2 2" xfId="1975" xr:uid="{00000000-0005-0000-0000-0000E8070000}"/>
    <cellStyle name="40% - Accent2 2 2 2" xfId="21972" xr:uid="{00000000-0005-0000-0000-0000E9070000}"/>
    <cellStyle name="40% - Accent2 2 3" xfId="1976" xr:uid="{00000000-0005-0000-0000-0000EA070000}"/>
    <cellStyle name="40% - Accent2 2 4" xfId="1977" xr:uid="{00000000-0005-0000-0000-0000EB070000}"/>
    <cellStyle name="40% - Accent2 2 5" xfId="1978" xr:uid="{00000000-0005-0000-0000-0000EC070000}"/>
    <cellStyle name="40% - Accent2 2 6" xfId="1979" xr:uid="{00000000-0005-0000-0000-0000ED070000}"/>
    <cellStyle name="40% - Accent2 2 7" xfId="1980" xr:uid="{00000000-0005-0000-0000-0000EE070000}"/>
    <cellStyle name="40% - Accent2 2 8" xfId="1981" xr:uid="{00000000-0005-0000-0000-0000EF070000}"/>
    <cellStyle name="40% - Accent2 2 9" xfId="1982" xr:uid="{00000000-0005-0000-0000-0000F0070000}"/>
    <cellStyle name="40% - Accent2 20" xfId="1983" xr:uid="{00000000-0005-0000-0000-0000F1070000}"/>
    <cellStyle name="40% - Accent2 20 2" xfId="1984" xr:uid="{00000000-0005-0000-0000-0000F2070000}"/>
    <cellStyle name="40% - Accent2 20 3" xfId="1985" xr:uid="{00000000-0005-0000-0000-0000F3070000}"/>
    <cellStyle name="40% - Accent2 20 4" xfId="1986" xr:uid="{00000000-0005-0000-0000-0000F4070000}"/>
    <cellStyle name="40% - Accent2 20 5" xfId="1987" xr:uid="{00000000-0005-0000-0000-0000F5070000}"/>
    <cellStyle name="40% - Accent2 20 6" xfId="1988" xr:uid="{00000000-0005-0000-0000-0000F6070000}"/>
    <cellStyle name="40% - Accent2 20 7" xfId="1989" xr:uid="{00000000-0005-0000-0000-0000F7070000}"/>
    <cellStyle name="40% - Accent2 20 8" xfId="1990" xr:uid="{00000000-0005-0000-0000-0000F8070000}"/>
    <cellStyle name="40% - Accent2 21" xfId="1991" xr:uid="{00000000-0005-0000-0000-0000F9070000}"/>
    <cellStyle name="40% - Accent2 21 2" xfId="1992" xr:uid="{00000000-0005-0000-0000-0000FA070000}"/>
    <cellStyle name="40% - Accent2 21 3" xfId="1993" xr:uid="{00000000-0005-0000-0000-0000FB070000}"/>
    <cellStyle name="40% - Accent2 21 4" xfId="1994" xr:uid="{00000000-0005-0000-0000-0000FC070000}"/>
    <cellStyle name="40% - Accent2 21 5" xfId="1995" xr:uid="{00000000-0005-0000-0000-0000FD070000}"/>
    <cellStyle name="40% - Accent2 21 6" xfId="1996" xr:uid="{00000000-0005-0000-0000-0000FE070000}"/>
    <cellStyle name="40% - Accent2 21 7" xfId="1997" xr:uid="{00000000-0005-0000-0000-0000FF070000}"/>
    <cellStyle name="40% - Accent2 21 8" xfId="1998" xr:uid="{00000000-0005-0000-0000-000000080000}"/>
    <cellStyle name="40% - Accent2 22" xfId="1999" xr:uid="{00000000-0005-0000-0000-000001080000}"/>
    <cellStyle name="40% - Accent2 22 2" xfId="2000" xr:uid="{00000000-0005-0000-0000-000002080000}"/>
    <cellStyle name="40% - Accent2 22 3" xfId="2001" xr:uid="{00000000-0005-0000-0000-000003080000}"/>
    <cellStyle name="40% - Accent2 22 4" xfId="2002" xr:uid="{00000000-0005-0000-0000-000004080000}"/>
    <cellStyle name="40% - Accent2 22 5" xfId="2003" xr:uid="{00000000-0005-0000-0000-000005080000}"/>
    <cellStyle name="40% - Accent2 22 6" xfId="2004" xr:uid="{00000000-0005-0000-0000-000006080000}"/>
    <cellStyle name="40% - Accent2 22 7" xfId="2005" xr:uid="{00000000-0005-0000-0000-000007080000}"/>
    <cellStyle name="40% - Accent2 22 8" xfId="2006" xr:uid="{00000000-0005-0000-0000-000008080000}"/>
    <cellStyle name="40% - Accent2 23" xfId="2007" xr:uid="{00000000-0005-0000-0000-000009080000}"/>
    <cellStyle name="40% - Accent2 23 2" xfId="2008" xr:uid="{00000000-0005-0000-0000-00000A080000}"/>
    <cellStyle name="40% - Accent2 23 3" xfId="2009" xr:uid="{00000000-0005-0000-0000-00000B080000}"/>
    <cellStyle name="40% - Accent2 23 4" xfId="2010" xr:uid="{00000000-0005-0000-0000-00000C080000}"/>
    <cellStyle name="40% - Accent2 23 5" xfId="2011" xr:uid="{00000000-0005-0000-0000-00000D080000}"/>
    <cellStyle name="40% - Accent2 23 6" xfId="2012" xr:uid="{00000000-0005-0000-0000-00000E080000}"/>
    <cellStyle name="40% - Accent2 23 7" xfId="2013" xr:uid="{00000000-0005-0000-0000-00000F080000}"/>
    <cellStyle name="40% - Accent2 23 8" xfId="2014" xr:uid="{00000000-0005-0000-0000-000010080000}"/>
    <cellStyle name="40% - Accent2 24" xfId="2015" xr:uid="{00000000-0005-0000-0000-000011080000}"/>
    <cellStyle name="40% - Accent2 24 2" xfId="2016" xr:uid="{00000000-0005-0000-0000-000012080000}"/>
    <cellStyle name="40% - Accent2 24 3" xfId="2017" xr:uid="{00000000-0005-0000-0000-000013080000}"/>
    <cellStyle name="40% - Accent2 24 4" xfId="2018" xr:uid="{00000000-0005-0000-0000-000014080000}"/>
    <cellStyle name="40% - Accent2 24 5" xfId="2019" xr:uid="{00000000-0005-0000-0000-000015080000}"/>
    <cellStyle name="40% - Accent2 24 6" xfId="2020" xr:uid="{00000000-0005-0000-0000-000016080000}"/>
    <cellStyle name="40% - Accent2 24 7" xfId="2021" xr:uid="{00000000-0005-0000-0000-000017080000}"/>
    <cellStyle name="40% - Accent2 24 8" xfId="2022" xr:uid="{00000000-0005-0000-0000-000018080000}"/>
    <cellStyle name="40% - Accent2 25" xfId="2023" xr:uid="{00000000-0005-0000-0000-000019080000}"/>
    <cellStyle name="40% - Accent2 25 2" xfId="2024" xr:uid="{00000000-0005-0000-0000-00001A080000}"/>
    <cellStyle name="40% - Accent2 25 3" xfId="2025" xr:uid="{00000000-0005-0000-0000-00001B080000}"/>
    <cellStyle name="40% - Accent2 25 4" xfId="2026" xr:uid="{00000000-0005-0000-0000-00001C080000}"/>
    <cellStyle name="40% - Accent2 25 5" xfId="2027" xr:uid="{00000000-0005-0000-0000-00001D080000}"/>
    <cellStyle name="40% - Accent2 25 6" xfId="2028" xr:uid="{00000000-0005-0000-0000-00001E080000}"/>
    <cellStyle name="40% - Accent2 25 7" xfId="2029" xr:uid="{00000000-0005-0000-0000-00001F080000}"/>
    <cellStyle name="40% - Accent2 25 8" xfId="2030" xr:uid="{00000000-0005-0000-0000-000020080000}"/>
    <cellStyle name="40% - Accent2 26" xfId="2031" xr:uid="{00000000-0005-0000-0000-000021080000}"/>
    <cellStyle name="40% - Accent2 26 2" xfId="2032" xr:uid="{00000000-0005-0000-0000-000022080000}"/>
    <cellStyle name="40% - Accent2 26 3" xfId="2033" xr:uid="{00000000-0005-0000-0000-000023080000}"/>
    <cellStyle name="40% - Accent2 26 4" xfId="2034" xr:uid="{00000000-0005-0000-0000-000024080000}"/>
    <cellStyle name="40% - Accent2 26 5" xfId="2035" xr:uid="{00000000-0005-0000-0000-000025080000}"/>
    <cellStyle name="40% - Accent2 26 6" xfId="2036" xr:uid="{00000000-0005-0000-0000-000026080000}"/>
    <cellStyle name="40% - Accent2 26 7" xfId="2037" xr:uid="{00000000-0005-0000-0000-000027080000}"/>
    <cellStyle name="40% - Accent2 26 8" xfId="2038" xr:uid="{00000000-0005-0000-0000-000028080000}"/>
    <cellStyle name="40% - Accent2 27" xfId="2039" xr:uid="{00000000-0005-0000-0000-000029080000}"/>
    <cellStyle name="40% - Accent2 27 2" xfId="2040" xr:uid="{00000000-0005-0000-0000-00002A080000}"/>
    <cellStyle name="40% - Accent2 27 3" xfId="2041" xr:uid="{00000000-0005-0000-0000-00002B080000}"/>
    <cellStyle name="40% - Accent2 27 4" xfId="2042" xr:uid="{00000000-0005-0000-0000-00002C080000}"/>
    <cellStyle name="40% - Accent2 27 5" xfId="2043" xr:uid="{00000000-0005-0000-0000-00002D080000}"/>
    <cellStyle name="40% - Accent2 27 6" xfId="2044" xr:uid="{00000000-0005-0000-0000-00002E080000}"/>
    <cellStyle name="40% - Accent2 27 7" xfId="2045" xr:uid="{00000000-0005-0000-0000-00002F080000}"/>
    <cellStyle name="40% - Accent2 27 8" xfId="2046" xr:uid="{00000000-0005-0000-0000-000030080000}"/>
    <cellStyle name="40% - Accent2 28" xfId="2047" xr:uid="{00000000-0005-0000-0000-000031080000}"/>
    <cellStyle name="40% - Accent2 28 2" xfId="2048" xr:uid="{00000000-0005-0000-0000-000032080000}"/>
    <cellStyle name="40% - Accent2 28 3" xfId="2049" xr:uid="{00000000-0005-0000-0000-000033080000}"/>
    <cellStyle name="40% - Accent2 28 4" xfId="2050" xr:uid="{00000000-0005-0000-0000-000034080000}"/>
    <cellStyle name="40% - Accent2 28 5" xfId="2051" xr:uid="{00000000-0005-0000-0000-000035080000}"/>
    <cellStyle name="40% - Accent2 28 6" xfId="2052" xr:uid="{00000000-0005-0000-0000-000036080000}"/>
    <cellStyle name="40% - Accent2 28 7" xfId="2053" xr:uid="{00000000-0005-0000-0000-000037080000}"/>
    <cellStyle name="40% - Accent2 28 8" xfId="2054" xr:uid="{00000000-0005-0000-0000-000038080000}"/>
    <cellStyle name="40% - Accent2 29" xfId="2055" xr:uid="{00000000-0005-0000-0000-000039080000}"/>
    <cellStyle name="40% - Accent2 29 2" xfId="2056" xr:uid="{00000000-0005-0000-0000-00003A080000}"/>
    <cellStyle name="40% - Accent2 29 3" xfId="2057" xr:uid="{00000000-0005-0000-0000-00003B080000}"/>
    <cellStyle name="40% - Accent2 29 4" xfId="2058" xr:uid="{00000000-0005-0000-0000-00003C080000}"/>
    <cellStyle name="40% - Accent2 29 5" xfId="2059" xr:uid="{00000000-0005-0000-0000-00003D080000}"/>
    <cellStyle name="40% - Accent2 29 6" xfId="2060" xr:uid="{00000000-0005-0000-0000-00003E080000}"/>
    <cellStyle name="40% - Accent2 29 7" xfId="2061" xr:uid="{00000000-0005-0000-0000-00003F080000}"/>
    <cellStyle name="40% - Accent2 29 8" xfId="2062" xr:uid="{00000000-0005-0000-0000-000040080000}"/>
    <cellStyle name="40% - Accent2 3" xfId="2063" xr:uid="{00000000-0005-0000-0000-000041080000}"/>
    <cellStyle name="40% - Accent2 3 10" xfId="2064" xr:uid="{00000000-0005-0000-0000-000042080000}"/>
    <cellStyle name="40% - Accent2 3 11" xfId="21973" xr:uid="{00000000-0005-0000-0000-000043080000}"/>
    <cellStyle name="40% - Accent2 3 2" xfId="2065" xr:uid="{00000000-0005-0000-0000-000044080000}"/>
    <cellStyle name="40% - Accent2 3 2 2" xfId="21974" xr:uid="{00000000-0005-0000-0000-000045080000}"/>
    <cellStyle name="40% - Accent2 3 3" xfId="2066" xr:uid="{00000000-0005-0000-0000-000046080000}"/>
    <cellStyle name="40% - Accent2 3 4" xfId="2067" xr:uid="{00000000-0005-0000-0000-000047080000}"/>
    <cellStyle name="40% - Accent2 3 5" xfId="2068" xr:uid="{00000000-0005-0000-0000-000048080000}"/>
    <cellStyle name="40% - Accent2 3 6" xfId="2069" xr:uid="{00000000-0005-0000-0000-000049080000}"/>
    <cellStyle name="40% - Accent2 3 7" xfId="2070" xr:uid="{00000000-0005-0000-0000-00004A080000}"/>
    <cellStyle name="40% - Accent2 3 8" xfId="2071" xr:uid="{00000000-0005-0000-0000-00004B080000}"/>
    <cellStyle name="40% - Accent2 3 9" xfId="2072" xr:uid="{00000000-0005-0000-0000-00004C080000}"/>
    <cellStyle name="40% - Accent2 30" xfId="2073" xr:uid="{00000000-0005-0000-0000-00004D080000}"/>
    <cellStyle name="40% - Accent2 31" xfId="2074" xr:uid="{00000000-0005-0000-0000-00004E080000}"/>
    <cellStyle name="40% - Accent2 32" xfId="2075" xr:uid="{00000000-0005-0000-0000-00004F080000}"/>
    <cellStyle name="40% - Accent2 33" xfId="2076" xr:uid="{00000000-0005-0000-0000-000050080000}"/>
    <cellStyle name="40% - Accent2 34" xfId="2077" xr:uid="{00000000-0005-0000-0000-000051080000}"/>
    <cellStyle name="40% - Accent2 35" xfId="2078" xr:uid="{00000000-0005-0000-0000-000052080000}"/>
    <cellStyle name="40% - Accent2 36" xfId="2079" xr:uid="{00000000-0005-0000-0000-000053080000}"/>
    <cellStyle name="40% - Accent2 37" xfId="2080" xr:uid="{00000000-0005-0000-0000-000054080000}"/>
    <cellStyle name="40% - Accent2 38" xfId="2081" xr:uid="{00000000-0005-0000-0000-000055080000}"/>
    <cellStyle name="40% - Accent2 39" xfId="2082" xr:uid="{00000000-0005-0000-0000-000056080000}"/>
    <cellStyle name="40% - Accent2 4" xfId="2083" xr:uid="{00000000-0005-0000-0000-000057080000}"/>
    <cellStyle name="40% - Accent2 4 10" xfId="2084" xr:uid="{00000000-0005-0000-0000-000058080000}"/>
    <cellStyle name="40% - Accent2 4 11" xfId="21975" xr:uid="{00000000-0005-0000-0000-000059080000}"/>
    <cellStyle name="40% - Accent2 4 2" xfId="2085" xr:uid="{00000000-0005-0000-0000-00005A080000}"/>
    <cellStyle name="40% - Accent2 4 2 2" xfId="21976" xr:uid="{00000000-0005-0000-0000-00005B080000}"/>
    <cellStyle name="40% - Accent2 4 3" xfId="2086" xr:uid="{00000000-0005-0000-0000-00005C080000}"/>
    <cellStyle name="40% - Accent2 4 4" xfId="2087" xr:uid="{00000000-0005-0000-0000-00005D080000}"/>
    <cellStyle name="40% - Accent2 4 5" xfId="2088" xr:uid="{00000000-0005-0000-0000-00005E080000}"/>
    <cellStyle name="40% - Accent2 4 6" xfId="2089" xr:uid="{00000000-0005-0000-0000-00005F080000}"/>
    <cellStyle name="40% - Accent2 4 7" xfId="2090" xr:uid="{00000000-0005-0000-0000-000060080000}"/>
    <cellStyle name="40% - Accent2 4 8" xfId="2091" xr:uid="{00000000-0005-0000-0000-000061080000}"/>
    <cellStyle name="40% - Accent2 4 9" xfId="2092" xr:uid="{00000000-0005-0000-0000-000062080000}"/>
    <cellStyle name="40% - Accent2 40" xfId="21688" xr:uid="{00000000-0005-0000-0000-000063080000}"/>
    <cellStyle name="40% - Accent2 5" xfId="2093" xr:uid="{00000000-0005-0000-0000-000064080000}"/>
    <cellStyle name="40% - Accent2 5 10" xfId="2094" xr:uid="{00000000-0005-0000-0000-000065080000}"/>
    <cellStyle name="40% - Accent2 5 11" xfId="21977" xr:uid="{00000000-0005-0000-0000-000066080000}"/>
    <cellStyle name="40% - Accent2 5 2" xfId="2095" xr:uid="{00000000-0005-0000-0000-000067080000}"/>
    <cellStyle name="40% - Accent2 5 2 2" xfId="21978" xr:uid="{00000000-0005-0000-0000-000068080000}"/>
    <cellStyle name="40% - Accent2 5 3" xfId="2096" xr:uid="{00000000-0005-0000-0000-000069080000}"/>
    <cellStyle name="40% - Accent2 5 4" xfId="2097" xr:uid="{00000000-0005-0000-0000-00006A080000}"/>
    <cellStyle name="40% - Accent2 5 5" xfId="2098" xr:uid="{00000000-0005-0000-0000-00006B080000}"/>
    <cellStyle name="40% - Accent2 5 6" xfId="2099" xr:uid="{00000000-0005-0000-0000-00006C080000}"/>
    <cellStyle name="40% - Accent2 5 7" xfId="2100" xr:uid="{00000000-0005-0000-0000-00006D080000}"/>
    <cellStyle name="40% - Accent2 5 8" xfId="2101" xr:uid="{00000000-0005-0000-0000-00006E080000}"/>
    <cellStyle name="40% - Accent2 5 9" xfId="2102" xr:uid="{00000000-0005-0000-0000-00006F080000}"/>
    <cellStyle name="40% - Accent2 6" xfId="2103" xr:uid="{00000000-0005-0000-0000-000070080000}"/>
    <cellStyle name="40% - Accent2 6 10" xfId="2104" xr:uid="{00000000-0005-0000-0000-000071080000}"/>
    <cellStyle name="40% - Accent2 6 2" xfId="2105" xr:uid="{00000000-0005-0000-0000-000072080000}"/>
    <cellStyle name="40% - Accent2 6 3" xfId="2106" xr:uid="{00000000-0005-0000-0000-000073080000}"/>
    <cellStyle name="40% - Accent2 6 4" xfId="2107" xr:uid="{00000000-0005-0000-0000-000074080000}"/>
    <cellStyle name="40% - Accent2 6 5" xfId="2108" xr:uid="{00000000-0005-0000-0000-000075080000}"/>
    <cellStyle name="40% - Accent2 6 6" xfId="2109" xr:uid="{00000000-0005-0000-0000-000076080000}"/>
    <cellStyle name="40% - Accent2 6 7" xfId="2110" xr:uid="{00000000-0005-0000-0000-000077080000}"/>
    <cellStyle name="40% - Accent2 6 8" xfId="2111" xr:uid="{00000000-0005-0000-0000-000078080000}"/>
    <cellStyle name="40% - Accent2 6 9" xfId="2112" xr:uid="{00000000-0005-0000-0000-000079080000}"/>
    <cellStyle name="40% - Accent2 7" xfId="2113" xr:uid="{00000000-0005-0000-0000-00007A080000}"/>
    <cellStyle name="40% - Accent2 7 10" xfId="2114" xr:uid="{00000000-0005-0000-0000-00007B080000}"/>
    <cellStyle name="40% - Accent2 7 2" xfId="2115" xr:uid="{00000000-0005-0000-0000-00007C080000}"/>
    <cellStyle name="40% - Accent2 7 3" xfId="2116" xr:uid="{00000000-0005-0000-0000-00007D080000}"/>
    <cellStyle name="40% - Accent2 7 4" xfId="2117" xr:uid="{00000000-0005-0000-0000-00007E080000}"/>
    <cellStyle name="40% - Accent2 7 5" xfId="2118" xr:uid="{00000000-0005-0000-0000-00007F080000}"/>
    <cellStyle name="40% - Accent2 7 6" xfId="2119" xr:uid="{00000000-0005-0000-0000-000080080000}"/>
    <cellStyle name="40% - Accent2 7 7" xfId="2120" xr:uid="{00000000-0005-0000-0000-000081080000}"/>
    <cellStyle name="40% - Accent2 7 8" xfId="2121" xr:uid="{00000000-0005-0000-0000-000082080000}"/>
    <cellStyle name="40% - Accent2 7 9" xfId="2122" xr:uid="{00000000-0005-0000-0000-000083080000}"/>
    <cellStyle name="40% - Accent2 8" xfId="2123" xr:uid="{00000000-0005-0000-0000-000084080000}"/>
    <cellStyle name="40% - Accent2 8 10" xfId="2124" xr:uid="{00000000-0005-0000-0000-000085080000}"/>
    <cellStyle name="40% - Accent2 8 2" xfId="2125" xr:uid="{00000000-0005-0000-0000-000086080000}"/>
    <cellStyle name="40% - Accent2 8 3" xfId="2126" xr:uid="{00000000-0005-0000-0000-000087080000}"/>
    <cellStyle name="40% - Accent2 8 4" xfId="2127" xr:uid="{00000000-0005-0000-0000-000088080000}"/>
    <cellStyle name="40% - Accent2 8 5" xfId="2128" xr:uid="{00000000-0005-0000-0000-000089080000}"/>
    <cellStyle name="40% - Accent2 8 6" xfId="2129" xr:uid="{00000000-0005-0000-0000-00008A080000}"/>
    <cellStyle name="40% - Accent2 8 7" xfId="2130" xr:uid="{00000000-0005-0000-0000-00008B080000}"/>
    <cellStyle name="40% - Accent2 8 8" xfId="2131" xr:uid="{00000000-0005-0000-0000-00008C080000}"/>
    <cellStyle name="40% - Accent2 8 9" xfId="2132" xr:uid="{00000000-0005-0000-0000-00008D080000}"/>
    <cellStyle name="40% - Accent2 9" xfId="2133" xr:uid="{00000000-0005-0000-0000-00008E080000}"/>
    <cellStyle name="40% - Accent2 9 10" xfId="2134" xr:uid="{00000000-0005-0000-0000-00008F080000}"/>
    <cellStyle name="40% - Accent2 9 2" xfId="2135" xr:uid="{00000000-0005-0000-0000-000090080000}"/>
    <cellStyle name="40% - Accent2 9 3" xfId="2136" xr:uid="{00000000-0005-0000-0000-000091080000}"/>
    <cellStyle name="40% - Accent2 9 4" xfId="2137" xr:uid="{00000000-0005-0000-0000-000092080000}"/>
    <cellStyle name="40% - Accent2 9 5" xfId="2138" xr:uid="{00000000-0005-0000-0000-000093080000}"/>
    <cellStyle name="40% - Accent2 9 6" xfId="2139" xr:uid="{00000000-0005-0000-0000-000094080000}"/>
    <cellStyle name="40% - Accent2 9 7" xfId="2140" xr:uid="{00000000-0005-0000-0000-000095080000}"/>
    <cellStyle name="40% - Accent2 9 8" xfId="2141" xr:uid="{00000000-0005-0000-0000-000096080000}"/>
    <cellStyle name="40% - Accent2 9 9" xfId="2142" xr:uid="{00000000-0005-0000-0000-000097080000}"/>
    <cellStyle name="40% - Accent3 10" xfId="2143" xr:uid="{00000000-0005-0000-0000-000098080000}"/>
    <cellStyle name="40% - Accent3 10 10" xfId="2144" xr:uid="{00000000-0005-0000-0000-000099080000}"/>
    <cellStyle name="40% - Accent3 10 2" xfId="2145" xr:uid="{00000000-0005-0000-0000-00009A080000}"/>
    <cellStyle name="40% - Accent3 10 3" xfId="2146" xr:uid="{00000000-0005-0000-0000-00009B080000}"/>
    <cellStyle name="40% - Accent3 10 4" xfId="2147" xr:uid="{00000000-0005-0000-0000-00009C080000}"/>
    <cellStyle name="40% - Accent3 10 5" xfId="2148" xr:uid="{00000000-0005-0000-0000-00009D080000}"/>
    <cellStyle name="40% - Accent3 10 6" xfId="2149" xr:uid="{00000000-0005-0000-0000-00009E080000}"/>
    <cellStyle name="40% - Accent3 10 7" xfId="2150" xr:uid="{00000000-0005-0000-0000-00009F080000}"/>
    <cellStyle name="40% - Accent3 10 8" xfId="2151" xr:uid="{00000000-0005-0000-0000-0000A0080000}"/>
    <cellStyle name="40% - Accent3 10 9" xfId="2152" xr:uid="{00000000-0005-0000-0000-0000A1080000}"/>
    <cellStyle name="40% - Accent3 11" xfId="2153" xr:uid="{00000000-0005-0000-0000-0000A2080000}"/>
    <cellStyle name="40% - Accent3 11 10" xfId="2154" xr:uid="{00000000-0005-0000-0000-0000A3080000}"/>
    <cellStyle name="40% - Accent3 11 2" xfId="2155" xr:uid="{00000000-0005-0000-0000-0000A4080000}"/>
    <cellStyle name="40% - Accent3 11 3" xfId="2156" xr:uid="{00000000-0005-0000-0000-0000A5080000}"/>
    <cellStyle name="40% - Accent3 11 4" xfId="2157" xr:uid="{00000000-0005-0000-0000-0000A6080000}"/>
    <cellStyle name="40% - Accent3 11 5" xfId="2158" xr:uid="{00000000-0005-0000-0000-0000A7080000}"/>
    <cellStyle name="40% - Accent3 11 6" xfId="2159" xr:uid="{00000000-0005-0000-0000-0000A8080000}"/>
    <cellStyle name="40% - Accent3 11 7" xfId="2160" xr:uid="{00000000-0005-0000-0000-0000A9080000}"/>
    <cellStyle name="40% - Accent3 11 8" xfId="2161" xr:uid="{00000000-0005-0000-0000-0000AA080000}"/>
    <cellStyle name="40% - Accent3 11 9" xfId="2162" xr:uid="{00000000-0005-0000-0000-0000AB080000}"/>
    <cellStyle name="40% - Accent3 12" xfId="2163" xr:uid="{00000000-0005-0000-0000-0000AC080000}"/>
    <cellStyle name="40% - Accent3 12 10" xfId="2164" xr:uid="{00000000-0005-0000-0000-0000AD080000}"/>
    <cellStyle name="40% - Accent3 12 2" xfId="2165" xr:uid="{00000000-0005-0000-0000-0000AE080000}"/>
    <cellStyle name="40% - Accent3 12 3" xfId="2166" xr:uid="{00000000-0005-0000-0000-0000AF080000}"/>
    <cellStyle name="40% - Accent3 12 4" xfId="2167" xr:uid="{00000000-0005-0000-0000-0000B0080000}"/>
    <cellStyle name="40% - Accent3 12 5" xfId="2168" xr:uid="{00000000-0005-0000-0000-0000B1080000}"/>
    <cellStyle name="40% - Accent3 12 6" xfId="2169" xr:uid="{00000000-0005-0000-0000-0000B2080000}"/>
    <cellStyle name="40% - Accent3 12 7" xfId="2170" xr:uid="{00000000-0005-0000-0000-0000B3080000}"/>
    <cellStyle name="40% - Accent3 12 8" xfId="2171" xr:uid="{00000000-0005-0000-0000-0000B4080000}"/>
    <cellStyle name="40% - Accent3 12 9" xfId="2172" xr:uid="{00000000-0005-0000-0000-0000B5080000}"/>
    <cellStyle name="40% - Accent3 13" xfId="2173" xr:uid="{00000000-0005-0000-0000-0000B6080000}"/>
    <cellStyle name="40% - Accent3 13 10" xfId="2174" xr:uid="{00000000-0005-0000-0000-0000B7080000}"/>
    <cellStyle name="40% - Accent3 13 2" xfId="2175" xr:uid="{00000000-0005-0000-0000-0000B8080000}"/>
    <cellStyle name="40% - Accent3 13 3" xfId="2176" xr:uid="{00000000-0005-0000-0000-0000B9080000}"/>
    <cellStyle name="40% - Accent3 13 4" xfId="2177" xr:uid="{00000000-0005-0000-0000-0000BA080000}"/>
    <cellStyle name="40% - Accent3 13 5" xfId="2178" xr:uid="{00000000-0005-0000-0000-0000BB080000}"/>
    <cellStyle name="40% - Accent3 13 6" xfId="2179" xr:uid="{00000000-0005-0000-0000-0000BC080000}"/>
    <cellStyle name="40% - Accent3 13 7" xfId="2180" xr:uid="{00000000-0005-0000-0000-0000BD080000}"/>
    <cellStyle name="40% - Accent3 13 8" xfId="2181" xr:uid="{00000000-0005-0000-0000-0000BE080000}"/>
    <cellStyle name="40% - Accent3 13 9" xfId="2182" xr:uid="{00000000-0005-0000-0000-0000BF080000}"/>
    <cellStyle name="40% - Accent3 14" xfId="2183" xr:uid="{00000000-0005-0000-0000-0000C0080000}"/>
    <cellStyle name="40% - Accent3 14 10" xfId="2184" xr:uid="{00000000-0005-0000-0000-0000C1080000}"/>
    <cellStyle name="40% - Accent3 14 2" xfId="2185" xr:uid="{00000000-0005-0000-0000-0000C2080000}"/>
    <cellStyle name="40% - Accent3 14 3" xfId="2186" xr:uid="{00000000-0005-0000-0000-0000C3080000}"/>
    <cellStyle name="40% - Accent3 14 4" xfId="2187" xr:uid="{00000000-0005-0000-0000-0000C4080000}"/>
    <cellStyle name="40% - Accent3 14 5" xfId="2188" xr:uid="{00000000-0005-0000-0000-0000C5080000}"/>
    <cellStyle name="40% - Accent3 14 6" xfId="2189" xr:uid="{00000000-0005-0000-0000-0000C6080000}"/>
    <cellStyle name="40% - Accent3 14 7" xfId="2190" xr:uid="{00000000-0005-0000-0000-0000C7080000}"/>
    <cellStyle name="40% - Accent3 14 8" xfId="2191" xr:uid="{00000000-0005-0000-0000-0000C8080000}"/>
    <cellStyle name="40% - Accent3 14 9" xfId="2192" xr:uid="{00000000-0005-0000-0000-0000C9080000}"/>
    <cellStyle name="40% - Accent3 15" xfId="2193" xr:uid="{00000000-0005-0000-0000-0000CA080000}"/>
    <cellStyle name="40% - Accent3 15 10" xfId="2194" xr:uid="{00000000-0005-0000-0000-0000CB080000}"/>
    <cellStyle name="40% - Accent3 15 2" xfId="2195" xr:uid="{00000000-0005-0000-0000-0000CC080000}"/>
    <cellStyle name="40% - Accent3 15 3" xfId="2196" xr:uid="{00000000-0005-0000-0000-0000CD080000}"/>
    <cellStyle name="40% - Accent3 15 4" xfId="2197" xr:uid="{00000000-0005-0000-0000-0000CE080000}"/>
    <cellStyle name="40% - Accent3 15 5" xfId="2198" xr:uid="{00000000-0005-0000-0000-0000CF080000}"/>
    <cellStyle name="40% - Accent3 15 6" xfId="2199" xr:uid="{00000000-0005-0000-0000-0000D0080000}"/>
    <cellStyle name="40% - Accent3 15 7" xfId="2200" xr:uid="{00000000-0005-0000-0000-0000D1080000}"/>
    <cellStyle name="40% - Accent3 15 8" xfId="2201" xr:uid="{00000000-0005-0000-0000-0000D2080000}"/>
    <cellStyle name="40% - Accent3 15 9" xfId="2202" xr:uid="{00000000-0005-0000-0000-0000D3080000}"/>
    <cellStyle name="40% - Accent3 16" xfId="2203" xr:uid="{00000000-0005-0000-0000-0000D4080000}"/>
    <cellStyle name="40% - Accent3 16 10" xfId="2204" xr:uid="{00000000-0005-0000-0000-0000D5080000}"/>
    <cellStyle name="40% - Accent3 16 2" xfId="2205" xr:uid="{00000000-0005-0000-0000-0000D6080000}"/>
    <cellStyle name="40% - Accent3 16 3" xfId="2206" xr:uid="{00000000-0005-0000-0000-0000D7080000}"/>
    <cellStyle name="40% - Accent3 16 4" xfId="2207" xr:uid="{00000000-0005-0000-0000-0000D8080000}"/>
    <cellStyle name="40% - Accent3 16 5" xfId="2208" xr:uid="{00000000-0005-0000-0000-0000D9080000}"/>
    <cellStyle name="40% - Accent3 16 6" xfId="2209" xr:uid="{00000000-0005-0000-0000-0000DA080000}"/>
    <cellStyle name="40% - Accent3 16 7" xfId="2210" xr:uid="{00000000-0005-0000-0000-0000DB080000}"/>
    <cellStyle name="40% - Accent3 16 8" xfId="2211" xr:uid="{00000000-0005-0000-0000-0000DC080000}"/>
    <cellStyle name="40% - Accent3 16 9" xfId="2212" xr:uid="{00000000-0005-0000-0000-0000DD080000}"/>
    <cellStyle name="40% - Accent3 17" xfId="2213" xr:uid="{00000000-0005-0000-0000-0000DE080000}"/>
    <cellStyle name="40% - Accent3 17 10" xfId="2214" xr:uid="{00000000-0005-0000-0000-0000DF080000}"/>
    <cellStyle name="40% - Accent3 17 2" xfId="2215" xr:uid="{00000000-0005-0000-0000-0000E0080000}"/>
    <cellStyle name="40% - Accent3 17 3" xfId="2216" xr:uid="{00000000-0005-0000-0000-0000E1080000}"/>
    <cellStyle name="40% - Accent3 17 4" xfId="2217" xr:uid="{00000000-0005-0000-0000-0000E2080000}"/>
    <cellStyle name="40% - Accent3 17 5" xfId="2218" xr:uid="{00000000-0005-0000-0000-0000E3080000}"/>
    <cellStyle name="40% - Accent3 17 6" xfId="2219" xr:uid="{00000000-0005-0000-0000-0000E4080000}"/>
    <cellStyle name="40% - Accent3 17 7" xfId="2220" xr:uid="{00000000-0005-0000-0000-0000E5080000}"/>
    <cellStyle name="40% - Accent3 17 8" xfId="2221" xr:uid="{00000000-0005-0000-0000-0000E6080000}"/>
    <cellStyle name="40% - Accent3 17 9" xfId="2222" xr:uid="{00000000-0005-0000-0000-0000E7080000}"/>
    <cellStyle name="40% - Accent3 18" xfId="2223" xr:uid="{00000000-0005-0000-0000-0000E8080000}"/>
    <cellStyle name="40% - Accent3 18 2" xfId="2224" xr:uid="{00000000-0005-0000-0000-0000E9080000}"/>
    <cellStyle name="40% - Accent3 18 3" xfId="2225" xr:uid="{00000000-0005-0000-0000-0000EA080000}"/>
    <cellStyle name="40% - Accent3 18 4" xfId="2226" xr:uid="{00000000-0005-0000-0000-0000EB080000}"/>
    <cellStyle name="40% - Accent3 18 5" xfId="2227" xr:uid="{00000000-0005-0000-0000-0000EC080000}"/>
    <cellStyle name="40% - Accent3 18 6" xfId="2228" xr:uid="{00000000-0005-0000-0000-0000ED080000}"/>
    <cellStyle name="40% - Accent3 18 7" xfId="2229" xr:uid="{00000000-0005-0000-0000-0000EE080000}"/>
    <cellStyle name="40% - Accent3 18 8" xfId="2230" xr:uid="{00000000-0005-0000-0000-0000EF080000}"/>
    <cellStyle name="40% - Accent3 19" xfId="2231" xr:uid="{00000000-0005-0000-0000-0000F0080000}"/>
    <cellStyle name="40% - Accent3 19 2" xfId="2232" xr:uid="{00000000-0005-0000-0000-0000F1080000}"/>
    <cellStyle name="40% - Accent3 19 3" xfId="2233" xr:uid="{00000000-0005-0000-0000-0000F2080000}"/>
    <cellStyle name="40% - Accent3 19 4" xfId="2234" xr:uid="{00000000-0005-0000-0000-0000F3080000}"/>
    <cellStyle name="40% - Accent3 19 5" xfId="2235" xr:uid="{00000000-0005-0000-0000-0000F4080000}"/>
    <cellStyle name="40% - Accent3 19 6" xfId="2236" xr:uid="{00000000-0005-0000-0000-0000F5080000}"/>
    <cellStyle name="40% - Accent3 19 7" xfId="2237" xr:uid="{00000000-0005-0000-0000-0000F6080000}"/>
    <cellStyle name="40% - Accent3 19 8" xfId="2238" xr:uid="{00000000-0005-0000-0000-0000F7080000}"/>
    <cellStyle name="40% - Accent3 2" xfId="2239" xr:uid="{00000000-0005-0000-0000-0000F8080000}"/>
    <cellStyle name="40% - Accent3 2 10" xfId="2240" xr:uid="{00000000-0005-0000-0000-0000F9080000}"/>
    <cellStyle name="40% - Accent3 2 11" xfId="21689" xr:uid="{00000000-0005-0000-0000-0000FA080000}"/>
    <cellStyle name="40% - Accent3 2 2" xfId="2241" xr:uid="{00000000-0005-0000-0000-0000FB080000}"/>
    <cellStyle name="40% - Accent3 2 2 2" xfId="21979" xr:uid="{00000000-0005-0000-0000-0000FC080000}"/>
    <cellStyle name="40% - Accent3 2 3" xfId="2242" xr:uid="{00000000-0005-0000-0000-0000FD080000}"/>
    <cellStyle name="40% - Accent3 2 4" xfId="2243" xr:uid="{00000000-0005-0000-0000-0000FE080000}"/>
    <cellStyle name="40% - Accent3 2 5" xfId="2244" xr:uid="{00000000-0005-0000-0000-0000FF080000}"/>
    <cellStyle name="40% - Accent3 2 6" xfId="2245" xr:uid="{00000000-0005-0000-0000-000000090000}"/>
    <cellStyle name="40% - Accent3 2 7" xfId="2246" xr:uid="{00000000-0005-0000-0000-000001090000}"/>
    <cellStyle name="40% - Accent3 2 8" xfId="2247" xr:uid="{00000000-0005-0000-0000-000002090000}"/>
    <cellStyle name="40% - Accent3 2 9" xfId="2248" xr:uid="{00000000-0005-0000-0000-000003090000}"/>
    <cellStyle name="40% - Accent3 20" xfId="2249" xr:uid="{00000000-0005-0000-0000-000004090000}"/>
    <cellStyle name="40% - Accent3 20 2" xfId="2250" xr:uid="{00000000-0005-0000-0000-000005090000}"/>
    <cellStyle name="40% - Accent3 20 3" xfId="2251" xr:uid="{00000000-0005-0000-0000-000006090000}"/>
    <cellStyle name="40% - Accent3 20 4" xfId="2252" xr:uid="{00000000-0005-0000-0000-000007090000}"/>
    <cellStyle name="40% - Accent3 20 5" xfId="2253" xr:uid="{00000000-0005-0000-0000-000008090000}"/>
    <cellStyle name="40% - Accent3 20 6" xfId="2254" xr:uid="{00000000-0005-0000-0000-000009090000}"/>
    <cellStyle name="40% - Accent3 20 7" xfId="2255" xr:uid="{00000000-0005-0000-0000-00000A090000}"/>
    <cellStyle name="40% - Accent3 20 8" xfId="2256" xr:uid="{00000000-0005-0000-0000-00000B090000}"/>
    <cellStyle name="40% - Accent3 21" xfId="2257" xr:uid="{00000000-0005-0000-0000-00000C090000}"/>
    <cellStyle name="40% - Accent3 21 2" xfId="2258" xr:uid="{00000000-0005-0000-0000-00000D090000}"/>
    <cellStyle name="40% - Accent3 21 3" xfId="2259" xr:uid="{00000000-0005-0000-0000-00000E090000}"/>
    <cellStyle name="40% - Accent3 21 4" xfId="2260" xr:uid="{00000000-0005-0000-0000-00000F090000}"/>
    <cellStyle name="40% - Accent3 21 5" xfId="2261" xr:uid="{00000000-0005-0000-0000-000010090000}"/>
    <cellStyle name="40% - Accent3 21 6" xfId="2262" xr:uid="{00000000-0005-0000-0000-000011090000}"/>
    <cellStyle name="40% - Accent3 21 7" xfId="2263" xr:uid="{00000000-0005-0000-0000-000012090000}"/>
    <cellStyle name="40% - Accent3 21 8" xfId="2264" xr:uid="{00000000-0005-0000-0000-000013090000}"/>
    <cellStyle name="40% - Accent3 22" xfId="2265" xr:uid="{00000000-0005-0000-0000-000014090000}"/>
    <cellStyle name="40% - Accent3 22 2" xfId="2266" xr:uid="{00000000-0005-0000-0000-000015090000}"/>
    <cellStyle name="40% - Accent3 22 3" xfId="2267" xr:uid="{00000000-0005-0000-0000-000016090000}"/>
    <cellStyle name="40% - Accent3 22 4" xfId="2268" xr:uid="{00000000-0005-0000-0000-000017090000}"/>
    <cellStyle name="40% - Accent3 22 5" xfId="2269" xr:uid="{00000000-0005-0000-0000-000018090000}"/>
    <cellStyle name="40% - Accent3 22 6" xfId="2270" xr:uid="{00000000-0005-0000-0000-000019090000}"/>
    <cellStyle name="40% - Accent3 22 7" xfId="2271" xr:uid="{00000000-0005-0000-0000-00001A090000}"/>
    <cellStyle name="40% - Accent3 22 8" xfId="2272" xr:uid="{00000000-0005-0000-0000-00001B090000}"/>
    <cellStyle name="40% - Accent3 23" xfId="2273" xr:uid="{00000000-0005-0000-0000-00001C090000}"/>
    <cellStyle name="40% - Accent3 23 2" xfId="2274" xr:uid="{00000000-0005-0000-0000-00001D090000}"/>
    <cellStyle name="40% - Accent3 23 3" xfId="2275" xr:uid="{00000000-0005-0000-0000-00001E090000}"/>
    <cellStyle name="40% - Accent3 23 4" xfId="2276" xr:uid="{00000000-0005-0000-0000-00001F090000}"/>
    <cellStyle name="40% - Accent3 23 5" xfId="2277" xr:uid="{00000000-0005-0000-0000-000020090000}"/>
    <cellStyle name="40% - Accent3 23 6" xfId="2278" xr:uid="{00000000-0005-0000-0000-000021090000}"/>
    <cellStyle name="40% - Accent3 23 7" xfId="2279" xr:uid="{00000000-0005-0000-0000-000022090000}"/>
    <cellStyle name="40% - Accent3 23 8" xfId="2280" xr:uid="{00000000-0005-0000-0000-000023090000}"/>
    <cellStyle name="40% - Accent3 24" xfId="2281" xr:uid="{00000000-0005-0000-0000-000024090000}"/>
    <cellStyle name="40% - Accent3 24 2" xfId="2282" xr:uid="{00000000-0005-0000-0000-000025090000}"/>
    <cellStyle name="40% - Accent3 24 3" xfId="2283" xr:uid="{00000000-0005-0000-0000-000026090000}"/>
    <cellStyle name="40% - Accent3 24 4" xfId="2284" xr:uid="{00000000-0005-0000-0000-000027090000}"/>
    <cellStyle name="40% - Accent3 24 5" xfId="2285" xr:uid="{00000000-0005-0000-0000-000028090000}"/>
    <cellStyle name="40% - Accent3 24 6" xfId="2286" xr:uid="{00000000-0005-0000-0000-000029090000}"/>
    <cellStyle name="40% - Accent3 24 7" xfId="2287" xr:uid="{00000000-0005-0000-0000-00002A090000}"/>
    <cellStyle name="40% - Accent3 24 8" xfId="2288" xr:uid="{00000000-0005-0000-0000-00002B090000}"/>
    <cellStyle name="40% - Accent3 25" xfId="2289" xr:uid="{00000000-0005-0000-0000-00002C090000}"/>
    <cellStyle name="40% - Accent3 25 2" xfId="2290" xr:uid="{00000000-0005-0000-0000-00002D090000}"/>
    <cellStyle name="40% - Accent3 25 3" xfId="2291" xr:uid="{00000000-0005-0000-0000-00002E090000}"/>
    <cellStyle name="40% - Accent3 25 4" xfId="2292" xr:uid="{00000000-0005-0000-0000-00002F090000}"/>
    <cellStyle name="40% - Accent3 25 5" xfId="2293" xr:uid="{00000000-0005-0000-0000-000030090000}"/>
    <cellStyle name="40% - Accent3 25 6" xfId="2294" xr:uid="{00000000-0005-0000-0000-000031090000}"/>
    <cellStyle name="40% - Accent3 25 7" xfId="2295" xr:uid="{00000000-0005-0000-0000-000032090000}"/>
    <cellStyle name="40% - Accent3 25 8" xfId="2296" xr:uid="{00000000-0005-0000-0000-000033090000}"/>
    <cellStyle name="40% - Accent3 26" xfId="2297" xr:uid="{00000000-0005-0000-0000-000034090000}"/>
    <cellStyle name="40% - Accent3 26 2" xfId="2298" xr:uid="{00000000-0005-0000-0000-000035090000}"/>
    <cellStyle name="40% - Accent3 26 3" xfId="2299" xr:uid="{00000000-0005-0000-0000-000036090000}"/>
    <cellStyle name="40% - Accent3 26 4" xfId="2300" xr:uid="{00000000-0005-0000-0000-000037090000}"/>
    <cellStyle name="40% - Accent3 26 5" xfId="2301" xr:uid="{00000000-0005-0000-0000-000038090000}"/>
    <cellStyle name="40% - Accent3 26 6" xfId="2302" xr:uid="{00000000-0005-0000-0000-000039090000}"/>
    <cellStyle name="40% - Accent3 26 7" xfId="2303" xr:uid="{00000000-0005-0000-0000-00003A090000}"/>
    <cellStyle name="40% - Accent3 26 8" xfId="2304" xr:uid="{00000000-0005-0000-0000-00003B090000}"/>
    <cellStyle name="40% - Accent3 27" xfId="2305" xr:uid="{00000000-0005-0000-0000-00003C090000}"/>
    <cellStyle name="40% - Accent3 27 2" xfId="2306" xr:uid="{00000000-0005-0000-0000-00003D090000}"/>
    <cellStyle name="40% - Accent3 27 3" xfId="2307" xr:uid="{00000000-0005-0000-0000-00003E090000}"/>
    <cellStyle name="40% - Accent3 27 4" xfId="2308" xr:uid="{00000000-0005-0000-0000-00003F090000}"/>
    <cellStyle name="40% - Accent3 27 5" xfId="2309" xr:uid="{00000000-0005-0000-0000-000040090000}"/>
    <cellStyle name="40% - Accent3 27 6" xfId="2310" xr:uid="{00000000-0005-0000-0000-000041090000}"/>
    <cellStyle name="40% - Accent3 27 7" xfId="2311" xr:uid="{00000000-0005-0000-0000-000042090000}"/>
    <cellStyle name="40% - Accent3 27 8" xfId="2312" xr:uid="{00000000-0005-0000-0000-000043090000}"/>
    <cellStyle name="40% - Accent3 28" xfId="2313" xr:uid="{00000000-0005-0000-0000-000044090000}"/>
    <cellStyle name="40% - Accent3 28 2" xfId="2314" xr:uid="{00000000-0005-0000-0000-000045090000}"/>
    <cellStyle name="40% - Accent3 28 3" xfId="2315" xr:uid="{00000000-0005-0000-0000-000046090000}"/>
    <cellStyle name="40% - Accent3 28 4" xfId="2316" xr:uid="{00000000-0005-0000-0000-000047090000}"/>
    <cellStyle name="40% - Accent3 28 5" xfId="2317" xr:uid="{00000000-0005-0000-0000-000048090000}"/>
    <cellStyle name="40% - Accent3 28 6" xfId="2318" xr:uid="{00000000-0005-0000-0000-000049090000}"/>
    <cellStyle name="40% - Accent3 28 7" xfId="2319" xr:uid="{00000000-0005-0000-0000-00004A090000}"/>
    <cellStyle name="40% - Accent3 28 8" xfId="2320" xr:uid="{00000000-0005-0000-0000-00004B090000}"/>
    <cellStyle name="40% - Accent3 29" xfId="2321" xr:uid="{00000000-0005-0000-0000-00004C090000}"/>
    <cellStyle name="40% - Accent3 29 2" xfId="2322" xr:uid="{00000000-0005-0000-0000-00004D090000}"/>
    <cellStyle name="40% - Accent3 29 3" xfId="2323" xr:uid="{00000000-0005-0000-0000-00004E090000}"/>
    <cellStyle name="40% - Accent3 29 4" xfId="2324" xr:uid="{00000000-0005-0000-0000-00004F090000}"/>
    <cellStyle name="40% - Accent3 29 5" xfId="2325" xr:uid="{00000000-0005-0000-0000-000050090000}"/>
    <cellStyle name="40% - Accent3 29 6" xfId="2326" xr:uid="{00000000-0005-0000-0000-000051090000}"/>
    <cellStyle name="40% - Accent3 29 7" xfId="2327" xr:uid="{00000000-0005-0000-0000-000052090000}"/>
    <cellStyle name="40% - Accent3 29 8" xfId="2328" xr:uid="{00000000-0005-0000-0000-000053090000}"/>
    <cellStyle name="40% - Accent3 3" xfId="2329" xr:uid="{00000000-0005-0000-0000-000054090000}"/>
    <cellStyle name="40% - Accent3 3 10" xfId="2330" xr:uid="{00000000-0005-0000-0000-000055090000}"/>
    <cellStyle name="40% - Accent3 3 11" xfId="21980" xr:uid="{00000000-0005-0000-0000-000056090000}"/>
    <cellStyle name="40% - Accent3 3 2" xfId="2331" xr:uid="{00000000-0005-0000-0000-000057090000}"/>
    <cellStyle name="40% - Accent3 3 2 2" xfId="21981" xr:uid="{00000000-0005-0000-0000-000058090000}"/>
    <cellStyle name="40% - Accent3 3 3" xfId="2332" xr:uid="{00000000-0005-0000-0000-000059090000}"/>
    <cellStyle name="40% - Accent3 3 4" xfId="2333" xr:uid="{00000000-0005-0000-0000-00005A090000}"/>
    <cellStyle name="40% - Accent3 3 5" xfId="2334" xr:uid="{00000000-0005-0000-0000-00005B090000}"/>
    <cellStyle name="40% - Accent3 3 6" xfId="2335" xr:uid="{00000000-0005-0000-0000-00005C090000}"/>
    <cellStyle name="40% - Accent3 3 7" xfId="2336" xr:uid="{00000000-0005-0000-0000-00005D090000}"/>
    <cellStyle name="40% - Accent3 3 8" xfId="2337" xr:uid="{00000000-0005-0000-0000-00005E090000}"/>
    <cellStyle name="40% - Accent3 3 9" xfId="2338" xr:uid="{00000000-0005-0000-0000-00005F090000}"/>
    <cellStyle name="40% - Accent3 30" xfId="2339" xr:uid="{00000000-0005-0000-0000-000060090000}"/>
    <cellStyle name="40% - Accent3 31" xfId="2340" xr:uid="{00000000-0005-0000-0000-000061090000}"/>
    <cellStyle name="40% - Accent3 32" xfId="2341" xr:uid="{00000000-0005-0000-0000-000062090000}"/>
    <cellStyle name="40% - Accent3 33" xfId="2342" xr:uid="{00000000-0005-0000-0000-000063090000}"/>
    <cellStyle name="40% - Accent3 34" xfId="2343" xr:uid="{00000000-0005-0000-0000-000064090000}"/>
    <cellStyle name="40% - Accent3 35" xfId="2344" xr:uid="{00000000-0005-0000-0000-000065090000}"/>
    <cellStyle name="40% - Accent3 36" xfId="2345" xr:uid="{00000000-0005-0000-0000-000066090000}"/>
    <cellStyle name="40% - Accent3 37" xfId="2346" xr:uid="{00000000-0005-0000-0000-000067090000}"/>
    <cellStyle name="40% - Accent3 38" xfId="2347" xr:uid="{00000000-0005-0000-0000-000068090000}"/>
    <cellStyle name="40% - Accent3 39" xfId="2348" xr:uid="{00000000-0005-0000-0000-000069090000}"/>
    <cellStyle name="40% - Accent3 4" xfId="2349" xr:uid="{00000000-0005-0000-0000-00006A090000}"/>
    <cellStyle name="40% - Accent3 4 10" xfId="2350" xr:uid="{00000000-0005-0000-0000-00006B090000}"/>
    <cellStyle name="40% - Accent3 4 11" xfId="21982" xr:uid="{00000000-0005-0000-0000-00006C090000}"/>
    <cellStyle name="40% - Accent3 4 2" xfId="2351" xr:uid="{00000000-0005-0000-0000-00006D090000}"/>
    <cellStyle name="40% - Accent3 4 2 2" xfId="21983" xr:uid="{00000000-0005-0000-0000-00006E090000}"/>
    <cellStyle name="40% - Accent3 4 3" xfId="2352" xr:uid="{00000000-0005-0000-0000-00006F090000}"/>
    <cellStyle name="40% - Accent3 4 4" xfId="2353" xr:uid="{00000000-0005-0000-0000-000070090000}"/>
    <cellStyle name="40% - Accent3 4 5" xfId="2354" xr:uid="{00000000-0005-0000-0000-000071090000}"/>
    <cellStyle name="40% - Accent3 4 6" xfId="2355" xr:uid="{00000000-0005-0000-0000-000072090000}"/>
    <cellStyle name="40% - Accent3 4 7" xfId="2356" xr:uid="{00000000-0005-0000-0000-000073090000}"/>
    <cellStyle name="40% - Accent3 4 8" xfId="2357" xr:uid="{00000000-0005-0000-0000-000074090000}"/>
    <cellStyle name="40% - Accent3 4 9" xfId="2358" xr:uid="{00000000-0005-0000-0000-000075090000}"/>
    <cellStyle name="40% - Accent3 40" xfId="21690" xr:uid="{00000000-0005-0000-0000-000076090000}"/>
    <cellStyle name="40% - Accent3 5" xfId="2359" xr:uid="{00000000-0005-0000-0000-000077090000}"/>
    <cellStyle name="40% - Accent3 5 10" xfId="2360" xr:uid="{00000000-0005-0000-0000-000078090000}"/>
    <cellStyle name="40% - Accent3 5 11" xfId="21984" xr:uid="{00000000-0005-0000-0000-000079090000}"/>
    <cellStyle name="40% - Accent3 5 2" xfId="2361" xr:uid="{00000000-0005-0000-0000-00007A090000}"/>
    <cellStyle name="40% - Accent3 5 2 2" xfId="21985" xr:uid="{00000000-0005-0000-0000-00007B090000}"/>
    <cellStyle name="40% - Accent3 5 3" xfId="2362" xr:uid="{00000000-0005-0000-0000-00007C090000}"/>
    <cellStyle name="40% - Accent3 5 4" xfId="2363" xr:uid="{00000000-0005-0000-0000-00007D090000}"/>
    <cellStyle name="40% - Accent3 5 5" xfId="2364" xr:uid="{00000000-0005-0000-0000-00007E090000}"/>
    <cellStyle name="40% - Accent3 5 6" xfId="2365" xr:uid="{00000000-0005-0000-0000-00007F090000}"/>
    <cellStyle name="40% - Accent3 5 7" xfId="2366" xr:uid="{00000000-0005-0000-0000-000080090000}"/>
    <cellStyle name="40% - Accent3 5 8" xfId="2367" xr:uid="{00000000-0005-0000-0000-000081090000}"/>
    <cellStyle name="40% - Accent3 5 9" xfId="2368" xr:uid="{00000000-0005-0000-0000-000082090000}"/>
    <cellStyle name="40% - Accent3 6" xfId="2369" xr:uid="{00000000-0005-0000-0000-000083090000}"/>
    <cellStyle name="40% - Accent3 6 10" xfId="2370" xr:uid="{00000000-0005-0000-0000-000084090000}"/>
    <cellStyle name="40% - Accent3 6 2" xfId="2371" xr:uid="{00000000-0005-0000-0000-000085090000}"/>
    <cellStyle name="40% - Accent3 6 3" xfId="2372" xr:uid="{00000000-0005-0000-0000-000086090000}"/>
    <cellStyle name="40% - Accent3 6 4" xfId="2373" xr:uid="{00000000-0005-0000-0000-000087090000}"/>
    <cellStyle name="40% - Accent3 6 5" xfId="2374" xr:uid="{00000000-0005-0000-0000-000088090000}"/>
    <cellStyle name="40% - Accent3 6 6" xfId="2375" xr:uid="{00000000-0005-0000-0000-000089090000}"/>
    <cellStyle name="40% - Accent3 6 7" xfId="2376" xr:uid="{00000000-0005-0000-0000-00008A090000}"/>
    <cellStyle name="40% - Accent3 6 8" xfId="2377" xr:uid="{00000000-0005-0000-0000-00008B090000}"/>
    <cellStyle name="40% - Accent3 6 9" xfId="2378" xr:uid="{00000000-0005-0000-0000-00008C090000}"/>
    <cellStyle name="40% - Accent3 7" xfId="2379" xr:uid="{00000000-0005-0000-0000-00008D090000}"/>
    <cellStyle name="40% - Accent3 7 10" xfId="2380" xr:uid="{00000000-0005-0000-0000-00008E090000}"/>
    <cellStyle name="40% - Accent3 7 2" xfId="2381" xr:uid="{00000000-0005-0000-0000-00008F090000}"/>
    <cellStyle name="40% - Accent3 7 3" xfId="2382" xr:uid="{00000000-0005-0000-0000-000090090000}"/>
    <cellStyle name="40% - Accent3 7 4" xfId="2383" xr:uid="{00000000-0005-0000-0000-000091090000}"/>
    <cellStyle name="40% - Accent3 7 5" xfId="2384" xr:uid="{00000000-0005-0000-0000-000092090000}"/>
    <cellStyle name="40% - Accent3 7 6" xfId="2385" xr:uid="{00000000-0005-0000-0000-000093090000}"/>
    <cellStyle name="40% - Accent3 7 7" xfId="2386" xr:uid="{00000000-0005-0000-0000-000094090000}"/>
    <cellStyle name="40% - Accent3 7 8" xfId="2387" xr:uid="{00000000-0005-0000-0000-000095090000}"/>
    <cellStyle name="40% - Accent3 7 9" xfId="2388" xr:uid="{00000000-0005-0000-0000-000096090000}"/>
    <cellStyle name="40% - Accent3 8" xfId="2389" xr:uid="{00000000-0005-0000-0000-000097090000}"/>
    <cellStyle name="40% - Accent3 8 10" xfId="2390" xr:uid="{00000000-0005-0000-0000-000098090000}"/>
    <cellStyle name="40% - Accent3 8 2" xfId="2391" xr:uid="{00000000-0005-0000-0000-000099090000}"/>
    <cellStyle name="40% - Accent3 8 3" xfId="2392" xr:uid="{00000000-0005-0000-0000-00009A090000}"/>
    <cellStyle name="40% - Accent3 8 4" xfId="2393" xr:uid="{00000000-0005-0000-0000-00009B090000}"/>
    <cellStyle name="40% - Accent3 8 5" xfId="2394" xr:uid="{00000000-0005-0000-0000-00009C090000}"/>
    <cellStyle name="40% - Accent3 8 6" xfId="2395" xr:uid="{00000000-0005-0000-0000-00009D090000}"/>
    <cellStyle name="40% - Accent3 8 7" xfId="2396" xr:uid="{00000000-0005-0000-0000-00009E090000}"/>
    <cellStyle name="40% - Accent3 8 8" xfId="2397" xr:uid="{00000000-0005-0000-0000-00009F090000}"/>
    <cellStyle name="40% - Accent3 8 9" xfId="2398" xr:uid="{00000000-0005-0000-0000-0000A0090000}"/>
    <cellStyle name="40% - Accent3 9" xfId="2399" xr:uid="{00000000-0005-0000-0000-0000A1090000}"/>
    <cellStyle name="40% - Accent3 9 10" xfId="2400" xr:uid="{00000000-0005-0000-0000-0000A2090000}"/>
    <cellStyle name="40% - Accent3 9 2" xfId="2401" xr:uid="{00000000-0005-0000-0000-0000A3090000}"/>
    <cellStyle name="40% - Accent3 9 3" xfId="2402" xr:uid="{00000000-0005-0000-0000-0000A4090000}"/>
    <cellStyle name="40% - Accent3 9 4" xfId="2403" xr:uid="{00000000-0005-0000-0000-0000A5090000}"/>
    <cellStyle name="40% - Accent3 9 5" xfId="2404" xr:uid="{00000000-0005-0000-0000-0000A6090000}"/>
    <cellStyle name="40% - Accent3 9 6" xfId="2405" xr:uid="{00000000-0005-0000-0000-0000A7090000}"/>
    <cellStyle name="40% - Accent3 9 7" xfId="2406" xr:uid="{00000000-0005-0000-0000-0000A8090000}"/>
    <cellStyle name="40% - Accent3 9 8" xfId="2407" xr:uid="{00000000-0005-0000-0000-0000A9090000}"/>
    <cellStyle name="40% - Accent3 9 9" xfId="2408" xr:uid="{00000000-0005-0000-0000-0000AA090000}"/>
    <cellStyle name="40% - Accent4 10" xfId="2409" xr:uid="{00000000-0005-0000-0000-0000AB090000}"/>
    <cellStyle name="40% - Accent4 10 10" xfId="2410" xr:uid="{00000000-0005-0000-0000-0000AC090000}"/>
    <cellStyle name="40% - Accent4 10 2" xfId="2411" xr:uid="{00000000-0005-0000-0000-0000AD090000}"/>
    <cellStyle name="40% - Accent4 10 3" xfId="2412" xr:uid="{00000000-0005-0000-0000-0000AE090000}"/>
    <cellStyle name="40% - Accent4 10 4" xfId="2413" xr:uid="{00000000-0005-0000-0000-0000AF090000}"/>
    <cellStyle name="40% - Accent4 10 5" xfId="2414" xr:uid="{00000000-0005-0000-0000-0000B0090000}"/>
    <cellStyle name="40% - Accent4 10 6" xfId="2415" xr:uid="{00000000-0005-0000-0000-0000B1090000}"/>
    <cellStyle name="40% - Accent4 10 7" xfId="2416" xr:uid="{00000000-0005-0000-0000-0000B2090000}"/>
    <cellStyle name="40% - Accent4 10 8" xfId="2417" xr:uid="{00000000-0005-0000-0000-0000B3090000}"/>
    <cellStyle name="40% - Accent4 10 9" xfId="2418" xr:uid="{00000000-0005-0000-0000-0000B4090000}"/>
    <cellStyle name="40% - Accent4 11" xfId="2419" xr:uid="{00000000-0005-0000-0000-0000B5090000}"/>
    <cellStyle name="40% - Accent4 11 10" xfId="2420" xr:uid="{00000000-0005-0000-0000-0000B6090000}"/>
    <cellStyle name="40% - Accent4 11 2" xfId="2421" xr:uid="{00000000-0005-0000-0000-0000B7090000}"/>
    <cellStyle name="40% - Accent4 11 3" xfId="2422" xr:uid="{00000000-0005-0000-0000-0000B8090000}"/>
    <cellStyle name="40% - Accent4 11 4" xfId="2423" xr:uid="{00000000-0005-0000-0000-0000B9090000}"/>
    <cellStyle name="40% - Accent4 11 5" xfId="2424" xr:uid="{00000000-0005-0000-0000-0000BA090000}"/>
    <cellStyle name="40% - Accent4 11 6" xfId="2425" xr:uid="{00000000-0005-0000-0000-0000BB090000}"/>
    <cellStyle name="40% - Accent4 11 7" xfId="2426" xr:uid="{00000000-0005-0000-0000-0000BC090000}"/>
    <cellStyle name="40% - Accent4 11 8" xfId="2427" xr:uid="{00000000-0005-0000-0000-0000BD090000}"/>
    <cellStyle name="40% - Accent4 11 9" xfId="2428" xr:uid="{00000000-0005-0000-0000-0000BE090000}"/>
    <cellStyle name="40% - Accent4 12" xfId="2429" xr:uid="{00000000-0005-0000-0000-0000BF090000}"/>
    <cellStyle name="40% - Accent4 12 10" xfId="2430" xr:uid="{00000000-0005-0000-0000-0000C0090000}"/>
    <cellStyle name="40% - Accent4 12 2" xfId="2431" xr:uid="{00000000-0005-0000-0000-0000C1090000}"/>
    <cellStyle name="40% - Accent4 12 3" xfId="2432" xr:uid="{00000000-0005-0000-0000-0000C2090000}"/>
    <cellStyle name="40% - Accent4 12 4" xfId="2433" xr:uid="{00000000-0005-0000-0000-0000C3090000}"/>
    <cellStyle name="40% - Accent4 12 5" xfId="2434" xr:uid="{00000000-0005-0000-0000-0000C4090000}"/>
    <cellStyle name="40% - Accent4 12 6" xfId="2435" xr:uid="{00000000-0005-0000-0000-0000C5090000}"/>
    <cellStyle name="40% - Accent4 12 7" xfId="2436" xr:uid="{00000000-0005-0000-0000-0000C6090000}"/>
    <cellStyle name="40% - Accent4 12 8" xfId="2437" xr:uid="{00000000-0005-0000-0000-0000C7090000}"/>
    <cellStyle name="40% - Accent4 12 9" xfId="2438" xr:uid="{00000000-0005-0000-0000-0000C8090000}"/>
    <cellStyle name="40% - Accent4 13" xfId="2439" xr:uid="{00000000-0005-0000-0000-0000C9090000}"/>
    <cellStyle name="40% - Accent4 13 10" xfId="2440" xr:uid="{00000000-0005-0000-0000-0000CA090000}"/>
    <cellStyle name="40% - Accent4 13 2" xfId="2441" xr:uid="{00000000-0005-0000-0000-0000CB090000}"/>
    <cellStyle name="40% - Accent4 13 3" xfId="2442" xr:uid="{00000000-0005-0000-0000-0000CC090000}"/>
    <cellStyle name="40% - Accent4 13 4" xfId="2443" xr:uid="{00000000-0005-0000-0000-0000CD090000}"/>
    <cellStyle name="40% - Accent4 13 5" xfId="2444" xr:uid="{00000000-0005-0000-0000-0000CE090000}"/>
    <cellStyle name="40% - Accent4 13 6" xfId="2445" xr:uid="{00000000-0005-0000-0000-0000CF090000}"/>
    <cellStyle name="40% - Accent4 13 7" xfId="2446" xr:uid="{00000000-0005-0000-0000-0000D0090000}"/>
    <cellStyle name="40% - Accent4 13 8" xfId="2447" xr:uid="{00000000-0005-0000-0000-0000D1090000}"/>
    <cellStyle name="40% - Accent4 13 9" xfId="2448" xr:uid="{00000000-0005-0000-0000-0000D2090000}"/>
    <cellStyle name="40% - Accent4 14" xfId="2449" xr:uid="{00000000-0005-0000-0000-0000D3090000}"/>
    <cellStyle name="40% - Accent4 14 10" xfId="2450" xr:uid="{00000000-0005-0000-0000-0000D4090000}"/>
    <cellStyle name="40% - Accent4 14 2" xfId="2451" xr:uid="{00000000-0005-0000-0000-0000D5090000}"/>
    <cellStyle name="40% - Accent4 14 3" xfId="2452" xr:uid="{00000000-0005-0000-0000-0000D6090000}"/>
    <cellStyle name="40% - Accent4 14 4" xfId="2453" xr:uid="{00000000-0005-0000-0000-0000D7090000}"/>
    <cellStyle name="40% - Accent4 14 5" xfId="2454" xr:uid="{00000000-0005-0000-0000-0000D8090000}"/>
    <cellStyle name="40% - Accent4 14 6" xfId="2455" xr:uid="{00000000-0005-0000-0000-0000D9090000}"/>
    <cellStyle name="40% - Accent4 14 7" xfId="2456" xr:uid="{00000000-0005-0000-0000-0000DA090000}"/>
    <cellStyle name="40% - Accent4 14 8" xfId="2457" xr:uid="{00000000-0005-0000-0000-0000DB090000}"/>
    <cellStyle name="40% - Accent4 14 9" xfId="2458" xr:uid="{00000000-0005-0000-0000-0000DC090000}"/>
    <cellStyle name="40% - Accent4 15" xfId="2459" xr:uid="{00000000-0005-0000-0000-0000DD090000}"/>
    <cellStyle name="40% - Accent4 15 10" xfId="2460" xr:uid="{00000000-0005-0000-0000-0000DE090000}"/>
    <cellStyle name="40% - Accent4 15 2" xfId="2461" xr:uid="{00000000-0005-0000-0000-0000DF090000}"/>
    <cellStyle name="40% - Accent4 15 3" xfId="2462" xr:uid="{00000000-0005-0000-0000-0000E0090000}"/>
    <cellStyle name="40% - Accent4 15 4" xfId="2463" xr:uid="{00000000-0005-0000-0000-0000E1090000}"/>
    <cellStyle name="40% - Accent4 15 5" xfId="2464" xr:uid="{00000000-0005-0000-0000-0000E2090000}"/>
    <cellStyle name="40% - Accent4 15 6" xfId="2465" xr:uid="{00000000-0005-0000-0000-0000E3090000}"/>
    <cellStyle name="40% - Accent4 15 7" xfId="2466" xr:uid="{00000000-0005-0000-0000-0000E4090000}"/>
    <cellStyle name="40% - Accent4 15 8" xfId="2467" xr:uid="{00000000-0005-0000-0000-0000E5090000}"/>
    <cellStyle name="40% - Accent4 15 9" xfId="2468" xr:uid="{00000000-0005-0000-0000-0000E6090000}"/>
    <cellStyle name="40% - Accent4 16" xfId="2469" xr:uid="{00000000-0005-0000-0000-0000E7090000}"/>
    <cellStyle name="40% - Accent4 16 10" xfId="2470" xr:uid="{00000000-0005-0000-0000-0000E8090000}"/>
    <cellStyle name="40% - Accent4 16 2" xfId="2471" xr:uid="{00000000-0005-0000-0000-0000E9090000}"/>
    <cellStyle name="40% - Accent4 16 3" xfId="2472" xr:uid="{00000000-0005-0000-0000-0000EA090000}"/>
    <cellStyle name="40% - Accent4 16 4" xfId="2473" xr:uid="{00000000-0005-0000-0000-0000EB090000}"/>
    <cellStyle name="40% - Accent4 16 5" xfId="2474" xr:uid="{00000000-0005-0000-0000-0000EC090000}"/>
    <cellStyle name="40% - Accent4 16 6" xfId="2475" xr:uid="{00000000-0005-0000-0000-0000ED090000}"/>
    <cellStyle name="40% - Accent4 16 7" xfId="2476" xr:uid="{00000000-0005-0000-0000-0000EE090000}"/>
    <cellStyle name="40% - Accent4 16 8" xfId="2477" xr:uid="{00000000-0005-0000-0000-0000EF090000}"/>
    <cellStyle name="40% - Accent4 16 9" xfId="2478" xr:uid="{00000000-0005-0000-0000-0000F0090000}"/>
    <cellStyle name="40% - Accent4 17" xfId="2479" xr:uid="{00000000-0005-0000-0000-0000F1090000}"/>
    <cellStyle name="40% - Accent4 17 10" xfId="2480" xr:uid="{00000000-0005-0000-0000-0000F2090000}"/>
    <cellStyle name="40% - Accent4 17 2" xfId="2481" xr:uid="{00000000-0005-0000-0000-0000F3090000}"/>
    <cellStyle name="40% - Accent4 17 3" xfId="2482" xr:uid="{00000000-0005-0000-0000-0000F4090000}"/>
    <cellStyle name="40% - Accent4 17 4" xfId="2483" xr:uid="{00000000-0005-0000-0000-0000F5090000}"/>
    <cellStyle name="40% - Accent4 17 5" xfId="2484" xr:uid="{00000000-0005-0000-0000-0000F6090000}"/>
    <cellStyle name="40% - Accent4 17 6" xfId="2485" xr:uid="{00000000-0005-0000-0000-0000F7090000}"/>
    <cellStyle name="40% - Accent4 17 7" xfId="2486" xr:uid="{00000000-0005-0000-0000-0000F8090000}"/>
    <cellStyle name="40% - Accent4 17 8" xfId="2487" xr:uid="{00000000-0005-0000-0000-0000F9090000}"/>
    <cellStyle name="40% - Accent4 17 9" xfId="2488" xr:uid="{00000000-0005-0000-0000-0000FA090000}"/>
    <cellStyle name="40% - Accent4 18" xfId="2489" xr:uid="{00000000-0005-0000-0000-0000FB090000}"/>
    <cellStyle name="40% - Accent4 18 2" xfId="2490" xr:uid="{00000000-0005-0000-0000-0000FC090000}"/>
    <cellStyle name="40% - Accent4 18 3" xfId="2491" xr:uid="{00000000-0005-0000-0000-0000FD090000}"/>
    <cellStyle name="40% - Accent4 18 4" xfId="2492" xr:uid="{00000000-0005-0000-0000-0000FE090000}"/>
    <cellStyle name="40% - Accent4 18 5" xfId="2493" xr:uid="{00000000-0005-0000-0000-0000FF090000}"/>
    <cellStyle name="40% - Accent4 18 6" xfId="2494" xr:uid="{00000000-0005-0000-0000-0000000A0000}"/>
    <cellStyle name="40% - Accent4 18 7" xfId="2495" xr:uid="{00000000-0005-0000-0000-0000010A0000}"/>
    <cellStyle name="40% - Accent4 18 8" xfId="2496" xr:uid="{00000000-0005-0000-0000-0000020A0000}"/>
    <cellStyle name="40% - Accent4 19" xfId="2497" xr:uid="{00000000-0005-0000-0000-0000030A0000}"/>
    <cellStyle name="40% - Accent4 19 2" xfId="2498" xr:uid="{00000000-0005-0000-0000-0000040A0000}"/>
    <cellStyle name="40% - Accent4 19 3" xfId="2499" xr:uid="{00000000-0005-0000-0000-0000050A0000}"/>
    <cellStyle name="40% - Accent4 19 4" xfId="2500" xr:uid="{00000000-0005-0000-0000-0000060A0000}"/>
    <cellStyle name="40% - Accent4 19 5" xfId="2501" xr:uid="{00000000-0005-0000-0000-0000070A0000}"/>
    <cellStyle name="40% - Accent4 19 6" xfId="2502" xr:uid="{00000000-0005-0000-0000-0000080A0000}"/>
    <cellStyle name="40% - Accent4 19 7" xfId="2503" xr:uid="{00000000-0005-0000-0000-0000090A0000}"/>
    <cellStyle name="40% - Accent4 19 8" xfId="2504" xr:uid="{00000000-0005-0000-0000-00000A0A0000}"/>
    <cellStyle name="40% - Accent4 2" xfId="2505" xr:uid="{00000000-0005-0000-0000-00000B0A0000}"/>
    <cellStyle name="40% - Accent4 2 10" xfId="2506" xr:uid="{00000000-0005-0000-0000-00000C0A0000}"/>
    <cellStyle name="40% - Accent4 2 11" xfId="21691" xr:uid="{00000000-0005-0000-0000-00000D0A0000}"/>
    <cellStyle name="40% - Accent4 2 2" xfId="2507" xr:uid="{00000000-0005-0000-0000-00000E0A0000}"/>
    <cellStyle name="40% - Accent4 2 2 2" xfId="21986" xr:uid="{00000000-0005-0000-0000-00000F0A0000}"/>
    <cellStyle name="40% - Accent4 2 3" xfId="2508" xr:uid="{00000000-0005-0000-0000-0000100A0000}"/>
    <cellStyle name="40% - Accent4 2 4" xfId="2509" xr:uid="{00000000-0005-0000-0000-0000110A0000}"/>
    <cellStyle name="40% - Accent4 2 5" xfId="2510" xr:uid="{00000000-0005-0000-0000-0000120A0000}"/>
    <cellStyle name="40% - Accent4 2 6" xfId="2511" xr:uid="{00000000-0005-0000-0000-0000130A0000}"/>
    <cellStyle name="40% - Accent4 2 7" xfId="2512" xr:uid="{00000000-0005-0000-0000-0000140A0000}"/>
    <cellStyle name="40% - Accent4 2 8" xfId="2513" xr:uid="{00000000-0005-0000-0000-0000150A0000}"/>
    <cellStyle name="40% - Accent4 2 9" xfId="2514" xr:uid="{00000000-0005-0000-0000-0000160A0000}"/>
    <cellStyle name="40% - Accent4 20" xfId="2515" xr:uid="{00000000-0005-0000-0000-0000170A0000}"/>
    <cellStyle name="40% - Accent4 20 2" xfId="2516" xr:uid="{00000000-0005-0000-0000-0000180A0000}"/>
    <cellStyle name="40% - Accent4 20 3" xfId="2517" xr:uid="{00000000-0005-0000-0000-0000190A0000}"/>
    <cellStyle name="40% - Accent4 20 4" xfId="2518" xr:uid="{00000000-0005-0000-0000-00001A0A0000}"/>
    <cellStyle name="40% - Accent4 20 5" xfId="2519" xr:uid="{00000000-0005-0000-0000-00001B0A0000}"/>
    <cellStyle name="40% - Accent4 20 6" xfId="2520" xr:uid="{00000000-0005-0000-0000-00001C0A0000}"/>
    <cellStyle name="40% - Accent4 20 7" xfId="2521" xr:uid="{00000000-0005-0000-0000-00001D0A0000}"/>
    <cellStyle name="40% - Accent4 20 8" xfId="2522" xr:uid="{00000000-0005-0000-0000-00001E0A0000}"/>
    <cellStyle name="40% - Accent4 21" xfId="2523" xr:uid="{00000000-0005-0000-0000-00001F0A0000}"/>
    <cellStyle name="40% - Accent4 21 2" xfId="2524" xr:uid="{00000000-0005-0000-0000-0000200A0000}"/>
    <cellStyle name="40% - Accent4 21 3" xfId="2525" xr:uid="{00000000-0005-0000-0000-0000210A0000}"/>
    <cellStyle name="40% - Accent4 21 4" xfId="2526" xr:uid="{00000000-0005-0000-0000-0000220A0000}"/>
    <cellStyle name="40% - Accent4 21 5" xfId="2527" xr:uid="{00000000-0005-0000-0000-0000230A0000}"/>
    <cellStyle name="40% - Accent4 21 6" xfId="2528" xr:uid="{00000000-0005-0000-0000-0000240A0000}"/>
    <cellStyle name="40% - Accent4 21 7" xfId="2529" xr:uid="{00000000-0005-0000-0000-0000250A0000}"/>
    <cellStyle name="40% - Accent4 21 8" xfId="2530" xr:uid="{00000000-0005-0000-0000-0000260A0000}"/>
    <cellStyle name="40% - Accent4 22" xfId="2531" xr:uid="{00000000-0005-0000-0000-0000270A0000}"/>
    <cellStyle name="40% - Accent4 22 2" xfId="2532" xr:uid="{00000000-0005-0000-0000-0000280A0000}"/>
    <cellStyle name="40% - Accent4 22 3" xfId="2533" xr:uid="{00000000-0005-0000-0000-0000290A0000}"/>
    <cellStyle name="40% - Accent4 22 4" xfId="2534" xr:uid="{00000000-0005-0000-0000-00002A0A0000}"/>
    <cellStyle name="40% - Accent4 22 5" xfId="2535" xr:uid="{00000000-0005-0000-0000-00002B0A0000}"/>
    <cellStyle name="40% - Accent4 22 6" xfId="2536" xr:uid="{00000000-0005-0000-0000-00002C0A0000}"/>
    <cellStyle name="40% - Accent4 22 7" xfId="2537" xr:uid="{00000000-0005-0000-0000-00002D0A0000}"/>
    <cellStyle name="40% - Accent4 22 8" xfId="2538" xr:uid="{00000000-0005-0000-0000-00002E0A0000}"/>
    <cellStyle name="40% - Accent4 23" xfId="2539" xr:uid="{00000000-0005-0000-0000-00002F0A0000}"/>
    <cellStyle name="40% - Accent4 23 2" xfId="2540" xr:uid="{00000000-0005-0000-0000-0000300A0000}"/>
    <cellStyle name="40% - Accent4 23 3" xfId="2541" xr:uid="{00000000-0005-0000-0000-0000310A0000}"/>
    <cellStyle name="40% - Accent4 23 4" xfId="2542" xr:uid="{00000000-0005-0000-0000-0000320A0000}"/>
    <cellStyle name="40% - Accent4 23 5" xfId="2543" xr:uid="{00000000-0005-0000-0000-0000330A0000}"/>
    <cellStyle name="40% - Accent4 23 6" xfId="2544" xr:uid="{00000000-0005-0000-0000-0000340A0000}"/>
    <cellStyle name="40% - Accent4 23 7" xfId="2545" xr:uid="{00000000-0005-0000-0000-0000350A0000}"/>
    <cellStyle name="40% - Accent4 23 8" xfId="2546" xr:uid="{00000000-0005-0000-0000-0000360A0000}"/>
    <cellStyle name="40% - Accent4 24" xfId="2547" xr:uid="{00000000-0005-0000-0000-0000370A0000}"/>
    <cellStyle name="40% - Accent4 24 2" xfId="2548" xr:uid="{00000000-0005-0000-0000-0000380A0000}"/>
    <cellStyle name="40% - Accent4 24 3" xfId="2549" xr:uid="{00000000-0005-0000-0000-0000390A0000}"/>
    <cellStyle name="40% - Accent4 24 4" xfId="2550" xr:uid="{00000000-0005-0000-0000-00003A0A0000}"/>
    <cellStyle name="40% - Accent4 24 5" xfId="2551" xr:uid="{00000000-0005-0000-0000-00003B0A0000}"/>
    <cellStyle name="40% - Accent4 24 6" xfId="2552" xr:uid="{00000000-0005-0000-0000-00003C0A0000}"/>
    <cellStyle name="40% - Accent4 24 7" xfId="2553" xr:uid="{00000000-0005-0000-0000-00003D0A0000}"/>
    <cellStyle name="40% - Accent4 24 8" xfId="2554" xr:uid="{00000000-0005-0000-0000-00003E0A0000}"/>
    <cellStyle name="40% - Accent4 25" xfId="2555" xr:uid="{00000000-0005-0000-0000-00003F0A0000}"/>
    <cellStyle name="40% - Accent4 25 2" xfId="2556" xr:uid="{00000000-0005-0000-0000-0000400A0000}"/>
    <cellStyle name="40% - Accent4 25 3" xfId="2557" xr:uid="{00000000-0005-0000-0000-0000410A0000}"/>
    <cellStyle name="40% - Accent4 25 4" xfId="2558" xr:uid="{00000000-0005-0000-0000-0000420A0000}"/>
    <cellStyle name="40% - Accent4 25 5" xfId="2559" xr:uid="{00000000-0005-0000-0000-0000430A0000}"/>
    <cellStyle name="40% - Accent4 25 6" xfId="2560" xr:uid="{00000000-0005-0000-0000-0000440A0000}"/>
    <cellStyle name="40% - Accent4 25 7" xfId="2561" xr:uid="{00000000-0005-0000-0000-0000450A0000}"/>
    <cellStyle name="40% - Accent4 25 8" xfId="2562" xr:uid="{00000000-0005-0000-0000-0000460A0000}"/>
    <cellStyle name="40% - Accent4 26" xfId="2563" xr:uid="{00000000-0005-0000-0000-0000470A0000}"/>
    <cellStyle name="40% - Accent4 26 2" xfId="2564" xr:uid="{00000000-0005-0000-0000-0000480A0000}"/>
    <cellStyle name="40% - Accent4 26 3" xfId="2565" xr:uid="{00000000-0005-0000-0000-0000490A0000}"/>
    <cellStyle name="40% - Accent4 26 4" xfId="2566" xr:uid="{00000000-0005-0000-0000-00004A0A0000}"/>
    <cellStyle name="40% - Accent4 26 5" xfId="2567" xr:uid="{00000000-0005-0000-0000-00004B0A0000}"/>
    <cellStyle name="40% - Accent4 26 6" xfId="2568" xr:uid="{00000000-0005-0000-0000-00004C0A0000}"/>
    <cellStyle name="40% - Accent4 26 7" xfId="2569" xr:uid="{00000000-0005-0000-0000-00004D0A0000}"/>
    <cellStyle name="40% - Accent4 26 8" xfId="2570" xr:uid="{00000000-0005-0000-0000-00004E0A0000}"/>
    <cellStyle name="40% - Accent4 27" xfId="2571" xr:uid="{00000000-0005-0000-0000-00004F0A0000}"/>
    <cellStyle name="40% - Accent4 27 2" xfId="2572" xr:uid="{00000000-0005-0000-0000-0000500A0000}"/>
    <cellStyle name="40% - Accent4 27 3" xfId="2573" xr:uid="{00000000-0005-0000-0000-0000510A0000}"/>
    <cellStyle name="40% - Accent4 27 4" xfId="2574" xr:uid="{00000000-0005-0000-0000-0000520A0000}"/>
    <cellStyle name="40% - Accent4 27 5" xfId="2575" xr:uid="{00000000-0005-0000-0000-0000530A0000}"/>
    <cellStyle name="40% - Accent4 27 6" xfId="2576" xr:uid="{00000000-0005-0000-0000-0000540A0000}"/>
    <cellStyle name="40% - Accent4 27 7" xfId="2577" xr:uid="{00000000-0005-0000-0000-0000550A0000}"/>
    <cellStyle name="40% - Accent4 27 8" xfId="2578" xr:uid="{00000000-0005-0000-0000-0000560A0000}"/>
    <cellStyle name="40% - Accent4 28" xfId="2579" xr:uid="{00000000-0005-0000-0000-0000570A0000}"/>
    <cellStyle name="40% - Accent4 28 2" xfId="2580" xr:uid="{00000000-0005-0000-0000-0000580A0000}"/>
    <cellStyle name="40% - Accent4 28 3" xfId="2581" xr:uid="{00000000-0005-0000-0000-0000590A0000}"/>
    <cellStyle name="40% - Accent4 28 4" xfId="2582" xr:uid="{00000000-0005-0000-0000-00005A0A0000}"/>
    <cellStyle name="40% - Accent4 28 5" xfId="2583" xr:uid="{00000000-0005-0000-0000-00005B0A0000}"/>
    <cellStyle name="40% - Accent4 28 6" xfId="2584" xr:uid="{00000000-0005-0000-0000-00005C0A0000}"/>
    <cellStyle name="40% - Accent4 28 7" xfId="2585" xr:uid="{00000000-0005-0000-0000-00005D0A0000}"/>
    <cellStyle name="40% - Accent4 28 8" xfId="2586" xr:uid="{00000000-0005-0000-0000-00005E0A0000}"/>
    <cellStyle name="40% - Accent4 29" xfId="2587" xr:uid="{00000000-0005-0000-0000-00005F0A0000}"/>
    <cellStyle name="40% - Accent4 29 2" xfId="2588" xr:uid="{00000000-0005-0000-0000-0000600A0000}"/>
    <cellStyle name="40% - Accent4 29 3" xfId="2589" xr:uid="{00000000-0005-0000-0000-0000610A0000}"/>
    <cellStyle name="40% - Accent4 29 4" xfId="2590" xr:uid="{00000000-0005-0000-0000-0000620A0000}"/>
    <cellStyle name="40% - Accent4 29 5" xfId="2591" xr:uid="{00000000-0005-0000-0000-0000630A0000}"/>
    <cellStyle name="40% - Accent4 29 6" xfId="2592" xr:uid="{00000000-0005-0000-0000-0000640A0000}"/>
    <cellStyle name="40% - Accent4 29 7" xfId="2593" xr:uid="{00000000-0005-0000-0000-0000650A0000}"/>
    <cellStyle name="40% - Accent4 29 8" xfId="2594" xr:uid="{00000000-0005-0000-0000-0000660A0000}"/>
    <cellStyle name="40% - Accent4 3" xfId="2595" xr:uid="{00000000-0005-0000-0000-0000670A0000}"/>
    <cellStyle name="40% - Accent4 3 10" xfId="2596" xr:uid="{00000000-0005-0000-0000-0000680A0000}"/>
    <cellStyle name="40% - Accent4 3 11" xfId="21987" xr:uid="{00000000-0005-0000-0000-0000690A0000}"/>
    <cellStyle name="40% - Accent4 3 2" xfId="2597" xr:uid="{00000000-0005-0000-0000-00006A0A0000}"/>
    <cellStyle name="40% - Accent4 3 2 2" xfId="21988" xr:uid="{00000000-0005-0000-0000-00006B0A0000}"/>
    <cellStyle name="40% - Accent4 3 3" xfId="2598" xr:uid="{00000000-0005-0000-0000-00006C0A0000}"/>
    <cellStyle name="40% - Accent4 3 4" xfId="2599" xr:uid="{00000000-0005-0000-0000-00006D0A0000}"/>
    <cellStyle name="40% - Accent4 3 5" xfId="2600" xr:uid="{00000000-0005-0000-0000-00006E0A0000}"/>
    <cellStyle name="40% - Accent4 3 6" xfId="2601" xr:uid="{00000000-0005-0000-0000-00006F0A0000}"/>
    <cellStyle name="40% - Accent4 3 7" xfId="2602" xr:uid="{00000000-0005-0000-0000-0000700A0000}"/>
    <cellStyle name="40% - Accent4 3 8" xfId="2603" xr:uid="{00000000-0005-0000-0000-0000710A0000}"/>
    <cellStyle name="40% - Accent4 3 9" xfId="2604" xr:uid="{00000000-0005-0000-0000-0000720A0000}"/>
    <cellStyle name="40% - Accent4 30" xfId="2605" xr:uid="{00000000-0005-0000-0000-0000730A0000}"/>
    <cellStyle name="40% - Accent4 31" xfId="2606" xr:uid="{00000000-0005-0000-0000-0000740A0000}"/>
    <cellStyle name="40% - Accent4 32" xfId="2607" xr:uid="{00000000-0005-0000-0000-0000750A0000}"/>
    <cellStyle name="40% - Accent4 33" xfId="2608" xr:uid="{00000000-0005-0000-0000-0000760A0000}"/>
    <cellStyle name="40% - Accent4 34" xfId="2609" xr:uid="{00000000-0005-0000-0000-0000770A0000}"/>
    <cellStyle name="40% - Accent4 35" xfId="2610" xr:uid="{00000000-0005-0000-0000-0000780A0000}"/>
    <cellStyle name="40% - Accent4 36" xfId="2611" xr:uid="{00000000-0005-0000-0000-0000790A0000}"/>
    <cellStyle name="40% - Accent4 37" xfId="2612" xr:uid="{00000000-0005-0000-0000-00007A0A0000}"/>
    <cellStyle name="40% - Accent4 38" xfId="2613" xr:uid="{00000000-0005-0000-0000-00007B0A0000}"/>
    <cellStyle name="40% - Accent4 39" xfId="2614" xr:uid="{00000000-0005-0000-0000-00007C0A0000}"/>
    <cellStyle name="40% - Accent4 4" xfId="2615" xr:uid="{00000000-0005-0000-0000-00007D0A0000}"/>
    <cellStyle name="40% - Accent4 4 10" xfId="2616" xr:uid="{00000000-0005-0000-0000-00007E0A0000}"/>
    <cellStyle name="40% - Accent4 4 11" xfId="21989" xr:uid="{00000000-0005-0000-0000-00007F0A0000}"/>
    <cellStyle name="40% - Accent4 4 2" xfId="2617" xr:uid="{00000000-0005-0000-0000-0000800A0000}"/>
    <cellStyle name="40% - Accent4 4 2 2" xfId="21990" xr:uid="{00000000-0005-0000-0000-0000810A0000}"/>
    <cellStyle name="40% - Accent4 4 3" xfId="2618" xr:uid="{00000000-0005-0000-0000-0000820A0000}"/>
    <cellStyle name="40% - Accent4 4 4" xfId="2619" xr:uid="{00000000-0005-0000-0000-0000830A0000}"/>
    <cellStyle name="40% - Accent4 4 5" xfId="2620" xr:uid="{00000000-0005-0000-0000-0000840A0000}"/>
    <cellStyle name="40% - Accent4 4 6" xfId="2621" xr:uid="{00000000-0005-0000-0000-0000850A0000}"/>
    <cellStyle name="40% - Accent4 4 7" xfId="2622" xr:uid="{00000000-0005-0000-0000-0000860A0000}"/>
    <cellStyle name="40% - Accent4 4 8" xfId="2623" xr:uid="{00000000-0005-0000-0000-0000870A0000}"/>
    <cellStyle name="40% - Accent4 4 9" xfId="2624" xr:uid="{00000000-0005-0000-0000-0000880A0000}"/>
    <cellStyle name="40% - Accent4 40" xfId="21692" xr:uid="{00000000-0005-0000-0000-0000890A0000}"/>
    <cellStyle name="40% - Accent4 5" xfId="2625" xr:uid="{00000000-0005-0000-0000-00008A0A0000}"/>
    <cellStyle name="40% - Accent4 5 10" xfId="2626" xr:uid="{00000000-0005-0000-0000-00008B0A0000}"/>
    <cellStyle name="40% - Accent4 5 11" xfId="21991" xr:uid="{00000000-0005-0000-0000-00008C0A0000}"/>
    <cellStyle name="40% - Accent4 5 2" xfId="2627" xr:uid="{00000000-0005-0000-0000-00008D0A0000}"/>
    <cellStyle name="40% - Accent4 5 2 2" xfId="21992" xr:uid="{00000000-0005-0000-0000-00008E0A0000}"/>
    <cellStyle name="40% - Accent4 5 3" xfId="2628" xr:uid="{00000000-0005-0000-0000-00008F0A0000}"/>
    <cellStyle name="40% - Accent4 5 4" xfId="2629" xr:uid="{00000000-0005-0000-0000-0000900A0000}"/>
    <cellStyle name="40% - Accent4 5 5" xfId="2630" xr:uid="{00000000-0005-0000-0000-0000910A0000}"/>
    <cellStyle name="40% - Accent4 5 6" xfId="2631" xr:uid="{00000000-0005-0000-0000-0000920A0000}"/>
    <cellStyle name="40% - Accent4 5 7" xfId="2632" xr:uid="{00000000-0005-0000-0000-0000930A0000}"/>
    <cellStyle name="40% - Accent4 5 8" xfId="2633" xr:uid="{00000000-0005-0000-0000-0000940A0000}"/>
    <cellStyle name="40% - Accent4 5 9" xfId="2634" xr:uid="{00000000-0005-0000-0000-0000950A0000}"/>
    <cellStyle name="40% - Accent4 6" xfId="2635" xr:uid="{00000000-0005-0000-0000-0000960A0000}"/>
    <cellStyle name="40% - Accent4 6 10" xfId="2636" xr:uid="{00000000-0005-0000-0000-0000970A0000}"/>
    <cellStyle name="40% - Accent4 6 2" xfId="2637" xr:uid="{00000000-0005-0000-0000-0000980A0000}"/>
    <cellStyle name="40% - Accent4 6 3" xfId="2638" xr:uid="{00000000-0005-0000-0000-0000990A0000}"/>
    <cellStyle name="40% - Accent4 6 4" xfId="2639" xr:uid="{00000000-0005-0000-0000-00009A0A0000}"/>
    <cellStyle name="40% - Accent4 6 5" xfId="2640" xr:uid="{00000000-0005-0000-0000-00009B0A0000}"/>
    <cellStyle name="40% - Accent4 6 6" xfId="2641" xr:uid="{00000000-0005-0000-0000-00009C0A0000}"/>
    <cellStyle name="40% - Accent4 6 7" xfId="2642" xr:uid="{00000000-0005-0000-0000-00009D0A0000}"/>
    <cellStyle name="40% - Accent4 6 8" xfId="2643" xr:uid="{00000000-0005-0000-0000-00009E0A0000}"/>
    <cellStyle name="40% - Accent4 6 9" xfId="2644" xr:uid="{00000000-0005-0000-0000-00009F0A0000}"/>
    <cellStyle name="40% - Accent4 7" xfId="2645" xr:uid="{00000000-0005-0000-0000-0000A00A0000}"/>
    <cellStyle name="40% - Accent4 7 10" xfId="2646" xr:uid="{00000000-0005-0000-0000-0000A10A0000}"/>
    <cellStyle name="40% - Accent4 7 2" xfId="2647" xr:uid="{00000000-0005-0000-0000-0000A20A0000}"/>
    <cellStyle name="40% - Accent4 7 3" xfId="2648" xr:uid="{00000000-0005-0000-0000-0000A30A0000}"/>
    <cellStyle name="40% - Accent4 7 4" xfId="2649" xr:uid="{00000000-0005-0000-0000-0000A40A0000}"/>
    <cellStyle name="40% - Accent4 7 5" xfId="2650" xr:uid="{00000000-0005-0000-0000-0000A50A0000}"/>
    <cellStyle name="40% - Accent4 7 6" xfId="2651" xr:uid="{00000000-0005-0000-0000-0000A60A0000}"/>
    <cellStyle name="40% - Accent4 7 7" xfId="2652" xr:uid="{00000000-0005-0000-0000-0000A70A0000}"/>
    <cellStyle name="40% - Accent4 7 8" xfId="2653" xr:uid="{00000000-0005-0000-0000-0000A80A0000}"/>
    <cellStyle name="40% - Accent4 7 9" xfId="2654" xr:uid="{00000000-0005-0000-0000-0000A90A0000}"/>
    <cellStyle name="40% - Accent4 8" xfId="2655" xr:uid="{00000000-0005-0000-0000-0000AA0A0000}"/>
    <cellStyle name="40% - Accent4 8 10" xfId="2656" xr:uid="{00000000-0005-0000-0000-0000AB0A0000}"/>
    <cellStyle name="40% - Accent4 8 2" xfId="2657" xr:uid="{00000000-0005-0000-0000-0000AC0A0000}"/>
    <cellStyle name="40% - Accent4 8 3" xfId="2658" xr:uid="{00000000-0005-0000-0000-0000AD0A0000}"/>
    <cellStyle name="40% - Accent4 8 4" xfId="2659" xr:uid="{00000000-0005-0000-0000-0000AE0A0000}"/>
    <cellStyle name="40% - Accent4 8 5" xfId="2660" xr:uid="{00000000-0005-0000-0000-0000AF0A0000}"/>
    <cellStyle name="40% - Accent4 8 6" xfId="2661" xr:uid="{00000000-0005-0000-0000-0000B00A0000}"/>
    <cellStyle name="40% - Accent4 8 7" xfId="2662" xr:uid="{00000000-0005-0000-0000-0000B10A0000}"/>
    <cellStyle name="40% - Accent4 8 8" xfId="2663" xr:uid="{00000000-0005-0000-0000-0000B20A0000}"/>
    <cellStyle name="40% - Accent4 8 9" xfId="2664" xr:uid="{00000000-0005-0000-0000-0000B30A0000}"/>
    <cellStyle name="40% - Accent4 9" xfId="2665" xr:uid="{00000000-0005-0000-0000-0000B40A0000}"/>
    <cellStyle name="40% - Accent4 9 10" xfId="2666" xr:uid="{00000000-0005-0000-0000-0000B50A0000}"/>
    <cellStyle name="40% - Accent4 9 2" xfId="2667" xr:uid="{00000000-0005-0000-0000-0000B60A0000}"/>
    <cellStyle name="40% - Accent4 9 3" xfId="2668" xr:uid="{00000000-0005-0000-0000-0000B70A0000}"/>
    <cellStyle name="40% - Accent4 9 4" xfId="2669" xr:uid="{00000000-0005-0000-0000-0000B80A0000}"/>
    <cellStyle name="40% - Accent4 9 5" xfId="2670" xr:uid="{00000000-0005-0000-0000-0000B90A0000}"/>
    <cellStyle name="40% - Accent4 9 6" xfId="2671" xr:uid="{00000000-0005-0000-0000-0000BA0A0000}"/>
    <cellStyle name="40% - Accent4 9 7" xfId="2672" xr:uid="{00000000-0005-0000-0000-0000BB0A0000}"/>
    <cellStyle name="40% - Accent4 9 8" xfId="2673" xr:uid="{00000000-0005-0000-0000-0000BC0A0000}"/>
    <cellStyle name="40% - Accent4 9 9" xfId="2674" xr:uid="{00000000-0005-0000-0000-0000BD0A0000}"/>
    <cellStyle name="40% - Accent5 10" xfId="2675" xr:uid="{00000000-0005-0000-0000-0000BE0A0000}"/>
    <cellStyle name="40% - Accent5 10 10" xfId="2676" xr:uid="{00000000-0005-0000-0000-0000BF0A0000}"/>
    <cellStyle name="40% - Accent5 10 2" xfId="2677" xr:uid="{00000000-0005-0000-0000-0000C00A0000}"/>
    <cellStyle name="40% - Accent5 10 3" xfId="2678" xr:uid="{00000000-0005-0000-0000-0000C10A0000}"/>
    <cellStyle name="40% - Accent5 10 4" xfId="2679" xr:uid="{00000000-0005-0000-0000-0000C20A0000}"/>
    <cellStyle name="40% - Accent5 10 5" xfId="2680" xr:uid="{00000000-0005-0000-0000-0000C30A0000}"/>
    <cellStyle name="40% - Accent5 10 6" xfId="2681" xr:uid="{00000000-0005-0000-0000-0000C40A0000}"/>
    <cellStyle name="40% - Accent5 10 7" xfId="2682" xr:uid="{00000000-0005-0000-0000-0000C50A0000}"/>
    <cellStyle name="40% - Accent5 10 8" xfId="2683" xr:uid="{00000000-0005-0000-0000-0000C60A0000}"/>
    <cellStyle name="40% - Accent5 10 9" xfId="2684" xr:uid="{00000000-0005-0000-0000-0000C70A0000}"/>
    <cellStyle name="40% - Accent5 11" xfId="2685" xr:uid="{00000000-0005-0000-0000-0000C80A0000}"/>
    <cellStyle name="40% - Accent5 11 10" xfId="2686" xr:uid="{00000000-0005-0000-0000-0000C90A0000}"/>
    <cellStyle name="40% - Accent5 11 2" xfId="2687" xr:uid="{00000000-0005-0000-0000-0000CA0A0000}"/>
    <cellStyle name="40% - Accent5 11 3" xfId="2688" xr:uid="{00000000-0005-0000-0000-0000CB0A0000}"/>
    <cellStyle name="40% - Accent5 11 4" xfId="2689" xr:uid="{00000000-0005-0000-0000-0000CC0A0000}"/>
    <cellStyle name="40% - Accent5 11 5" xfId="2690" xr:uid="{00000000-0005-0000-0000-0000CD0A0000}"/>
    <cellStyle name="40% - Accent5 11 6" xfId="2691" xr:uid="{00000000-0005-0000-0000-0000CE0A0000}"/>
    <cellStyle name="40% - Accent5 11 7" xfId="2692" xr:uid="{00000000-0005-0000-0000-0000CF0A0000}"/>
    <cellStyle name="40% - Accent5 11 8" xfId="2693" xr:uid="{00000000-0005-0000-0000-0000D00A0000}"/>
    <cellStyle name="40% - Accent5 11 9" xfId="2694" xr:uid="{00000000-0005-0000-0000-0000D10A0000}"/>
    <cellStyle name="40% - Accent5 12" xfId="2695" xr:uid="{00000000-0005-0000-0000-0000D20A0000}"/>
    <cellStyle name="40% - Accent5 12 10" xfId="2696" xr:uid="{00000000-0005-0000-0000-0000D30A0000}"/>
    <cellStyle name="40% - Accent5 12 2" xfId="2697" xr:uid="{00000000-0005-0000-0000-0000D40A0000}"/>
    <cellStyle name="40% - Accent5 12 3" xfId="2698" xr:uid="{00000000-0005-0000-0000-0000D50A0000}"/>
    <cellStyle name="40% - Accent5 12 4" xfId="2699" xr:uid="{00000000-0005-0000-0000-0000D60A0000}"/>
    <cellStyle name="40% - Accent5 12 5" xfId="2700" xr:uid="{00000000-0005-0000-0000-0000D70A0000}"/>
    <cellStyle name="40% - Accent5 12 6" xfId="2701" xr:uid="{00000000-0005-0000-0000-0000D80A0000}"/>
    <cellStyle name="40% - Accent5 12 7" xfId="2702" xr:uid="{00000000-0005-0000-0000-0000D90A0000}"/>
    <cellStyle name="40% - Accent5 12 8" xfId="2703" xr:uid="{00000000-0005-0000-0000-0000DA0A0000}"/>
    <cellStyle name="40% - Accent5 12 9" xfId="2704" xr:uid="{00000000-0005-0000-0000-0000DB0A0000}"/>
    <cellStyle name="40% - Accent5 13" xfId="2705" xr:uid="{00000000-0005-0000-0000-0000DC0A0000}"/>
    <cellStyle name="40% - Accent5 13 10" xfId="2706" xr:uid="{00000000-0005-0000-0000-0000DD0A0000}"/>
    <cellStyle name="40% - Accent5 13 2" xfId="2707" xr:uid="{00000000-0005-0000-0000-0000DE0A0000}"/>
    <cellStyle name="40% - Accent5 13 3" xfId="2708" xr:uid="{00000000-0005-0000-0000-0000DF0A0000}"/>
    <cellStyle name="40% - Accent5 13 4" xfId="2709" xr:uid="{00000000-0005-0000-0000-0000E00A0000}"/>
    <cellStyle name="40% - Accent5 13 5" xfId="2710" xr:uid="{00000000-0005-0000-0000-0000E10A0000}"/>
    <cellStyle name="40% - Accent5 13 6" xfId="2711" xr:uid="{00000000-0005-0000-0000-0000E20A0000}"/>
    <cellStyle name="40% - Accent5 13 7" xfId="2712" xr:uid="{00000000-0005-0000-0000-0000E30A0000}"/>
    <cellStyle name="40% - Accent5 13 8" xfId="2713" xr:uid="{00000000-0005-0000-0000-0000E40A0000}"/>
    <cellStyle name="40% - Accent5 13 9" xfId="2714" xr:uid="{00000000-0005-0000-0000-0000E50A0000}"/>
    <cellStyle name="40% - Accent5 14" xfId="2715" xr:uid="{00000000-0005-0000-0000-0000E60A0000}"/>
    <cellStyle name="40% - Accent5 14 10" xfId="2716" xr:uid="{00000000-0005-0000-0000-0000E70A0000}"/>
    <cellStyle name="40% - Accent5 14 2" xfId="2717" xr:uid="{00000000-0005-0000-0000-0000E80A0000}"/>
    <cellStyle name="40% - Accent5 14 3" xfId="2718" xr:uid="{00000000-0005-0000-0000-0000E90A0000}"/>
    <cellStyle name="40% - Accent5 14 4" xfId="2719" xr:uid="{00000000-0005-0000-0000-0000EA0A0000}"/>
    <cellStyle name="40% - Accent5 14 5" xfId="2720" xr:uid="{00000000-0005-0000-0000-0000EB0A0000}"/>
    <cellStyle name="40% - Accent5 14 6" xfId="2721" xr:uid="{00000000-0005-0000-0000-0000EC0A0000}"/>
    <cellStyle name="40% - Accent5 14 7" xfId="2722" xr:uid="{00000000-0005-0000-0000-0000ED0A0000}"/>
    <cellStyle name="40% - Accent5 14 8" xfId="2723" xr:uid="{00000000-0005-0000-0000-0000EE0A0000}"/>
    <cellStyle name="40% - Accent5 14 9" xfId="2724" xr:uid="{00000000-0005-0000-0000-0000EF0A0000}"/>
    <cellStyle name="40% - Accent5 15" xfId="2725" xr:uid="{00000000-0005-0000-0000-0000F00A0000}"/>
    <cellStyle name="40% - Accent5 15 10" xfId="2726" xr:uid="{00000000-0005-0000-0000-0000F10A0000}"/>
    <cellStyle name="40% - Accent5 15 2" xfId="2727" xr:uid="{00000000-0005-0000-0000-0000F20A0000}"/>
    <cellStyle name="40% - Accent5 15 3" xfId="2728" xr:uid="{00000000-0005-0000-0000-0000F30A0000}"/>
    <cellStyle name="40% - Accent5 15 4" xfId="2729" xr:uid="{00000000-0005-0000-0000-0000F40A0000}"/>
    <cellStyle name="40% - Accent5 15 5" xfId="2730" xr:uid="{00000000-0005-0000-0000-0000F50A0000}"/>
    <cellStyle name="40% - Accent5 15 6" xfId="2731" xr:uid="{00000000-0005-0000-0000-0000F60A0000}"/>
    <cellStyle name="40% - Accent5 15 7" xfId="2732" xr:uid="{00000000-0005-0000-0000-0000F70A0000}"/>
    <cellStyle name="40% - Accent5 15 8" xfId="2733" xr:uid="{00000000-0005-0000-0000-0000F80A0000}"/>
    <cellStyle name="40% - Accent5 15 9" xfId="2734" xr:uid="{00000000-0005-0000-0000-0000F90A0000}"/>
    <cellStyle name="40% - Accent5 16" xfId="2735" xr:uid="{00000000-0005-0000-0000-0000FA0A0000}"/>
    <cellStyle name="40% - Accent5 16 10" xfId="2736" xr:uid="{00000000-0005-0000-0000-0000FB0A0000}"/>
    <cellStyle name="40% - Accent5 16 2" xfId="2737" xr:uid="{00000000-0005-0000-0000-0000FC0A0000}"/>
    <cellStyle name="40% - Accent5 16 3" xfId="2738" xr:uid="{00000000-0005-0000-0000-0000FD0A0000}"/>
    <cellStyle name="40% - Accent5 16 4" xfId="2739" xr:uid="{00000000-0005-0000-0000-0000FE0A0000}"/>
    <cellStyle name="40% - Accent5 16 5" xfId="2740" xr:uid="{00000000-0005-0000-0000-0000FF0A0000}"/>
    <cellStyle name="40% - Accent5 16 6" xfId="2741" xr:uid="{00000000-0005-0000-0000-0000000B0000}"/>
    <cellStyle name="40% - Accent5 16 7" xfId="2742" xr:uid="{00000000-0005-0000-0000-0000010B0000}"/>
    <cellStyle name="40% - Accent5 16 8" xfId="2743" xr:uid="{00000000-0005-0000-0000-0000020B0000}"/>
    <cellStyle name="40% - Accent5 16 9" xfId="2744" xr:uid="{00000000-0005-0000-0000-0000030B0000}"/>
    <cellStyle name="40% - Accent5 17" xfId="2745" xr:uid="{00000000-0005-0000-0000-0000040B0000}"/>
    <cellStyle name="40% - Accent5 17 10" xfId="2746" xr:uid="{00000000-0005-0000-0000-0000050B0000}"/>
    <cellStyle name="40% - Accent5 17 2" xfId="2747" xr:uid="{00000000-0005-0000-0000-0000060B0000}"/>
    <cellStyle name="40% - Accent5 17 3" xfId="2748" xr:uid="{00000000-0005-0000-0000-0000070B0000}"/>
    <cellStyle name="40% - Accent5 17 4" xfId="2749" xr:uid="{00000000-0005-0000-0000-0000080B0000}"/>
    <cellStyle name="40% - Accent5 17 5" xfId="2750" xr:uid="{00000000-0005-0000-0000-0000090B0000}"/>
    <cellStyle name="40% - Accent5 17 6" xfId="2751" xr:uid="{00000000-0005-0000-0000-00000A0B0000}"/>
    <cellStyle name="40% - Accent5 17 7" xfId="2752" xr:uid="{00000000-0005-0000-0000-00000B0B0000}"/>
    <cellStyle name="40% - Accent5 17 8" xfId="2753" xr:uid="{00000000-0005-0000-0000-00000C0B0000}"/>
    <cellStyle name="40% - Accent5 17 9" xfId="2754" xr:uid="{00000000-0005-0000-0000-00000D0B0000}"/>
    <cellStyle name="40% - Accent5 18" xfId="2755" xr:uid="{00000000-0005-0000-0000-00000E0B0000}"/>
    <cellStyle name="40% - Accent5 18 2" xfId="2756" xr:uid="{00000000-0005-0000-0000-00000F0B0000}"/>
    <cellStyle name="40% - Accent5 18 3" xfId="2757" xr:uid="{00000000-0005-0000-0000-0000100B0000}"/>
    <cellStyle name="40% - Accent5 18 4" xfId="2758" xr:uid="{00000000-0005-0000-0000-0000110B0000}"/>
    <cellStyle name="40% - Accent5 18 5" xfId="2759" xr:uid="{00000000-0005-0000-0000-0000120B0000}"/>
    <cellStyle name="40% - Accent5 18 6" xfId="2760" xr:uid="{00000000-0005-0000-0000-0000130B0000}"/>
    <cellStyle name="40% - Accent5 18 7" xfId="2761" xr:uid="{00000000-0005-0000-0000-0000140B0000}"/>
    <cellStyle name="40% - Accent5 18 8" xfId="2762" xr:uid="{00000000-0005-0000-0000-0000150B0000}"/>
    <cellStyle name="40% - Accent5 19" xfId="2763" xr:uid="{00000000-0005-0000-0000-0000160B0000}"/>
    <cellStyle name="40% - Accent5 19 2" xfId="2764" xr:uid="{00000000-0005-0000-0000-0000170B0000}"/>
    <cellStyle name="40% - Accent5 19 3" xfId="2765" xr:uid="{00000000-0005-0000-0000-0000180B0000}"/>
    <cellStyle name="40% - Accent5 19 4" xfId="2766" xr:uid="{00000000-0005-0000-0000-0000190B0000}"/>
    <cellStyle name="40% - Accent5 19 5" xfId="2767" xr:uid="{00000000-0005-0000-0000-00001A0B0000}"/>
    <cellStyle name="40% - Accent5 19 6" xfId="2768" xr:uid="{00000000-0005-0000-0000-00001B0B0000}"/>
    <cellStyle name="40% - Accent5 19 7" xfId="2769" xr:uid="{00000000-0005-0000-0000-00001C0B0000}"/>
    <cellStyle name="40% - Accent5 19 8" xfId="2770" xr:uid="{00000000-0005-0000-0000-00001D0B0000}"/>
    <cellStyle name="40% - Accent5 2" xfId="2771" xr:uid="{00000000-0005-0000-0000-00001E0B0000}"/>
    <cellStyle name="40% - Accent5 2 10" xfId="2772" xr:uid="{00000000-0005-0000-0000-00001F0B0000}"/>
    <cellStyle name="40% - Accent5 2 11" xfId="21693" xr:uid="{00000000-0005-0000-0000-0000200B0000}"/>
    <cellStyle name="40% - Accent5 2 2" xfId="2773" xr:uid="{00000000-0005-0000-0000-0000210B0000}"/>
    <cellStyle name="40% - Accent5 2 2 2" xfId="21993" xr:uid="{00000000-0005-0000-0000-0000220B0000}"/>
    <cellStyle name="40% - Accent5 2 3" xfId="2774" xr:uid="{00000000-0005-0000-0000-0000230B0000}"/>
    <cellStyle name="40% - Accent5 2 4" xfId="2775" xr:uid="{00000000-0005-0000-0000-0000240B0000}"/>
    <cellStyle name="40% - Accent5 2 5" xfId="2776" xr:uid="{00000000-0005-0000-0000-0000250B0000}"/>
    <cellStyle name="40% - Accent5 2 6" xfId="2777" xr:uid="{00000000-0005-0000-0000-0000260B0000}"/>
    <cellStyle name="40% - Accent5 2 7" xfId="2778" xr:uid="{00000000-0005-0000-0000-0000270B0000}"/>
    <cellStyle name="40% - Accent5 2 8" xfId="2779" xr:uid="{00000000-0005-0000-0000-0000280B0000}"/>
    <cellStyle name="40% - Accent5 2 9" xfId="2780" xr:uid="{00000000-0005-0000-0000-0000290B0000}"/>
    <cellStyle name="40% - Accent5 20" xfId="2781" xr:uid="{00000000-0005-0000-0000-00002A0B0000}"/>
    <cellStyle name="40% - Accent5 20 2" xfId="2782" xr:uid="{00000000-0005-0000-0000-00002B0B0000}"/>
    <cellStyle name="40% - Accent5 20 3" xfId="2783" xr:uid="{00000000-0005-0000-0000-00002C0B0000}"/>
    <cellStyle name="40% - Accent5 20 4" xfId="2784" xr:uid="{00000000-0005-0000-0000-00002D0B0000}"/>
    <cellStyle name="40% - Accent5 20 5" xfId="2785" xr:uid="{00000000-0005-0000-0000-00002E0B0000}"/>
    <cellStyle name="40% - Accent5 20 6" xfId="2786" xr:uid="{00000000-0005-0000-0000-00002F0B0000}"/>
    <cellStyle name="40% - Accent5 20 7" xfId="2787" xr:uid="{00000000-0005-0000-0000-0000300B0000}"/>
    <cellStyle name="40% - Accent5 20 8" xfId="2788" xr:uid="{00000000-0005-0000-0000-0000310B0000}"/>
    <cellStyle name="40% - Accent5 21" xfId="2789" xr:uid="{00000000-0005-0000-0000-0000320B0000}"/>
    <cellStyle name="40% - Accent5 21 2" xfId="2790" xr:uid="{00000000-0005-0000-0000-0000330B0000}"/>
    <cellStyle name="40% - Accent5 21 3" xfId="2791" xr:uid="{00000000-0005-0000-0000-0000340B0000}"/>
    <cellStyle name="40% - Accent5 21 4" xfId="2792" xr:uid="{00000000-0005-0000-0000-0000350B0000}"/>
    <cellStyle name="40% - Accent5 21 5" xfId="2793" xr:uid="{00000000-0005-0000-0000-0000360B0000}"/>
    <cellStyle name="40% - Accent5 21 6" xfId="2794" xr:uid="{00000000-0005-0000-0000-0000370B0000}"/>
    <cellStyle name="40% - Accent5 21 7" xfId="2795" xr:uid="{00000000-0005-0000-0000-0000380B0000}"/>
    <cellStyle name="40% - Accent5 21 8" xfId="2796" xr:uid="{00000000-0005-0000-0000-0000390B0000}"/>
    <cellStyle name="40% - Accent5 22" xfId="2797" xr:uid="{00000000-0005-0000-0000-00003A0B0000}"/>
    <cellStyle name="40% - Accent5 22 2" xfId="2798" xr:uid="{00000000-0005-0000-0000-00003B0B0000}"/>
    <cellStyle name="40% - Accent5 22 3" xfId="2799" xr:uid="{00000000-0005-0000-0000-00003C0B0000}"/>
    <cellStyle name="40% - Accent5 22 4" xfId="2800" xr:uid="{00000000-0005-0000-0000-00003D0B0000}"/>
    <cellStyle name="40% - Accent5 22 5" xfId="2801" xr:uid="{00000000-0005-0000-0000-00003E0B0000}"/>
    <cellStyle name="40% - Accent5 22 6" xfId="2802" xr:uid="{00000000-0005-0000-0000-00003F0B0000}"/>
    <cellStyle name="40% - Accent5 22 7" xfId="2803" xr:uid="{00000000-0005-0000-0000-0000400B0000}"/>
    <cellStyle name="40% - Accent5 22 8" xfId="2804" xr:uid="{00000000-0005-0000-0000-0000410B0000}"/>
    <cellStyle name="40% - Accent5 23" xfId="2805" xr:uid="{00000000-0005-0000-0000-0000420B0000}"/>
    <cellStyle name="40% - Accent5 23 2" xfId="2806" xr:uid="{00000000-0005-0000-0000-0000430B0000}"/>
    <cellStyle name="40% - Accent5 23 3" xfId="2807" xr:uid="{00000000-0005-0000-0000-0000440B0000}"/>
    <cellStyle name="40% - Accent5 23 4" xfId="2808" xr:uid="{00000000-0005-0000-0000-0000450B0000}"/>
    <cellStyle name="40% - Accent5 23 5" xfId="2809" xr:uid="{00000000-0005-0000-0000-0000460B0000}"/>
    <cellStyle name="40% - Accent5 23 6" xfId="2810" xr:uid="{00000000-0005-0000-0000-0000470B0000}"/>
    <cellStyle name="40% - Accent5 23 7" xfId="2811" xr:uid="{00000000-0005-0000-0000-0000480B0000}"/>
    <cellStyle name="40% - Accent5 23 8" xfId="2812" xr:uid="{00000000-0005-0000-0000-0000490B0000}"/>
    <cellStyle name="40% - Accent5 24" xfId="2813" xr:uid="{00000000-0005-0000-0000-00004A0B0000}"/>
    <cellStyle name="40% - Accent5 24 2" xfId="2814" xr:uid="{00000000-0005-0000-0000-00004B0B0000}"/>
    <cellStyle name="40% - Accent5 24 3" xfId="2815" xr:uid="{00000000-0005-0000-0000-00004C0B0000}"/>
    <cellStyle name="40% - Accent5 24 4" xfId="2816" xr:uid="{00000000-0005-0000-0000-00004D0B0000}"/>
    <cellStyle name="40% - Accent5 24 5" xfId="2817" xr:uid="{00000000-0005-0000-0000-00004E0B0000}"/>
    <cellStyle name="40% - Accent5 24 6" xfId="2818" xr:uid="{00000000-0005-0000-0000-00004F0B0000}"/>
    <cellStyle name="40% - Accent5 24 7" xfId="2819" xr:uid="{00000000-0005-0000-0000-0000500B0000}"/>
    <cellStyle name="40% - Accent5 24 8" xfId="2820" xr:uid="{00000000-0005-0000-0000-0000510B0000}"/>
    <cellStyle name="40% - Accent5 25" xfId="2821" xr:uid="{00000000-0005-0000-0000-0000520B0000}"/>
    <cellStyle name="40% - Accent5 25 2" xfId="2822" xr:uid="{00000000-0005-0000-0000-0000530B0000}"/>
    <cellStyle name="40% - Accent5 25 3" xfId="2823" xr:uid="{00000000-0005-0000-0000-0000540B0000}"/>
    <cellStyle name="40% - Accent5 25 4" xfId="2824" xr:uid="{00000000-0005-0000-0000-0000550B0000}"/>
    <cellStyle name="40% - Accent5 25 5" xfId="2825" xr:uid="{00000000-0005-0000-0000-0000560B0000}"/>
    <cellStyle name="40% - Accent5 25 6" xfId="2826" xr:uid="{00000000-0005-0000-0000-0000570B0000}"/>
    <cellStyle name="40% - Accent5 25 7" xfId="2827" xr:uid="{00000000-0005-0000-0000-0000580B0000}"/>
    <cellStyle name="40% - Accent5 25 8" xfId="2828" xr:uid="{00000000-0005-0000-0000-0000590B0000}"/>
    <cellStyle name="40% - Accent5 26" xfId="2829" xr:uid="{00000000-0005-0000-0000-00005A0B0000}"/>
    <cellStyle name="40% - Accent5 26 2" xfId="2830" xr:uid="{00000000-0005-0000-0000-00005B0B0000}"/>
    <cellStyle name="40% - Accent5 26 3" xfId="2831" xr:uid="{00000000-0005-0000-0000-00005C0B0000}"/>
    <cellStyle name="40% - Accent5 26 4" xfId="2832" xr:uid="{00000000-0005-0000-0000-00005D0B0000}"/>
    <cellStyle name="40% - Accent5 26 5" xfId="2833" xr:uid="{00000000-0005-0000-0000-00005E0B0000}"/>
    <cellStyle name="40% - Accent5 26 6" xfId="2834" xr:uid="{00000000-0005-0000-0000-00005F0B0000}"/>
    <cellStyle name="40% - Accent5 26 7" xfId="2835" xr:uid="{00000000-0005-0000-0000-0000600B0000}"/>
    <cellStyle name="40% - Accent5 26 8" xfId="2836" xr:uid="{00000000-0005-0000-0000-0000610B0000}"/>
    <cellStyle name="40% - Accent5 27" xfId="2837" xr:uid="{00000000-0005-0000-0000-0000620B0000}"/>
    <cellStyle name="40% - Accent5 27 2" xfId="2838" xr:uid="{00000000-0005-0000-0000-0000630B0000}"/>
    <cellStyle name="40% - Accent5 27 3" xfId="2839" xr:uid="{00000000-0005-0000-0000-0000640B0000}"/>
    <cellStyle name="40% - Accent5 27 4" xfId="2840" xr:uid="{00000000-0005-0000-0000-0000650B0000}"/>
    <cellStyle name="40% - Accent5 27 5" xfId="2841" xr:uid="{00000000-0005-0000-0000-0000660B0000}"/>
    <cellStyle name="40% - Accent5 27 6" xfId="2842" xr:uid="{00000000-0005-0000-0000-0000670B0000}"/>
    <cellStyle name="40% - Accent5 27 7" xfId="2843" xr:uid="{00000000-0005-0000-0000-0000680B0000}"/>
    <cellStyle name="40% - Accent5 27 8" xfId="2844" xr:uid="{00000000-0005-0000-0000-0000690B0000}"/>
    <cellStyle name="40% - Accent5 28" xfId="2845" xr:uid="{00000000-0005-0000-0000-00006A0B0000}"/>
    <cellStyle name="40% - Accent5 28 2" xfId="2846" xr:uid="{00000000-0005-0000-0000-00006B0B0000}"/>
    <cellStyle name="40% - Accent5 28 3" xfId="2847" xr:uid="{00000000-0005-0000-0000-00006C0B0000}"/>
    <cellStyle name="40% - Accent5 28 4" xfId="2848" xr:uid="{00000000-0005-0000-0000-00006D0B0000}"/>
    <cellStyle name="40% - Accent5 28 5" xfId="2849" xr:uid="{00000000-0005-0000-0000-00006E0B0000}"/>
    <cellStyle name="40% - Accent5 28 6" xfId="2850" xr:uid="{00000000-0005-0000-0000-00006F0B0000}"/>
    <cellStyle name="40% - Accent5 28 7" xfId="2851" xr:uid="{00000000-0005-0000-0000-0000700B0000}"/>
    <cellStyle name="40% - Accent5 28 8" xfId="2852" xr:uid="{00000000-0005-0000-0000-0000710B0000}"/>
    <cellStyle name="40% - Accent5 29" xfId="2853" xr:uid="{00000000-0005-0000-0000-0000720B0000}"/>
    <cellStyle name="40% - Accent5 29 2" xfId="2854" xr:uid="{00000000-0005-0000-0000-0000730B0000}"/>
    <cellStyle name="40% - Accent5 29 3" xfId="2855" xr:uid="{00000000-0005-0000-0000-0000740B0000}"/>
    <cellStyle name="40% - Accent5 29 4" xfId="2856" xr:uid="{00000000-0005-0000-0000-0000750B0000}"/>
    <cellStyle name="40% - Accent5 29 5" xfId="2857" xr:uid="{00000000-0005-0000-0000-0000760B0000}"/>
    <cellStyle name="40% - Accent5 29 6" xfId="2858" xr:uid="{00000000-0005-0000-0000-0000770B0000}"/>
    <cellStyle name="40% - Accent5 29 7" xfId="2859" xr:uid="{00000000-0005-0000-0000-0000780B0000}"/>
    <cellStyle name="40% - Accent5 29 8" xfId="2860" xr:uid="{00000000-0005-0000-0000-0000790B0000}"/>
    <cellStyle name="40% - Accent5 3" xfId="2861" xr:uid="{00000000-0005-0000-0000-00007A0B0000}"/>
    <cellStyle name="40% - Accent5 3 10" xfId="2862" xr:uid="{00000000-0005-0000-0000-00007B0B0000}"/>
    <cellStyle name="40% - Accent5 3 11" xfId="21994" xr:uid="{00000000-0005-0000-0000-00007C0B0000}"/>
    <cellStyle name="40% - Accent5 3 2" xfId="2863" xr:uid="{00000000-0005-0000-0000-00007D0B0000}"/>
    <cellStyle name="40% - Accent5 3 2 2" xfId="21995" xr:uid="{00000000-0005-0000-0000-00007E0B0000}"/>
    <cellStyle name="40% - Accent5 3 3" xfId="2864" xr:uid="{00000000-0005-0000-0000-00007F0B0000}"/>
    <cellStyle name="40% - Accent5 3 4" xfId="2865" xr:uid="{00000000-0005-0000-0000-0000800B0000}"/>
    <cellStyle name="40% - Accent5 3 5" xfId="2866" xr:uid="{00000000-0005-0000-0000-0000810B0000}"/>
    <cellStyle name="40% - Accent5 3 6" xfId="2867" xr:uid="{00000000-0005-0000-0000-0000820B0000}"/>
    <cellStyle name="40% - Accent5 3 7" xfId="2868" xr:uid="{00000000-0005-0000-0000-0000830B0000}"/>
    <cellStyle name="40% - Accent5 3 8" xfId="2869" xr:uid="{00000000-0005-0000-0000-0000840B0000}"/>
    <cellStyle name="40% - Accent5 3 9" xfId="2870" xr:uid="{00000000-0005-0000-0000-0000850B0000}"/>
    <cellStyle name="40% - Accent5 30" xfId="2871" xr:uid="{00000000-0005-0000-0000-0000860B0000}"/>
    <cellStyle name="40% - Accent5 31" xfId="2872" xr:uid="{00000000-0005-0000-0000-0000870B0000}"/>
    <cellStyle name="40% - Accent5 32" xfId="2873" xr:uid="{00000000-0005-0000-0000-0000880B0000}"/>
    <cellStyle name="40% - Accent5 33" xfId="2874" xr:uid="{00000000-0005-0000-0000-0000890B0000}"/>
    <cellStyle name="40% - Accent5 34" xfId="2875" xr:uid="{00000000-0005-0000-0000-00008A0B0000}"/>
    <cellStyle name="40% - Accent5 35" xfId="2876" xr:uid="{00000000-0005-0000-0000-00008B0B0000}"/>
    <cellStyle name="40% - Accent5 36" xfId="2877" xr:uid="{00000000-0005-0000-0000-00008C0B0000}"/>
    <cellStyle name="40% - Accent5 37" xfId="2878" xr:uid="{00000000-0005-0000-0000-00008D0B0000}"/>
    <cellStyle name="40% - Accent5 38" xfId="2879" xr:uid="{00000000-0005-0000-0000-00008E0B0000}"/>
    <cellStyle name="40% - Accent5 39" xfId="2880" xr:uid="{00000000-0005-0000-0000-00008F0B0000}"/>
    <cellStyle name="40% - Accent5 4" xfId="2881" xr:uid="{00000000-0005-0000-0000-0000900B0000}"/>
    <cellStyle name="40% - Accent5 4 10" xfId="2882" xr:uid="{00000000-0005-0000-0000-0000910B0000}"/>
    <cellStyle name="40% - Accent5 4 11" xfId="21996" xr:uid="{00000000-0005-0000-0000-0000920B0000}"/>
    <cellStyle name="40% - Accent5 4 2" xfId="2883" xr:uid="{00000000-0005-0000-0000-0000930B0000}"/>
    <cellStyle name="40% - Accent5 4 2 2" xfId="21997" xr:uid="{00000000-0005-0000-0000-0000940B0000}"/>
    <cellStyle name="40% - Accent5 4 3" xfId="2884" xr:uid="{00000000-0005-0000-0000-0000950B0000}"/>
    <cellStyle name="40% - Accent5 4 4" xfId="2885" xr:uid="{00000000-0005-0000-0000-0000960B0000}"/>
    <cellStyle name="40% - Accent5 4 5" xfId="2886" xr:uid="{00000000-0005-0000-0000-0000970B0000}"/>
    <cellStyle name="40% - Accent5 4 6" xfId="2887" xr:uid="{00000000-0005-0000-0000-0000980B0000}"/>
    <cellStyle name="40% - Accent5 4 7" xfId="2888" xr:uid="{00000000-0005-0000-0000-0000990B0000}"/>
    <cellStyle name="40% - Accent5 4 8" xfId="2889" xr:uid="{00000000-0005-0000-0000-00009A0B0000}"/>
    <cellStyle name="40% - Accent5 4 9" xfId="2890" xr:uid="{00000000-0005-0000-0000-00009B0B0000}"/>
    <cellStyle name="40% - Accent5 40" xfId="21694" xr:uid="{00000000-0005-0000-0000-00009C0B0000}"/>
    <cellStyle name="40% - Accent5 5" xfId="2891" xr:uid="{00000000-0005-0000-0000-00009D0B0000}"/>
    <cellStyle name="40% - Accent5 5 10" xfId="2892" xr:uid="{00000000-0005-0000-0000-00009E0B0000}"/>
    <cellStyle name="40% - Accent5 5 11" xfId="21998" xr:uid="{00000000-0005-0000-0000-00009F0B0000}"/>
    <cellStyle name="40% - Accent5 5 2" xfId="2893" xr:uid="{00000000-0005-0000-0000-0000A00B0000}"/>
    <cellStyle name="40% - Accent5 5 2 2" xfId="21999" xr:uid="{00000000-0005-0000-0000-0000A10B0000}"/>
    <cellStyle name="40% - Accent5 5 3" xfId="2894" xr:uid="{00000000-0005-0000-0000-0000A20B0000}"/>
    <cellStyle name="40% - Accent5 5 4" xfId="2895" xr:uid="{00000000-0005-0000-0000-0000A30B0000}"/>
    <cellStyle name="40% - Accent5 5 5" xfId="2896" xr:uid="{00000000-0005-0000-0000-0000A40B0000}"/>
    <cellStyle name="40% - Accent5 5 6" xfId="2897" xr:uid="{00000000-0005-0000-0000-0000A50B0000}"/>
    <cellStyle name="40% - Accent5 5 7" xfId="2898" xr:uid="{00000000-0005-0000-0000-0000A60B0000}"/>
    <cellStyle name="40% - Accent5 5 8" xfId="2899" xr:uid="{00000000-0005-0000-0000-0000A70B0000}"/>
    <cellStyle name="40% - Accent5 5 9" xfId="2900" xr:uid="{00000000-0005-0000-0000-0000A80B0000}"/>
    <cellStyle name="40% - Accent5 6" xfId="2901" xr:uid="{00000000-0005-0000-0000-0000A90B0000}"/>
    <cellStyle name="40% - Accent5 6 10" xfId="2902" xr:uid="{00000000-0005-0000-0000-0000AA0B0000}"/>
    <cellStyle name="40% - Accent5 6 2" xfId="2903" xr:uid="{00000000-0005-0000-0000-0000AB0B0000}"/>
    <cellStyle name="40% - Accent5 6 3" xfId="2904" xr:uid="{00000000-0005-0000-0000-0000AC0B0000}"/>
    <cellStyle name="40% - Accent5 6 4" xfId="2905" xr:uid="{00000000-0005-0000-0000-0000AD0B0000}"/>
    <cellStyle name="40% - Accent5 6 5" xfId="2906" xr:uid="{00000000-0005-0000-0000-0000AE0B0000}"/>
    <cellStyle name="40% - Accent5 6 6" xfId="2907" xr:uid="{00000000-0005-0000-0000-0000AF0B0000}"/>
    <cellStyle name="40% - Accent5 6 7" xfId="2908" xr:uid="{00000000-0005-0000-0000-0000B00B0000}"/>
    <cellStyle name="40% - Accent5 6 8" xfId="2909" xr:uid="{00000000-0005-0000-0000-0000B10B0000}"/>
    <cellStyle name="40% - Accent5 6 9" xfId="2910" xr:uid="{00000000-0005-0000-0000-0000B20B0000}"/>
    <cellStyle name="40% - Accent5 7" xfId="2911" xr:uid="{00000000-0005-0000-0000-0000B30B0000}"/>
    <cellStyle name="40% - Accent5 7 10" xfId="2912" xr:uid="{00000000-0005-0000-0000-0000B40B0000}"/>
    <cellStyle name="40% - Accent5 7 2" xfId="2913" xr:uid="{00000000-0005-0000-0000-0000B50B0000}"/>
    <cellStyle name="40% - Accent5 7 3" xfId="2914" xr:uid="{00000000-0005-0000-0000-0000B60B0000}"/>
    <cellStyle name="40% - Accent5 7 4" xfId="2915" xr:uid="{00000000-0005-0000-0000-0000B70B0000}"/>
    <cellStyle name="40% - Accent5 7 5" xfId="2916" xr:uid="{00000000-0005-0000-0000-0000B80B0000}"/>
    <cellStyle name="40% - Accent5 7 6" xfId="2917" xr:uid="{00000000-0005-0000-0000-0000B90B0000}"/>
    <cellStyle name="40% - Accent5 7 7" xfId="2918" xr:uid="{00000000-0005-0000-0000-0000BA0B0000}"/>
    <cellStyle name="40% - Accent5 7 8" xfId="2919" xr:uid="{00000000-0005-0000-0000-0000BB0B0000}"/>
    <cellStyle name="40% - Accent5 7 9" xfId="2920" xr:uid="{00000000-0005-0000-0000-0000BC0B0000}"/>
    <cellStyle name="40% - Accent5 8" xfId="2921" xr:uid="{00000000-0005-0000-0000-0000BD0B0000}"/>
    <cellStyle name="40% - Accent5 8 10" xfId="2922" xr:uid="{00000000-0005-0000-0000-0000BE0B0000}"/>
    <cellStyle name="40% - Accent5 8 2" xfId="2923" xr:uid="{00000000-0005-0000-0000-0000BF0B0000}"/>
    <cellStyle name="40% - Accent5 8 3" xfId="2924" xr:uid="{00000000-0005-0000-0000-0000C00B0000}"/>
    <cellStyle name="40% - Accent5 8 4" xfId="2925" xr:uid="{00000000-0005-0000-0000-0000C10B0000}"/>
    <cellStyle name="40% - Accent5 8 5" xfId="2926" xr:uid="{00000000-0005-0000-0000-0000C20B0000}"/>
    <cellStyle name="40% - Accent5 8 6" xfId="2927" xr:uid="{00000000-0005-0000-0000-0000C30B0000}"/>
    <cellStyle name="40% - Accent5 8 7" xfId="2928" xr:uid="{00000000-0005-0000-0000-0000C40B0000}"/>
    <cellStyle name="40% - Accent5 8 8" xfId="2929" xr:uid="{00000000-0005-0000-0000-0000C50B0000}"/>
    <cellStyle name="40% - Accent5 8 9" xfId="2930" xr:uid="{00000000-0005-0000-0000-0000C60B0000}"/>
    <cellStyle name="40% - Accent5 9" xfId="2931" xr:uid="{00000000-0005-0000-0000-0000C70B0000}"/>
    <cellStyle name="40% - Accent5 9 10" xfId="2932" xr:uid="{00000000-0005-0000-0000-0000C80B0000}"/>
    <cellStyle name="40% - Accent5 9 2" xfId="2933" xr:uid="{00000000-0005-0000-0000-0000C90B0000}"/>
    <cellStyle name="40% - Accent5 9 3" xfId="2934" xr:uid="{00000000-0005-0000-0000-0000CA0B0000}"/>
    <cellStyle name="40% - Accent5 9 4" xfId="2935" xr:uid="{00000000-0005-0000-0000-0000CB0B0000}"/>
    <cellStyle name="40% - Accent5 9 5" xfId="2936" xr:uid="{00000000-0005-0000-0000-0000CC0B0000}"/>
    <cellStyle name="40% - Accent5 9 6" xfId="2937" xr:uid="{00000000-0005-0000-0000-0000CD0B0000}"/>
    <cellStyle name="40% - Accent5 9 7" xfId="2938" xr:uid="{00000000-0005-0000-0000-0000CE0B0000}"/>
    <cellStyle name="40% - Accent5 9 8" xfId="2939" xr:uid="{00000000-0005-0000-0000-0000CF0B0000}"/>
    <cellStyle name="40% - Accent5 9 9" xfId="2940" xr:uid="{00000000-0005-0000-0000-0000D00B0000}"/>
    <cellStyle name="40% - Accent6 10" xfId="2941" xr:uid="{00000000-0005-0000-0000-0000D10B0000}"/>
    <cellStyle name="40% - Accent6 10 10" xfId="2942" xr:uid="{00000000-0005-0000-0000-0000D20B0000}"/>
    <cellStyle name="40% - Accent6 10 2" xfId="2943" xr:uid="{00000000-0005-0000-0000-0000D30B0000}"/>
    <cellStyle name="40% - Accent6 10 3" xfId="2944" xr:uid="{00000000-0005-0000-0000-0000D40B0000}"/>
    <cellStyle name="40% - Accent6 10 4" xfId="2945" xr:uid="{00000000-0005-0000-0000-0000D50B0000}"/>
    <cellStyle name="40% - Accent6 10 5" xfId="2946" xr:uid="{00000000-0005-0000-0000-0000D60B0000}"/>
    <cellStyle name="40% - Accent6 10 6" xfId="2947" xr:uid="{00000000-0005-0000-0000-0000D70B0000}"/>
    <cellStyle name="40% - Accent6 10 7" xfId="2948" xr:uid="{00000000-0005-0000-0000-0000D80B0000}"/>
    <cellStyle name="40% - Accent6 10 8" xfId="2949" xr:uid="{00000000-0005-0000-0000-0000D90B0000}"/>
    <cellStyle name="40% - Accent6 10 9" xfId="2950" xr:uid="{00000000-0005-0000-0000-0000DA0B0000}"/>
    <cellStyle name="40% - Accent6 11" xfId="2951" xr:uid="{00000000-0005-0000-0000-0000DB0B0000}"/>
    <cellStyle name="40% - Accent6 11 10" xfId="2952" xr:uid="{00000000-0005-0000-0000-0000DC0B0000}"/>
    <cellStyle name="40% - Accent6 11 2" xfId="2953" xr:uid="{00000000-0005-0000-0000-0000DD0B0000}"/>
    <cellStyle name="40% - Accent6 11 3" xfId="2954" xr:uid="{00000000-0005-0000-0000-0000DE0B0000}"/>
    <cellStyle name="40% - Accent6 11 4" xfId="2955" xr:uid="{00000000-0005-0000-0000-0000DF0B0000}"/>
    <cellStyle name="40% - Accent6 11 5" xfId="2956" xr:uid="{00000000-0005-0000-0000-0000E00B0000}"/>
    <cellStyle name="40% - Accent6 11 6" xfId="2957" xr:uid="{00000000-0005-0000-0000-0000E10B0000}"/>
    <cellStyle name="40% - Accent6 11 7" xfId="2958" xr:uid="{00000000-0005-0000-0000-0000E20B0000}"/>
    <cellStyle name="40% - Accent6 11 8" xfId="2959" xr:uid="{00000000-0005-0000-0000-0000E30B0000}"/>
    <cellStyle name="40% - Accent6 11 9" xfId="2960" xr:uid="{00000000-0005-0000-0000-0000E40B0000}"/>
    <cellStyle name="40% - Accent6 12" xfId="2961" xr:uid="{00000000-0005-0000-0000-0000E50B0000}"/>
    <cellStyle name="40% - Accent6 12 10" xfId="2962" xr:uid="{00000000-0005-0000-0000-0000E60B0000}"/>
    <cellStyle name="40% - Accent6 12 2" xfId="2963" xr:uid="{00000000-0005-0000-0000-0000E70B0000}"/>
    <cellStyle name="40% - Accent6 12 3" xfId="2964" xr:uid="{00000000-0005-0000-0000-0000E80B0000}"/>
    <cellStyle name="40% - Accent6 12 4" xfId="2965" xr:uid="{00000000-0005-0000-0000-0000E90B0000}"/>
    <cellStyle name="40% - Accent6 12 5" xfId="2966" xr:uid="{00000000-0005-0000-0000-0000EA0B0000}"/>
    <cellStyle name="40% - Accent6 12 6" xfId="2967" xr:uid="{00000000-0005-0000-0000-0000EB0B0000}"/>
    <cellStyle name="40% - Accent6 12 7" xfId="2968" xr:uid="{00000000-0005-0000-0000-0000EC0B0000}"/>
    <cellStyle name="40% - Accent6 12 8" xfId="2969" xr:uid="{00000000-0005-0000-0000-0000ED0B0000}"/>
    <cellStyle name="40% - Accent6 12 9" xfId="2970" xr:uid="{00000000-0005-0000-0000-0000EE0B0000}"/>
    <cellStyle name="40% - Accent6 13" xfId="2971" xr:uid="{00000000-0005-0000-0000-0000EF0B0000}"/>
    <cellStyle name="40% - Accent6 13 10" xfId="2972" xr:uid="{00000000-0005-0000-0000-0000F00B0000}"/>
    <cellStyle name="40% - Accent6 13 2" xfId="2973" xr:uid="{00000000-0005-0000-0000-0000F10B0000}"/>
    <cellStyle name="40% - Accent6 13 3" xfId="2974" xr:uid="{00000000-0005-0000-0000-0000F20B0000}"/>
    <cellStyle name="40% - Accent6 13 4" xfId="2975" xr:uid="{00000000-0005-0000-0000-0000F30B0000}"/>
    <cellStyle name="40% - Accent6 13 5" xfId="2976" xr:uid="{00000000-0005-0000-0000-0000F40B0000}"/>
    <cellStyle name="40% - Accent6 13 6" xfId="2977" xr:uid="{00000000-0005-0000-0000-0000F50B0000}"/>
    <cellStyle name="40% - Accent6 13 7" xfId="2978" xr:uid="{00000000-0005-0000-0000-0000F60B0000}"/>
    <cellStyle name="40% - Accent6 13 8" xfId="2979" xr:uid="{00000000-0005-0000-0000-0000F70B0000}"/>
    <cellStyle name="40% - Accent6 13 9" xfId="2980" xr:uid="{00000000-0005-0000-0000-0000F80B0000}"/>
    <cellStyle name="40% - Accent6 14" xfId="2981" xr:uid="{00000000-0005-0000-0000-0000F90B0000}"/>
    <cellStyle name="40% - Accent6 14 10" xfId="2982" xr:uid="{00000000-0005-0000-0000-0000FA0B0000}"/>
    <cellStyle name="40% - Accent6 14 2" xfId="2983" xr:uid="{00000000-0005-0000-0000-0000FB0B0000}"/>
    <cellStyle name="40% - Accent6 14 3" xfId="2984" xr:uid="{00000000-0005-0000-0000-0000FC0B0000}"/>
    <cellStyle name="40% - Accent6 14 4" xfId="2985" xr:uid="{00000000-0005-0000-0000-0000FD0B0000}"/>
    <cellStyle name="40% - Accent6 14 5" xfId="2986" xr:uid="{00000000-0005-0000-0000-0000FE0B0000}"/>
    <cellStyle name="40% - Accent6 14 6" xfId="2987" xr:uid="{00000000-0005-0000-0000-0000FF0B0000}"/>
    <cellStyle name="40% - Accent6 14 7" xfId="2988" xr:uid="{00000000-0005-0000-0000-0000000C0000}"/>
    <cellStyle name="40% - Accent6 14 8" xfId="2989" xr:uid="{00000000-0005-0000-0000-0000010C0000}"/>
    <cellStyle name="40% - Accent6 14 9" xfId="2990" xr:uid="{00000000-0005-0000-0000-0000020C0000}"/>
    <cellStyle name="40% - Accent6 15" xfId="2991" xr:uid="{00000000-0005-0000-0000-0000030C0000}"/>
    <cellStyle name="40% - Accent6 15 10" xfId="2992" xr:uid="{00000000-0005-0000-0000-0000040C0000}"/>
    <cellStyle name="40% - Accent6 15 2" xfId="2993" xr:uid="{00000000-0005-0000-0000-0000050C0000}"/>
    <cellStyle name="40% - Accent6 15 3" xfId="2994" xr:uid="{00000000-0005-0000-0000-0000060C0000}"/>
    <cellStyle name="40% - Accent6 15 4" xfId="2995" xr:uid="{00000000-0005-0000-0000-0000070C0000}"/>
    <cellStyle name="40% - Accent6 15 5" xfId="2996" xr:uid="{00000000-0005-0000-0000-0000080C0000}"/>
    <cellStyle name="40% - Accent6 15 6" xfId="2997" xr:uid="{00000000-0005-0000-0000-0000090C0000}"/>
    <cellStyle name="40% - Accent6 15 7" xfId="2998" xr:uid="{00000000-0005-0000-0000-00000A0C0000}"/>
    <cellStyle name="40% - Accent6 15 8" xfId="2999" xr:uid="{00000000-0005-0000-0000-00000B0C0000}"/>
    <cellStyle name="40% - Accent6 15 9" xfId="3000" xr:uid="{00000000-0005-0000-0000-00000C0C0000}"/>
    <cellStyle name="40% - Accent6 16" xfId="3001" xr:uid="{00000000-0005-0000-0000-00000D0C0000}"/>
    <cellStyle name="40% - Accent6 16 10" xfId="3002" xr:uid="{00000000-0005-0000-0000-00000E0C0000}"/>
    <cellStyle name="40% - Accent6 16 2" xfId="3003" xr:uid="{00000000-0005-0000-0000-00000F0C0000}"/>
    <cellStyle name="40% - Accent6 16 3" xfId="3004" xr:uid="{00000000-0005-0000-0000-0000100C0000}"/>
    <cellStyle name="40% - Accent6 16 4" xfId="3005" xr:uid="{00000000-0005-0000-0000-0000110C0000}"/>
    <cellStyle name="40% - Accent6 16 5" xfId="3006" xr:uid="{00000000-0005-0000-0000-0000120C0000}"/>
    <cellStyle name="40% - Accent6 16 6" xfId="3007" xr:uid="{00000000-0005-0000-0000-0000130C0000}"/>
    <cellStyle name="40% - Accent6 16 7" xfId="3008" xr:uid="{00000000-0005-0000-0000-0000140C0000}"/>
    <cellStyle name="40% - Accent6 16 8" xfId="3009" xr:uid="{00000000-0005-0000-0000-0000150C0000}"/>
    <cellStyle name="40% - Accent6 16 9" xfId="3010" xr:uid="{00000000-0005-0000-0000-0000160C0000}"/>
    <cellStyle name="40% - Accent6 17" xfId="3011" xr:uid="{00000000-0005-0000-0000-0000170C0000}"/>
    <cellStyle name="40% - Accent6 17 10" xfId="3012" xr:uid="{00000000-0005-0000-0000-0000180C0000}"/>
    <cellStyle name="40% - Accent6 17 2" xfId="3013" xr:uid="{00000000-0005-0000-0000-0000190C0000}"/>
    <cellStyle name="40% - Accent6 17 3" xfId="3014" xr:uid="{00000000-0005-0000-0000-00001A0C0000}"/>
    <cellStyle name="40% - Accent6 17 4" xfId="3015" xr:uid="{00000000-0005-0000-0000-00001B0C0000}"/>
    <cellStyle name="40% - Accent6 17 5" xfId="3016" xr:uid="{00000000-0005-0000-0000-00001C0C0000}"/>
    <cellStyle name="40% - Accent6 17 6" xfId="3017" xr:uid="{00000000-0005-0000-0000-00001D0C0000}"/>
    <cellStyle name="40% - Accent6 17 7" xfId="3018" xr:uid="{00000000-0005-0000-0000-00001E0C0000}"/>
    <cellStyle name="40% - Accent6 17 8" xfId="3019" xr:uid="{00000000-0005-0000-0000-00001F0C0000}"/>
    <cellStyle name="40% - Accent6 17 9" xfId="3020" xr:uid="{00000000-0005-0000-0000-0000200C0000}"/>
    <cellStyle name="40% - Accent6 18" xfId="3021" xr:uid="{00000000-0005-0000-0000-0000210C0000}"/>
    <cellStyle name="40% - Accent6 18 2" xfId="3022" xr:uid="{00000000-0005-0000-0000-0000220C0000}"/>
    <cellStyle name="40% - Accent6 18 3" xfId="3023" xr:uid="{00000000-0005-0000-0000-0000230C0000}"/>
    <cellStyle name="40% - Accent6 18 4" xfId="3024" xr:uid="{00000000-0005-0000-0000-0000240C0000}"/>
    <cellStyle name="40% - Accent6 18 5" xfId="3025" xr:uid="{00000000-0005-0000-0000-0000250C0000}"/>
    <cellStyle name="40% - Accent6 18 6" xfId="3026" xr:uid="{00000000-0005-0000-0000-0000260C0000}"/>
    <cellStyle name="40% - Accent6 18 7" xfId="3027" xr:uid="{00000000-0005-0000-0000-0000270C0000}"/>
    <cellStyle name="40% - Accent6 18 8" xfId="3028" xr:uid="{00000000-0005-0000-0000-0000280C0000}"/>
    <cellStyle name="40% - Accent6 19" xfId="3029" xr:uid="{00000000-0005-0000-0000-0000290C0000}"/>
    <cellStyle name="40% - Accent6 19 2" xfId="3030" xr:uid="{00000000-0005-0000-0000-00002A0C0000}"/>
    <cellStyle name="40% - Accent6 19 3" xfId="3031" xr:uid="{00000000-0005-0000-0000-00002B0C0000}"/>
    <cellStyle name="40% - Accent6 19 4" xfId="3032" xr:uid="{00000000-0005-0000-0000-00002C0C0000}"/>
    <cellStyle name="40% - Accent6 19 5" xfId="3033" xr:uid="{00000000-0005-0000-0000-00002D0C0000}"/>
    <cellStyle name="40% - Accent6 19 6" xfId="3034" xr:uid="{00000000-0005-0000-0000-00002E0C0000}"/>
    <cellStyle name="40% - Accent6 19 7" xfId="3035" xr:uid="{00000000-0005-0000-0000-00002F0C0000}"/>
    <cellStyle name="40% - Accent6 19 8" xfId="3036" xr:uid="{00000000-0005-0000-0000-0000300C0000}"/>
    <cellStyle name="40% - Accent6 2" xfId="3037" xr:uid="{00000000-0005-0000-0000-0000310C0000}"/>
    <cellStyle name="40% - Accent6 2 10" xfId="3038" xr:uid="{00000000-0005-0000-0000-0000320C0000}"/>
    <cellStyle name="40% - Accent6 2 11" xfId="21695" xr:uid="{00000000-0005-0000-0000-0000330C0000}"/>
    <cellStyle name="40% - Accent6 2 2" xfId="3039" xr:uid="{00000000-0005-0000-0000-0000340C0000}"/>
    <cellStyle name="40% - Accent6 2 2 2" xfId="22000" xr:uid="{00000000-0005-0000-0000-0000350C0000}"/>
    <cellStyle name="40% - Accent6 2 3" xfId="3040" xr:uid="{00000000-0005-0000-0000-0000360C0000}"/>
    <cellStyle name="40% - Accent6 2 4" xfId="3041" xr:uid="{00000000-0005-0000-0000-0000370C0000}"/>
    <cellStyle name="40% - Accent6 2 5" xfId="3042" xr:uid="{00000000-0005-0000-0000-0000380C0000}"/>
    <cellStyle name="40% - Accent6 2 6" xfId="3043" xr:uid="{00000000-0005-0000-0000-0000390C0000}"/>
    <cellStyle name="40% - Accent6 2 7" xfId="3044" xr:uid="{00000000-0005-0000-0000-00003A0C0000}"/>
    <cellStyle name="40% - Accent6 2 8" xfId="3045" xr:uid="{00000000-0005-0000-0000-00003B0C0000}"/>
    <cellStyle name="40% - Accent6 2 9" xfId="3046" xr:uid="{00000000-0005-0000-0000-00003C0C0000}"/>
    <cellStyle name="40% - Accent6 20" xfId="3047" xr:uid="{00000000-0005-0000-0000-00003D0C0000}"/>
    <cellStyle name="40% - Accent6 20 2" xfId="3048" xr:uid="{00000000-0005-0000-0000-00003E0C0000}"/>
    <cellStyle name="40% - Accent6 20 3" xfId="3049" xr:uid="{00000000-0005-0000-0000-00003F0C0000}"/>
    <cellStyle name="40% - Accent6 20 4" xfId="3050" xr:uid="{00000000-0005-0000-0000-0000400C0000}"/>
    <cellStyle name="40% - Accent6 20 5" xfId="3051" xr:uid="{00000000-0005-0000-0000-0000410C0000}"/>
    <cellStyle name="40% - Accent6 20 6" xfId="3052" xr:uid="{00000000-0005-0000-0000-0000420C0000}"/>
    <cellStyle name="40% - Accent6 20 7" xfId="3053" xr:uid="{00000000-0005-0000-0000-0000430C0000}"/>
    <cellStyle name="40% - Accent6 20 8" xfId="3054" xr:uid="{00000000-0005-0000-0000-0000440C0000}"/>
    <cellStyle name="40% - Accent6 21" xfId="3055" xr:uid="{00000000-0005-0000-0000-0000450C0000}"/>
    <cellStyle name="40% - Accent6 21 2" xfId="3056" xr:uid="{00000000-0005-0000-0000-0000460C0000}"/>
    <cellStyle name="40% - Accent6 21 3" xfId="3057" xr:uid="{00000000-0005-0000-0000-0000470C0000}"/>
    <cellStyle name="40% - Accent6 21 4" xfId="3058" xr:uid="{00000000-0005-0000-0000-0000480C0000}"/>
    <cellStyle name="40% - Accent6 21 5" xfId="3059" xr:uid="{00000000-0005-0000-0000-0000490C0000}"/>
    <cellStyle name="40% - Accent6 21 6" xfId="3060" xr:uid="{00000000-0005-0000-0000-00004A0C0000}"/>
    <cellStyle name="40% - Accent6 21 7" xfId="3061" xr:uid="{00000000-0005-0000-0000-00004B0C0000}"/>
    <cellStyle name="40% - Accent6 21 8" xfId="3062" xr:uid="{00000000-0005-0000-0000-00004C0C0000}"/>
    <cellStyle name="40% - Accent6 22" xfId="3063" xr:uid="{00000000-0005-0000-0000-00004D0C0000}"/>
    <cellStyle name="40% - Accent6 22 2" xfId="3064" xr:uid="{00000000-0005-0000-0000-00004E0C0000}"/>
    <cellStyle name="40% - Accent6 22 3" xfId="3065" xr:uid="{00000000-0005-0000-0000-00004F0C0000}"/>
    <cellStyle name="40% - Accent6 22 4" xfId="3066" xr:uid="{00000000-0005-0000-0000-0000500C0000}"/>
    <cellStyle name="40% - Accent6 22 5" xfId="3067" xr:uid="{00000000-0005-0000-0000-0000510C0000}"/>
    <cellStyle name="40% - Accent6 22 6" xfId="3068" xr:uid="{00000000-0005-0000-0000-0000520C0000}"/>
    <cellStyle name="40% - Accent6 22 7" xfId="3069" xr:uid="{00000000-0005-0000-0000-0000530C0000}"/>
    <cellStyle name="40% - Accent6 22 8" xfId="3070" xr:uid="{00000000-0005-0000-0000-0000540C0000}"/>
    <cellStyle name="40% - Accent6 23" xfId="3071" xr:uid="{00000000-0005-0000-0000-0000550C0000}"/>
    <cellStyle name="40% - Accent6 23 2" xfId="3072" xr:uid="{00000000-0005-0000-0000-0000560C0000}"/>
    <cellStyle name="40% - Accent6 23 3" xfId="3073" xr:uid="{00000000-0005-0000-0000-0000570C0000}"/>
    <cellStyle name="40% - Accent6 23 4" xfId="3074" xr:uid="{00000000-0005-0000-0000-0000580C0000}"/>
    <cellStyle name="40% - Accent6 23 5" xfId="3075" xr:uid="{00000000-0005-0000-0000-0000590C0000}"/>
    <cellStyle name="40% - Accent6 23 6" xfId="3076" xr:uid="{00000000-0005-0000-0000-00005A0C0000}"/>
    <cellStyle name="40% - Accent6 23 7" xfId="3077" xr:uid="{00000000-0005-0000-0000-00005B0C0000}"/>
    <cellStyle name="40% - Accent6 23 8" xfId="3078" xr:uid="{00000000-0005-0000-0000-00005C0C0000}"/>
    <cellStyle name="40% - Accent6 24" xfId="3079" xr:uid="{00000000-0005-0000-0000-00005D0C0000}"/>
    <cellStyle name="40% - Accent6 24 2" xfId="3080" xr:uid="{00000000-0005-0000-0000-00005E0C0000}"/>
    <cellStyle name="40% - Accent6 24 3" xfId="3081" xr:uid="{00000000-0005-0000-0000-00005F0C0000}"/>
    <cellStyle name="40% - Accent6 24 4" xfId="3082" xr:uid="{00000000-0005-0000-0000-0000600C0000}"/>
    <cellStyle name="40% - Accent6 24 5" xfId="3083" xr:uid="{00000000-0005-0000-0000-0000610C0000}"/>
    <cellStyle name="40% - Accent6 24 6" xfId="3084" xr:uid="{00000000-0005-0000-0000-0000620C0000}"/>
    <cellStyle name="40% - Accent6 24 7" xfId="3085" xr:uid="{00000000-0005-0000-0000-0000630C0000}"/>
    <cellStyle name="40% - Accent6 24 8" xfId="3086" xr:uid="{00000000-0005-0000-0000-0000640C0000}"/>
    <cellStyle name="40% - Accent6 25" xfId="3087" xr:uid="{00000000-0005-0000-0000-0000650C0000}"/>
    <cellStyle name="40% - Accent6 25 2" xfId="3088" xr:uid="{00000000-0005-0000-0000-0000660C0000}"/>
    <cellStyle name="40% - Accent6 25 3" xfId="3089" xr:uid="{00000000-0005-0000-0000-0000670C0000}"/>
    <cellStyle name="40% - Accent6 25 4" xfId="3090" xr:uid="{00000000-0005-0000-0000-0000680C0000}"/>
    <cellStyle name="40% - Accent6 25 5" xfId="3091" xr:uid="{00000000-0005-0000-0000-0000690C0000}"/>
    <cellStyle name="40% - Accent6 25 6" xfId="3092" xr:uid="{00000000-0005-0000-0000-00006A0C0000}"/>
    <cellStyle name="40% - Accent6 25 7" xfId="3093" xr:uid="{00000000-0005-0000-0000-00006B0C0000}"/>
    <cellStyle name="40% - Accent6 25 8" xfId="3094" xr:uid="{00000000-0005-0000-0000-00006C0C0000}"/>
    <cellStyle name="40% - Accent6 26" xfId="3095" xr:uid="{00000000-0005-0000-0000-00006D0C0000}"/>
    <cellStyle name="40% - Accent6 26 2" xfId="3096" xr:uid="{00000000-0005-0000-0000-00006E0C0000}"/>
    <cellStyle name="40% - Accent6 26 3" xfId="3097" xr:uid="{00000000-0005-0000-0000-00006F0C0000}"/>
    <cellStyle name="40% - Accent6 26 4" xfId="3098" xr:uid="{00000000-0005-0000-0000-0000700C0000}"/>
    <cellStyle name="40% - Accent6 26 5" xfId="3099" xr:uid="{00000000-0005-0000-0000-0000710C0000}"/>
    <cellStyle name="40% - Accent6 26 6" xfId="3100" xr:uid="{00000000-0005-0000-0000-0000720C0000}"/>
    <cellStyle name="40% - Accent6 26 7" xfId="3101" xr:uid="{00000000-0005-0000-0000-0000730C0000}"/>
    <cellStyle name="40% - Accent6 26 8" xfId="3102" xr:uid="{00000000-0005-0000-0000-0000740C0000}"/>
    <cellStyle name="40% - Accent6 27" xfId="3103" xr:uid="{00000000-0005-0000-0000-0000750C0000}"/>
    <cellStyle name="40% - Accent6 27 2" xfId="3104" xr:uid="{00000000-0005-0000-0000-0000760C0000}"/>
    <cellStyle name="40% - Accent6 27 3" xfId="3105" xr:uid="{00000000-0005-0000-0000-0000770C0000}"/>
    <cellStyle name="40% - Accent6 27 4" xfId="3106" xr:uid="{00000000-0005-0000-0000-0000780C0000}"/>
    <cellStyle name="40% - Accent6 27 5" xfId="3107" xr:uid="{00000000-0005-0000-0000-0000790C0000}"/>
    <cellStyle name="40% - Accent6 27 6" xfId="3108" xr:uid="{00000000-0005-0000-0000-00007A0C0000}"/>
    <cellStyle name="40% - Accent6 27 7" xfId="3109" xr:uid="{00000000-0005-0000-0000-00007B0C0000}"/>
    <cellStyle name="40% - Accent6 27 8" xfId="3110" xr:uid="{00000000-0005-0000-0000-00007C0C0000}"/>
    <cellStyle name="40% - Accent6 28" xfId="3111" xr:uid="{00000000-0005-0000-0000-00007D0C0000}"/>
    <cellStyle name="40% - Accent6 28 2" xfId="3112" xr:uid="{00000000-0005-0000-0000-00007E0C0000}"/>
    <cellStyle name="40% - Accent6 28 3" xfId="3113" xr:uid="{00000000-0005-0000-0000-00007F0C0000}"/>
    <cellStyle name="40% - Accent6 28 4" xfId="3114" xr:uid="{00000000-0005-0000-0000-0000800C0000}"/>
    <cellStyle name="40% - Accent6 28 5" xfId="3115" xr:uid="{00000000-0005-0000-0000-0000810C0000}"/>
    <cellStyle name="40% - Accent6 28 6" xfId="3116" xr:uid="{00000000-0005-0000-0000-0000820C0000}"/>
    <cellStyle name="40% - Accent6 28 7" xfId="3117" xr:uid="{00000000-0005-0000-0000-0000830C0000}"/>
    <cellStyle name="40% - Accent6 28 8" xfId="3118" xr:uid="{00000000-0005-0000-0000-0000840C0000}"/>
    <cellStyle name="40% - Accent6 29" xfId="3119" xr:uid="{00000000-0005-0000-0000-0000850C0000}"/>
    <cellStyle name="40% - Accent6 29 2" xfId="3120" xr:uid="{00000000-0005-0000-0000-0000860C0000}"/>
    <cellStyle name="40% - Accent6 29 3" xfId="3121" xr:uid="{00000000-0005-0000-0000-0000870C0000}"/>
    <cellStyle name="40% - Accent6 29 4" xfId="3122" xr:uid="{00000000-0005-0000-0000-0000880C0000}"/>
    <cellStyle name="40% - Accent6 29 5" xfId="3123" xr:uid="{00000000-0005-0000-0000-0000890C0000}"/>
    <cellStyle name="40% - Accent6 29 6" xfId="3124" xr:uid="{00000000-0005-0000-0000-00008A0C0000}"/>
    <cellStyle name="40% - Accent6 29 7" xfId="3125" xr:uid="{00000000-0005-0000-0000-00008B0C0000}"/>
    <cellStyle name="40% - Accent6 29 8" xfId="3126" xr:uid="{00000000-0005-0000-0000-00008C0C0000}"/>
    <cellStyle name="40% - Accent6 3" xfId="3127" xr:uid="{00000000-0005-0000-0000-00008D0C0000}"/>
    <cellStyle name="40% - Accent6 3 10" xfId="3128" xr:uid="{00000000-0005-0000-0000-00008E0C0000}"/>
    <cellStyle name="40% - Accent6 3 11" xfId="22001" xr:uid="{00000000-0005-0000-0000-00008F0C0000}"/>
    <cellStyle name="40% - Accent6 3 2" xfId="3129" xr:uid="{00000000-0005-0000-0000-0000900C0000}"/>
    <cellStyle name="40% - Accent6 3 2 2" xfId="22002" xr:uid="{00000000-0005-0000-0000-0000910C0000}"/>
    <cellStyle name="40% - Accent6 3 3" xfId="3130" xr:uid="{00000000-0005-0000-0000-0000920C0000}"/>
    <cellStyle name="40% - Accent6 3 4" xfId="3131" xr:uid="{00000000-0005-0000-0000-0000930C0000}"/>
    <cellStyle name="40% - Accent6 3 5" xfId="3132" xr:uid="{00000000-0005-0000-0000-0000940C0000}"/>
    <cellStyle name="40% - Accent6 3 6" xfId="3133" xr:uid="{00000000-0005-0000-0000-0000950C0000}"/>
    <cellStyle name="40% - Accent6 3 7" xfId="3134" xr:uid="{00000000-0005-0000-0000-0000960C0000}"/>
    <cellStyle name="40% - Accent6 3 8" xfId="3135" xr:uid="{00000000-0005-0000-0000-0000970C0000}"/>
    <cellStyle name="40% - Accent6 3 9" xfId="3136" xr:uid="{00000000-0005-0000-0000-0000980C0000}"/>
    <cellStyle name="40% - Accent6 30" xfId="3137" xr:uid="{00000000-0005-0000-0000-0000990C0000}"/>
    <cellStyle name="40% - Accent6 31" xfId="3138" xr:uid="{00000000-0005-0000-0000-00009A0C0000}"/>
    <cellStyle name="40% - Accent6 32" xfId="3139" xr:uid="{00000000-0005-0000-0000-00009B0C0000}"/>
    <cellStyle name="40% - Accent6 33" xfId="3140" xr:uid="{00000000-0005-0000-0000-00009C0C0000}"/>
    <cellStyle name="40% - Accent6 34" xfId="3141" xr:uid="{00000000-0005-0000-0000-00009D0C0000}"/>
    <cellStyle name="40% - Accent6 35" xfId="3142" xr:uid="{00000000-0005-0000-0000-00009E0C0000}"/>
    <cellStyle name="40% - Accent6 36" xfId="3143" xr:uid="{00000000-0005-0000-0000-00009F0C0000}"/>
    <cellStyle name="40% - Accent6 37" xfId="3144" xr:uid="{00000000-0005-0000-0000-0000A00C0000}"/>
    <cellStyle name="40% - Accent6 38" xfId="3145" xr:uid="{00000000-0005-0000-0000-0000A10C0000}"/>
    <cellStyle name="40% - Accent6 39" xfId="3146" xr:uid="{00000000-0005-0000-0000-0000A20C0000}"/>
    <cellStyle name="40% - Accent6 4" xfId="3147" xr:uid="{00000000-0005-0000-0000-0000A30C0000}"/>
    <cellStyle name="40% - Accent6 4 10" xfId="3148" xr:uid="{00000000-0005-0000-0000-0000A40C0000}"/>
    <cellStyle name="40% - Accent6 4 11" xfId="22003" xr:uid="{00000000-0005-0000-0000-0000A50C0000}"/>
    <cellStyle name="40% - Accent6 4 2" xfId="3149" xr:uid="{00000000-0005-0000-0000-0000A60C0000}"/>
    <cellStyle name="40% - Accent6 4 2 2" xfId="22004" xr:uid="{00000000-0005-0000-0000-0000A70C0000}"/>
    <cellStyle name="40% - Accent6 4 3" xfId="3150" xr:uid="{00000000-0005-0000-0000-0000A80C0000}"/>
    <cellStyle name="40% - Accent6 4 4" xfId="3151" xr:uid="{00000000-0005-0000-0000-0000A90C0000}"/>
    <cellStyle name="40% - Accent6 4 5" xfId="3152" xr:uid="{00000000-0005-0000-0000-0000AA0C0000}"/>
    <cellStyle name="40% - Accent6 4 6" xfId="3153" xr:uid="{00000000-0005-0000-0000-0000AB0C0000}"/>
    <cellStyle name="40% - Accent6 4 7" xfId="3154" xr:uid="{00000000-0005-0000-0000-0000AC0C0000}"/>
    <cellStyle name="40% - Accent6 4 8" xfId="3155" xr:uid="{00000000-0005-0000-0000-0000AD0C0000}"/>
    <cellStyle name="40% - Accent6 4 9" xfId="3156" xr:uid="{00000000-0005-0000-0000-0000AE0C0000}"/>
    <cellStyle name="40% - Accent6 40" xfId="21696" xr:uid="{00000000-0005-0000-0000-0000AF0C0000}"/>
    <cellStyle name="40% - Accent6 5" xfId="3157" xr:uid="{00000000-0005-0000-0000-0000B00C0000}"/>
    <cellStyle name="40% - Accent6 5 10" xfId="3158" xr:uid="{00000000-0005-0000-0000-0000B10C0000}"/>
    <cellStyle name="40% - Accent6 5 11" xfId="22005" xr:uid="{00000000-0005-0000-0000-0000B20C0000}"/>
    <cellStyle name="40% - Accent6 5 2" xfId="3159" xr:uid="{00000000-0005-0000-0000-0000B30C0000}"/>
    <cellStyle name="40% - Accent6 5 2 2" xfId="22006" xr:uid="{00000000-0005-0000-0000-0000B40C0000}"/>
    <cellStyle name="40% - Accent6 5 3" xfId="3160" xr:uid="{00000000-0005-0000-0000-0000B50C0000}"/>
    <cellStyle name="40% - Accent6 5 4" xfId="3161" xr:uid="{00000000-0005-0000-0000-0000B60C0000}"/>
    <cellStyle name="40% - Accent6 5 5" xfId="3162" xr:uid="{00000000-0005-0000-0000-0000B70C0000}"/>
    <cellStyle name="40% - Accent6 5 6" xfId="3163" xr:uid="{00000000-0005-0000-0000-0000B80C0000}"/>
    <cellStyle name="40% - Accent6 5 7" xfId="3164" xr:uid="{00000000-0005-0000-0000-0000B90C0000}"/>
    <cellStyle name="40% - Accent6 5 8" xfId="3165" xr:uid="{00000000-0005-0000-0000-0000BA0C0000}"/>
    <cellStyle name="40% - Accent6 5 9" xfId="3166" xr:uid="{00000000-0005-0000-0000-0000BB0C0000}"/>
    <cellStyle name="40% - Accent6 6" xfId="3167" xr:uid="{00000000-0005-0000-0000-0000BC0C0000}"/>
    <cellStyle name="40% - Accent6 6 10" xfId="3168" xr:uid="{00000000-0005-0000-0000-0000BD0C0000}"/>
    <cellStyle name="40% - Accent6 6 2" xfId="3169" xr:uid="{00000000-0005-0000-0000-0000BE0C0000}"/>
    <cellStyle name="40% - Accent6 6 3" xfId="3170" xr:uid="{00000000-0005-0000-0000-0000BF0C0000}"/>
    <cellStyle name="40% - Accent6 6 4" xfId="3171" xr:uid="{00000000-0005-0000-0000-0000C00C0000}"/>
    <cellStyle name="40% - Accent6 6 5" xfId="3172" xr:uid="{00000000-0005-0000-0000-0000C10C0000}"/>
    <cellStyle name="40% - Accent6 6 6" xfId="3173" xr:uid="{00000000-0005-0000-0000-0000C20C0000}"/>
    <cellStyle name="40% - Accent6 6 7" xfId="3174" xr:uid="{00000000-0005-0000-0000-0000C30C0000}"/>
    <cellStyle name="40% - Accent6 6 8" xfId="3175" xr:uid="{00000000-0005-0000-0000-0000C40C0000}"/>
    <cellStyle name="40% - Accent6 6 9" xfId="3176" xr:uid="{00000000-0005-0000-0000-0000C50C0000}"/>
    <cellStyle name="40% - Accent6 7" xfId="3177" xr:uid="{00000000-0005-0000-0000-0000C60C0000}"/>
    <cellStyle name="40% - Accent6 7 10" xfId="3178" xr:uid="{00000000-0005-0000-0000-0000C70C0000}"/>
    <cellStyle name="40% - Accent6 7 2" xfId="3179" xr:uid="{00000000-0005-0000-0000-0000C80C0000}"/>
    <cellStyle name="40% - Accent6 7 3" xfId="3180" xr:uid="{00000000-0005-0000-0000-0000C90C0000}"/>
    <cellStyle name="40% - Accent6 7 4" xfId="3181" xr:uid="{00000000-0005-0000-0000-0000CA0C0000}"/>
    <cellStyle name="40% - Accent6 7 5" xfId="3182" xr:uid="{00000000-0005-0000-0000-0000CB0C0000}"/>
    <cellStyle name="40% - Accent6 7 6" xfId="3183" xr:uid="{00000000-0005-0000-0000-0000CC0C0000}"/>
    <cellStyle name="40% - Accent6 7 7" xfId="3184" xr:uid="{00000000-0005-0000-0000-0000CD0C0000}"/>
    <cellStyle name="40% - Accent6 7 8" xfId="3185" xr:uid="{00000000-0005-0000-0000-0000CE0C0000}"/>
    <cellStyle name="40% - Accent6 7 9" xfId="3186" xr:uid="{00000000-0005-0000-0000-0000CF0C0000}"/>
    <cellStyle name="40% - Accent6 8" xfId="3187" xr:uid="{00000000-0005-0000-0000-0000D00C0000}"/>
    <cellStyle name="40% - Accent6 8 10" xfId="3188" xr:uid="{00000000-0005-0000-0000-0000D10C0000}"/>
    <cellStyle name="40% - Accent6 8 2" xfId="3189" xr:uid="{00000000-0005-0000-0000-0000D20C0000}"/>
    <cellStyle name="40% - Accent6 8 3" xfId="3190" xr:uid="{00000000-0005-0000-0000-0000D30C0000}"/>
    <cellStyle name="40% - Accent6 8 4" xfId="3191" xr:uid="{00000000-0005-0000-0000-0000D40C0000}"/>
    <cellStyle name="40% - Accent6 8 5" xfId="3192" xr:uid="{00000000-0005-0000-0000-0000D50C0000}"/>
    <cellStyle name="40% - Accent6 8 6" xfId="3193" xr:uid="{00000000-0005-0000-0000-0000D60C0000}"/>
    <cellStyle name="40% - Accent6 8 7" xfId="3194" xr:uid="{00000000-0005-0000-0000-0000D70C0000}"/>
    <cellStyle name="40% - Accent6 8 8" xfId="3195" xr:uid="{00000000-0005-0000-0000-0000D80C0000}"/>
    <cellStyle name="40% - Accent6 8 9" xfId="3196" xr:uid="{00000000-0005-0000-0000-0000D90C0000}"/>
    <cellStyle name="40% - Accent6 9" xfId="3197" xr:uid="{00000000-0005-0000-0000-0000DA0C0000}"/>
    <cellStyle name="40% - Accent6 9 10" xfId="3198" xr:uid="{00000000-0005-0000-0000-0000DB0C0000}"/>
    <cellStyle name="40% - Accent6 9 2" xfId="3199" xr:uid="{00000000-0005-0000-0000-0000DC0C0000}"/>
    <cellStyle name="40% - Accent6 9 3" xfId="3200" xr:uid="{00000000-0005-0000-0000-0000DD0C0000}"/>
    <cellStyle name="40% - Accent6 9 4" xfId="3201" xr:uid="{00000000-0005-0000-0000-0000DE0C0000}"/>
    <cellStyle name="40% - Accent6 9 5" xfId="3202" xr:uid="{00000000-0005-0000-0000-0000DF0C0000}"/>
    <cellStyle name="40% - Accent6 9 6" xfId="3203" xr:uid="{00000000-0005-0000-0000-0000E00C0000}"/>
    <cellStyle name="40% - Accent6 9 7" xfId="3204" xr:uid="{00000000-0005-0000-0000-0000E10C0000}"/>
    <cellStyle name="40% - Accent6 9 8" xfId="3205" xr:uid="{00000000-0005-0000-0000-0000E20C0000}"/>
    <cellStyle name="40% - Accent6 9 9" xfId="3206" xr:uid="{00000000-0005-0000-0000-0000E30C0000}"/>
    <cellStyle name="60% - Accent1 10" xfId="3207" xr:uid="{00000000-0005-0000-0000-0000E40C0000}"/>
    <cellStyle name="60% - Accent1 10 10" xfId="3208" xr:uid="{00000000-0005-0000-0000-0000E50C0000}"/>
    <cellStyle name="60% - Accent1 10 2" xfId="3209" xr:uid="{00000000-0005-0000-0000-0000E60C0000}"/>
    <cellStyle name="60% - Accent1 10 3" xfId="3210" xr:uid="{00000000-0005-0000-0000-0000E70C0000}"/>
    <cellStyle name="60% - Accent1 10 4" xfId="3211" xr:uid="{00000000-0005-0000-0000-0000E80C0000}"/>
    <cellStyle name="60% - Accent1 10 5" xfId="3212" xr:uid="{00000000-0005-0000-0000-0000E90C0000}"/>
    <cellStyle name="60% - Accent1 10 6" xfId="3213" xr:uid="{00000000-0005-0000-0000-0000EA0C0000}"/>
    <cellStyle name="60% - Accent1 10 7" xfId="3214" xr:uid="{00000000-0005-0000-0000-0000EB0C0000}"/>
    <cellStyle name="60% - Accent1 10 8" xfId="3215" xr:uid="{00000000-0005-0000-0000-0000EC0C0000}"/>
    <cellStyle name="60% - Accent1 10 9" xfId="3216" xr:uid="{00000000-0005-0000-0000-0000ED0C0000}"/>
    <cellStyle name="60% - Accent1 11" xfId="3217" xr:uid="{00000000-0005-0000-0000-0000EE0C0000}"/>
    <cellStyle name="60% - Accent1 11 10" xfId="3218" xr:uid="{00000000-0005-0000-0000-0000EF0C0000}"/>
    <cellStyle name="60% - Accent1 11 2" xfId="3219" xr:uid="{00000000-0005-0000-0000-0000F00C0000}"/>
    <cellStyle name="60% - Accent1 11 3" xfId="3220" xr:uid="{00000000-0005-0000-0000-0000F10C0000}"/>
    <cellStyle name="60% - Accent1 11 4" xfId="3221" xr:uid="{00000000-0005-0000-0000-0000F20C0000}"/>
    <cellStyle name="60% - Accent1 11 5" xfId="3222" xr:uid="{00000000-0005-0000-0000-0000F30C0000}"/>
    <cellStyle name="60% - Accent1 11 6" xfId="3223" xr:uid="{00000000-0005-0000-0000-0000F40C0000}"/>
    <cellStyle name="60% - Accent1 11 7" xfId="3224" xr:uid="{00000000-0005-0000-0000-0000F50C0000}"/>
    <cellStyle name="60% - Accent1 11 8" xfId="3225" xr:uid="{00000000-0005-0000-0000-0000F60C0000}"/>
    <cellStyle name="60% - Accent1 11 9" xfId="3226" xr:uid="{00000000-0005-0000-0000-0000F70C0000}"/>
    <cellStyle name="60% - Accent1 12" xfId="3227" xr:uid="{00000000-0005-0000-0000-0000F80C0000}"/>
    <cellStyle name="60% - Accent1 12 10" xfId="3228" xr:uid="{00000000-0005-0000-0000-0000F90C0000}"/>
    <cellStyle name="60% - Accent1 12 2" xfId="3229" xr:uid="{00000000-0005-0000-0000-0000FA0C0000}"/>
    <cellStyle name="60% - Accent1 12 3" xfId="3230" xr:uid="{00000000-0005-0000-0000-0000FB0C0000}"/>
    <cellStyle name="60% - Accent1 12 4" xfId="3231" xr:uid="{00000000-0005-0000-0000-0000FC0C0000}"/>
    <cellStyle name="60% - Accent1 12 5" xfId="3232" xr:uid="{00000000-0005-0000-0000-0000FD0C0000}"/>
    <cellStyle name="60% - Accent1 12 6" xfId="3233" xr:uid="{00000000-0005-0000-0000-0000FE0C0000}"/>
    <cellStyle name="60% - Accent1 12 7" xfId="3234" xr:uid="{00000000-0005-0000-0000-0000FF0C0000}"/>
    <cellStyle name="60% - Accent1 12 8" xfId="3235" xr:uid="{00000000-0005-0000-0000-0000000D0000}"/>
    <cellStyle name="60% - Accent1 12 9" xfId="3236" xr:uid="{00000000-0005-0000-0000-0000010D0000}"/>
    <cellStyle name="60% - Accent1 13" xfId="3237" xr:uid="{00000000-0005-0000-0000-0000020D0000}"/>
    <cellStyle name="60% - Accent1 13 10" xfId="3238" xr:uid="{00000000-0005-0000-0000-0000030D0000}"/>
    <cellStyle name="60% - Accent1 13 2" xfId="3239" xr:uid="{00000000-0005-0000-0000-0000040D0000}"/>
    <cellStyle name="60% - Accent1 13 3" xfId="3240" xr:uid="{00000000-0005-0000-0000-0000050D0000}"/>
    <cellStyle name="60% - Accent1 13 4" xfId="3241" xr:uid="{00000000-0005-0000-0000-0000060D0000}"/>
    <cellStyle name="60% - Accent1 13 5" xfId="3242" xr:uid="{00000000-0005-0000-0000-0000070D0000}"/>
    <cellStyle name="60% - Accent1 13 6" xfId="3243" xr:uid="{00000000-0005-0000-0000-0000080D0000}"/>
    <cellStyle name="60% - Accent1 13 7" xfId="3244" xr:uid="{00000000-0005-0000-0000-0000090D0000}"/>
    <cellStyle name="60% - Accent1 13 8" xfId="3245" xr:uid="{00000000-0005-0000-0000-00000A0D0000}"/>
    <cellStyle name="60% - Accent1 13 9" xfId="3246" xr:uid="{00000000-0005-0000-0000-00000B0D0000}"/>
    <cellStyle name="60% - Accent1 14" xfId="3247" xr:uid="{00000000-0005-0000-0000-00000C0D0000}"/>
    <cellStyle name="60% - Accent1 14 10" xfId="3248" xr:uid="{00000000-0005-0000-0000-00000D0D0000}"/>
    <cellStyle name="60% - Accent1 14 2" xfId="3249" xr:uid="{00000000-0005-0000-0000-00000E0D0000}"/>
    <cellStyle name="60% - Accent1 14 3" xfId="3250" xr:uid="{00000000-0005-0000-0000-00000F0D0000}"/>
    <cellStyle name="60% - Accent1 14 4" xfId="3251" xr:uid="{00000000-0005-0000-0000-0000100D0000}"/>
    <cellStyle name="60% - Accent1 14 5" xfId="3252" xr:uid="{00000000-0005-0000-0000-0000110D0000}"/>
    <cellStyle name="60% - Accent1 14 6" xfId="3253" xr:uid="{00000000-0005-0000-0000-0000120D0000}"/>
    <cellStyle name="60% - Accent1 14 7" xfId="3254" xr:uid="{00000000-0005-0000-0000-0000130D0000}"/>
    <cellStyle name="60% - Accent1 14 8" xfId="3255" xr:uid="{00000000-0005-0000-0000-0000140D0000}"/>
    <cellStyle name="60% - Accent1 14 9" xfId="3256" xr:uid="{00000000-0005-0000-0000-0000150D0000}"/>
    <cellStyle name="60% - Accent1 15" xfId="3257" xr:uid="{00000000-0005-0000-0000-0000160D0000}"/>
    <cellStyle name="60% - Accent1 15 10" xfId="3258" xr:uid="{00000000-0005-0000-0000-0000170D0000}"/>
    <cellStyle name="60% - Accent1 15 2" xfId="3259" xr:uid="{00000000-0005-0000-0000-0000180D0000}"/>
    <cellStyle name="60% - Accent1 15 3" xfId="3260" xr:uid="{00000000-0005-0000-0000-0000190D0000}"/>
    <cellStyle name="60% - Accent1 15 4" xfId="3261" xr:uid="{00000000-0005-0000-0000-00001A0D0000}"/>
    <cellStyle name="60% - Accent1 15 5" xfId="3262" xr:uid="{00000000-0005-0000-0000-00001B0D0000}"/>
    <cellStyle name="60% - Accent1 15 6" xfId="3263" xr:uid="{00000000-0005-0000-0000-00001C0D0000}"/>
    <cellStyle name="60% - Accent1 15 7" xfId="3264" xr:uid="{00000000-0005-0000-0000-00001D0D0000}"/>
    <cellStyle name="60% - Accent1 15 8" xfId="3265" xr:uid="{00000000-0005-0000-0000-00001E0D0000}"/>
    <cellStyle name="60% - Accent1 15 9" xfId="3266" xr:uid="{00000000-0005-0000-0000-00001F0D0000}"/>
    <cellStyle name="60% - Accent1 16" xfId="3267" xr:uid="{00000000-0005-0000-0000-0000200D0000}"/>
    <cellStyle name="60% - Accent1 16 10" xfId="3268" xr:uid="{00000000-0005-0000-0000-0000210D0000}"/>
    <cellStyle name="60% - Accent1 16 2" xfId="3269" xr:uid="{00000000-0005-0000-0000-0000220D0000}"/>
    <cellStyle name="60% - Accent1 16 3" xfId="3270" xr:uid="{00000000-0005-0000-0000-0000230D0000}"/>
    <cellStyle name="60% - Accent1 16 4" xfId="3271" xr:uid="{00000000-0005-0000-0000-0000240D0000}"/>
    <cellStyle name="60% - Accent1 16 5" xfId="3272" xr:uid="{00000000-0005-0000-0000-0000250D0000}"/>
    <cellStyle name="60% - Accent1 16 6" xfId="3273" xr:uid="{00000000-0005-0000-0000-0000260D0000}"/>
    <cellStyle name="60% - Accent1 16 7" xfId="3274" xr:uid="{00000000-0005-0000-0000-0000270D0000}"/>
    <cellStyle name="60% - Accent1 16 8" xfId="3275" xr:uid="{00000000-0005-0000-0000-0000280D0000}"/>
    <cellStyle name="60% - Accent1 16 9" xfId="3276" xr:uid="{00000000-0005-0000-0000-0000290D0000}"/>
    <cellStyle name="60% - Accent1 17" xfId="3277" xr:uid="{00000000-0005-0000-0000-00002A0D0000}"/>
    <cellStyle name="60% - Accent1 17 10" xfId="3278" xr:uid="{00000000-0005-0000-0000-00002B0D0000}"/>
    <cellStyle name="60% - Accent1 17 2" xfId="3279" xr:uid="{00000000-0005-0000-0000-00002C0D0000}"/>
    <cellStyle name="60% - Accent1 17 3" xfId="3280" xr:uid="{00000000-0005-0000-0000-00002D0D0000}"/>
    <cellStyle name="60% - Accent1 17 4" xfId="3281" xr:uid="{00000000-0005-0000-0000-00002E0D0000}"/>
    <cellStyle name="60% - Accent1 17 5" xfId="3282" xr:uid="{00000000-0005-0000-0000-00002F0D0000}"/>
    <cellStyle name="60% - Accent1 17 6" xfId="3283" xr:uid="{00000000-0005-0000-0000-0000300D0000}"/>
    <cellStyle name="60% - Accent1 17 7" xfId="3284" xr:uid="{00000000-0005-0000-0000-0000310D0000}"/>
    <cellStyle name="60% - Accent1 17 8" xfId="3285" xr:uid="{00000000-0005-0000-0000-0000320D0000}"/>
    <cellStyle name="60% - Accent1 17 9" xfId="3286" xr:uid="{00000000-0005-0000-0000-0000330D0000}"/>
    <cellStyle name="60% - Accent1 18" xfId="3287" xr:uid="{00000000-0005-0000-0000-0000340D0000}"/>
    <cellStyle name="60% - Accent1 18 2" xfId="3288" xr:uid="{00000000-0005-0000-0000-0000350D0000}"/>
    <cellStyle name="60% - Accent1 18 3" xfId="3289" xr:uid="{00000000-0005-0000-0000-0000360D0000}"/>
    <cellStyle name="60% - Accent1 18 4" xfId="3290" xr:uid="{00000000-0005-0000-0000-0000370D0000}"/>
    <cellStyle name="60% - Accent1 18 5" xfId="3291" xr:uid="{00000000-0005-0000-0000-0000380D0000}"/>
    <cellStyle name="60% - Accent1 18 6" xfId="3292" xr:uid="{00000000-0005-0000-0000-0000390D0000}"/>
    <cellStyle name="60% - Accent1 18 7" xfId="3293" xr:uid="{00000000-0005-0000-0000-00003A0D0000}"/>
    <cellStyle name="60% - Accent1 18 8" xfId="3294" xr:uid="{00000000-0005-0000-0000-00003B0D0000}"/>
    <cellStyle name="60% - Accent1 19" xfId="3295" xr:uid="{00000000-0005-0000-0000-00003C0D0000}"/>
    <cellStyle name="60% - Accent1 19 2" xfId="3296" xr:uid="{00000000-0005-0000-0000-00003D0D0000}"/>
    <cellStyle name="60% - Accent1 19 3" xfId="3297" xr:uid="{00000000-0005-0000-0000-00003E0D0000}"/>
    <cellStyle name="60% - Accent1 19 4" xfId="3298" xr:uid="{00000000-0005-0000-0000-00003F0D0000}"/>
    <cellStyle name="60% - Accent1 19 5" xfId="3299" xr:uid="{00000000-0005-0000-0000-0000400D0000}"/>
    <cellStyle name="60% - Accent1 19 6" xfId="3300" xr:uid="{00000000-0005-0000-0000-0000410D0000}"/>
    <cellStyle name="60% - Accent1 19 7" xfId="3301" xr:uid="{00000000-0005-0000-0000-0000420D0000}"/>
    <cellStyle name="60% - Accent1 19 8" xfId="3302" xr:uid="{00000000-0005-0000-0000-0000430D0000}"/>
    <cellStyle name="60% - Accent1 2" xfId="3303" xr:uid="{00000000-0005-0000-0000-0000440D0000}"/>
    <cellStyle name="60% - Accent1 2 10" xfId="3304" xr:uid="{00000000-0005-0000-0000-0000450D0000}"/>
    <cellStyle name="60% - Accent1 2 11" xfId="21697" xr:uid="{00000000-0005-0000-0000-0000460D0000}"/>
    <cellStyle name="60% - Accent1 2 2" xfId="3305" xr:uid="{00000000-0005-0000-0000-0000470D0000}"/>
    <cellStyle name="60% - Accent1 2 3" xfId="3306" xr:uid="{00000000-0005-0000-0000-0000480D0000}"/>
    <cellStyle name="60% - Accent1 2 4" xfId="3307" xr:uid="{00000000-0005-0000-0000-0000490D0000}"/>
    <cellStyle name="60% - Accent1 2 5" xfId="3308" xr:uid="{00000000-0005-0000-0000-00004A0D0000}"/>
    <cellStyle name="60% - Accent1 2 6" xfId="3309" xr:uid="{00000000-0005-0000-0000-00004B0D0000}"/>
    <cellStyle name="60% - Accent1 2 7" xfId="3310" xr:uid="{00000000-0005-0000-0000-00004C0D0000}"/>
    <cellStyle name="60% - Accent1 2 8" xfId="3311" xr:uid="{00000000-0005-0000-0000-00004D0D0000}"/>
    <cellStyle name="60% - Accent1 2 9" xfId="3312" xr:uid="{00000000-0005-0000-0000-00004E0D0000}"/>
    <cellStyle name="60% - Accent1 20" xfId="3313" xr:uid="{00000000-0005-0000-0000-00004F0D0000}"/>
    <cellStyle name="60% - Accent1 20 2" xfId="3314" xr:uid="{00000000-0005-0000-0000-0000500D0000}"/>
    <cellStyle name="60% - Accent1 20 3" xfId="3315" xr:uid="{00000000-0005-0000-0000-0000510D0000}"/>
    <cellStyle name="60% - Accent1 20 4" xfId="3316" xr:uid="{00000000-0005-0000-0000-0000520D0000}"/>
    <cellStyle name="60% - Accent1 20 5" xfId="3317" xr:uid="{00000000-0005-0000-0000-0000530D0000}"/>
    <cellStyle name="60% - Accent1 20 6" xfId="3318" xr:uid="{00000000-0005-0000-0000-0000540D0000}"/>
    <cellStyle name="60% - Accent1 20 7" xfId="3319" xr:uid="{00000000-0005-0000-0000-0000550D0000}"/>
    <cellStyle name="60% - Accent1 20 8" xfId="3320" xr:uid="{00000000-0005-0000-0000-0000560D0000}"/>
    <cellStyle name="60% - Accent1 21" xfId="3321" xr:uid="{00000000-0005-0000-0000-0000570D0000}"/>
    <cellStyle name="60% - Accent1 21 2" xfId="3322" xr:uid="{00000000-0005-0000-0000-0000580D0000}"/>
    <cellStyle name="60% - Accent1 21 3" xfId="3323" xr:uid="{00000000-0005-0000-0000-0000590D0000}"/>
    <cellStyle name="60% - Accent1 21 4" xfId="3324" xr:uid="{00000000-0005-0000-0000-00005A0D0000}"/>
    <cellStyle name="60% - Accent1 21 5" xfId="3325" xr:uid="{00000000-0005-0000-0000-00005B0D0000}"/>
    <cellStyle name="60% - Accent1 21 6" xfId="3326" xr:uid="{00000000-0005-0000-0000-00005C0D0000}"/>
    <cellStyle name="60% - Accent1 21 7" xfId="3327" xr:uid="{00000000-0005-0000-0000-00005D0D0000}"/>
    <cellStyle name="60% - Accent1 21 8" xfId="3328" xr:uid="{00000000-0005-0000-0000-00005E0D0000}"/>
    <cellStyle name="60% - Accent1 22" xfId="3329" xr:uid="{00000000-0005-0000-0000-00005F0D0000}"/>
    <cellStyle name="60% - Accent1 22 2" xfId="3330" xr:uid="{00000000-0005-0000-0000-0000600D0000}"/>
    <cellStyle name="60% - Accent1 22 3" xfId="3331" xr:uid="{00000000-0005-0000-0000-0000610D0000}"/>
    <cellStyle name="60% - Accent1 22 4" xfId="3332" xr:uid="{00000000-0005-0000-0000-0000620D0000}"/>
    <cellStyle name="60% - Accent1 22 5" xfId="3333" xr:uid="{00000000-0005-0000-0000-0000630D0000}"/>
    <cellStyle name="60% - Accent1 22 6" xfId="3334" xr:uid="{00000000-0005-0000-0000-0000640D0000}"/>
    <cellStyle name="60% - Accent1 22 7" xfId="3335" xr:uid="{00000000-0005-0000-0000-0000650D0000}"/>
    <cellStyle name="60% - Accent1 22 8" xfId="3336" xr:uid="{00000000-0005-0000-0000-0000660D0000}"/>
    <cellStyle name="60% - Accent1 23" xfId="3337" xr:uid="{00000000-0005-0000-0000-0000670D0000}"/>
    <cellStyle name="60% - Accent1 23 2" xfId="3338" xr:uid="{00000000-0005-0000-0000-0000680D0000}"/>
    <cellStyle name="60% - Accent1 23 3" xfId="3339" xr:uid="{00000000-0005-0000-0000-0000690D0000}"/>
    <cellStyle name="60% - Accent1 23 4" xfId="3340" xr:uid="{00000000-0005-0000-0000-00006A0D0000}"/>
    <cellStyle name="60% - Accent1 23 5" xfId="3341" xr:uid="{00000000-0005-0000-0000-00006B0D0000}"/>
    <cellStyle name="60% - Accent1 23 6" xfId="3342" xr:uid="{00000000-0005-0000-0000-00006C0D0000}"/>
    <cellStyle name="60% - Accent1 23 7" xfId="3343" xr:uid="{00000000-0005-0000-0000-00006D0D0000}"/>
    <cellStyle name="60% - Accent1 23 8" xfId="3344" xr:uid="{00000000-0005-0000-0000-00006E0D0000}"/>
    <cellStyle name="60% - Accent1 24" xfId="3345" xr:uid="{00000000-0005-0000-0000-00006F0D0000}"/>
    <cellStyle name="60% - Accent1 24 2" xfId="3346" xr:uid="{00000000-0005-0000-0000-0000700D0000}"/>
    <cellStyle name="60% - Accent1 24 3" xfId="3347" xr:uid="{00000000-0005-0000-0000-0000710D0000}"/>
    <cellStyle name="60% - Accent1 24 4" xfId="3348" xr:uid="{00000000-0005-0000-0000-0000720D0000}"/>
    <cellStyle name="60% - Accent1 24 5" xfId="3349" xr:uid="{00000000-0005-0000-0000-0000730D0000}"/>
    <cellStyle name="60% - Accent1 24 6" xfId="3350" xr:uid="{00000000-0005-0000-0000-0000740D0000}"/>
    <cellStyle name="60% - Accent1 24 7" xfId="3351" xr:uid="{00000000-0005-0000-0000-0000750D0000}"/>
    <cellStyle name="60% - Accent1 24 8" xfId="3352" xr:uid="{00000000-0005-0000-0000-0000760D0000}"/>
    <cellStyle name="60% - Accent1 25" xfId="3353" xr:uid="{00000000-0005-0000-0000-0000770D0000}"/>
    <cellStyle name="60% - Accent1 25 2" xfId="3354" xr:uid="{00000000-0005-0000-0000-0000780D0000}"/>
    <cellStyle name="60% - Accent1 25 3" xfId="3355" xr:uid="{00000000-0005-0000-0000-0000790D0000}"/>
    <cellStyle name="60% - Accent1 25 4" xfId="3356" xr:uid="{00000000-0005-0000-0000-00007A0D0000}"/>
    <cellStyle name="60% - Accent1 25 5" xfId="3357" xr:uid="{00000000-0005-0000-0000-00007B0D0000}"/>
    <cellStyle name="60% - Accent1 25 6" xfId="3358" xr:uid="{00000000-0005-0000-0000-00007C0D0000}"/>
    <cellStyle name="60% - Accent1 25 7" xfId="3359" xr:uid="{00000000-0005-0000-0000-00007D0D0000}"/>
    <cellStyle name="60% - Accent1 25 8" xfId="3360" xr:uid="{00000000-0005-0000-0000-00007E0D0000}"/>
    <cellStyle name="60% - Accent1 26" xfId="3361" xr:uid="{00000000-0005-0000-0000-00007F0D0000}"/>
    <cellStyle name="60% - Accent1 26 2" xfId="3362" xr:uid="{00000000-0005-0000-0000-0000800D0000}"/>
    <cellStyle name="60% - Accent1 26 3" xfId="3363" xr:uid="{00000000-0005-0000-0000-0000810D0000}"/>
    <cellStyle name="60% - Accent1 26 4" xfId="3364" xr:uid="{00000000-0005-0000-0000-0000820D0000}"/>
    <cellStyle name="60% - Accent1 26 5" xfId="3365" xr:uid="{00000000-0005-0000-0000-0000830D0000}"/>
    <cellStyle name="60% - Accent1 26 6" xfId="3366" xr:uid="{00000000-0005-0000-0000-0000840D0000}"/>
    <cellStyle name="60% - Accent1 26 7" xfId="3367" xr:uid="{00000000-0005-0000-0000-0000850D0000}"/>
    <cellStyle name="60% - Accent1 26 8" xfId="3368" xr:uid="{00000000-0005-0000-0000-0000860D0000}"/>
    <cellStyle name="60% - Accent1 27" xfId="3369" xr:uid="{00000000-0005-0000-0000-0000870D0000}"/>
    <cellStyle name="60% - Accent1 27 2" xfId="3370" xr:uid="{00000000-0005-0000-0000-0000880D0000}"/>
    <cellStyle name="60% - Accent1 27 3" xfId="3371" xr:uid="{00000000-0005-0000-0000-0000890D0000}"/>
    <cellStyle name="60% - Accent1 27 4" xfId="3372" xr:uid="{00000000-0005-0000-0000-00008A0D0000}"/>
    <cellStyle name="60% - Accent1 27 5" xfId="3373" xr:uid="{00000000-0005-0000-0000-00008B0D0000}"/>
    <cellStyle name="60% - Accent1 27 6" xfId="3374" xr:uid="{00000000-0005-0000-0000-00008C0D0000}"/>
    <cellStyle name="60% - Accent1 27 7" xfId="3375" xr:uid="{00000000-0005-0000-0000-00008D0D0000}"/>
    <cellStyle name="60% - Accent1 27 8" xfId="3376" xr:uid="{00000000-0005-0000-0000-00008E0D0000}"/>
    <cellStyle name="60% - Accent1 28" xfId="3377" xr:uid="{00000000-0005-0000-0000-00008F0D0000}"/>
    <cellStyle name="60% - Accent1 28 2" xfId="3378" xr:uid="{00000000-0005-0000-0000-0000900D0000}"/>
    <cellStyle name="60% - Accent1 28 3" xfId="3379" xr:uid="{00000000-0005-0000-0000-0000910D0000}"/>
    <cellStyle name="60% - Accent1 28 4" xfId="3380" xr:uid="{00000000-0005-0000-0000-0000920D0000}"/>
    <cellStyle name="60% - Accent1 28 5" xfId="3381" xr:uid="{00000000-0005-0000-0000-0000930D0000}"/>
    <cellStyle name="60% - Accent1 28 6" xfId="3382" xr:uid="{00000000-0005-0000-0000-0000940D0000}"/>
    <cellStyle name="60% - Accent1 28 7" xfId="3383" xr:uid="{00000000-0005-0000-0000-0000950D0000}"/>
    <cellStyle name="60% - Accent1 28 8" xfId="3384" xr:uid="{00000000-0005-0000-0000-0000960D0000}"/>
    <cellStyle name="60% - Accent1 29" xfId="3385" xr:uid="{00000000-0005-0000-0000-0000970D0000}"/>
    <cellStyle name="60% - Accent1 29 2" xfId="3386" xr:uid="{00000000-0005-0000-0000-0000980D0000}"/>
    <cellStyle name="60% - Accent1 29 3" xfId="3387" xr:uid="{00000000-0005-0000-0000-0000990D0000}"/>
    <cellStyle name="60% - Accent1 29 4" xfId="3388" xr:uid="{00000000-0005-0000-0000-00009A0D0000}"/>
    <cellStyle name="60% - Accent1 29 5" xfId="3389" xr:uid="{00000000-0005-0000-0000-00009B0D0000}"/>
    <cellStyle name="60% - Accent1 29 6" xfId="3390" xr:uid="{00000000-0005-0000-0000-00009C0D0000}"/>
    <cellStyle name="60% - Accent1 29 7" xfId="3391" xr:uid="{00000000-0005-0000-0000-00009D0D0000}"/>
    <cellStyle name="60% - Accent1 29 8" xfId="3392" xr:uid="{00000000-0005-0000-0000-00009E0D0000}"/>
    <cellStyle name="60% - Accent1 3" xfId="3393" xr:uid="{00000000-0005-0000-0000-00009F0D0000}"/>
    <cellStyle name="60% - Accent1 3 10" xfId="3394" xr:uid="{00000000-0005-0000-0000-0000A00D0000}"/>
    <cellStyle name="60% - Accent1 3 11" xfId="22007" xr:uid="{00000000-0005-0000-0000-0000A10D0000}"/>
    <cellStyle name="60% - Accent1 3 2" xfId="3395" xr:uid="{00000000-0005-0000-0000-0000A20D0000}"/>
    <cellStyle name="60% - Accent1 3 3" xfId="3396" xr:uid="{00000000-0005-0000-0000-0000A30D0000}"/>
    <cellStyle name="60% - Accent1 3 4" xfId="3397" xr:uid="{00000000-0005-0000-0000-0000A40D0000}"/>
    <cellStyle name="60% - Accent1 3 5" xfId="3398" xr:uid="{00000000-0005-0000-0000-0000A50D0000}"/>
    <cellStyle name="60% - Accent1 3 6" xfId="3399" xr:uid="{00000000-0005-0000-0000-0000A60D0000}"/>
    <cellStyle name="60% - Accent1 3 7" xfId="3400" xr:uid="{00000000-0005-0000-0000-0000A70D0000}"/>
    <cellStyle name="60% - Accent1 3 8" xfId="3401" xr:uid="{00000000-0005-0000-0000-0000A80D0000}"/>
    <cellStyle name="60% - Accent1 3 9" xfId="3402" xr:uid="{00000000-0005-0000-0000-0000A90D0000}"/>
    <cellStyle name="60% - Accent1 30" xfId="3403" xr:uid="{00000000-0005-0000-0000-0000AA0D0000}"/>
    <cellStyle name="60% - Accent1 31" xfId="3404" xr:uid="{00000000-0005-0000-0000-0000AB0D0000}"/>
    <cellStyle name="60% - Accent1 32" xfId="3405" xr:uid="{00000000-0005-0000-0000-0000AC0D0000}"/>
    <cellStyle name="60% - Accent1 33" xfId="3406" xr:uid="{00000000-0005-0000-0000-0000AD0D0000}"/>
    <cellStyle name="60% - Accent1 34" xfId="3407" xr:uid="{00000000-0005-0000-0000-0000AE0D0000}"/>
    <cellStyle name="60% - Accent1 35" xfId="3408" xr:uid="{00000000-0005-0000-0000-0000AF0D0000}"/>
    <cellStyle name="60% - Accent1 36" xfId="3409" xr:uid="{00000000-0005-0000-0000-0000B00D0000}"/>
    <cellStyle name="60% - Accent1 37" xfId="3410" xr:uid="{00000000-0005-0000-0000-0000B10D0000}"/>
    <cellStyle name="60% - Accent1 38" xfId="3411" xr:uid="{00000000-0005-0000-0000-0000B20D0000}"/>
    <cellStyle name="60% - Accent1 39" xfId="3412" xr:uid="{00000000-0005-0000-0000-0000B30D0000}"/>
    <cellStyle name="60% - Accent1 4" xfId="3413" xr:uid="{00000000-0005-0000-0000-0000B40D0000}"/>
    <cellStyle name="60% - Accent1 4 10" xfId="3414" xr:uid="{00000000-0005-0000-0000-0000B50D0000}"/>
    <cellStyle name="60% - Accent1 4 11" xfId="22008" xr:uid="{00000000-0005-0000-0000-0000B60D0000}"/>
    <cellStyle name="60% - Accent1 4 2" xfId="3415" xr:uid="{00000000-0005-0000-0000-0000B70D0000}"/>
    <cellStyle name="60% - Accent1 4 3" xfId="3416" xr:uid="{00000000-0005-0000-0000-0000B80D0000}"/>
    <cellStyle name="60% - Accent1 4 4" xfId="3417" xr:uid="{00000000-0005-0000-0000-0000B90D0000}"/>
    <cellStyle name="60% - Accent1 4 5" xfId="3418" xr:uid="{00000000-0005-0000-0000-0000BA0D0000}"/>
    <cellStyle name="60% - Accent1 4 6" xfId="3419" xr:uid="{00000000-0005-0000-0000-0000BB0D0000}"/>
    <cellStyle name="60% - Accent1 4 7" xfId="3420" xr:uid="{00000000-0005-0000-0000-0000BC0D0000}"/>
    <cellStyle name="60% - Accent1 4 8" xfId="3421" xr:uid="{00000000-0005-0000-0000-0000BD0D0000}"/>
    <cellStyle name="60% - Accent1 4 9" xfId="3422" xr:uid="{00000000-0005-0000-0000-0000BE0D0000}"/>
    <cellStyle name="60% - Accent1 40" xfId="21698" xr:uid="{00000000-0005-0000-0000-0000BF0D0000}"/>
    <cellStyle name="60% - Accent1 41" xfId="27177" xr:uid="{A6E305A4-A4CA-4161-BD90-B43A4AAACC22}"/>
    <cellStyle name="60% - Accent1 5" xfId="3423" xr:uid="{00000000-0005-0000-0000-0000C00D0000}"/>
    <cellStyle name="60% - Accent1 5 10" xfId="3424" xr:uid="{00000000-0005-0000-0000-0000C10D0000}"/>
    <cellStyle name="60% - Accent1 5 11" xfId="22009" xr:uid="{00000000-0005-0000-0000-0000C20D0000}"/>
    <cellStyle name="60% - Accent1 5 2" xfId="3425" xr:uid="{00000000-0005-0000-0000-0000C30D0000}"/>
    <cellStyle name="60% - Accent1 5 3" xfId="3426" xr:uid="{00000000-0005-0000-0000-0000C40D0000}"/>
    <cellStyle name="60% - Accent1 5 4" xfId="3427" xr:uid="{00000000-0005-0000-0000-0000C50D0000}"/>
    <cellStyle name="60% - Accent1 5 5" xfId="3428" xr:uid="{00000000-0005-0000-0000-0000C60D0000}"/>
    <cellStyle name="60% - Accent1 5 6" xfId="3429" xr:uid="{00000000-0005-0000-0000-0000C70D0000}"/>
    <cellStyle name="60% - Accent1 5 7" xfId="3430" xr:uid="{00000000-0005-0000-0000-0000C80D0000}"/>
    <cellStyle name="60% - Accent1 5 8" xfId="3431" xr:uid="{00000000-0005-0000-0000-0000C90D0000}"/>
    <cellStyle name="60% - Accent1 5 9" xfId="3432" xr:uid="{00000000-0005-0000-0000-0000CA0D0000}"/>
    <cellStyle name="60% - Accent1 6" xfId="3433" xr:uid="{00000000-0005-0000-0000-0000CB0D0000}"/>
    <cellStyle name="60% - Accent1 6 10" xfId="3434" xr:uid="{00000000-0005-0000-0000-0000CC0D0000}"/>
    <cellStyle name="60% - Accent1 6 2" xfId="3435" xr:uid="{00000000-0005-0000-0000-0000CD0D0000}"/>
    <cellStyle name="60% - Accent1 6 3" xfId="3436" xr:uid="{00000000-0005-0000-0000-0000CE0D0000}"/>
    <cellStyle name="60% - Accent1 6 4" xfId="3437" xr:uid="{00000000-0005-0000-0000-0000CF0D0000}"/>
    <cellStyle name="60% - Accent1 6 5" xfId="3438" xr:uid="{00000000-0005-0000-0000-0000D00D0000}"/>
    <cellStyle name="60% - Accent1 6 6" xfId="3439" xr:uid="{00000000-0005-0000-0000-0000D10D0000}"/>
    <cellStyle name="60% - Accent1 6 7" xfId="3440" xr:uid="{00000000-0005-0000-0000-0000D20D0000}"/>
    <cellStyle name="60% - Accent1 6 8" xfId="3441" xr:uid="{00000000-0005-0000-0000-0000D30D0000}"/>
    <cellStyle name="60% - Accent1 6 9" xfId="3442" xr:uid="{00000000-0005-0000-0000-0000D40D0000}"/>
    <cellStyle name="60% - Accent1 7" xfId="3443" xr:uid="{00000000-0005-0000-0000-0000D50D0000}"/>
    <cellStyle name="60% - Accent1 7 10" xfId="3444" xr:uid="{00000000-0005-0000-0000-0000D60D0000}"/>
    <cellStyle name="60% - Accent1 7 2" xfId="3445" xr:uid="{00000000-0005-0000-0000-0000D70D0000}"/>
    <cellStyle name="60% - Accent1 7 3" xfId="3446" xr:uid="{00000000-0005-0000-0000-0000D80D0000}"/>
    <cellStyle name="60% - Accent1 7 4" xfId="3447" xr:uid="{00000000-0005-0000-0000-0000D90D0000}"/>
    <cellStyle name="60% - Accent1 7 5" xfId="3448" xr:uid="{00000000-0005-0000-0000-0000DA0D0000}"/>
    <cellStyle name="60% - Accent1 7 6" xfId="3449" xr:uid="{00000000-0005-0000-0000-0000DB0D0000}"/>
    <cellStyle name="60% - Accent1 7 7" xfId="3450" xr:uid="{00000000-0005-0000-0000-0000DC0D0000}"/>
    <cellStyle name="60% - Accent1 7 8" xfId="3451" xr:uid="{00000000-0005-0000-0000-0000DD0D0000}"/>
    <cellStyle name="60% - Accent1 7 9" xfId="3452" xr:uid="{00000000-0005-0000-0000-0000DE0D0000}"/>
    <cellStyle name="60% - Accent1 8" xfId="3453" xr:uid="{00000000-0005-0000-0000-0000DF0D0000}"/>
    <cellStyle name="60% - Accent1 8 10" xfId="3454" xr:uid="{00000000-0005-0000-0000-0000E00D0000}"/>
    <cellStyle name="60% - Accent1 8 2" xfId="3455" xr:uid="{00000000-0005-0000-0000-0000E10D0000}"/>
    <cellStyle name="60% - Accent1 8 3" xfId="3456" xr:uid="{00000000-0005-0000-0000-0000E20D0000}"/>
    <cellStyle name="60% - Accent1 8 4" xfId="3457" xr:uid="{00000000-0005-0000-0000-0000E30D0000}"/>
    <cellStyle name="60% - Accent1 8 5" xfId="3458" xr:uid="{00000000-0005-0000-0000-0000E40D0000}"/>
    <cellStyle name="60% - Accent1 8 6" xfId="3459" xr:uid="{00000000-0005-0000-0000-0000E50D0000}"/>
    <cellStyle name="60% - Accent1 8 7" xfId="3460" xr:uid="{00000000-0005-0000-0000-0000E60D0000}"/>
    <cellStyle name="60% - Accent1 8 8" xfId="3461" xr:uid="{00000000-0005-0000-0000-0000E70D0000}"/>
    <cellStyle name="60% - Accent1 8 9" xfId="3462" xr:uid="{00000000-0005-0000-0000-0000E80D0000}"/>
    <cellStyle name="60% - Accent1 9" xfId="3463" xr:uid="{00000000-0005-0000-0000-0000E90D0000}"/>
    <cellStyle name="60% - Accent1 9 10" xfId="3464" xr:uid="{00000000-0005-0000-0000-0000EA0D0000}"/>
    <cellStyle name="60% - Accent1 9 2" xfId="3465" xr:uid="{00000000-0005-0000-0000-0000EB0D0000}"/>
    <cellStyle name="60% - Accent1 9 3" xfId="3466" xr:uid="{00000000-0005-0000-0000-0000EC0D0000}"/>
    <cellStyle name="60% - Accent1 9 4" xfId="3467" xr:uid="{00000000-0005-0000-0000-0000ED0D0000}"/>
    <cellStyle name="60% - Accent1 9 5" xfId="3468" xr:uid="{00000000-0005-0000-0000-0000EE0D0000}"/>
    <cellStyle name="60% - Accent1 9 6" xfId="3469" xr:uid="{00000000-0005-0000-0000-0000EF0D0000}"/>
    <cellStyle name="60% - Accent1 9 7" xfId="3470" xr:uid="{00000000-0005-0000-0000-0000F00D0000}"/>
    <cellStyle name="60% - Accent1 9 8" xfId="3471" xr:uid="{00000000-0005-0000-0000-0000F10D0000}"/>
    <cellStyle name="60% - Accent1 9 9" xfId="3472" xr:uid="{00000000-0005-0000-0000-0000F20D0000}"/>
    <cellStyle name="60% - Accent2 10" xfId="3473" xr:uid="{00000000-0005-0000-0000-0000F30D0000}"/>
    <cellStyle name="60% - Accent2 10 10" xfId="3474" xr:uid="{00000000-0005-0000-0000-0000F40D0000}"/>
    <cellStyle name="60% - Accent2 10 2" xfId="3475" xr:uid="{00000000-0005-0000-0000-0000F50D0000}"/>
    <cellStyle name="60% - Accent2 10 3" xfId="3476" xr:uid="{00000000-0005-0000-0000-0000F60D0000}"/>
    <cellStyle name="60% - Accent2 10 4" xfId="3477" xr:uid="{00000000-0005-0000-0000-0000F70D0000}"/>
    <cellStyle name="60% - Accent2 10 5" xfId="3478" xr:uid="{00000000-0005-0000-0000-0000F80D0000}"/>
    <cellStyle name="60% - Accent2 10 6" xfId="3479" xr:uid="{00000000-0005-0000-0000-0000F90D0000}"/>
    <cellStyle name="60% - Accent2 10 7" xfId="3480" xr:uid="{00000000-0005-0000-0000-0000FA0D0000}"/>
    <cellStyle name="60% - Accent2 10 8" xfId="3481" xr:uid="{00000000-0005-0000-0000-0000FB0D0000}"/>
    <cellStyle name="60% - Accent2 10 9" xfId="3482" xr:uid="{00000000-0005-0000-0000-0000FC0D0000}"/>
    <cellStyle name="60% - Accent2 11" xfId="3483" xr:uid="{00000000-0005-0000-0000-0000FD0D0000}"/>
    <cellStyle name="60% - Accent2 11 10" xfId="3484" xr:uid="{00000000-0005-0000-0000-0000FE0D0000}"/>
    <cellStyle name="60% - Accent2 11 2" xfId="3485" xr:uid="{00000000-0005-0000-0000-0000FF0D0000}"/>
    <cellStyle name="60% - Accent2 11 3" xfId="3486" xr:uid="{00000000-0005-0000-0000-0000000E0000}"/>
    <cellStyle name="60% - Accent2 11 4" xfId="3487" xr:uid="{00000000-0005-0000-0000-0000010E0000}"/>
    <cellStyle name="60% - Accent2 11 5" xfId="3488" xr:uid="{00000000-0005-0000-0000-0000020E0000}"/>
    <cellStyle name="60% - Accent2 11 6" xfId="3489" xr:uid="{00000000-0005-0000-0000-0000030E0000}"/>
    <cellStyle name="60% - Accent2 11 7" xfId="3490" xr:uid="{00000000-0005-0000-0000-0000040E0000}"/>
    <cellStyle name="60% - Accent2 11 8" xfId="3491" xr:uid="{00000000-0005-0000-0000-0000050E0000}"/>
    <cellStyle name="60% - Accent2 11 9" xfId="3492" xr:uid="{00000000-0005-0000-0000-0000060E0000}"/>
    <cellStyle name="60% - Accent2 12" xfId="3493" xr:uid="{00000000-0005-0000-0000-0000070E0000}"/>
    <cellStyle name="60% - Accent2 12 10" xfId="3494" xr:uid="{00000000-0005-0000-0000-0000080E0000}"/>
    <cellStyle name="60% - Accent2 12 2" xfId="3495" xr:uid="{00000000-0005-0000-0000-0000090E0000}"/>
    <cellStyle name="60% - Accent2 12 3" xfId="3496" xr:uid="{00000000-0005-0000-0000-00000A0E0000}"/>
    <cellStyle name="60% - Accent2 12 4" xfId="3497" xr:uid="{00000000-0005-0000-0000-00000B0E0000}"/>
    <cellStyle name="60% - Accent2 12 5" xfId="3498" xr:uid="{00000000-0005-0000-0000-00000C0E0000}"/>
    <cellStyle name="60% - Accent2 12 6" xfId="3499" xr:uid="{00000000-0005-0000-0000-00000D0E0000}"/>
    <cellStyle name="60% - Accent2 12 7" xfId="3500" xr:uid="{00000000-0005-0000-0000-00000E0E0000}"/>
    <cellStyle name="60% - Accent2 12 8" xfId="3501" xr:uid="{00000000-0005-0000-0000-00000F0E0000}"/>
    <cellStyle name="60% - Accent2 12 9" xfId="3502" xr:uid="{00000000-0005-0000-0000-0000100E0000}"/>
    <cellStyle name="60% - Accent2 13" xfId="3503" xr:uid="{00000000-0005-0000-0000-0000110E0000}"/>
    <cellStyle name="60% - Accent2 13 10" xfId="3504" xr:uid="{00000000-0005-0000-0000-0000120E0000}"/>
    <cellStyle name="60% - Accent2 13 2" xfId="3505" xr:uid="{00000000-0005-0000-0000-0000130E0000}"/>
    <cellStyle name="60% - Accent2 13 3" xfId="3506" xr:uid="{00000000-0005-0000-0000-0000140E0000}"/>
    <cellStyle name="60% - Accent2 13 4" xfId="3507" xr:uid="{00000000-0005-0000-0000-0000150E0000}"/>
    <cellStyle name="60% - Accent2 13 5" xfId="3508" xr:uid="{00000000-0005-0000-0000-0000160E0000}"/>
    <cellStyle name="60% - Accent2 13 6" xfId="3509" xr:uid="{00000000-0005-0000-0000-0000170E0000}"/>
    <cellStyle name="60% - Accent2 13 7" xfId="3510" xr:uid="{00000000-0005-0000-0000-0000180E0000}"/>
    <cellStyle name="60% - Accent2 13 8" xfId="3511" xr:uid="{00000000-0005-0000-0000-0000190E0000}"/>
    <cellStyle name="60% - Accent2 13 9" xfId="3512" xr:uid="{00000000-0005-0000-0000-00001A0E0000}"/>
    <cellStyle name="60% - Accent2 14" xfId="3513" xr:uid="{00000000-0005-0000-0000-00001B0E0000}"/>
    <cellStyle name="60% - Accent2 14 10" xfId="3514" xr:uid="{00000000-0005-0000-0000-00001C0E0000}"/>
    <cellStyle name="60% - Accent2 14 2" xfId="3515" xr:uid="{00000000-0005-0000-0000-00001D0E0000}"/>
    <cellStyle name="60% - Accent2 14 3" xfId="3516" xr:uid="{00000000-0005-0000-0000-00001E0E0000}"/>
    <cellStyle name="60% - Accent2 14 4" xfId="3517" xr:uid="{00000000-0005-0000-0000-00001F0E0000}"/>
    <cellStyle name="60% - Accent2 14 5" xfId="3518" xr:uid="{00000000-0005-0000-0000-0000200E0000}"/>
    <cellStyle name="60% - Accent2 14 6" xfId="3519" xr:uid="{00000000-0005-0000-0000-0000210E0000}"/>
    <cellStyle name="60% - Accent2 14 7" xfId="3520" xr:uid="{00000000-0005-0000-0000-0000220E0000}"/>
    <cellStyle name="60% - Accent2 14 8" xfId="3521" xr:uid="{00000000-0005-0000-0000-0000230E0000}"/>
    <cellStyle name="60% - Accent2 14 9" xfId="3522" xr:uid="{00000000-0005-0000-0000-0000240E0000}"/>
    <cellStyle name="60% - Accent2 15" xfId="3523" xr:uid="{00000000-0005-0000-0000-0000250E0000}"/>
    <cellStyle name="60% - Accent2 15 10" xfId="3524" xr:uid="{00000000-0005-0000-0000-0000260E0000}"/>
    <cellStyle name="60% - Accent2 15 2" xfId="3525" xr:uid="{00000000-0005-0000-0000-0000270E0000}"/>
    <cellStyle name="60% - Accent2 15 3" xfId="3526" xr:uid="{00000000-0005-0000-0000-0000280E0000}"/>
    <cellStyle name="60% - Accent2 15 4" xfId="3527" xr:uid="{00000000-0005-0000-0000-0000290E0000}"/>
    <cellStyle name="60% - Accent2 15 5" xfId="3528" xr:uid="{00000000-0005-0000-0000-00002A0E0000}"/>
    <cellStyle name="60% - Accent2 15 6" xfId="3529" xr:uid="{00000000-0005-0000-0000-00002B0E0000}"/>
    <cellStyle name="60% - Accent2 15 7" xfId="3530" xr:uid="{00000000-0005-0000-0000-00002C0E0000}"/>
    <cellStyle name="60% - Accent2 15 8" xfId="3531" xr:uid="{00000000-0005-0000-0000-00002D0E0000}"/>
    <cellStyle name="60% - Accent2 15 9" xfId="3532" xr:uid="{00000000-0005-0000-0000-00002E0E0000}"/>
    <cellStyle name="60% - Accent2 16" xfId="3533" xr:uid="{00000000-0005-0000-0000-00002F0E0000}"/>
    <cellStyle name="60% - Accent2 16 10" xfId="3534" xr:uid="{00000000-0005-0000-0000-0000300E0000}"/>
    <cellStyle name="60% - Accent2 16 2" xfId="3535" xr:uid="{00000000-0005-0000-0000-0000310E0000}"/>
    <cellStyle name="60% - Accent2 16 3" xfId="3536" xr:uid="{00000000-0005-0000-0000-0000320E0000}"/>
    <cellStyle name="60% - Accent2 16 4" xfId="3537" xr:uid="{00000000-0005-0000-0000-0000330E0000}"/>
    <cellStyle name="60% - Accent2 16 5" xfId="3538" xr:uid="{00000000-0005-0000-0000-0000340E0000}"/>
    <cellStyle name="60% - Accent2 16 6" xfId="3539" xr:uid="{00000000-0005-0000-0000-0000350E0000}"/>
    <cellStyle name="60% - Accent2 16 7" xfId="3540" xr:uid="{00000000-0005-0000-0000-0000360E0000}"/>
    <cellStyle name="60% - Accent2 16 8" xfId="3541" xr:uid="{00000000-0005-0000-0000-0000370E0000}"/>
    <cellStyle name="60% - Accent2 16 9" xfId="3542" xr:uid="{00000000-0005-0000-0000-0000380E0000}"/>
    <cellStyle name="60% - Accent2 17" xfId="3543" xr:uid="{00000000-0005-0000-0000-0000390E0000}"/>
    <cellStyle name="60% - Accent2 17 10" xfId="3544" xr:uid="{00000000-0005-0000-0000-00003A0E0000}"/>
    <cellStyle name="60% - Accent2 17 2" xfId="3545" xr:uid="{00000000-0005-0000-0000-00003B0E0000}"/>
    <cellStyle name="60% - Accent2 17 3" xfId="3546" xr:uid="{00000000-0005-0000-0000-00003C0E0000}"/>
    <cellStyle name="60% - Accent2 17 4" xfId="3547" xr:uid="{00000000-0005-0000-0000-00003D0E0000}"/>
    <cellStyle name="60% - Accent2 17 5" xfId="3548" xr:uid="{00000000-0005-0000-0000-00003E0E0000}"/>
    <cellStyle name="60% - Accent2 17 6" xfId="3549" xr:uid="{00000000-0005-0000-0000-00003F0E0000}"/>
    <cellStyle name="60% - Accent2 17 7" xfId="3550" xr:uid="{00000000-0005-0000-0000-0000400E0000}"/>
    <cellStyle name="60% - Accent2 17 8" xfId="3551" xr:uid="{00000000-0005-0000-0000-0000410E0000}"/>
    <cellStyle name="60% - Accent2 17 9" xfId="3552" xr:uid="{00000000-0005-0000-0000-0000420E0000}"/>
    <cellStyle name="60% - Accent2 18" xfId="3553" xr:uid="{00000000-0005-0000-0000-0000430E0000}"/>
    <cellStyle name="60% - Accent2 18 2" xfId="3554" xr:uid="{00000000-0005-0000-0000-0000440E0000}"/>
    <cellStyle name="60% - Accent2 18 3" xfId="3555" xr:uid="{00000000-0005-0000-0000-0000450E0000}"/>
    <cellStyle name="60% - Accent2 18 4" xfId="3556" xr:uid="{00000000-0005-0000-0000-0000460E0000}"/>
    <cellStyle name="60% - Accent2 18 5" xfId="3557" xr:uid="{00000000-0005-0000-0000-0000470E0000}"/>
    <cellStyle name="60% - Accent2 18 6" xfId="3558" xr:uid="{00000000-0005-0000-0000-0000480E0000}"/>
    <cellStyle name="60% - Accent2 18 7" xfId="3559" xr:uid="{00000000-0005-0000-0000-0000490E0000}"/>
    <cellStyle name="60% - Accent2 18 8" xfId="3560" xr:uid="{00000000-0005-0000-0000-00004A0E0000}"/>
    <cellStyle name="60% - Accent2 19" xfId="3561" xr:uid="{00000000-0005-0000-0000-00004B0E0000}"/>
    <cellStyle name="60% - Accent2 19 2" xfId="3562" xr:uid="{00000000-0005-0000-0000-00004C0E0000}"/>
    <cellStyle name="60% - Accent2 19 3" xfId="3563" xr:uid="{00000000-0005-0000-0000-00004D0E0000}"/>
    <cellStyle name="60% - Accent2 19 4" xfId="3564" xr:uid="{00000000-0005-0000-0000-00004E0E0000}"/>
    <cellStyle name="60% - Accent2 19 5" xfId="3565" xr:uid="{00000000-0005-0000-0000-00004F0E0000}"/>
    <cellStyle name="60% - Accent2 19 6" xfId="3566" xr:uid="{00000000-0005-0000-0000-0000500E0000}"/>
    <cellStyle name="60% - Accent2 19 7" xfId="3567" xr:uid="{00000000-0005-0000-0000-0000510E0000}"/>
    <cellStyle name="60% - Accent2 19 8" xfId="3568" xr:uid="{00000000-0005-0000-0000-0000520E0000}"/>
    <cellStyle name="60% - Accent2 2" xfId="3569" xr:uid="{00000000-0005-0000-0000-0000530E0000}"/>
    <cellStyle name="60% - Accent2 2 10" xfId="3570" xr:uid="{00000000-0005-0000-0000-0000540E0000}"/>
    <cellStyle name="60% - Accent2 2 2" xfId="3571" xr:uid="{00000000-0005-0000-0000-0000550E0000}"/>
    <cellStyle name="60% - Accent2 2 3" xfId="3572" xr:uid="{00000000-0005-0000-0000-0000560E0000}"/>
    <cellStyle name="60% - Accent2 2 4" xfId="3573" xr:uid="{00000000-0005-0000-0000-0000570E0000}"/>
    <cellStyle name="60% - Accent2 2 5" xfId="3574" xr:uid="{00000000-0005-0000-0000-0000580E0000}"/>
    <cellStyle name="60% - Accent2 2 6" xfId="3575" xr:uid="{00000000-0005-0000-0000-0000590E0000}"/>
    <cellStyle name="60% - Accent2 2 7" xfId="3576" xr:uid="{00000000-0005-0000-0000-00005A0E0000}"/>
    <cellStyle name="60% - Accent2 2 8" xfId="3577" xr:uid="{00000000-0005-0000-0000-00005B0E0000}"/>
    <cellStyle name="60% - Accent2 2 9" xfId="3578" xr:uid="{00000000-0005-0000-0000-00005C0E0000}"/>
    <cellStyle name="60% - Accent2 20" xfId="3579" xr:uid="{00000000-0005-0000-0000-00005D0E0000}"/>
    <cellStyle name="60% - Accent2 20 2" xfId="3580" xr:uid="{00000000-0005-0000-0000-00005E0E0000}"/>
    <cellStyle name="60% - Accent2 20 3" xfId="3581" xr:uid="{00000000-0005-0000-0000-00005F0E0000}"/>
    <cellStyle name="60% - Accent2 20 4" xfId="3582" xr:uid="{00000000-0005-0000-0000-0000600E0000}"/>
    <cellStyle name="60% - Accent2 20 5" xfId="3583" xr:uid="{00000000-0005-0000-0000-0000610E0000}"/>
    <cellStyle name="60% - Accent2 20 6" xfId="3584" xr:uid="{00000000-0005-0000-0000-0000620E0000}"/>
    <cellStyle name="60% - Accent2 20 7" xfId="3585" xr:uid="{00000000-0005-0000-0000-0000630E0000}"/>
    <cellStyle name="60% - Accent2 20 8" xfId="3586" xr:uid="{00000000-0005-0000-0000-0000640E0000}"/>
    <cellStyle name="60% - Accent2 21" xfId="3587" xr:uid="{00000000-0005-0000-0000-0000650E0000}"/>
    <cellStyle name="60% - Accent2 21 2" xfId="3588" xr:uid="{00000000-0005-0000-0000-0000660E0000}"/>
    <cellStyle name="60% - Accent2 21 3" xfId="3589" xr:uid="{00000000-0005-0000-0000-0000670E0000}"/>
    <cellStyle name="60% - Accent2 21 4" xfId="3590" xr:uid="{00000000-0005-0000-0000-0000680E0000}"/>
    <cellStyle name="60% - Accent2 21 5" xfId="3591" xr:uid="{00000000-0005-0000-0000-0000690E0000}"/>
    <cellStyle name="60% - Accent2 21 6" xfId="3592" xr:uid="{00000000-0005-0000-0000-00006A0E0000}"/>
    <cellStyle name="60% - Accent2 21 7" xfId="3593" xr:uid="{00000000-0005-0000-0000-00006B0E0000}"/>
    <cellStyle name="60% - Accent2 21 8" xfId="3594" xr:uid="{00000000-0005-0000-0000-00006C0E0000}"/>
    <cellStyle name="60% - Accent2 22" xfId="3595" xr:uid="{00000000-0005-0000-0000-00006D0E0000}"/>
    <cellStyle name="60% - Accent2 22 2" xfId="3596" xr:uid="{00000000-0005-0000-0000-00006E0E0000}"/>
    <cellStyle name="60% - Accent2 22 3" xfId="3597" xr:uid="{00000000-0005-0000-0000-00006F0E0000}"/>
    <cellStyle name="60% - Accent2 22 4" xfId="3598" xr:uid="{00000000-0005-0000-0000-0000700E0000}"/>
    <cellStyle name="60% - Accent2 22 5" xfId="3599" xr:uid="{00000000-0005-0000-0000-0000710E0000}"/>
    <cellStyle name="60% - Accent2 22 6" xfId="3600" xr:uid="{00000000-0005-0000-0000-0000720E0000}"/>
    <cellStyle name="60% - Accent2 22 7" xfId="3601" xr:uid="{00000000-0005-0000-0000-0000730E0000}"/>
    <cellStyle name="60% - Accent2 22 8" xfId="3602" xr:uid="{00000000-0005-0000-0000-0000740E0000}"/>
    <cellStyle name="60% - Accent2 23" xfId="3603" xr:uid="{00000000-0005-0000-0000-0000750E0000}"/>
    <cellStyle name="60% - Accent2 23 2" xfId="3604" xr:uid="{00000000-0005-0000-0000-0000760E0000}"/>
    <cellStyle name="60% - Accent2 23 3" xfId="3605" xr:uid="{00000000-0005-0000-0000-0000770E0000}"/>
    <cellStyle name="60% - Accent2 23 4" xfId="3606" xr:uid="{00000000-0005-0000-0000-0000780E0000}"/>
    <cellStyle name="60% - Accent2 23 5" xfId="3607" xr:uid="{00000000-0005-0000-0000-0000790E0000}"/>
    <cellStyle name="60% - Accent2 23 6" xfId="3608" xr:uid="{00000000-0005-0000-0000-00007A0E0000}"/>
    <cellStyle name="60% - Accent2 23 7" xfId="3609" xr:uid="{00000000-0005-0000-0000-00007B0E0000}"/>
    <cellStyle name="60% - Accent2 23 8" xfId="3610" xr:uid="{00000000-0005-0000-0000-00007C0E0000}"/>
    <cellStyle name="60% - Accent2 24" xfId="3611" xr:uid="{00000000-0005-0000-0000-00007D0E0000}"/>
    <cellStyle name="60% - Accent2 24 2" xfId="3612" xr:uid="{00000000-0005-0000-0000-00007E0E0000}"/>
    <cellStyle name="60% - Accent2 24 3" xfId="3613" xr:uid="{00000000-0005-0000-0000-00007F0E0000}"/>
    <cellStyle name="60% - Accent2 24 4" xfId="3614" xr:uid="{00000000-0005-0000-0000-0000800E0000}"/>
    <cellStyle name="60% - Accent2 24 5" xfId="3615" xr:uid="{00000000-0005-0000-0000-0000810E0000}"/>
    <cellStyle name="60% - Accent2 24 6" xfId="3616" xr:uid="{00000000-0005-0000-0000-0000820E0000}"/>
    <cellStyle name="60% - Accent2 24 7" xfId="3617" xr:uid="{00000000-0005-0000-0000-0000830E0000}"/>
    <cellStyle name="60% - Accent2 24 8" xfId="3618" xr:uid="{00000000-0005-0000-0000-0000840E0000}"/>
    <cellStyle name="60% - Accent2 25" xfId="3619" xr:uid="{00000000-0005-0000-0000-0000850E0000}"/>
    <cellStyle name="60% - Accent2 25 2" xfId="3620" xr:uid="{00000000-0005-0000-0000-0000860E0000}"/>
    <cellStyle name="60% - Accent2 25 3" xfId="3621" xr:uid="{00000000-0005-0000-0000-0000870E0000}"/>
    <cellStyle name="60% - Accent2 25 4" xfId="3622" xr:uid="{00000000-0005-0000-0000-0000880E0000}"/>
    <cellStyle name="60% - Accent2 25 5" xfId="3623" xr:uid="{00000000-0005-0000-0000-0000890E0000}"/>
    <cellStyle name="60% - Accent2 25 6" xfId="3624" xr:uid="{00000000-0005-0000-0000-00008A0E0000}"/>
    <cellStyle name="60% - Accent2 25 7" xfId="3625" xr:uid="{00000000-0005-0000-0000-00008B0E0000}"/>
    <cellStyle name="60% - Accent2 25 8" xfId="3626" xr:uid="{00000000-0005-0000-0000-00008C0E0000}"/>
    <cellStyle name="60% - Accent2 26" xfId="3627" xr:uid="{00000000-0005-0000-0000-00008D0E0000}"/>
    <cellStyle name="60% - Accent2 26 2" xfId="3628" xr:uid="{00000000-0005-0000-0000-00008E0E0000}"/>
    <cellStyle name="60% - Accent2 26 3" xfId="3629" xr:uid="{00000000-0005-0000-0000-00008F0E0000}"/>
    <cellStyle name="60% - Accent2 26 4" xfId="3630" xr:uid="{00000000-0005-0000-0000-0000900E0000}"/>
    <cellStyle name="60% - Accent2 26 5" xfId="3631" xr:uid="{00000000-0005-0000-0000-0000910E0000}"/>
    <cellStyle name="60% - Accent2 26 6" xfId="3632" xr:uid="{00000000-0005-0000-0000-0000920E0000}"/>
    <cellStyle name="60% - Accent2 26 7" xfId="3633" xr:uid="{00000000-0005-0000-0000-0000930E0000}"/>
    <cellStyle name="60% - Accent2 26 8" xfId="3634" xr:uid="{00000000-0005-0000-0000-0000940E0000}"/>
    <cellStyle name="60% - Accent2 27" xfId="3635" xr:uid="{00000000-0005-0000-0000-0000950E0000}"/>
    <cellStyle name="60% - Accent2 27 2" xfId="3636" xr:uid="{00000000-0005-0000-0000-0000960E0000}"/>
    <cellStyle name="60% - Accent2 27 3" xfId="3637" xr:uid="{00000000-0005-0000-0000-0000970E0000}"/>
    <cellStyle name="60% - Accent2 27 4" xfId="3638" xr:uid="{00000000-0005-0000-0000-0000980E0000}"/>
    <cellStyle name="60% - Accent2 27 5" xfId="3639" xr:uid="{00000000-0005-0000-0000-0000990E0000}"/>
    <cellStyle name="60% - Accent2 27 6" xfId="3640" xr:uid="{00000000-0005-0000-0000-00009A0E0000}"/>
    <cellStyle name="60% - Accent2 27 7" xfId="3641" xr:uid="{00000000-0005-0000-0000-00009B0E0000}"/>
    <cellStyle name="60% - Accent2 27 8" xfId="3642" xr:uid="{00000000-0005-0000-0000-00009C0E0000}"/>
    <cellStyle name="60% - Accent2 28" xfId="3643" xr:uid="{00000000-0005-0000-0000-00009D0E0000}"/>
    <cellStyle name="60% - Accent2 28 2" xfId="3644" xr:uid="{00000000-0005-0000-0000-00009E0E0000}"/>
    <cellStyle name="60% - Accent2 28 3" xfId="3645" xr:uid="{00000000-0005-0000-0000-00009F0E0000}"/>
    <cellStyle name="60% - Accent2 28 4" xfId="3646" xr:uid="{00000000-0005-0000-0000-0000A00E0000}"/>
    <cellStyle name="60% - Accent2 28 5" xfId="3647" xr:uid="{00000000-0005-0000-0000-0000A10E0000}"/>
    <cellStyle name="60% - Accent2 28 6" xfId="3648" xr:uid="{00000000-0005-0000-0000-0000A20E0000}"/>
    <cellStyle name="60% - Accent2 28 7" xfId="3649" xr:uid="{00000000-0005-0000-0000-0000A30E0000}"/>
    <cellStyle name="60% - Accent2 28 8" xfId="3650" xr:uid="{00000000-0005-0000-0000-0000A40E0000}"/>
    <cellStyle name="60% - Accent2 29" xfId="3651" xr:uid="{00000000-0005-0000-0000-0000A50E0000}"/>
    <cellStyle name="60% - Accent2 29 2" xfId="3652" xr:uid="{00000000-0005-0000-0000-0000A60E0000}"/>
    <cellStyle name="60% - Accent2 29 3" xfId="3653" xr:uid="{00000000-0005-0000-0000-0000A70E0000}"/>
    <cellStyle name="60% - Accent2 29 4" xfId="3654" xr:uid="{00000000-0005-0000-0000-0000A80E0000}"/>
    <cellStyle name="60% - Accent2 29 5" xfId="3655" xr:uid="{00000000-0005-0000-0000-0000A90E0000}"/>
    <cellStyle name="60% - Accent2 29 6" xfId="3656" xr:uid="{00000000-0005-0000-0000-0000AA0E0000}"/>
    <cellStyle name="60% - Accent2 29 7" xfId="3657" xr:uid="{00000000-0005-0000-0000-0000AB0E0000}"/>
    <cellStyle name="60% - Accent2 29 8" xfId="3658" xr:uid="{00000000-0005-0000-0000-0000AC0E0000}"/>
    <cellStyle name="60% - Accent2 3" xfId="3659" xr:uid="{00000000-0005-0000-0000-0000AD0E0000}"/>
    <cellStyle name="60% - Accent2 3 10" xfId="3660" xr:uid="{00000000-0005-0000-0000-0000AE0E0000}"/>
    <cellStyle name="60% - Accent2 3 11" xfId="22010" xr:uid="{00000000-0005-0000-0000-0000AF0E0000}"/>
    <cellStyle name="60% - Accent2 3 2" xfId="3661" xr:uid="{00000000-0005-0000-0000-0000B00E0000}"/>
    <cellStyle name="60% - Accent2 3 3" xfId="3662" xr:uid="{00000000-0005-0000-0000-0000B10E0000}"/>
    <cellStyle name="60% - Accent2 3 4" xfId="3663" xr:uid="{00000000-0005-0000-0000-0000B20E0000}"/>
    <cellStyle name="60% - Accent2 3 5" xfId="3664" xr:uid="{00000000-0005-0000-0000-0000B30E0000}"/>
    <cellStyle name="60% - Accent2 3 6" xfId="3665" xr:uid="{00000000-0005-0000-0000-0000B40E0000}"/>
    <cellStyle name="60% - Accent2 3 7" xfId="3666" xr:uid="{00000000-0005-0000-0000-0000B50E0000}"/>
    <cellStyle name="60% - Accent2 3 8" xfId="3667" xr:uid="{00000000-0005-0000-0000-0000B60E0000}"/>
    <cellStyle name="60% - Accent2 3 9" xfId="3668" xr:uid="{00000000-0005-0000-0000-0000B70E0000}"/>
    <cellStyle name="60% - Accent2 30" xfId="3669" xr:uid="{00000000-0005-0000-0000-0000B80E0000}"/>
    <cellStyle name="60% - Accent2 31" xfId="3670" xr:uid="{00000000-0005-0000-0000-0000B90E0000}"/>
    <cellStyle name="60% - Accent2 32" xfId="3671" xr:uid="{00000000-0005-0000-0000-0000BA0E0000}"/>
    <cellStyle name="60% - Accent2 33" xfId="3672" xr:uid="{00000000-0005-0000-0000-0000BB0E0000}"/>
    <cellStyle name="60% - Accent2 34" xfId="3673" xr:uid="{00000000-0005-0000-0000-0000BC0E0000}"/>
    <cellStyle name="60% - Accent2 35" xfId="3674" xr:uid="{00000000-0005-0000-0000-0000BD0E0000}"/>
    <cellStyle name="60% - Accent2 36" xfId="3675" xr:uid="{00000000-0005-0000-0000-0000BE0E0000}"/>
    <cellStyle name="60% - Accent2 37" xfId="3676" xr:uid="{00000000-0005-0000-0000-0000BF0E0000}"/>
    <cellStyle name="60% - Accent2 38" xfId="3677" xr:uid="{00000000-0005-0000-0000-0000C00E0000}"/>
    <cellStyle name="60% - Accent2 39" xfId="3678" xr:uid="{00000000-0005-0000-0000-0000C10E0000}"/>
    <cellStyle name="60% - Accent2 4" xfId="3679" xr:uid="{00000000-0005-0000-0000-0000C20E0000}"/>
    <cellStyle name="60% - Accent2 4 10" xfId="3680" xr:uid="{00000000-0005-0000-0000-0000C30E0000}"/>
    <cellStyle name="60% - Accent2 4 2" xfId="3681" xr:uid="{00000000-0005-0000-0000-0000C40E0000}"/>
    <cellStyle name="60% - Accent2 4 3" xfId="3682" xr:uid="{00000000-0005-0000-0000-0000C50E0000}"/>
    <cellStyle name="60% - Accent2 4 4" xfId="3683" xr:uid="{00000000-0005-0000-0000-0000C60E0000}"/>
    <cellStyle name="60% - Accent2 4 5" xfId="3684" xr:uid="{00000000-0005-0000-0000-0000C70E0000}"/>
    <cellStyle name="60% - Accent2 4 6" xfId="3685" xr:uid="{00000000-0005-0000-0000-0000C80E0000}"/>
    <cellStyle name="60% - Accent2 4 7" xfId="3686" xr:uid="{00000000-0005-0000-0000-0000C90E0000}"/>
    <cellStyle name="60% - Accent2 4 8" xfId="3687" xr:uid="{00000000-0005-0000-0000-0000CA0E0000}"/>
    <cellStyle name="60% - Accent2 4 9" xfId="3688" xr:uid="{00000000-0005-0000-0000-0000CB0E0000}"/>
    <cellStyle name="60% - Accent2 40" xfId="27178" xr:uid="{F908E58B-AC46-41B3-8F96-9C20C119D655}"/>
    <cellStyle name="60% - Accent2 5" xfId="3689" xr:uid="{00000000-0005-0000-0000-0000CC0E0000}"/>
    <cellStyle name="60% - Accent2 5 10" xfId="3690" xr:uid="{00000000-0005-0000-0000-0000CD0E0000}"/>
    <cellStyle name="60% - Accent2 5 2" xfId="3691" xr:uid="{00000000-0005-0000-0000-0000CE0E0000}"/>
    <cellStyle name="60% - Accent2 5 3" xfId="3692" xr:uid="{00000000-0005-0000-0000-0000CF0E0000}"/>
    <cellStyle name="60% - Accent2 5 4" xfId="3693" xr:uid="{00000000-0005-0000-0000-0000D00E0000}"/>
    <cellStyle name="60% - Accent2 5 5" xfId="3694" xr:uid="{00000000-0005-0000-0000-0000D10E0000}"/>
    <cellStyle name="60% - Accent2 5 6" xfId="3695" xr:uid="{00000000-0005-0000-0000-0000D20E0000}"/>
    <cellStyle name="60% - Accent2 5 7" xfId="3696" xr:uid="{00000000-0005-0000-0000-0000D30E0000}"/>
    <cellStyle name="60% - Accent2 5 8" xfId="3697" xr:uid="{00000000-0005-0000-0000-0000D40E0000}"/>
    <cellStyle name="60% - Accent2 5 9" xfId="3698" xr:uid="{00000000-0005-0000-0000-0000D50E0000}"/>
    <cellStyle name="60% - Accent2 6" xfId="3699" xr:uid="{00000000-0005-0000-0000-0000D60E0000}"/>
    <cellStyle name="60% - Accent2 6 10" xfId="3700" xr:uid="{00000000-0005-0000-0000-0000D70E0000}"/>
    <cellStyle name="60% - Accent2 6 2" xfId="3701" xr:uid="{00000000-0005-0000-0000-0000D80E0000}"/>
    <cellStyle name="60% - Accent2 6 3" xfId="3702" xr:uid="{00000000-0005-0000-0000-0000D90E0000}"/>
    <cellStyle name="60% - Accent2 6 4" xfId="3703" xr:uid="{00000000-0005-0000-0000-0000DA0E0000}"/>
    <cellStyle name="60% - Accent2 6 5" xfId="3704" xr:uid="{00000000-0005-0000-0000-0000DB0E0000}"/>
    <cellStyle name="60% - Accent2 6 6" xfId="3705" xr:uid="{00000000-0005-0000-0000-0000DC0E0000}"/>
    <cellStyle name="60% - Accent2 6 7" xfId="3706" xr:uid="{00000000-0005-0000-0000-0000DD0E0000}"/>
    <cellStyle name="60% - Accent2 6 8" xfId="3707" xr:uid="{00000000-0005-0000-0000-0000DE0E0000}"/>
    <cellStyle name="60% - Accent2 6 9" xfId="3708" xr:uid="{00000000-0005-0000-0000-0000DF0E0000}"/>
    <cellStyle name="60% - Accent2 7" xfId="3709" xr:uid="{00000000-0005-0000-0000-0000E00E0000}"/>
    <cellStyle name="60% - Accent2 7 10" xfId="3710" xr:uid="{00000000-0005-0000-0000-0000E10E0000}"/>
    <cellStyle name="60% - Accent2 7 2" xfId="3711" xr:uid="{00000000-0005-0000-0000-0000E20E0000}"/>
    <cellStyle name="60% - Accent2 7 3" xfId="3712" xr:uid="{00000000-0005-0000-0000-0000E30E0000}"/>
    <cellStyle name="60% - Accent2 7 4" xfId="3713" xr:uid="{00000000-0005-0000-0000-0000E40E0000}"/>
    <cellStyle name="60% - Accent2 7 5" xfId="3714" xr:uid="{00000000-0005-0000-0000-0000E50E0000}"/>
    <cellStyle name="60% - Accent2 7 6" xfId="3715" xr:uid="{00000000-0005-0000-0000-0000E60E0000}"/>
    <cellStyle name="60% - Accent2 7 7" xfId="3716" xr:uid="{00000000-0005-0000-0000-0000E70E0000}"/>
    <cellStyle name="60% - Accent2 7 8" xfId="3717" xr:uid="{00000000-0005-0000-0000-0000E80E0000}"/>
    <cellStyle name="60% - Accent2 7 9" xfId="3718" xr:uid="{00000000-0005-0000-0000-0000E90E0000}"/>
    <cellStyle name="60% - Accent2 8" xfId="3719" xr:uid="{00000000-0005-0000-0000-0000EA0E0000}"/>
    <cellStyle name="60% - Accent2 8 10" xfId="3720" xr:uid="{00000000-0005-0000-0000-0000EB0E0000}"/>
    <cellStyle name="60% - Accent2 8 2" xfId="3721" xr:uid="{00000000-0005-0000-0000-0000EC0E0000}"/>
    <cellStyle name="60% - Accent2 8 3" xfId="3722" xr:uid="{00000000-0005-0000-0000-0000ED0E0000}"/>
    <cellStyle name="60% - Accent2 8 4" xfId="3723" xr:uid="{00000000-0005-0000-0000-0000EE0E0000}"/>
    <cellStyle name="60% - Accent2 8 5" xfId="3724" xr:uid="{00000000-0005-0000-0000-0000EF0E0000}"/>
    <cellStyle name="60% - Accent2 8 6" xfId="3725" xr:uid="{00000000-0005-0000-0000-0000F00E0000}"/>
    <cellStyle name="60% - Accent2 8 7" xfId="3726" xr:uid="{00000000-0005-0000-0000-0000F10E0000}"/>
    <cellStyle name="60% - Accent2 8 8" xfId="3727" xr:uid="{00000000-0005-0000-0000-0000F20E0000}"/>
    <cellStyle name="60% - Accent2 8 9" xfId="3728" xr:uid="{00000000-0005-0000-0000-0000F30E0000}"/>
    <cellStyle name="60% - Accent2 9" xfId="3729" xr:uid="{00000000-0005-0000-0000-0000F40E0000}"/>
    <cellStyle name="60% - Accent2 9 10" xfId="3730" xr:uid="{00000000-0005-0000-0000-0000F50E0000}"/>
    <cellStyle name="60% - Accent2 9 2" xfId="3731" xr:uid="{00000000-0005-0000-0000-0000F60E0000}"/>
    <cellStyle name="60% - Accent2 9 3" xfId="3732" xr:uid="{00000000-0005-0000-0000-0000F70E0000}"/>
    <cellStyle name="60% - Accent2 9 4" xfId="3733" xr:uid="{00000000-0005-0000-0000-0000F80E0000}"/>
    <cellStyle name="60% - Accent2 9 5" xfId="3734" xr:uid="{00000000-0005-0000-0000-0000F90E0000}"/>
    <cellStyle name="60% - Accent2 9 6" xfId="3735" xr:uid="{00000000-0005-0000-0000-0000FA0E0000}"/>
    <cellStyle name="60% - Accent2 9 7" xfId="3736" xr:uid="{00000000-0005-0000-0000-0000FB0E0000}"/>
    <cellStyle name="60% - Accent2 9 8" xfId="3737" xr:uid="{00000000-0005-0000-0000-0000FC0E0000}"/>
    <cellStyle name="60% - Accent2 9 9" xfId="3738" xr:uid="{00000000-0005-0000-0000-0000FD0E0000}"/>
    <cellStyle name="60% - Accent3 10" xfId="3739" xr:uid="{00000000-0005-0000-0000-0000FE0E0000}"/>
    <cellStyle name="60% - Accent3 10 10" xfId="3740" xr:uid="{00000000-0005-0000-0000-0000FF0E0000}"/>
    <cellStyle name="60% - Accent3 10 2" xfId="3741" xr:uid="{00000000-0005-0000-0000-0000000F0000}"/>
    <cellStyle name="60% - Accent3 10 3" xfId="3742" xr:uid="{00000000-0005-0000-0000-0000010F0000}"/>
    <cellStyle name="60% - Accent3 10 4" xfId="3743" xr:uid="{00000000-0005-0000-0000-0000020F0000}"/>
    <cellStyle name="60% - Accent3 10 5" xfId="3744" xr:uid="{00000000-0005-0000-0000-0000030F0000}"/>
    <cellStyle name="60% - Accent3 10 6" xfId="3745" xr:uid="{00000000-0005-0000-0000-0000040F0000}"/>
    <cellStyle name="60% - Accent3 10 7" xfId="3746" xr:uid="{00000000-0005-0000-0000-0000050F0000}"/>
    <cellStyle name="60% - Accent3 10 8" xfId="3747" xr:uid="{00000000-0005-0000-0000-0000060F0000}"/>
    <cellStyle name="60% - Accent3 10 9" xfId="3748" xr:uid="{00000000-0005-0000-0000-0000070F0000}"/>
    <cellStyle name="60% - Accent3 11" xfId="3749" xr:uid="{00000000-0005-0000-0000-0000080F0000}"/>
    <cellStyle name="60% - Accent3 11 10" xfId="3750" xr:uid="{00000000-0005-0000-0000-0000090F0000}"/>
    <cellStyle name="60% - Accent3 11 2" xfId="3751" xr:uid="{00000000-0005-0000-0000-00000A0F0000}"/>
    <cellStyle name="60% - Accent3 11 3" xfId="3752" xr:uid="{00000000-0005-0000-0000-00000B0F0000}"/>
    <cellStyle name="60% - Accent3 11 4" xfId="3753" xr:uid="{00000000-0005-0000-0000-00000C0F0000}"/>
    <cellStyle name="60% - Accent3 11 5" xfId="3754" xr:uid="{00000000-0005-0000-0000-00000D0F0000}"/>
    <cellStyle name="60% - Accent3 11 6" xfId="3755" xr:uid="{00000000-0005-0000-0000-00000E0F0000}"/>
    <cellStyle name="60% - Accent3 11 7" xfId="3756" xr:uid="{00000000-0005-0000-0000-00000F0F0000}"/>
    <cellStyle name="60% - Accent3 11 8" xfId="3757" xr:uid="{00000000-0005-0000-0000-0000100F0000}"/>
    <cellStyle name="60% - Accent3 11 9" xfId="3758" xr:uid="{00000000-0005-0000-0000-0000110F0000}"/>
    <cellStyle name="60% - Accent3 12" xfId="3759" xr:uid="{00000000-0005-0000-0000-0000120F0000}"/>
    <cellStyle name="60% - Accent3 12 10" xfId="3760" xr:uid="{00000000-0005-0000-0000-0000130F0000}"/>
    <cellStyle name="60% - Accent3 12 2" xfId="3761" xr:uid="{00000000-0005-0000-0000-0000140F0000}"/>
    <cellStyle name="60% - Accent3 12 3" xfId="3762" xr:uid="{00000000-0005-0000-0000-0000150F0000}"/>
    <cellStyle name="60% - Accent3 12 4" xfId="3763" xr:uid="{00000000-0005-0000-0000-0000160F0000}"/>
    <cellStyle name="60% - Accent3 12 5" xfId="3764" xr:uid="{00000000-0005-0000-0000-0000170F0000}"/>
    <cellStyle name="60% - Accent3 12 6" xfId="3765" xr:uid="{00000000-0005-0000-0000-0000180F0000}"/>
    <cellStyle name="60% - Accent3 12 7" xfId="3766" xr:uid="{00000000-0005-0000-0000-0000190F0000}"/>
    <cellStyle name="60% - Accent3 12 8" xfId="3767" xr:uid="{00000000-0005-0000-0000-00001A0F0000}"/>
    <cellStyle name="60% - Accent3 12 9" xfId="3768" xr:uid="{00000000-0005-0000-0000-00001B0F0000}"/>
    <cellStyle name="60% - Accent3 13" xfId="3769" xr:uid="{00000000-0005-0000-0000-00001C0F0000}"/>
    <cellStyle name="60% - Accent3 13 10" xfId="3770" xr:uid="{00000000-0005-0000-0000-00001D0F0000}"/>
    <cellStyle name="60% - Accent3 13 2" xfId="3771" xr:uid="{00000000-0005-0000-0000-00001E0F0000}"/>
    <cellStyle name="60% - Accent3 13 3" xfId="3772" xr:uid="{00000000-0005-0000-0000-00001F0F0000}"/>
    <cellStyle name="60% - Accent3 13 4" xfId="3773" xr:uid="{00000000-0005-0000-0000-0000200F0000}"/>
    <cellStyle name="60% - Accent3 13 5" xfId="3774" xr:uid="{00000000-0005-0000-0000-0000210F0000}"/>
    <cellStyle name="60% - Accent3 13 6" xfId="3775" xr:uid="{00000000-0005-0000-0000-0000220F0000}"/>
    <cellStyle name="60% - Accent3 13 7" xfId="3776" xr:uid="{00000000-0005-0000-0000-0000230F0000}"/>
    <cellStyle name="60% - Accent3 13 8" xfId="3777" xr:uid="{00000000-0005-0000-0000-0000240F0000}"/>
    <cellStyle name="60% - Accent3 13 9" xfId="3778" xr:uid="{00000000-0005-0000-0000-0000250F0000}"/>
    <cellStyle name="60% - Accent3 14" xfId="3779" xr:uid="{00000000-0005-0000-0000-0000260F0000}"/>
    <cellStyle name="60% - Accent3 14 10" xfId="3780" xr:uid="{00000000-0005-0000-0000-0000270F0000}"/>
    <cellStyle name="60% - Accent3 14 2" xfId="3781" xr:uid="{00000000-0005-0000-0000-0000280F0000}"/>
    <cellStyle name="60% - Accent3 14 3" xfId="3782" xr:uid="{00000000-0005-0000-0000-0000290F0000}"/>
    <cellStyle name="60% - Accent3 14 4" xfId="3783" xr:uid="{00000000-0005-0000-0000-00002A0F0000}"/>
    <cellStyle name="60% - Accent3 14 5" xfId="3784" xr:uid="{00000000-0005-0000-0000-00002B0F0000}"/>
    <cellStyle name="60% - Accent3 14 6" xfId="3785" xr:uid="{00000000-0005-0000-0000-00002C0F0000}"/>
    <cellStyle name="60% - Accent3 14 7" xfId="3786" xr:uid="{00000000-0005-0000-0000-00002D0F0000}"/>
    <cellStyle name="60% - Accent3 14 8" xfId="3787" xr:uid="{00000000-0005-0000-0000-00002E0F0000}"/>
    <cellStyle name="60% - Accent3 14 9" xfId="3788" xr:uid="{00000000-0005-0000-0000-00002F0F0000}"/>
    <cellStyle name="60% - Accent3 15" xfId="3789" xr:uid="{00000000-0005-0000-0000-0000300F0000}"/>
    <cellStyle name="60% - Accent3 15 10" xfId="3790" xr:uid="{00000000-0005-0000-0000-0000310F0000}"/>
    <cellStyle name="60% - Accent3 15 2" xfId="3791" xr:uid="{00000000-0005-0000-0000-0000320F0000}"/>
    <cellStyle name="60% - Accent3 15 3" xfId="3792" xr:uid="{00000000-0005-0000-0000-0000330F0000}"/>
    <cellStyle name="60% - Accent3 15 4" xfId="3793" xr:uid="{00000000-0005-0000-0000-0000340F0000}"/>
    <cellStyle name="60% - Accent3 15 5" xfId="3794" xr:uid="{00000000-0005-0000-0000-0000350F0000}"/>
    <cellStyle name="60% - Accent3 15 6" xfId="3795" xr:uid="{00000000-0005-0000-0000-0000360F0000}"/>
    <cellStyle name="60% - Accent3 15 7" xfId="3796" xr:uid="{00000000-0005-0000-0000-0000370F0000}"/>
    <cellStyle name="60% - Accent3 15 8" xfId="3797" xr:uid="{00000000-0005-0000-0000-0000380F0000}"/>
    <cellStyle name="60% - Accent3 15 9" xfId="3798" xr:uid="{00000000-0005-0000-0000-0000390F0000}"/>
    <cellStyle name="60% - Accent3 16" xfId="3799" xr:uid="{00000000-0005-0000-0000-00003A0F0000}"/>
    <cellStyle name="60% - Accent3 16 10" xfId="3800" xr:uid="{00000000-0005-0000-0000-00003B0F0000}"/>
    <cellStyle name="60% - Accent3 16 2" xfId="3801" xr:uid="{00000000-0005-0000-0000-00003C0F0000}"/>
    <cellStyle name="60% - Accent3 16 3" xfId="3802" xr:uid="{00000000-0005-0000-0000-00003D0F0000}"/>
    <cellStyle name="60% - Accent3 16 4" xfId="3803" xr:uid="{00000000-0005-0000-0000-00003E0F0000}"/>
    <cellStyle name="60% - Accent3 16 5" xfId="3804" xr:uid="{00000000-0005-0000-0000-00003F0F0000}"/>
    <cellStyle name="60% - Accent3 16 6" xfId="3805" xr:uid="{00000000-0005-0000-0000-0000400F0000}"/>
    <cellStyle name="60% - Accent3 16 7" xfId="3806" xr:uid="{00000000-0005-0000-0000-0000410F0000}"/>
    <cellStyle name="60% - Accent3 16 8" xfId="3807" xr:uid="{00000000-0005-0000-0000-0000420F0000}"/>
    <cellStyle name="60% - Accent3 16 9" xfId="3808" xr:uid="{00000000-0005-0000-0000-0000430F0000}"/>
    <cellStyle name="60% - Accent3 17" xfId="3809" xr:uid="{00000000-0005-0000-0000-0000440F0000}"/>
    <cellStyle name="60% - Accent3 17 10" xfId="3810" xr:uid="{00000000-0005-0000-0000-0000450F0000}"/>
    <cellStyle name="60% - Accent3 17 2" xfId="3811" xr:uid="{00000000-0005-0000-0000-0000460F0000}"/>
    <cellStyle name="60% - Accent3 17 3" xfId="3812" xr:uid="{00000000-0005-0000-0000-0000470F0000}"/>
    <cellStyle name="60% - Accent3 17 4" xfId="3813" xr:uid="{00000000-0005-0000-0000-0000480F0000}"/>
    <cellStyle name="60% - Accent3 17 5" xfId="3814" xr:uid="{00000000-0005-0000-0000-0000490F0000}"/>
    <cellStyle name="60% - Accent3 17 6" xfId="3815" xr:uid="{00000000-0005-0000-0000-00004A0F0000}"/>
    <cellStyle name="60% - Accent3 17 7" xfId="3816" xr:uid="{00000000-0005-0000-0000-00004B0F0000}"/>
    <cellStyle name="60% - Accent3 17 8" xfId="3817" xr:uid="{00000000-0005-0000-0000-00004C0F0000}"/>
    <cellStyle name="60% - Accent3 17 9" xfId="3818" xr:uid="{00000000-0005-0000-0000-00004D0F0000}"/>
    <cellStyle name="60% - Accent3 18" xfId="3819" xr:uid="{00000000-0005-0000-0000-00004E0F0000}"/>
    <cellStyle name="60% - Accent3 18 2" xfId="3820" xr:uid="{00000000-0005-0000-0000-00004F0F0000}"/>
    <cellStyle name="60% - Accent3 18 3" xfId="3821" xr:uid="{00000000-0005-0000-0000-0000500F0000}"/>
    <cellStyle name="60% - Accent3 18 4" xfId="3822" xr:uid="{00000000-0005-0000-0000-0000510F0000}"/>
    <cellStyle name="60% - Accent3 18 5" xfId="3823" xr:uid="{00000000-0005-0000-0000-0000520F0000}"/>
    <cellStyle name="60% - Accent3 18 6" xfId="3824" xr:uid="{00000000-0005-0000-0000-0000530F0000}"/>
    <cellStyle name="60% - Accent3 18 7" xfId="3825" xr:uid="{00000000-0005-0000-0000-0000540F0000}"/>
    <cellStyle name="60% - Accent3 18 8" xfId="3826" xr:uid="{00000000-0005-0000-0000-0000550F0000}"/>
    <cellStyle name="60% - Accent3 19" xfId="3827" xr:uid="{00000000-0005-0000-0000-0000560F0000}"/>
    <cellStyle name="60% - Accent3 19 2" xfId="3828" xr:uid="{00000000-0005-0000-0000-0000570F0000}"/>
    <cellStyle name="60% - Accent3 19 3" xfId="3829" xr:uid="{00000000-0005-0000-0000-0000580F0000}"/>
    <cellStyle name="60% - Accent3 19 4" xfId="3830" xr:uid="{00000000-0005-0000-0000-0000590F0000}"/>
    <cellStyle name="60% - Accent3 19 5" xfId="3831" xr:uid="{00000000-0005-0000-0000-00005A0F0000}"/>
    <cellStyle name="60% - Accent3 19 6" xfId="3832" xr:uid="{00000000-0005-0000-0000-00005B0F0000}"/>
    <cellStyle name="60% - Accent3 19 7" xfId="3833" xr:uid="{00000000-0005-0000-0000-00005C0F0000}"/>
    <cellStyle name="60% - Accent3 19 8" xfId="3834" xr:uid="{00000000-0005-0000-0000-00005D0F0000}"/>
    <cellStyle name="60% - Accent3 2" xfId="3835" xr:uid="{00000000-0005-0000-0000-00005E0F0000}"/>
    <cellStyle name="60% - Accent3 2 10" xfId="3836" xr:uid="{00000000-0005-0000-0000-00005F0F0000}"/>
    <cellStyle name="60% - Accent3 2 11" xfId="21699" xr:uid="{00000000-0005-0000-0000-0000600F0000}"/>
    <cellStyle name="60% - Accent3 2 2" xfId="3837" xr:uid="{00000000-0005-0000-0000-0000610F0000}"/>
    <cellStyle name="60% - Accent3 2 3" xfId="3838" xr:uid="{00000000-0005-0000-0000-0000620F0000}"/>
    <cellStyle name="60% - Accent3 2 4" xfId="3839" xr:uid="{00000000-0005-0000-0000-0000630F0000}"/>
    <cellStyle name="60% - Accent3 2 5" xfId="3840" xr:uid="{00000000-0005-0000-0000-0000640F0000}"/>
    <cellStyle name="60% - Accent3 2 6" xfId="3841" xr:uid="{00000000-0005-0000-0000-0000650F0000}"/>
    <cellStyle name="60% - Accent3 2 7" xfId="3842" xr:uid="{00000000-0005-0000-0000-0000660F0000}"/>
    <cellStyle name="60% - Accent3 2 8" xfId="3843" xr:uid="{00000000-0005-0000-0000-0000670F0000}"/>
    <cellStyle name="60% - Accent3 2 9" xfId="3844" xr:uid="{00000000-0005-0000-0000-0000680F0000}"/>
    <cellStyle name="60% - Accent3 20" xfId="3845" xr:uid="{00000000-0005-0000-0000-0000690F0000}"/>
    <cellStyle name="60% - Accent3 20 2" xfId="3846" xr:uid="{00000000-0005-0000-0000-00006A0F0000}"/>
    <cellStyle name="60% - Accent3 20 3" xfId="3847" xr:uid="{00000000-0005-0000-0000-00006B0F0000}"/>
    <cellStyle name="60% - Accent3 20 4" xfId="3848" xr:uid="{00000000-0005-0000-0000-00006C0F0000}"/>
    <cellStyle name="60% - Accent3 20 5" xfId="3849" xr:uid="{00000000-0005-0000-0000-00006D0F0000}"/>
    <cellStyle name="60% - Accent3 20 6" xfId="3850" xr:uid="{00000000-0005-0000-0000-00006E0F0000}"/>
    <cellStyle name="60% - Accent3 20 7" xfId="3851" xr:uid="{00000000-0005-0000-0000-00006F0F0000}"/>
    <cellStyle name="60% - Accent3 20 8" xfId="3852" xr:uid="{00000000-0005-0000-0000-0000700F0000}"/>
    <cellStyle name="60% - Accent3 21" xfId="3853" xr:uid="{00000000-0005-0000-0000-0000710F0000}"/>
    <cellStyle name="60% - Accent3 21 2" xfId="3854" xr:uid="{00000000-0005-0000-0000-0000720F0000}"/>
    <cellStyle name="60% - Accent3 21 3" xfId="3855" xr:uid="{00000000-0005-0000-0000-0000730F0000}"/>
    <cellStyle name="60% - Accent3 21 4" xfId="3856" xr:uid="{00000000-0005-0000-0000-0000740F0000}"/>
    <cellStyle name="60% - Accent3 21 5" xfId="3857" xr:uid="{00000000-0005-0000-0000-0000750F0000}"/>
    <cellStyle name="60% - Accent3 21 6" xfId="3858" xr:uid="{00000000-0005-0000-0000-0000760F0000}"/>
    <cellStyle name="60% - Accent3 21 7" xfId="3859" xr:uid="{00000000-0005-0000-0000-0000770F0000}"/>
    <cellStyle name="60% - Accent3 21 8" xfId="3860" xr:uid="{00000000-0005-0000-0000-0000780F0000}"/>
    <cellStyle name="60% - Accent3 22" xfId="3861" xr:uid="{00000000-0005-0000-0000-0000790F0000}"/>
    <cellStyle name="60% - Accent3 22 2" xfId="3862" xr:uid="{00000000-0005-0000-0000-00007A0F0000}"/>
    <cellStyle name="60% - Accent3 22 3" xfId="3863" xr:uid="{00000000-0005-0000-0000-00007B0F0000}"/>
    <cellStyle name="60% - Accent3 22 4" xfId="3864" xr:uid="{00000000-0005-0000-0000-00007C0F0000}"/>
    <cellStyle name="60% - Accent3 22 5" xfId="3865" xr:uid="{00000000-0005-0000-0000-00007D0F0000}"/>
    <cellStyle name="60% - Accent3 22 6" xfId="3866" xr:uid="{00000000-0005-0000-0000-00007E0F0000}"/>
    <cellStyle name="60% - Accent3 22 7" xfId="3867" xr:uid="{00000000-0005-0000-0000-00007F0F0000}"/>
    <cellStyle name="60% - Accent3 22 8" xfId="3868" xr:uid="{00000000-0005-0000-0000-0000800F0000}"/>
    <cellStyle name="60% - Accent3 23" xfId="3869" xr:uid="{00000000-0005-0000-0000-0000810F0000}"/>
    <cellStyle name="60% - Accent3 23 2" xfId="3870" xr:uid="{00000000-0005-0000-0000-0000820F0000}"/>
    <cellStyle name="60% - Accent3 23 3" xfId="3871" xr:uid="{00000000-0005-0000-0000-0000830F0000}"/>
    <cellStyle name="60% - Accent3 23 4" xfId="3872" xr:uid="{00000000-0005-0000-0000-0000840F0000}"/>
    <cellStyle name="60% - Accent3 23 5" xfId="3873" xr:uid="{00000000-0005-0000-0000-0000850F0000}"/>
    <cellStyle name="60% - Accent3 23 6" xfId="3874" xr:uid="{00000000-0005-0000-0000-0000860F0000}"/>
    <cellStyle name="60% - Accent3 23 7" xfId="3875" xr:uid="{00000000-0005-0000-0000-0000870F0000}"/>
    <cellStyle name="60% - Accent3 23 8" xfId="3876" xr:uid="{00000000-0005-0000-0000-0000880F0000}"/>
    <cellStyle name="60% - Accent3 24" xfId="3877" xr:uid="{00000000-0005-0000-0000-0000890F0000}"/>
    <cellStyle name="60% - Accent3 24 2" xfId="3878" xr:uid="{00000000-0005-0000-0000-00008A0F0000}"/>
    <cellStyle name="60% - Accent3 24 3" xfId="3879" xr:uid="{00000000-0005-0000-0000-00008B0F0000}"/>
    <cellStyle name="60% - Accent3 24 4" xfId="3880" xr:uid="{00000000-0005-0000-0000-00008C0F0000}"/>
    <cellStyle name="60% - Accent3 24 5" xfId="3881" xr:uid="{00000000-0005-0000-0000-00008D0F0000}"/>
    <cellStyle name="60% - Accent3 24 6" xfId="3882" xr:uid="{00000000-0005-0000-0000-00008E0F0000}"/>
    <cellStyle name="60% - Accent3 24 7" xfId="3883" xr:uid="{00000000-0005-0000-0000-00008F0F0000}"/>
    <cellStyle name="60% - Accent3 24 8" xfId="3884" xr:uid="{00000000-0005-0000-0000-0000900F0000}"/>
    <cellStyle name="60% - Accent3 25" xfId="3885" xr:uid="{00000000-0005-0000-0000-0000910F0000}"/>
    <cellStyle name="60% - Accent3 25 2" xfId="3886" xr:uid="{00000000-0005-0000-0000-0000920F0000}"/>
    <cellStyle name="60% - Accent3 25 3" xfId="3887" xr:uid="{00000000-0005-0000-0000-0000930F0000}"/>
    <cellStyle name="60% - Accent3 25 4" xfId="3888" xr:uid="{00000000-0005-0000-0000-0000940F0000}"/>
    <cellStyle name="60% - Accent3 25 5" xfId="3889" xr:uid="{00000000-0005-0000-0000-0000950F0000}"/>
    <cellStyle name="60% - Accent3 25 6" xfId="3890" xr:uid="{00000000-0005-0000-0000-0000960F0000}"/>
    <cellStyle name="60% - Accent3 25 7" xfId="3891" xr:uid="{00000000-0005-0000-0000-0000970F0000}"/>
    <cellStyle name="60% - Accent3 25 8" xfId="3892" xr:uid="{00000000-0005-0000-0000-0000980F0000}"/>
    <cellStyle name="60% - Accent3 26" xfId="3893" xr:uid="{00000000-0005-0000-0000-0000990F0000}"/>
    <cellStyle name="60% - Accent3 26 2" xfId="3894" xr:uid="{00000000-0005-0000-0000-00009A0F0000}"/>
    <cellStyle name="60% - Accent3 26 3" xfId="3895" xr:uid="{00000000-0005-0000-0000-00009B0F0000}"/>
    <cellStyle name="60% - Accent3 26 4" xfId="3896" xr:uid="{00000000-0005-0000-0000-00009C0F0000}"/>
    <cellStyle name="60% - Accent3 26 5" xfId="3897" xr:uid="{00000000-0005-0000-0000-00009D0F0000}"/>
    <cellStyle name="60% - Accent3 26 6" xfId="3898" xr:uid="{00000000-0005-0000-0000-00009E0F0000}"/>
    <cellStyle name="60% - Accent3 26 7" xfId="3899" xr:uid="{00000000-0005-0000-0000-00009F0F0000}"/>
    <cellStyle name="60% - Accent3 26 8" xfId="3900" xr:uid="{00000000-0005-0000-0000-0000A00F0000}"/>
    <cellStyle name="60% - Accent3 27" xfId="3901" xr:uid="{00000000-0005-0000-0000-0000A10F0000}"/>
    <cellStyle name="60% - Accent3 27 2" xfId="3902" xr:uid="{00000000-0005-0000-0000-0000A20F0000}"/>
    <cellStyle name="60% - Accent3 27 3" xfId="3903" xr:uid="{00000000-0005-0000-0000-0000A30F0000}"/>
    <cellStyle name="60% - Accent3 27 4" xfId="3904" xr:uid="{00000000-0005-0000-0000-0000A40F0000}"/>
    <cellStyle name="60% - Accent3 27 5" xfId="3905" xr:uid="{00000000-0005-0000-0000-0000A50F0000}"/>
    <cellStyle name="60% - Accent3 27 6" xfId="3906" xr:uid="{00000000-0005-0000-0000-0000A60F0000}"/>
    <cellStyle name="60% - Accent3 27 7" xfId="3907" xr:uid="{00000000-0005-0000-0000-0000A70F0000}"/>
    <cellStyle name="60% - Accent3 27 8" xfId="3908" xr:uid="{00000000-0005-0000-0000-0000A80F0000}"/>
    <cellStyle name="60% - Accent3 28" xfId="3909" xr:uid="{00000000-0005-0000-0000-0000A90F0000}"/>
    <cellStyle name="60% - Accent3 28 2" xfId="3910" xr:uid="{00000000-0005-0000-0000-0000AA0F0000}"/>
    <cellStyle name="60% - Accent3 28 3" xfId="3911" xr:uid="{00000000-0005-0000-0000-0000AB0F0000}"/>
    <cellStyle name="60% - Accent3 28 4" xfId="3912" xr:uid="{00000000-0005-0000-0000-0000AC0F0000}"/>
    <cellStyle name="60% - Accent3 28 5" xfId="3913" xr:uid="{00000000-0005-0000-0000-0000AD0F0000}"/>
    <cellStyle name="60% - Accent3 28 6" xfId="3914" xr:uid="{00000000-0005-0000-0000-0000AE0F0000}"/>
    <cellStyle name="60% - Accent3 28 7" xfId="3915" xr:uid="{00000000-0005-0000-0000-0000AF0F0000}"/>
    <cellStyle name="60% - Accent3 28 8" xfId="3916" xr:uid="{00000000-0005-0000-0000-0000B00F0000}"/>
    <cellStyle name="60% - Accent3 29" xfId="3917" xr:uid="{00000000-0005-0000-0000-0000B10F0000}"/>
    <cellStyle name="60% - Accent3 29 2" xfId="3918" xr:uid="{00000000-0005-0000-0000-0000B20F0000}"/>
    <cellStyle name="60% - Accent3 29 3" xfId="3919" xr:uid="{00000000-0005-0000-0000-0000B30F0000}"/>
    <cellStyle name="60% - Accent3 29 4" xfId="3920" xr:uid="{00000000-0005-0000-0000-0000B40F0000}"/>
    <cellStyle name="60% - Accent3 29 5" xfId="3921" xr:uid="{00000000-0005-0000-0000-0000B50F0000}"/>
    <cellStyle name="60% - Accent3 29 6" xfId="3922" xr:uid="{00000000-0005-0000-0000-0000B60F0000}"/>
    <cellStyle name="60% - Accent3 29 7" xfId="3923" xr:uid="{00000000-0005-0000-0000-0000B70F0000}"/>
    <cellStyle name="60% - Accent3 29 8" xfId="3924" xr:uid="{00000000-0005-0000-0000-0000B80F0000}"/>
    <cellStyle name="60% - Accent3 3" xfId="3925" xr:uid="{00000000-0005-0000-0000-0000B90F0000}"/>
    <cellStyle name="60% - Accent3 3 10" xfId="3926" xr:uid="{00000000-0005-0000-0000-0000BA0F0000}"/>
    <cellStyle name="60% - Accent3 3 11" xfId="22011" xr:uid="{00000000-0005-0000-0000-0000BB0F0000}"/>
    <cellStyle name="60% - Accent3 3 2" xfId="3927" xr:uid="{00000000-0005-0000-0000-0000BC0F0000}"/>
    <cellStyle name="60% - Accent3 3 3" xfId="3928" xr:uid="{00000000-0005-0000-0000-0000BD0F0000}"/>
    <cellStyle name="60% - Accent3 3 4" xfId="3929" xr:uid="{00000000-0005-0000-0000-0000BE0F0000}"/>
    <cellStyle name="60% - Accent3 3 5" xfId="3930" xr:uid="{00000000-0005-0000-0000-0000BF0F0000}"/>
    <cellStyle name="60% - Accent3 3 6" xfId="3931" xr:uid="{00000000-0005-0000-0000-0000C00F0000}"/>
    <cellStyle name="60% - Accent3 3 7" xfId="3932" xr:uid="{00000000-0005-0000-0000-0000C10F0000}"/>
    <cellStyle name="60% - Accent3 3 8" xfId="3933" xr:uid="{00000000-0005-0000-0000-0000C20F0000}"/>
    <cellStyle name="60% - Accent3 3 9" xfId="3934" xr:uid="{00000000-0005-0000-0000-0000C30F0000}"/>
    <cellStyle name="60% - Accent3 30" xfId="3935" xr:uid="{00000000-0005-0000-0000-0000C40F0000}"/>
    <cellStyle name="60% - Accent3 31" xfId="3936" xr:uid="{00000000-0005-0000-0000-0000C50F0000}"/>
    <cellStyle name="60% - Accent3 32" xfId="3937" xr:uid="{00000000-0005-0000-0000-0000C60F0000}"/>
    <cellStyle name="60% - Accent3 33" xfId="3938" xr:uid="{00000000-0005-0000-0000-0000C70F0000}"/>
    <cellStyle name="60% - Accent3 34" xfId="3939" xr:uid="{00000000-0005-0000-0000-0000C80F0000}"/>
    <cellStyle name="60% - Accent3 35" xfId="3940" xr:uid="{00000000-0005-0000-0000-0000C90F0000}"/>
    <cellStyle name="60% - Accent3 36" xfId="3941" xr:uid="{00000000-0005-0000-0000-0000CA0F0000}"/>
    <cellStyle name="60% - Accent3 37" xfId="3942" xr:uid="{00000000-0005-0000-0000-0000CB0F0000}"/>
    <cellStyle name="60% - Accent3 38" xfId="3943" xr:uid="{00000000-0005-0000-0000-0000CC0F0000}"/>
    <cellStyle name="60% - Accent3 39" xfId="3944" xr:uid="{00000000-0005-0000-0000-0000CD0F0000}"/>
    <cellStyle name="60% - Accent3 4" xfId="3945" xr:uid="{00000000-0005-0000-0000-0000CE0F0000}"/>
    <cellStyle name="60% - Accent3 4 10" xfId="3946" xr:uid="{00000000-0005-0000-0000-0000CF0F0000}"/>
    <cellStyle name="60% - Accent3 4 11" xfId="22012" xr:uid="{00000000-0005-0000-0000-0000D00F0000}"/>
    <cellStyle name="60% - Accent3 4 2" xfId="3947" xr:uid="{00000000-0005-0000-0000-0000D10F0000}"/>
    <cellStyle name="60% - Accent3 4 3" xfId="3948" xr:uid="{00000000-0005-0000-0000-0000D20F0000}"/>
    <cellStyle name="60% - Accent3 4 4" xfId="3949" xr:uid="{00000000-0005-0000-0000-0000D30F0000}"/>
    <cellStyle name="60% - Accent3 4 5" xfId="3950" xr:uid="{00000000-0005-0000-0000-0000D40F0000}"/>
    <cellStyle name="60% - Accent3 4 6" xfId="3951" xr:uid="{00000000-0005-0000-0000-0000D50F0000}"/>
    <cellStyle name="60% - Accent3 4 7" xfId="3952" xr:uid="{00000000-0005-0000-0000-0000D60F0000}"/>
    <cellStyle name="60% - Accent3 4 8" xfId="3953" xr:uid="{00000000-0005-0000-0000-0000D70F0000}"/>
    <cellStyle name="60% - Accent3 4 9" xfId="3954" xr:uid="{00000000-0005-0000-0000-0000D80F0000}"/>
    <cellStyle name="60% - Accent3 40" xfId="21700" xr:uid="{00000000-0005-0000-0000-0000D90F0000}"/>
    <cellStyle name="60% - Accent3 41" xfId="27182" xr:uid="{07A719E3-1BB9-47A0-BB40-10A14A7567BB}"/>
    <cellStyle name="60% - Accent3 5" xfId="3955" xr:uid="{00000000-0005-0000-0000-0000DA0F0000}"/>
    <cellStyle name="60% - Accent3 5 10" xfId="3956" xr:uid="{00000000-0005-0000-0000-0000DB0F0000}"/>
    <cellStyle name="60% - Accent3 5 11" xfId="22013" xr:uid="{00000000-0005-0000-0000-0000DC0F0000}"/>
    <cellStyle name="60% - Accent3 5 2" xfId="3957" xr:uid="{00000000-0005-0000-0000-0000DD0F0000}"/>
    <cellStyle name="60% - Accent3 5 3" xfId="3958" xr:uid="{00000000-0005-0000-0000-0000DE0F0000}"/>
    <cellStyle name="60% - Accent3 5 4" xfId="3959" xr:uid="{00000000-0005-0000-0000-0000DF0F0000}"/>
    <cellStyle name="60% - Accent3 5 5" xfId="3960" xr:uid="{00000000-0005-0000-0000-0000E00F0000}"/>
    <cellStyle name="60% - Accent3 5 6" xfId="3961" xr:uid="{00000000-0005-0000-0000-0000E10F0000}"/>
    <cellStyle name="60% - Accent3 5 7" xfId="3962" xr:uid="{00000000-0005-0000-0000-0000E20F0000}"/>
    <cellStyle name="60% - Accent3 5 8" xfId="3963" xr:uid="{00000000-0005-0000-0000-0000E30F0000}"/>
    <cellStyle name="60% - Accent3 5 9" xfId="3964" xr:uid="{00000000-0005-0000-0000-0000E40F0000}"/>
    <cellStyle name="60% - Accent3 6" xfId="3965" xr:uid="{00000000-0005-0000-0000-0000E50F0000}"/>
    <cellStyle name="60% - Accent3 6 10" xfId="3966" xr:uid="{00000000-0005-0000-0000-0000E60F0000}"/>
    <cellStyle name="60% - Accent3 6 2" xfId="3967" xr:uid="{00000000-0005-0000-0000-0000E70F0000}"/>
    <cellStyle name="60% - Accent3 6 3" xfId="3968" xr:uid="{00000000-0005-0000-0000-0000E80F0000}"/>
    <cellStyle name="60% - Accent3 6 4" xfId="3969" xr:uid="{00000000-0005-0000-0000-0000E90F0000}"/>
    <cellStyle name="60% - Accent3 6 5" xfId="3970" xr:uid="{00000000-0005-0000-0000-0000EA0F0000}"/>
    <cellStyle name="60% - Accent3 6 6" xfId="3971" xr:uid="{00000000-0005-0000-0000-0000EB0F0000}"/>
    <cellStyle name="60% - Accent3 6 7" xfId="3972" xr:uid="{00000000-0005-0000-0000-0000EC0F0000}"/>
    <cellStyle name="60% - Accent3 6 8" xfId="3973" xr:uid="{00000000-0005-0000-0000-0000ED0F0000}"/>
    <cellStyle name="60% - Accent3 6 9" xfId="3974" xr:uid="{00000000-0005-0000-0000-0000EE0F0000}"/>
    <cellStyle name="60% - Accent3 7" xfId="3975" xr:uid="{00000000-0005-0000-0000-0000EF0F0000}"/>
    <cellStyle name="60% - Accent3 7 10" xfId="3976" xr:uid="{00000000-0005-0000-0000-0000F00F0000}"/>
    <cellStyle name="60% - Accent3 7 2" xfId="3977" xr:uid="{00000000-0005-0000-0000-0000F10F0000}"/>
    <cellStyle name="60% - Accent3 7 3" xfId="3978" xr:uid="{00000000-0005-0000-0000-0000F20F0000}"/>
    <cellStyle name="60% - Accent3 7 4" xfId="3979" xr:uid="{00000000-0005-0000-0000-0000F30F0000}"/>
    <cellStyle name="60% - Accent3 7 5" xfId="3980" xr:uid="{00000000-0005-0000-0000-0000F40F0000}"/>
    <cellStyle name="60% - Accent3 7 6" xfId="3981" xr:uid="{00000000-0005-0000-0000-0000F50F0000}"/>
    <cellStyle name="60% - Accent3 7 7" xfId="3982" xr:uid="{00000000-0005-0000-0000-0000F60F0000}"/>
    <cellStyle name="60% - Accent3 7 8" xfId="3983" xr:uid="{00000000-0005-0000-0000-0000F70F0000}"/>
    <cellStyle name="60% - Accent3 7 9" xfId="3984" xr:uid="{00000000-0005-0000-0000-0000F80F0000}"/>
    <cellStyle name="60% - Accent3 8" xfId="3985" xr:uid="{00000000-0005-0000-0000-0000F90F0000}"/>
    <cellStyle name="60% - Accent3 8 10" xfId="3986" xr:uid="{00000000-0005-0000-0000-0000FA0F0000}"/>
    <cellStyle name="60% - Accent3 8 2" xfId="3987" xr:uid="{00000000-0005-0000-0000-0000FB0F0000}"/>
    <cellStyle name="60% - Accent3 8 3" xfId="3988" xr:uid="{00000000-0005-0000-0000-0000FC0F0000}"/>
    <cellStyle name="60% - Accent3 8 4" xfId="3989" xr:uid="{00000000-0005-0000-0000-0000FD0F0000}"/>
    <cellStyle name="60% - Accent3 8 5" xfId="3990" xr:uid="{00000000-0005-0000-0000-0000FE0F0000}"/>
    <cellStyle name="60% - Accent3 8 6" xfId="3991" xr:uid="{00000000-0005-0000-0000-0000FF0F0000}"/>
    <cellStyle name="60% - Accent3 8 7" xfId="3992" xr:uid="{00000000-0005-0000-0000-000000100000}"/>
    <cellStyle name="60% - Accent3 8 8" xfId="3993" xr:uid="{00000000-0005-0000-0000-000001100000}"/>
    <cellStyle name="60% - Accent3 8 9" xfId="3994" xr:uid="{00000000-0005-0000-0000-000002100000}"/>
    <cellStyle name="60% - Accent3 9" xfId="3995" xr:uid="{00000000-0005-0000-0000-000003100000}"/>
    <cellStyle name="60% - Accent3 9 10" xfId="3996" xr:uid="{00000000-0005-0000-0000-000004100000}"/>
    <cellStyle name="60% - Accent3 9 2" xfId="3997" xr:uid="{00000000-0005-0000-0000-000005100000}"/>
    <cellStyle name="60% - Accent3 9 3" xfId="3998" xr:uid="{00000000-0005-0000-0000-000006100000}"/>
    <cellStyle name="60% - Accent3 9 4" xfId="3999" xr:uid="{00000000-0005-0000-0000-000007100000}"/>
    <cellStyle name="60% - Accent3 9 5" xfId="4000" xr:uid="{00000000-0005-0000-0000-000008100000}"/>
    <cellStyle name="60% - Accent3 9 6" xfId="4001" xr:uid="{00000000-0005-0000-0000-000009100000}"/>
    <cellStyle name="60% - Accent3 9 7" xfId="4002" xr:uid="{00000000-0005-0000-0000-00000A100000}"/>
    <cellStyle name="60% - Accent3 9 8" xfId="4003" xr:uid="{00000000-0005-0000-0000-00000B100000}"/>
    <cellStyle name="60% - Accent3 9 9" xfId="4004" xr:uid="{00000000-0005-0000-0000-00000C100000}"/>
    <cellStyle name="60% - Accent4 10" xfId="4005" xr:uid="{00000000-0005-0000-0000-00000D100000}"/>
    <cellStyle name="60% - Accent4 10 10" xfId="4006" xr:uid="{00000000-0005-0000-0000-00000E100000}"/>
    <cellStyle name="60% - Accent4 10 2" xfId="4007" xr:uid="{00000000-0005-0000-0000-00000F100000}"/>
    <cellStyle name="60% - Accent4 10 3" xfId="4008" xr:uid="{00000000-0005-0000-0000-000010100000}"/>
    <cellStyle name="60% - Accent4 10 4" xfId="4009" xr:uid="{00000000-0005-0000-0000-000011100000}"/>
    <cellStyle name="60% - Accent4 10 5" xfId="4010" xr:uid="{00000000-0005-0000-0000-000012100000}"/>
    <cellStyle name="60% - Accent4 10 6" xfId="4011" xr:uid="{00000000-0005-0000-0000-000013100000}"/>
    <cellStyle name="60% - Accent4 10 7" xfId="4012" xr:uid="{00000000-0005-0000-0000-000014100000}"/>
    <cellStyle name="60% - Accent4 10 8" xfId="4013" xr:uid="{00000000-0005-0000-0000-000015100000}"/>
    <cellStyle name="60% - Accent4 10 9" xfId="4014" xr:uid="{00000000-0005-0000-0000-000016100000}"/>
    <cellStyle name="60% - Accent4 11" xfId="4015" xr:uid="{00000000-0005-0000-0000-000017100000}"/>
    <cellStyle name="60% - Accent4 11 10" xfId="4016" xr:uid="{00000000-0005-0000-0000-000018100000}"/>
    <cellStyle name="60% - Accent4 11 2" xfId="4017" xr:uid="{00000000-0005-0000-0000-000019100000}"/>
    <cellStyle name="60% - Accent4 11 3" xfId="4018" xr:uid="{00000000-0005-0000-0000-00001A100000}"/>
    <cellStyle name="60% - Accent4 11 4" xfId="4019" xr:uid="{00000000-0005-0000-0000-00001B100000}"/>
    <cellStyle name="60% - Accent4 11 5" xfId="4020" xr:uid="{00000000-0005-0000-0000-00001C100000}"/>
    <cellStyle name="60% - Accent4 11 6" xfId="4021" xr:uid="{00000000-0005-0000-0000-00001D100000}"/>
    <cellStyle name="60% - Accent4 11 7" xfId="4022" xr:uid="{00000000-0005-0000-0000-00001E100000}"/>
    <cellStyle name="60% - Accent4 11 8" xfId="4023" xr:uid="{00000000-0005-0000-0000-00001F100000}"/>
    <cellStyle name="60% - Accent4 11 9" xfId="4024" xr:uid="{00000000-0005-0000-0000-000020100000}"/>
    <cellStyle name="60% - Accent4 12" xfId="4025" xr:uid="{00000000-0005-0000-0000-000021100000}"/>
    <cellStyle name="60% - Accent4 12 10" xfId="4026" xr:uid="{00000000-0005-0000-0000-000022100000}"/>
    <cellStyle name="60% - Accent4 12 2" xfId="4027" xr:uid="{00000000-0005-0000-0000-000023100000}"/>
    <cellStyle name="60% - Accent4 12 3" xfId="4028" xr:uid="{00000000-0005-0000-0000-000024100000}"/>
    <cellStyle name="60% - Accent4 12 4" xfId="4029" xr:uid="{00000000-0005-0000-0000-000025100000}"/>
    <cellStyle name="60% - Accent4 12 5" xfId="4030" xr:uid="{00000000-0005-0000-0000-000026100000}"/>
    <cellStyle name="60% - Accent4 12 6" xfId="4031" xr:uid="{00000000-0005-0000-0000-000027100000}"/>
    <cellStyle name="60% - Accent4 12 7" xfId="4032" xr:uid="{00000000-0005-0000-0000-000028100000}"/>
    <cellStyle name="60% - Accent4 12 8" xfId="4033" xr:uid="{00000000-0005-0000-0000-000029100000}"/>
    <cellStyle name="60% - Accent4 12 9" xfId="4034" xr:uid="{00000000-0005-0000-0000-00002A100000}"/>
    <cellStyle name="60% - Accent4 13" xfId="4035" xr:uid="{00000000-0005-0000-0000-00002B100000}"/>
    <cellStyle name="60% - Accent4 13 10" xfId="4036" xr:uid="{00000000-0005-0000-0000-00002C100000}"/>
    <cellStyle name="60% - Accent4 13 2" xfId="4037" xr:uid="{00000000-0005-0000-0000-00002D100000}"/>
    <cellStyle name="60% - Accent4 13 3" xfId="4038" xr:uid="{00000000-0005-0000-0000-00002E100000}"/>
    <cellStyle name="60% - Accent4 13 4" xfId="4039" xr:uid="{00000000-0005-0000-0000-00002F100000}"/>
    <cellStyle name="60% - Accent4 13 5" xfId="4040" xr:uid="{00000000-0005-0000-0000-000030100000}"/>
    <cellStyle name="60% - Accent4 13 6" xfId="4041" xr:uid="{00000000-0005-0000-0000-000031100000}"/>
    <cellStyle name="60% - Accent4 13 7" xfId="4042" xr:uid="{00000000-0005-0000-0000-000032100000}"/>
    <cellStyle name="60% - Accent4 13 8" xfId="4043" xr:uid="{00000000-0005-0000-0000-000033100000}"/>
    <cellStyle name="60% - Accent4 13 9" xfId="4044" xr:uid="{00000000-0005-0000-0000-000034100000}"/>
    <cellStyle name="60% - Accent4 14" xfId="4045" xr:uid="{00000000-0005-0000-0000-000035100000}"/>
    <cellStyle name="60% - Accent4 14 10" xfId="4046" xr:uid="{00000000-0005-0000-0000-000036100000}"/>
    <cellStyle name="60% - Accent4 14 2" xfId="4047" xr:uid="{00000000-0005-0000-0000-000037100000}"/>
    <cellStyle name="60% - Accent4 14 3" xfId="4048" xr:uid="{00000000-0005-0000-0000-000038100000}"/>
    <cellStyle name="60% - Accent4 14 4" xfId="4049" xr:uid="{00000000-0005-0000-0000-000039100000}"/>
    <cellStyle name="60% - Accent4 14 5" xfId="4050" xr:uid="{00000000-0005-0000-0000-00003A100000}"/>
    <cellStyle name="60% - Accent4 14 6" xfId="4051" xr:uid="{00000000-0005-0000-0000-00003B100000}"/>
    <cellStyle name="60% - Accent4 14 7" xfId="4052" xr:uid="{00000000-0005-0000-0000-00003C100000}"/>
    <cellStyle name="60% - Accent4 14 8" xfId="4053" xr:uid="{00000000-0005-0000-0000-00003D100000}"/>
    <cellStyle name="60% - Accent4 14 9" xfId="4054" xr:uid="{00000000-0005-0000-0000-00003E100000}"/>
    <cellStyle name="60% - Accent4 15" xfId="4055" xr:uid="{00000000-0005-0000-0000-00003F100000}"/>
    <cellStyle name="60% - Accent4 15 10" xfId="4056" xr:uid="{00000000-0005-0000-0000-000040100000}"/>
    <cellStyle name="60% - Accent4 15 2" xfId="4057" xr:uid="{00000000-0005-0000-0000-000041100000}"/>
    <cellStyle name="60% - Accent4 15 3" xfId="4058" xr:uid="{00000000-0005-0000-0000-000042100000}"/>
    <cellStyle name="60% - Accent4 15 4" xfId="4059" xr:uid="{00000000-0005-0000-0000-000043100000}"/>
    <cellStyle name="60% - Accent4 15 5" xfId="4060" xr:uid="{00000000-0005-0000-0000-000044100000}"/>
    <cellStyle name="60% - Accent4 15 6" xfId="4061" xr:uid="{00000000-0005-0000-0000-000045100000}"/>
    <cellStyle name="60% - Accent4 15 7" xfId="4062" xr:uid="{00000000-0005-0000-0000-000046100000}"/>
    <cellStyle name="60% - Accent4 15 8" xfId="4063" xr:uid="{00000000-0005-0000-0000-000047100000}"/>
    <cellStyle name="60% - Accent4 15 9" xfId="4064" xr:uid="{00000000-0005-0000-0000-000048100000}"/>
    <cellStyle name="60% - Accent4 16" xfId="4065" xr:uid="{00000000-0005-0000-0000-000049100000}"/>
    <cellStyle name="60% - Accent4 16 10" xfId="4066" xr:uid="{00000000-0005-0000-0000-00004A100000}"/>
    <cellStyle name="60% - Accent4 16 2" xfId="4067" xr:uid="{00000000-0005-0000-0000-00004B100000}"/>
    <cellStyle name="60% - Accent4 16 3" xfId="4068" xr:uid="{00000000-0005-0000-0000-00004C100000}"/>
    <cellStyle name="60% - Accent4 16 4" xfId="4069" xr:uid="{00000000-0005-0000-0000-00004D100000}"/>
    <cellStyle name="60% - Accent4 16 5" xfId="4070" xr:uid="{00000000-0005-0000-0000-00004E100000}"/>
    <cellStyle name="60% - Accent4 16 6" xfId="4071" xr:uid="{00000000-0005-0000-0000-00004F100000}"/>
    <cellStyle name="60% - Accent4 16 7" xfId="4072" xr:uid="{00000000-0005-0000-0000-000050100000}"/>
    <cellStyle name="60% - Accent4 16 8" xfId="4073" xr:uid="{00000000-0005-0000-0000-000051100000}"/>
    <cellStyle name="60% - Accent4 16 9" xfId="4074" xr:uid="{00000000-0005-0000-0000-000052100000}"/>
    <cellStyle name="60% - Accent4 17" xfId="4075" xr:uid="{00000000-0005-0000-0000-000053100000}"/>
    <cellStyle name="60% - Accent4 17 10" xfId="4076" xr:uid="{00000000-0005-0000-0000-000054100000}"/>
    <cellStyle name="60% - Accent4 17 2" xfId="4077" xr:uid="{00000000-0005-0000-0000-000055100000}"/>
    <cellStyle name="60% - Accent4 17 3" xfId="4078" xr:uid="{00000000-0005-0000-0000-000056100000}"/>
    <cellStyle name="60% - Accent4 17 4" xfId="4079" xr:uid="{00000000-0005-0000-0000-000057100000}"/>
    <cellStyle name="60% - Accent4 17 5" xfId="4080" xr:uid="{00000000-0005-0000-0000-000058100000}"/>
    <cellStyle name="60% - Accent4 17 6" xfId="4081" xr:uid="{00000000-0005-0000-0000-000059100000}"/>
    <cellStyle name="60% - Accent4 17 7" xfId="4082" xr:uid="{00000000-0005-0000-0000-00005A100000}"/>
    <cellStyle name="60% - Accent4 17 8" xfId="4083" xr:uid="{00000000-0005-0000-0000-00005B100000}"/>
    <cellStyle name="60% - Accent4 17 9" xfId="4084" xr:uid="{00000000-0005-0000-0000-00005C100000}"/>
    <cellStyle name="60% - Accent4 18" xfId="4085" xr:uid="{00000000-0005-0000-0000-00005D100000}"/>
    <cellStyle name="60% - Accent4 18 2" xfId="4086" xr:uid="{00000000-0005-0000-0000-00005E100000}"/>
    <cellStyle name="60% - Accent4 18 3" xfId="4087" xr:uid="{00000000-0005-0000-0000-00005F100000}"/>
    <cellStyle name="60% - Accent4 18 4" xfId="4088" xr:uid="{00000000-0005-0000-0000-000060100000}"/>
    <cellStyle name="60% - Accent4 18 5" xfId="4089" xr:uid="{00000000-0005-0000-0000-000061100000}"/>
    <cellStyle name="60% - Accent4 18 6" xfId="4090" xr:uid="{00000000-0005-0000-0000-000062100000}"/>
    <cellStyle name="60% - Accent4 18 7" xfId="4091" xr:uid="{00000000-0005-0000-0000-000063100000}"/>
    <cellStyle name="60% - Accent4 18 8" xfId="4092" xr:uid="{00000000-0005-0000-0000-000064100000}"/>
    <cellStyle name="60% - Accent4 19" xfId="4093" xr:uid="{00000000-0005-0000-0000-000065100000}"/>
    <cellStyle name="60% - Accent4 19 2" xfId="4094" xr:uid="{00000000-0005-0000-0000-000066100000}"/>
    <cellStyle name="60% - Accent4 19 2 2" xfId="4095" xr:uid="{00000000-0005-0000-0000-000067100000}"/>
    <cellStyle name="60% - Accent4 19 2 2 2" xfId="14137" xr:uid="{00000000-0005-0000-0000-000068100000}"/>
    <cellStyle name="60% - Accent4 19 3" xfId="4096" xr:uid="{00000000-0005-0000-0000-000069100000}"/>
    <cellStyle name="60% - Accent4 19 3 2" xfId="14138" xr:uid="{00000000-0005-0000-0000-00006A100000}"/>
    <cellStyle name="60% - Accent4 19 4" xfId="4097" xr:uid="{00000000-0005-0000-0000-00006B100000}"/>
    <cellStyle name="60% - Accent4 19 4 2" xfId="14139" xr:uid="{00000000-0005-0000-0000-00006C100000}"/>
    <cellStyle name="60% - Accent4 19 5" xfId="4098" xr:uid="{00000000-0005-0000-0000-00006D100000}"/>
    <cellStyle name="60% - Accent4 19 5 2" xfId="14140" xr:uid="{00000000-0005-0000-0000-00006E100000}"/>
    <cellStyle name="60% - Accent4 19 6" xfId="4099" xr:uid="{00000000-0005-0000-0000-00006F100000}"/>
    <cellStyle name="60% - Accent4 19 6 2" xfId="14141" xr:uid="{00000000-0005-0000-0000-000070100000}"/>
    <cellStyle name="60% - Accent4 19 7" xfId="4100" xr:uid="{00000000-0005-0000-0000-000071100000}"/>
    <cellStyle name="60% - Accent4 19 7 2" xfId="14142" xr:uid="{00000000-0005-0000-0000-000072100000}"/>
    <cellStyle name="60% - Accent4 19 8" xfId="4101" xr:uid="{00000000-0005-0000-0000-000073100000}"/>
    <cellStyle name="60% - Accent4 19 8 2" xfId="14143" xr:uid="{00000000-0005-0000-0000-000074100000}"/>
    <cellStyle name="60% - Accent4 19 9" xfId="4102" xr:uid="{00000000-0005-0000-0000-000075100000}"/>
    <cellStyle name="60% - Accent4 19 9 2" xfId="14144" xr:uid="{00000000-0005-0000-0000-000076100000}"/>
    <cellStyle name="60% - Accent4 2" xfId="4103" xr:uid="{00000000-0005-0000-0000-000077100000}"/>
    <cellStyle name="60% - Accent4 2 10" xfId="4104" xr:uid="{00000000-0005-0000-0000-000078100000}"/>
    <cellStyle name="60% - Accent4 2 10 2" xfId="14145" xr:uid="{00000000-0005-0000-0000-000079100000}"/>
    <cellStyle name="60% - Accent4 2 11" xfId="4105" xr:uid="{00000000-0005-0000-0000-00007A100000}"/>
    <cellStyle name="60% - Accent4 2 11 2" xfId="14146" xr:uid="{00000000-0005-0000-0000-00007B100000}"/>
    <cellStyle name="60% - Accent4 2 12" xfId="21701" xr:uid="{00000000-0005-0000-0000-00007C100000}"/>
    <cellStyle name="60% - Accent4 2 2" xfId="4106" xr:uid="{00000000-0005-0000-0000-00007D100000}"/>
    <cellStyle name="60% - Accent4 2 2 2" xfId="4107" xr:uid="{00000000-0005-0000-0000-00007E100000}"/>
    <cellStyle name="60% - Accent4 2 2 2 2" xfId="14147" xr:uid="{00000000-0005-0000-0000-00007F100000}"/>
    <cellStyle name="60% - Accent4 2 3" xfId="4108" xr:uid="{00000000-0005-0000-0000-000080100000}"/>
    <cellStyle name="60% - Accent4 2 3 2" xfId="4109" xr:uid="{00000000-0005-0000-0000-000081100000}"/>
    <cellStyle name="60% - Accent4 2 3 2 2" xfId="14148" xr:uid="{00000000-0005-0000-0000-000082100000}"/>
    <cellStyle name="60% - Accent4 2 4" xfId="4110" xr:uid="{00000000-0005-0000-0000-000083100000}"/>
    <cellStyle name="60% - Accent4 2 4 2" xfId="4111" xr:uid="{00000000-0005-0000-0000-000084100000}"/>
    <cellStyle name="60% - Accent4 2 4 3" xfId="14149" xr:uid="{00000000-0005-0000-0000-000085100000}"/>
    <cellStyle name="60% - Accent4 2 5" xfId="4112" xr:uid="{00000000-0005-0000-0000-000086100000}"/>
    <cellStyle name="60% - Accent4 2 5 2" xfId="14150" xr:uid="{00000000-0005-0000-0000-000087100000}"/>
    <cellStyle name="60% - Accent4 2 6" xfId="4113" xr:uid="{00000000-0005-0000-0000-000088100000}"/>
    <cellStyle name="60% - Accent4 2 6 2" xfId="14151" xr:uid="{00000000-0005-0000-0000-000089100000}"/>
    <cellStyle name="60% - Accent4 2 7" xfId="4114" xr:uid="{00000000-0005-0000-0000-00008A100000}"/>
    <cellStyle name="60% - Accent4 2 7 2" xfId="14152" xr:uid="{00000000-0005-0000-0000-00008B100000}"/>
    <cellStyle name="60% - Accent4 2 8" xfId="4115" xr:uid="{00000000-0005-0000-0000-00008C100000}"/>
    <cellStyle name="60% - Accent4 2 8 2" xfId="14153" xr:uid="{00000000-0005-0000-0000-00008D100000}"/>
    <cellStyle name="60% - Accent4 2 9" xfId="4116" xr:uid="{00000000-0005-0000-0000-00008E100000}"/>
    <cellStyle name="60% - Accent4 2 9 2" xfId="14154" xr:uid="{00000000-0005-0000-0000-00008F100000}"/>
    <cellStyle name="60% - Accent4 20" xfId="4117" xr:uid="{00000000-0005-0000-0000-000090100000}"/>
    <cellStyle name="60% - Accent4 20 2" xfId="4118" xr:uid="{00000000-0005-0000-0000-000091100000}"/>
    <cellStyle name="60% - Accent4 20 2 2" xfId="14155" xr:uid="{00000000-0005-0000-0000-000092100000}"/>
    <cellStyle name="60% - Accent4 20 3" xfId="4119" xr:uid="{00000000-0005-0000-0000-000093100000}"/>
    <cellStyle name="60% - Accent4 20 3 2" xfId="14156" xr:uid="{00000000-0005-0000-0000-000094100000}"/>
    <cellStyle name="60% - Accent4 20 4" xfId="4120" xr:uid="{00000000-0005-0000-0000-000095100000}"/>
    <cellStyle name="60% - Accent4 20 4 2" xfId="14157" xr:uid="{00000000-0005-0000-0000-000096100000}"/>
    <cellStyle name="60% - Accent4 20 5" xfId="4121" xr:uid="{00000000-0005-0000-0000-000097100000}"/>
    <cellStyle name="60% - Accent4 20 5 2" xfId="14158" xr:uid="{00000000-0005-0000-0000-000098100000}"/>
    <cellStyle name="60% - Accent4 20 6" xfId="4122" xr:uid="{00000000-0005-0000-0000-000099100000}"/>
    <cellStyle name="60% - Accent4 20 6 2" xfId="14159" xr:uid="{00000000-0005-0000-0000-00009A100000}"/>
    <cellStyle name="60% - Accent4 20 7" xfId="4123" xr:uid="{00000000-0005-0000-0000-00009B100000}"/>
    <cellStyle name="60% - Accent4 20 7 2" xfId="14160" xr:uid="{00000000-0005-0000-0000-00009C100000}"/>
    <cellStyle name="60% - Accent4 20 8" xfId="4124" xr:uid="{00000000-0005-0000-0000-00009D100000}"/>
    <cellStyle name="60% - Accent4 20 8 2" xfId="14161" xr:uid="{00000000-0005-0000-0000-00009E100000}"/>
    <cellStyle name="60% - Accent4 20 9" xfId="4125" xr:uid="{00000000-0005-0000-0000-00009F100000}"/>
    <cellStyle name="60% - Accent4 20 9 2" xfId="14162" xr:uid="{00000000-0005-0000-0000-0000A0100000}"/>
    <cellStyle name="60% - Accent4 21" xfId="4126" xr:uid="{00000000-0005-0000-0000-0000A1100000}"/>
    <cellStyle name="60% - Accent4 21 2" xfId="4127" xr:uid="{00000000-0005-0000-0000-0000A2100000}"/>
    <cellStyle name="60% - Accent4 21 2 2" xfId="14163" xr:uid="{00000000-0005-0000-0000-0000A3100000}"/>
    <cellStyle name="60% - Accent4 21 3" xfId="4128" xr:uid="{00000000-0005-0000-0000-0000A4100000}"/>
    <cellStyle name="60% - Accent4 21 3 2" xfId="14164" xr:uid="{00000000-0005-0000-0000-0000A5100000}"/>
    <cellStyle name="60% - Accent4 21 4" xfId="4129" xr:uid="{00000000-0005-0000-0000-0000A6100000}"/>
    <cellStyle name="60% - Accent4 21 4 2" xfId="14165" xr:uid="{00000000-0005-0000-0000-0000A7100000}"/>
    <cellStyle name="60% - Accent4 21 5" xfId="4130" xr:uid="{00000000-0005-0000-0000-0000A8100000}"/>
    <cellStyle name="60% - Accent4 21 5 2" xfId="14166" xr:uid="{00000000-0005-0000-0000-0000A9100000}"/>
    <cellStyle name="60% - Accent4 21 6" xfId="4131" xr:uid="{00000000-0005-0000-0000-0000AA100000}"/>
    <cellStyle name="60% - Accent4 21 6 2" xfId="14167" xr:uid="{00000000-0005-0000-0000-0000AB100000}"/>
    <cellStyle name="60% - Accent4 21 7" xfId="4132" xr:uid="{00000000-0005-0000-0000-0000AC100000}"/>
    <cellStyle name="60% - Accent4 21 7 2" xfId="14168" xr:uid="{00000000-0005-0000-0000-0000AD100000}"/>
    <cellStyle name="60% - Accent4 21 8" xfId="4133" xr:uid="{00000000-0005-0000-0000-0000AE100000}"/>
    <cellStyle name="60% - Accent4 21 8 2" xfId="14169" xr:uid="{00000000-0005-0000-0000-0000AF100000}"/>
    <cellStyle name="60% - Accent4 21 9" xfId="4134" xr:uid="{00000000-0005-0000-0000-0000B0100000}"/>
    <cellStyle name="60% - Accent4 21 9 2" xfId="14170" xr:uid="{00000000-0005-0000-0000-0000B1100000}"/>
    <cellStyle name="60% - Accent4 22" xfId="4135" xr:uid="{00000000-0005-0000-0000-0000B2100000}"/>
    <cellStyle name="60% - Accent4 22 2" xfId="4136" xr:uid="{00000000-0005-0000-0000-0000B3100000}"/>
    <cellStyle name="60% - Accent4 22 2 2" xfId="14171" xr:uid="{00000000-0005-0000-0000-0000B4100000}"/>
    <cellStyle name="60% - Accent4 22 3" xfId="4137" xr:uid="{00000000-0005-0000-0000-0000B5100000}"/>
    <cellStyle name="60% - Accent4 22 3 2" xfId="14172" xr:uid="{00000000-0005-0000-0000-0000B6100000}"/>
    <cellStyle name="60% - Accent4 22 4" xfId="4138" xr:uid="{00000000-0005-0000-0000-0000B7100000}"/>
    <cellStyle name="60% - Accent4 22 4 2" xfId="14173" xr:uid="{00000000-0005-0000-0000-0000B8100000}"/>
    <cellStyle name="60% - Accent4 22 5" xfId="4139" xr:uid="{00000000-0005-0000-0000-0000B9100000}"/>
    <cellStyle name="60% - Accent4 22 5 2" xfId="14174" xr:uid="{00000000-0005-0000-0000-0000BA100000}"/>
    <cellStyle name="60% - Accent4 22 6" xfId="4140" xr:uid="{00000000-0005-0000-0000-0000BB100000}"/>
    <cellStyle name="60% - Accent4 22 6 2" xfId="14175" xr:uid="{00000000-0005-0000-0000-0000BC100000}"/>
    <cellStyle name="60% - Accent4 22 7" xfId="4141" xr:uid="{00000000-0005-0000-0000-0000BD100000}"/>
    <cellStyle name="60% - Accent4 22 7 2" xfId="14176" xr:uid="{00000000-0005-0000-0000-0000BE100000}"/>
    <cellStyle name="60% - Accent4 22 8" xfId="4142" xr:uid="{00000000-0005-0000-0000-0000BF100000}"/>
    <cellStyle name="60% - Accent4 22 8 2" xfId="14177" xr:uid="{00000000-0005-0000-0000-0000C0100000}"/>
    <cellStyle name="60% - Accent4 22 9" xfId="4143" xr:uid="{00000000-0005-0000-0000-0000C1100000}"/>
    <cellStyle name="60% - Accent4 22 9 2" xfId="14178" xr:uid="{00000000-0005-0000-0000-0000C2100000}"/>
    <cellStyle name="60% - Accent4 23" xfId="4144" xr:uid="{00000000-0005-0000-0000-0000C3100000}"/>
    <cellStyle name="60% - Accent4 23 2" xfId="4145" xr:uid="{00000000-0005-0000-0000-0000C4100000}"/>
    <cellStyle name="60% - Accent4 23 2 2" xfId="14179" xr:uid="{00000000-0005-0000-0000-0000C5100000}"/>
    <cellStyle name="60% - Accent4 23 3" xfId="4146" xr:uid="{00000000-0005-0000-0000-0000C6100000}"/>
    <cellStyle name="60% - Accent4 23 3 2" xfId="14180" xr:uid="{00000000-0005-0000-0000-0000C7100000}"/>
    <cellStyle name="60% - Accent4 23 4" xfId="4147" xr:uid="{00000000-0005-0000-0000-0000C8100000}"/>
    <cellStyle name="60% - Accent4 23 4 2" xfId="14181" xr:uid="{00000000-0005-0000-0000-0000C9100000}"/>
    <cellStyle name="60% - Accent4 23 5" xfId="4148" xr:uid="{00000000-0005-0000-0000-0000CA100000}"/>
    <cellStyle name="60% - Accent4 23 5 2" xfId="14182" xr:uid="{00000000-0005-0000-0000-0000CB100000}"/>
    <cellStyle name="60% - Accent4 23 6" xfId="4149" xr:uid="{00000000-0005-0000-0000-0000CC100000}"/>
    <cellStyle name="60% - Accent4 23 6 2" xfId="14183" xr:uid="{00000000-0005-0000-0000-0000CD100000}"/>
    <cellStyle name="60% - Accent4 23 7" xfId="4150" xr:uid="{00000000-0005-0000-0000-0000CE100000}"/>
    <cellStyle name="60% - Accent4 23 7 2" xfId="14184" xr:uid="{00000000-0005-0000-0000-0000CF100000}"/>
    <cellStyle name="60% - Accent4 23 8" xfId="4151" xr:uid="{00000000-0005-0000-0000-0000D0100000}"/>
    <cellStyle name="60% - Accent4 23 8 2" xfId="14185" xr:uid="{00000000-0005-0000-0000-0000D1100000}"/>
    <cellStyle name="60% - Accent4 23 9" xfId="4152" xr:uid="{00000000-0005-0000-0000-0000D2100000}"/>
    <cellStyle name="60% - Accent4 23 9 2" xfId="14186" xr:uid="{00000000-0005-0000-0000-0000D3100000}"/>
    <cellStyle name="60% - Accent4 24" xfId="4153" xr:uid="{00000000-0005-0000-0000-0000D4100000}"/>
    <cellStyle name="60% - Accent4 24 2" xfId="4154" xr:uid="{00000000-0005-0000-0000-0000D5100000}"/>
    <cellStyle name="60% - Accent4 24 2 2" xfId="14187" xr:uid="{00000000-0005-0000-0000-0000D6100000}"/>
    <cellStyle name="60% - Accent4 24 3" xfId="4155" xr:uid="{00000000-0005-0000-0000-0000D7100000}"/>
    <cellStyle name="60% - Accent4 24 3 2" xfId="14188" xr:uid="{00000000-0005-0000-0000-0000D8100000}"/>
    <cellStyle name="60% - Accent4 24 4" xfId="4156" xr:uid="{00000000-0005-0000-0000-0000D9100000}"/>
    <cellStyle name="60% - Accent4 24 4 2" xfId="14189" xr:uid="{00000000-0005-0000-0000-0000DA100000}"/>
    <cellStyle name="60% - Accent4 24 5" xfId="4157" xr:uid="{00000000-0005-0000-0000-0000DB100000}"/>
    <cellStyle name="60% - Accent4 24 5 2" xfId="14190" xr:uid="{00000000-0005-0000-0000-0000DC100000}"/>
    <cellStyle name="60% - Accent4 24 6" xfId="4158" xr:uid="{00000000-0005-0000-0000-0000DD100000}"/>
    <cellStyle name="60% - Accent4 24 6 2" xfId="14191" xr:uid="{00000000-0005-0000-0000-0000DE100000}"/>
    <cellStyle name="60% - Accent4 24 7" xfId="4159" xr:uid="{00000000-0005-0000-0000-0000DF100000}"/>
    <cellStyle name="60% - Accent4 24 7 2" xfId="14192" xr:uid="{00000000-0005-0000-0000-0000E0100000}"/>
    <cellStyle name="60% - Accent4 24 8" xfId="4160" xr:uid="{00000000-0005-0000-0000-0000E1100000}"/>
    <cellStyle name="60% - Accent4 24 8 2" xfId="14193" xr:uid="{00000000-0005-0000-0000-0000E2100000}"/>
    <cellStyle name="60% - Accent4 24 9" xfId="4161" xr:uid="{00000000-0005-0000-0000-0000E3100000}"/>
    <cellStyle name="60% - Accent4 24 9 2" xfId="14194" xr:uid="{00000000-0005-0000-0000-0000E4100000}"/>
    <cellStyle name="60% - Accent4 25" xfId="4162" xr:uid="{00000000-0005-0000-0000-0000E5100000}"/>
    <cellStyle name="60% - Accent4 25 2" xfId="4163" xr:uid="{00000000-0005-0000-0000-0000E6100000}"/>
    <cellStyle name="60% - Accent4 25 2 2" xfId="14195" xr:uid="{00000000-0005-0000-0000-0000E7100000}"/>
    <cellStyle name="60% - Accent4 25 3" xfId="4164" xr:uid="{00000000-0005-0000-0000-0000E8100000}"/>
    <cellStyle name="60% - Accent4 25 3 2" xfId="14196" xr:uid="{00000000-0005-0000-0000-0000E9100000}"/>
    <cellStyle name="60% - Accent4 25 4" xfId="4165" xr:uid="{00000000-0005-0000-0000-0000EA100000}"/>
    <cellStyle name="60% - Accent4 25 4 2" xfId="14197" xr:uid="{00000000-0005-0000-0000-0000EB100000}"/>
    <cellStyle name="60% - Accent4 25 5" xfId="4166" xr:uid="{00000000-0005-0000-0000-0000EC100000}"/>
    <cellStyle name="60% - Accent4 25 5 2" xfId="14198" xr:uid="{00000000-0005-0000-0000-0000ED100000}"/>
    <cellStyle name="60% - Accent4 25 6" xfId="4167" xr:uid="{00000000-0005-0000-0000-0000EE100000}"/>
    <cellStyle name="60% - Accent4 25 6 2" xfId="14199" xr:uid="{00000000-0005-0000-0000-0000EF100000}"/>
    <cellStyle name="60% - Accent4 25 7" xfId="4168" xr:uid="{00000000-0005-0000-0000-0000F0100000}"/>
    <cellStyle name="60% - Accent4 25 7 2" xfId="14200" xr:uid="{00000000-0005-0000-0000-0000F1100000}"/>
    <cellStyle name="60% - Accent4 25 8" xfId="4169" xr:uid="{00000000-0005-0000-0000-0000F2100000}"/>
    <cellStyle name="60% - Accent4 25 8 2" xfId="14201" xr:uid="{00000000-0005-0000-0000-0000F3100000}"/>
    <cellStyle name="60% - Accent4 25 9" xfId="4170" xr:uid="{00000000-0005-0000-0000-0000F4100000}"/>
    <cellStyle name="60% - Accent4 25 9 2" xfId="14202" xr:uid="{00000000-0005-0000-0000-0000F5100000}"/>
    <cellStyle name="60% - Accent4 26" xfId="4171" xr:uid="{00000000-0005-0000-0000-0000F6100000}"/>
    <cellStyle name="60% - Accent4 26 2" xfId="4172" xr:uid="{00000000-0005-0000-0000-0000F7100000}"/>
    <cellStyle name="60% - Accent4 26 2 2" xfId="14203" xr:uid="{00000000-0005-0000-0000-0000F8100000}"/>
    <cellStyle name="60% - Accent4 26 3" xfId="4173" xr:uid="{00000000-0005-0000-0000-0000F9100000}"/>
    <cellStyle name="60% - Accent4 26 3 2" xfId="14204" xr:uid="{00000000-0005-0000-0000-0000FA100000}"/>
    <cellStyle name="60% - Accent4 26 4" xfId="4174" xr:uid="{00000000-0005-0000-0000-0000FB100000}"/>
    <cellStyle name="60% - Accent4 26 4 2" xfId="14205" xr:uid="{00000000-0005-0000-0000-0000FC100000}"/>
    <cellStyle name="60% - Accent4 26 5" xfId="4175" xr:uid="{00000000-0005-0000-0000-0000FD100000}"/>
    <cellStyle name="60% - Accent4 26 5 2" xfId="14206" xr:uid="{00000000-0005-0000-0000-0000FE100000}"/>
    <cellStyle name="60% - Accent4 26 6" xfId="4176" xr:uid="{00000000-0005-0000-0000-0000FF100000}"/>
    <cellStyle name="60% - Accent4 26 6 2" xfId="14207" xr:uid="{00000000-0005-0000-0000-000000110000}"/>
    <cellStyle name="60% - Accent4 26 7" xfId="4177" xr:uid="{00000000-0005-0000-0000-000001110000}"/>
    <cellStyle name="60% - Accent4 26 7 2" xfId="14208" xr:uid="{00000000-0005-0000-0000-000002110000}"/>
    <cellStyle name="60% - Accent4 26 8" xfId="4178" xr:uid="{00000000-0005-0000-0000-000003110000}"/>
    <cellStyle name="60% - Accent4 26 8 2" xfId="14209" xr:uid="{00000000-0005-0000-0000-000004110000}"/>
    <cellStyle name="60% - Accent4 26 9" xfId="4179" xr:uid="{00000000-0005-0000-0000-000005110000}"/>
    <cellStyle name="60% - Accent4 26 9 2" xfId="14210" xr:uid="{00000000-0005-0000-0000-000006110000}"/>
    <cellStyle name="60% - Accent4 27" xfId="4180" xr:uid="{00000000-0005-0000-0000-000007110000}"/>
    <cellStyle name="60% - Accent4 27 2" xfId="4181" xr:uid="{00000000-0005-0000-0000-000008110000}"/>
    <cellStyle name="60% - Accent4 27 2 2" xfId="14211" xr:uid="{00000000-0005-0000-0000-000009110000}"/>
    <cellStyle name="60% - Accent4 27 3" xfId="4182" xr:uid="{00000000-0005-0000-0000-00000A110000}"/>
    <cellStyle name="60% - Accent4 27 3 2" xfId="14212" xr:uid="{00000000-0005-0000-0000-00000B110000}"/>
    <cellStyle name="60% - Accent4 27 4" xfId="4183" xr:uid="{00000000-0005-0000-0000-00000C110000}"/>
    <cellStyle name="60% - Accent4 27 4 2" xfId="14213" xr:uid="{00000000-0005-0000-0000-00000D110000}"/>
    <cellStyle name="60% - Accent4 27 5" xfId="4184" xr:uid="{00000000-0005-0000-0000-00000E110000}"/>
    <cellStyle name="60% - Accent4 27 5 2" xfId="14214" xr:uid="{00000000-0005-0000-0000-00000F110000}"/>
    <cellStyle name="60% - Accent4 27 6" xfId="4185" xr:uid="{00000000-0005-0000-0000-000010110000}"/>
    <cellStyle name="60% - Accent4 27 6 2" xfId="14215" xr:uid="{00000000-0005-0000-0000-000011110000}"/>
    <cellStyle name="60% - Accent4 27 7" xfId="4186" xr:uid="{00000000-0005-0000-0000-000012110000}"/>
    <cellStyle name="60% - Accent4 27 7 2" xfId="14216" xr:uid="{00000000-0005-0000-0000-000013110000}"/>
    <cellStyle name="60% - Accent4 27 8" xfId="4187" xr:uid="{00000000-0005-0000-0000-000014110000}"/>
    <cellStyle name="60% - Accent4 27 8 2" xfId="14217" xr:uid="{00000000-0005-0000-0000-000015110000}"/>
    <cellStyle name="60% - Accent4 27 9" xfId="4188" xr:uid="{00000000-0005-0000-0000-000016110000}"/>
    <cellStyle name="60% - Accent4 27 9 2" xfId="14218" xr:uid="{00000000-0005-0000-0000-000017110000}"/>
    <cellStyle name="60% - Accent4 28" xfId="4189" xr:uid="{00000000-0005-0000-0000-000018110000}"/>
    <cellStyle name="60% - Accent4 28 2" xfId="4190" xr:uid="{00000000-0005-0000-0000-000019110000}"/>
    <cellStyle name="60% - Accent4 28 2 2" xfId="14219" xr:uid="{00000000-0005-0000-0000-00001A110000}"/>
    <cellStyle name="60% - Accent4 28 3" xfId="4191" xr:uid="{00000000-0005-0000-0000-00001B110000}"/>
    <cellStyle name="60% - Accent4 28 3 2" xfId="14220" xr:uid="{00000000-0005-0000-0000-00001C110000}"/>
    <cellStyle name="60% - Accent4 28 4" xfId="4192" xr:uid="{00000000-0005-0000-0000-00001D110000}"/>
    <cellStyle name="60% - Accent4 28 4 2" xfId="14221" xr:uid="{00000000-0005-0000-0000-00001E110000}"/>
    <cellStyle name="60% - Accent4 28 5" xfId="4193" xr:uid="{00000000-0005-0000-0000-00001F110000}"/>
    <cellStyle name="60% - Accent4 28 5 2" xfId="14222" xr:uid="{00000000-0005-0000-0000-000020110000}"/>
    <cellStyle name="60% - Accent4 28 6" xfId="4194" xr:uid="{00000000-0005-0000-0000-000021110000}"/>
    <cellStyle name="60% - Accent4 28 6 2" xfId="14223" xr:uid="{00000000-0005-0000-0000-000022110000}"/>
    <cellStyle name="60% - Accent4 28 7" xfId="4195" xr:uid="{00000000-0005-0000-0000-000023110000}"/>
    <cellStyle name="60% - Accent4 28 7 2" xfId="14224" xr:uid="{00000000-0005-0000-0000-000024110000}"/>
    <cellStyle name="60% - Accent4 28 8" xfId="4196" xr:uid="{00000000-0005-0000-0000-000025110000}"/>
    <cellStyle name="60% - Accent4 28 8 2" xfId="14225" xr:uid="{00000000-0005-0000-0000-000026110000}"/>
    <cellStyle name="60% - Accent4 28 9" xfId="4197" xr:uid="{00000000-0005-0000-0000-000027110000}"/>
    <cellStyle name="60% - Accent4 28 9 2" xfId="14226" xr:uid="{00000000-0005-0000-0000-000028110000}"/>
    <cellStyle name="60% - Accent4 29" xfId="4198" xr:uid="{00000000-0005-0000-0000-000029110000}"/>
    <cellStyle name="60% - Accent4 29 2" xfId="4199" xr:uid="{00000000-0005-0000-0000-00002A110000}"/>
    <cellStyle name="60% - Accent4 29 2 2" xfId="14227" xr:uid="{00000000-0005-0000-0000-00002B110000}"/>
    <cellStyle name="60% - Accent4 29 3" xfId="4200" xr:uid="{00000000-0005-0000-0000-00002C110000}"/>
    <cellStyle name="60% - Accent4 29 3 2" xfId="14228" xr:uid="{00000000-0005-0000-0000-00002D110000}"/>
    <cellStyle name="60% - Accent4 29 4" xfId="4201" xr:uid="{00000000-0005-0000-0000-00002E110000}"/>
    <cellStyle name="60% - Accent4 29 4 2" xfId="14229" xr:uid="{00000000-0005-0000-0000-00002F110000}"/>
    <cellStyle name="60% - Accent4 29 5" xfId="4202" xr:uid="{00000000-0005-0000-0000-000030110000}"/>
    <cellStyle name="60% - Accent4 29 5 2" xfId="14230" xr:uid="{00000000-0005-0000-0000-000031110000}"/>
    <cellStyle name="60% - Accent4 29 6" xfId="4203" xr:uid="{00000000-0005-0000-0000-000032110000}"/>
    <cellStyle name="60% - Accent4 29 6 2" xfId="14231" xr:uid="{00000000-0005-0000-0000-000033110000}"/>
    <cellStyle name="60% - Accent4 29 7" xfId="4204" xr:uid="{00000000-0005-0000-0000-000034110000}"/>
    <cellStyle name="60% - Accent4 29 7 2" xfId="14232" xr:uid="{00000000-0005-0000-0000-000035110000}"/>
    <cellStyle name="60% - Accent4 29 8" xfId="4205" xr:uid="{00000000-0005-0000-0000-000036110000}"/>
    <cellStyle name="60% - Accent4 29 8 2" xfId="14233" xr:uid="{00000000-0005-0000-0000-000037110000}"/>
    <cellStyle name="60% - Accent4 29 9" xfId="4206" xr:uid="{00000000-0005-0000-0000-000038110000}"/>
    <cellStyle name="60% - Accent4 29 9 2" xfId="14234" xr:uid="{00000000-0005-0000-0000-000039110000}"/>
    <cellStyle name="60% - Accent4 3" xfId="4207" xr:uid="{00000000-0005-0000-0000-00003A110000}"/>
    <cellStyle name="60% - Accent4 3 10" xfId="4208" xr:uid="{00000000-0005-0000-0000-00003B110000}"/>
    <cellStyle name="60% - Accent4 3 10 2" xfId="14235" xr:uid="{00000000-0005-0000-0000-00003C110000}"/>
    <cellStyle name="60% - Accent4 3 11" xfId="4209" xr:uid="{00000000-0005-0000-0000-00003D110000}"/>
    <cellStyle name="60% - Accent4 3 11 2" xfId="14236" xr:uid="{00000000-0005-0000-0000-00003E110000}"/>
    <cellStyle name="60% - Accent4 3 12" xfId="22014" xr:uid="{00000000-0005-0000-0000-00003F110000}"/>
    <cellStyle name="60% - Accent4 3 2" xfId="4210" xr:uid="{00000000-0005-0000-0000-000040110000}"/>
    <cellStyle name="60% - Accent4 3 2 2" xfId="4211" xr:uid="{00000000-0005-0000-0000-000041110000}"/>
    <cellStyle name="60% - Accent4 3 2 2 2" xfId="14237" xr:uid="{00000000-0005-0000-0000-000042110000}"/>
    <cellStyle name="60% - Accent4 3 3" xfId="4212" xr:uid="{00000000-0005-0000-0000-000043110000}"/>
    <cellStyle name="60% - Accent4 3 3 2" xfId="4213" xr:uid="{00000000-0005-0000-0000-000044110000}"/>
    <cellStyle name="60% - Accent4 3 3 2 2" xfId="14238" xr:uid="{00000000-0005-0000-0000-000045110000}"/>
    <cellStyle name="60% - Accent4 3 4" xfId="4214" xr:uid="{00000000-0005-0000-0000-000046110000}"/>
    <cellStyle name="60% - Accent4 3 4 2" xfId="4215" xr:uid="{00000000-0005-0000-0000-000047110000}"/>
    <cellStyle name="60% - Accent4 3 4 3" xfId="14239" xr:uid="{00000000-0005-0000-0000-000048110000}"/>
    <cellStyle name="60% - Accent4 3 5" xfId="4216" xr:uid="{00000000-0005-0000-0000-000049110000}"/>
    <cellStyle name="60% - Accent4 3 5 2" xfId="14240" xr:uid="{00000000-0005-0000-0000-00004A110000}"/>
    <cellStyle name="60% - Accent4 3 6" xfId="4217" xr:uid="{00000000-0005-0000-0000-00004B110000}"/>
    <cellStyle name="60% - Accent4 3 6 2" xfId="14241" xr:uid="{00000000-0005-0000-0000-00004C110000}"/>
    <cellStyle name="60% - Accent4 3 7" xfId="4218" xr:uid="{00000000-0005-0000-0000-00004D110000}"/>
    <cellStyle name="60% - Accent4 3 7 2" xfId="14242" xr:uid="{00000000-0005-0000-0000-00004E110000}"/>
    <cellStyle name="60% - Accent4 3 8" xfId="4219" xr:uid="{00000000-0005-0000-0000-00004F110000}"/>
    <cellStyle name="60% - Accent4 3 8 2" xfId="14243" xr:uid="{00000000-0005-0000-0000-000050110000}"/>
    <cellStyle name="60% - Accent4 3 9" xfId="4220" xr:uid="{00000000-0005-0000-0000-000051110000}"/>
    <cellStyle name="60% - Accent4 3 9 2" xfId="14244" xr:uid="{00000000-0005-0000-0000-000052110000}"/>
    <cellStyle name="60% - Accent4 30" xfId="4221" xr:uid="{00000000-0005-0000-0000-000053110000}"/>
    <cellStyle name="60% - Accent4 30 2" xfId="4222" xr:uid="{00000000-0005-0000-0000-000054110000}"/>
    <cellStyle name="60% - Accent4 30 2 2" xfId="14245" xr:uid="{00000000-0005-0000-0000-000055110000}"/>
    <cellStyle name="60% - Accent4 31" xfId="4223" xr:uid="{00000000-0005-0000-0000-000056110000}"/>
    <cellStyle name="60% - Accent4 31 2" xfId="4224" xr:uid="{00000000-0005-0000-0000-000057110000}"/>
    <cellStyle name="60% - Accent4 31 2 2" xfId="14246" xr:uid="{00000000-0005-0000-0000-000058110000}"/>
    <cellStyle name="60% - Accent4 32" xfId="4225" xr:uid="{00000000-0005-0000-0000-000059110000}"/>
    <cellStyle name="60% - Accent4 32 2" xfId="4226" xr:uid="{00000000-0005-0000-0000-00005A110000}"/>
    <cellStyle name="60% - Accent4 32 2 2" xfId="14247" xr:uid="{00000000-0005-0000-0000-00005B110000}"/>
    <cellStyle name="60% - Accent4 33" xfId="4227" xr:uid="{00000000-0005-0000-0000-00005C110000}"/>
    <cellStyle name="60% - Accent4 33 2" xfId="4228" xr:uid="{00000000-0005-0000-0000-00005D110000}"/>
    <cellStyle name="60% - Accent4 33 2 2" xfId="14248" xr:uid="{00000000-0005-0000-0000-00005E110000}"/>
    <cellStyle name="60% - Accent4 34" xfId="4229" xr:uid="{00000000-0005-0000-0000-00005F110000}"/>
    <cellStyle name="60% - Accent4 34 2" xfId="4230" xr:uid="{00000000-0005-0000-0000-000060110000}"/>
    <cellStyle name="60% - Accent4 34 2 2" xfId="14249" xr:uid="{00000000-0005-0000-0000-000061110000}"/>
    <cellStyle name="60% - Accent4 35" xfId="4231" xr:uid="{00000000-0005-0000-0000-000062110000}"/>
    <cellStyle name="60% - Accent4 35 2" xfId="4232" xr:uid="{00000000-0005-0000-0000-000063110000}"/>
    <cellStyle name="60% - Accent4 35 2 2" xfId="14250" xr:uid="{00000000-0005-0000-0000-000064110000}"/>
    <cellStyle name="60% - Accent4 36" xfId="4233" xr:uid="{00000000-0005-0000-0000-000065110000}"/>
    <cellStyle name="60% - Accent4 37" xfId="4234" xr:uid="{00000000-0005-0000-0000-000066110000}"/>
    <cellStyle name="60% - Accent4 38" xfId="4235" xr:uid="{00000000-0005-0000-0000-000067110000}"/>
    <cellStyle name="60% - Accent4 39" xfId="4236" xr:uid="{00000000-0005-0000-0000-000068110000}"/>
    <cellStyle name="60% - Accent4 4" xfId="4237" xr:uid="{00000000-0005-0000-0000-000069110000}"/>
    <cellStyle name="60% - Accent4 4 10" xfId="4238" xr:uid="{00000000-0005-0000-0000-00006A110000}"/>
    <cellStyle name="60% - Accent4 4 10 2" xfId="14251" xr:uid="{00000000-0005-0000-0000-00006B110000}"/>
    <cellStyle name="60% - Accent4 4 11" xfId="4239" xr:uid="{00000000-0005-0000-0000-00006C110000}"/>
    <cellStyle name="60% - Accent4 4 11 2" xfId="14252" xr:uid="{00000000-0005-0000-0000-00006D110000}"/>
    <cellStyle name="60% - Accent4 4 12" xfId="22015" xr:uid="{00000000-0005-0000-0000-00006E110000}"/>
    <cellStyle name="60% - Accent4 4 2" xfId="4240" xr:uid="{00000000-0005-0000-0000-00006F110000}"/>
    <cellStyle name="60% - Accent4 4 2 2" xfId="4241" xr:uid="{00000000-0005-0000-0000-000070110000}"/>
    <cellStyle name="60% - Accent4 4 2 2 2" xfId="14253" xr:uid="{00000000-0005-0000-0000-000071110000}"/>
    <cellStyle name="60% - Accent4 4 3" xfId="4242" xr:uid="{00000000-0005-0000-0000-000072110000}"/>
    <cellStyle name="60% - Accent4 4 3 2" xfId="4243" xr:uid="{00000000-0005-0000-0000-000073110000}"/>
    <cellStyle name="60% - Accent4 4 3 2 2" xfId="14254" xr:uid="{00000000-0005-0000-0000-000074110000}"/>
    <cellStyle name="60% - Accent4 4 4" xfId="4244" xr:uid="{00000000-0005-0000-0000-000075110000}"/>
    <cellStyle name="60% - Accent4 4 4 2" xfId="4245" xr:uid="{00000000-0005-0000-0000-000076110000}"/>
    <cellStyle name="60% - Accent4 4 4 3" xfId="14255" xr:uid="{00000000-0005-0000-0000-000077110000}"/>
    <cellStyle name="60% - Accent4 4 5" xfId="4246" xr:uid="{00000000-0005-0000-0000-000078110000}"/>
    <cellStyle name="60% - Accent4 4 5 2" xfId="14256" xr:uid="{00000000-0005-0000-0000-000079110000}"/>
    <cellStyle name="60% - Accent4 4 6" xfId="4247" xr:uid="{00000000-0005-0000-0000-00007A110000}"/>
    <cellStyle name="60% - Accent4 4 6 2" xfId="14257" xr:uid="{00000000-0005-0000-0000-00007B110000}"/>
    <cellStyle name="60% - Accent4 4 7" xfId="4248" xr:uid="{00000000-0005-0000-0000-00007C110000}"/>
    <cellStyle name="60% - Accent4 4 7 2" xfId="14258" xr:uid="{00000000-0005-0000-0000-00007D110000}"/>
    <cellStyle name="60% - Accent4 4 8" xfId="4249" xr:uid="{00000000-0005-0000-0000-00007E110000}"/>
    <cellStyle name="60% - Accent4 4 8 2" xfId="14259" xr:uid="{00000000-0005-0000-0000-00007F110000}"/>
    <cellStyle name="60% - Accent4 4 9" xfId="4250" xr:uid="{00000000-0005-0000-0000-000080110000}"/>
    <cellStyle name="60% - Accent4 4 9 2" xfId="14260" xr:uid="{00000000-0005-0000-0000-000081110000}"/>
    <cellStyle name="60% - Accent4 40" xfId="21702" xr:uid="{00000000-0005-0000-0000-000082110000}"/>
    <cellStyle name="60% - Accent4 41" xfId="27185" xr:uid="{681F7470-D115-48F1-A9B1-B14908D87133}"/>
    <cellStyle name="60% - Accent4 5" xfId="4251" xr:uid="{00000000-0005-0000-0000-000083110000}"/>
    <cellStyle name="60% - Accent4 5 10" xfId="4252" xr:uid="{00000000-0005-0000-0000-000084110000}"/>
    <cellStyle name="60% - Accent4 5 10 2" xfId="14261" xr:uid="{00000000-0005-0000-0000-000085110000}"/>
    <cellStyle name="60% - Accent4 5 11" xfId="4253" xr:uid="{00000000-0005-0000-0000-000086110000}"/>
    <cellStyle name="60% - Accent4 5 11 2" xfId="14262" xr:uid="{00000000-0005-0000-0000-000087110000}"/>
    <cellStyle name="60% - Accent4 5 12" xfId="22016" xr:uid="{00000000-0005-0000-0000-000088110000}"/>
    <cellStyle name="60% - Accent4 5 2" xfId="4254" xr:uid="{00000000-0005-0000-0000-000089110000}"/>
    <cellStyle name="60% - Accent4 5 2 2" xfId="4255" xr:uid="{00000000-0005-0000-0000-00008A110000}"/>
    <cellStyle name="60% - Accent4 5 2 2 2" xfId="14263" xr:uid="{00000000-0005-0000-0000-00008B110000}"/>
    <cellStyle name="60% - Accent4 5 3" xfId="4256" xr:uid="{00000000-0005-0000-0000-00008C110000}"/>
    <cellStyle name="60% - Accent4 5 3 2" xfId="4257" xr:uid="{00000000-0005-0000-0000-00008D110000}"/>
    <cellStyle name="60% - Accent4 5 3 2 2" xfId="14264" xr:uid="{00000000-0005-0000-0000-00008E110000}"/>
    <cellStyle name="60% - Accent4 5 4" xfId="4258" xr:uid="{00000000-0005-0000-0000-00008F110000}"/>
    <cellStyle name="60% - Accent4 5 4 2" xfId="4259" xr:uid="{00000000-0005-0000-0000-000090110000}"/>
    <cellStyle name="60% - Accent4 5 4 3" xfId="14265" xr:uid="{00000000-0005-0000-0000-000091110000}"/>
    <cellStyle name="60% - Accent4 5 5" xfId="4260" xr:uid="{00000000-0005-0000-0000-000092110000}"/>
    <cellStyle name="60% - Accent4 5 5 2" xfId="14266" xr:uid="{00000000-0005-0000-0000-000093110000}"/>
    <cellStyle name="60% - Accent4 5 6" xfId="4261" xr:uid="{00000000-0005-0000-0000-000094110000}"/>
    <cellStyle name="60% - Accent4 5 6 2" xfId="14267" xr:uid="{00000000-0005-0000-0000-000095110000}"/>
    <cellStyle name="60% - Accent4 5 7" xfId="4262" xr:uid="{00000000-0005-0000-0000-000096110000}"/>
    <cellStyle name="60% - Accent4 5 7 2" xfId="14268" xr:uid="{00000000-0005-0000-0000-000097110000}"/>
    <cellStyle name="60% - Accent4 5 8" xfId="4263" xr:uid="{00000000-0005-0000-0000-000098110000}"/>
    <cellStyle name="60% - Accent4 5 8 2" xfId="14269" xr:uid="{00000000-0005-0000-0000-000099110000}"/>
    <cellStyle name="60% - Accent4 5 9" xfId="4264" xr:uid="{00000000-0005-0000-0000-00009A110000}"/>
    <cellStyle name="60% - Accent4 5 9 2" xfId="14270" xr:uid="{00000000-0005-0000-0000-00009B110000}"/>
    <cellStyle name="60% - Accent4 6" xfId="4265" xr:uid="{00000000-0005-0000-0000-00009C110000}"/>
    <cellStyle name="60% - Accent4 6 10" xfId="4266" xr:uid="{00000000-0005-0000-0000-00009D110000}"/>
    <cellStyle name="60% - Accent4 6 10 2" xfId="14271" xr:uid="{00000000-0005-0000-0000-00009E110000}"/>
    <cellStyle name="60% - Accent4 6 11" xfId="4267" xr:uid="{00000000-0005-0000-0000-00009F110000}"/>
    <cellStyle name="60% - Accent4 6 11 2" xfId="14272" xr:uid="{00000000-0005-0000-0000-0000A0110000}"/>
    <cellStyle name="60% - Accent4 6 2" xfId="4268" xr:uid="{00000000-0005-0000-0000-0000A1110000}"/>
    <cellStyle name="60% - Accent4 6 2 2" xfId="4269" xr:uid="{00000000-0005-0000-0000-0000A2110000}"/>
    <cellStyle name="60% - Accent4 6 2 2 2" xfId="14273" xr:uid="{00000000-0005-0000-0000-0000A3110000}"/>
    <cellStyle name="60% - Accent4 6 3" xfId="4270" xr:uid="{00000000-0005-0000-0000-0000A4110000}"/>
    <cellStyle name="60% - Accent4 6 3 2" xfId="4271" xr:uid="{00000000-0005-0000-0000-0000A5110000}"/>
    <cellStyle name="60% - Accent4 6 3 2 2" xfId="14274" xr:uid="{00000000-0005-0000-0000-0000A6110000}"/>
    <cellStyle name="60% - Accent4 6 4" xfId="4272" xr:uid="{00000000-0005-0000-0000-0000A7110000}"/>
    <cellStyle name="60% - Accent4 6 4 2" xfId="4273" xr:uid="{00000000-0005-0000-0000-0000A8110000}"/>
    <cellStyle name="60% - Accent4 6 4 3" xfId="14275" xr:uid="{00000000-0005-0000-0000-0000A9110000}"/>
    <cellStyle name="60% - Accent4 6 5" xfId="4274" xr:uid="{00000000-0005-0000-0000-0000AA110000}"/>
    <cellStyle name="60% - Accent4 6 5 2" xfId="14276" xr:uid="{00000000-0005-0000-0000-0000AB110000}"/>
    <cellStyle name="60% - Accent4 6 6" xfId="4275" xr:uid="{00000000-0005-0000-0000-0000AC110000}"/>
    <cellStyle name="60% - Accent4 6 6 2" xfId="14277" xr:uid="{00000000-0005-0000-0000-0000AD110000}"/>
    <cellStyle name="60% - Accent4 6 7" xfId="4276" xr:uid="{00000000-0005-0000-0000-0000AE110000}"/>
    <cellStyle name="60% - Accent4 6 7 2" xfId="14278" xr:uid="{00000000-0005-0000-0000-0000AF110000}"/>
    <cellStyle name="60% - Accent4 6 8" xfId="4277" xr:uid="{00000000-0005-0000-0000-0000B0110000}"/>
    <cellStyle name="60% - Accent4 6 8 2" xfId="14279" xr:uid="{00000000-0005-0000-0000-0000B1110000}"/>
    <cellStyle name="60% - Accent4 6 9" xfId="4278" xr:uid="{00000000-0005-0000-0000-0000B2110000}"/>
    <cellStyle name="60% - Accent4 6 9 2" xfId="14280" xr:uid="{00000000-0005-0000-0000-0000B3110000}"/>
    <cellStyle name="60% - Accent4 7" xfId="4279" xr:uid="{00000000-0005-0000-0000-0000B4110000}"/>
    <cellStyle name="60% - Accent4 7 10" xfId="4280" xr:uid="{00000000-0005-0000-0000-0000B5110000}"/>
    <cellStyle name="60% - Accent4 7 10 2" xfId="14281" xr:uid="{00000000-0005-0000-0000-0000B6110000}"/>
    <cellStyle name="60% - Accent4 7 11" xfId="4281" xr:uid="{00000000-0005-0000-0000-0000B7110000}"/>
    <cellStyle name="60% - Accent4 7 11 2" xfId="14282" xr:uid="{00000000-0005-0000-0000-0000B8110000}"/>
    <cellStyle name="60% - Accent4 7 2" xfId="4282" xr:uid="{00000000-0005-0000-0000-0000B9110000}"/>
    <cellStyle name="60% - Accent4 7 2 2" xfId="4283" xr:uid="{00000000-0005-0000-0000-0000BA110000}"/>
    <cellStyle name="60% - Accent4 7 2 2 2" xfId="14283" xr:uid="{00000000-0005-0000-0000-0000BB110000}"/>
    <cellStyle name="60% - Accent4 7 3" xfId="4284" xr:uid="{00000000-0005-0000-0000-0000BC110000}"/>
    <cellStyle name="60% - Accent4 7 3 2" xfId="4285" xr:uid="{00000000-0005-0000-0000-0000BD110000}"/>
    <cellStyle name="60% - Accent4 7 3 2 2" xfId="14284" xr:uid="{00000000-0005-0000-0000-0000BE110000}"/>
    <cellStyle name="60% - Accent4 7 4" xfId="4286" xr:uid="{00000000-0005-0000-0000-0000BF110000}"/>
    <cellStyle name="60% - Accent4 7 4 2" xfId="4287" xr:uid="{00000000-0005-0000-0000-0000C0110000}"/>
    <cellStyle name="60% - Accent4 7 4 3" xfId="14285" xr:uid="{00000000-0005-0000-0000-0000C1110000}"/>
    <cellStyle name="60% - Accent4 7 5" xfId="4288" xr:uid="{00000000-0005-0000-0000-0000C2110000}"/>
    <cellStyle name="60% - Accent4 7 5 2" xfId="14286" xr:uid="{00000000-0005-0000-0000-0000C3110000}"/>
    <cellStyle name="60% - Accent4 7 6" xfId="4289" xr:uid="{00000000-0005-0000-0000-0000C4110000}"/>
    <cellStyle name="60% - Accent4 7 6 2" xfId="14287" xr:uid="{00000000-0005-0000-0000-0000C5110000}"/>
    <cellStyle name="60% - Accent4 7 7" xfId="4290" xr:uid="{00000000-0005-0000-0000-0000C6110000}"/>
    <cellStyle name="60% - Accent4 7 7 2" xfId="14288" xr:uid="{00000000-0005-0000-0000-0000C7110000}"/>
    <cellStyle name="60% - Accent4 7 8" xfId="4291" xr:uid="{00000000-0005-0000-0000-0000C8110000}"/>
    <cellStyle name="60% - Accent4 7 8 2" xfId="14289" xr:uid="{00000000-0005-0000-0000-0000C9110000}"/>
    <cellStyle name="60% - Accent4 7 9" xfId="4292" xr:uid="{00000000-0005-0000-0000-0000CA110000}"/>
    <cellStyle name="60% - Accent4 7 9 2" xfId="14290" xr:uid="{00000000-0005-0000-0000-0000CB110000}"/>
    <cellStyle name="60% - Accent4 8" xfId="4293" xr:uid="{00000000-0005-0000-0000-0000CC110000}"/>
    <cellStyle name="60% - Accent4 8 10" xfId="4294" xr:uid="{00000000-0005-0000-0000-0000CD110000}"/>
    <cellStyle name="60% - Accent4 8 10 2" xfId="14291" xr:uid="{00000000-0005-0000-0000-0000CE110000}"/>
    <cellStyle name="60% - Accent4 8 11" xfId="4295" xr:uid="{00000000-0005-0000-0000-0000CF110000}"/>
    <cellStyle name="60% - Accent4 8 11 2" xfId="14292" xr:uid="{00000000-0005-0000-0000-0000D0110000}"/>
    <cellStyle name="60% - Accent4 8 2" xfId="4296" xr:uid="{00000000-0005-0000-0000-0000D1110000}"/>
    <cellStyle name="60% - Accent4 8 2 2" xfId="4297" xr:uid="{00000000-0005-0000-0000-0000D2110000}"/>
    <cellStyle name="60% - Accent4 8 2 2 2" xfId="14293" xr:uid="{00000000-0005-0000-0000-0000D3110000}"/>
    <cellStyle name="60% - Accent4 8 3" xfId="4298" xr:uid="{00000000-0005-0000-0000-0000D4110000}"/>
    <cellStyle name="60% - Accent4 8 3 2" xfId="4299" xr:uid="{00000000-0005-0000-0000-0000D5110000}"/>
    <cellStyle name="60% - Accent4 8 3 2 2" xfId="14294" xr:uid="{00000000-0005-0000-0000-0000D6110000}"/>
    <cellStyle name="60% - Accent4 8 4" xfId="4300" xr:uid="{00000000-0005-0000-0000-0000D7110000}"/>
    <cellStyle name="60% - Accent4 8 4 2" xfId="4301" xr:uid="{00000000-0005-0000-0000-0000D8110000}"/>
    <cellStyle name="60% - Accent4 8 4 3" xfId="14295" xr:uid="{00000000-0005-0000-0000-0000D9110000}"/>
    <cellStyle name="60% - Accent4 8 5" xfId="4302" xr:uid="{00000000-0005-0000-0000-0000DA110000}"/>
    <cellStyle name="60% - Accent4 8 5 2" xfId="14296" xr:uid="{00000000-0005-0000-0000-0000DB110000}"/>
    <cellStyle name="60% - Accent4 8 6" xfId="4303" xr:uid="{00000000-0005-0000-0000-0000DC110000}"/>
    <cellStyle name="60% - Accent4 8 6 2" xfId="14297" xr:uid="{00000000-0005-0000-0000-0000DD110000}"/>
    <cellStyle name="60% - Accent4 8 7" xfId="4304" xr:uid="{00000000-0005-0000-0000-0000DE110000}"/>
    <cellStyle name="60% - Accent4 8 7 2" xfId="14298" xr:uid="{00000000-0005-0000-0000-0000DF110000}"/>
    <cellStyle name="60% - Accent4 8 8" xfId="4305" xr:uid="{00000000-0005-0000-0000-0000E0110000}"/>
    <cellStyle name="60% - Accent4 8 8 2" xfId="14299" xr:uid="{00000000-0005-0000-0000-0000E1110000}"/>
    <cellStyle name="60% - Accent4 8 9" xfId="4306" xr:uid="{00000000-0005-0000-0000-0000E2110000}"/>
    <cellStyle name="60% - Accent4 8 9 2" xfId="14300" xr:uid="{00000000-0005-0000-0000-0000E3110000}"/>
    <cellStyle name="60% - Accent4 9" xfId="4307" xr:uid="{00000000-0005-0000-0000-0000E4110000}"/>
    <cellStyle name="60% - Accent4 9 10" xfId="4308" xr:uid="{00000000-0005-0000-0000-0000E5110000}"/>
    <cellStyle name="60% - Accent4 9 10 2" xfId="14301" xr:uid="{00000000-0005-0000-0000-0000E6110000}"/>
    <cellStyle name="60% - Accent4 9 11" xfId="4309" xr:uid="{00000000-0005-0000-0000-0000E7110000}"/>
    <cellStyle name="60% - Accent4 9 11 2" xfId="14302" xr:uid="{00000000-0005-0000-0000-0000E8110000}"/>
    <cellStyle name="60% - Accent4 9 2" xfId="4310" xr:uid="{00000000-0005-0000-0000-0000E9110000}"/>
    <cellStyle name="60% - Accent4 9 2 2" xfId="4311" xr:uid="{00000000-0005-0000-0000-0000EA110000}"/>
    <cellStyle name="60% - Accent4 9 2 2 2" xfId="14303" xr:uid="{00000000-0005-0000-0000-0000EB110000}"/>
    <cellStyle name="60% - Accent4 9 3" xfId="4312" xr:uid="{00000000-0005-0000-0000-0000EC110000}"/>
    <cellStyle name="60% - Accent4 9 3 2" xfId="4313" xr:uid="{00000000-0005-0000-0000-0000ED110000}"/>
    <cellStyle name="60% - Accent4 9 3 2 2" xfId="14304" xr:uid="{00000000-0005-0000-0000-0000EE110000}"/>
    <cellStyle name="60% - Accent4 9 4" xfId="4314" xr:uid="{00000000-0005-0000-0000-0000EF110000}"/>
    <cellStyle name="60% - Accent4 9 4 2" xfId="4315" xr:uid="{00000000-0005-0000-0000-0000F0110000}"/>
    <cellStyle name="60% - Accent4 9 4 3" xfId="14305" xr:uid="{00000000-0005-0000-0000-0000F1110000}"/>
    <cellStyle name="60% - Accent4 9 5" xfId="4316" xr:uid="{00000000-0005-0000-0000-0000F2110000}"/>
    <cellStyle name="60% - Accent4 9 5 2" xfId="14306" xr:uid="{00000000-0005-0000-0000-0000F3110000}"/>
    <cellStyle name="60% - Accent4 9 6" xfId="4317" xr:uid="{00000000-0005-0000-0000-0000F4110000}"/>
    <cellStyle name="60% - Accent4 9 6 2" xfId="14307" xr:uid="{00000000-0005-0000-0000-0000F5110000}"/>
    <cellStyle name="60% - Accent4 9 7" xfId="4318" xr:uid="{00000000-0005-0000-0000-0000F6110000}"/>
    <cellStyle name="60% - Accent4 9 7 2" xfId="14308" xr:uid="{00000000-0005-0000-0000-0000F7110000}"/>
    <cellStyle name="60% - Accent4 9 8" xfId="4319" xr:uid="{00000000-0005-0000-0000-0000F8110000}"/>
    <cellStyle name="60% - Accent4 9 8 2" xfId="14309" xr:uid="{00000000-0005-0000-0000-0000F9110000}"/>
    <cellStyle name="60% - Accent4 9 9" xfId="4320" xr:uid="{00000000-0005-0000-0000-0000FA110000}"/>
    <cellStyle name="60% - Accent4 9 9 2" xfId="14310" xr:uid="{00000000-0005-0000-0000-0000FB110000}"/>
    <cellStyle name="60% - Accent5 10" xfId="4321" xr:uid="{00000000-0005-0000-0000-0000FC110000}"/>
    <cellStyle name="60% - Accent5 10 10" xfId="4322" xr:uid="{00000000-0005-0000-0000-0000FD110000}"/>
    <cellStyle name="60% - Accent5 10 10 2" xfId="14311" xr:uid="{00000000-0005-0000-0000-0000FE110000}"/>
    <cellStyle name="60% - Accent5 10 11" xfId="4323" xr:uid="{00000000-0005-0000-0000-0000FF110000}"/>
    <cellStyle name="60% - Accent5 10 11 2" xfId="14312" xr:uid="{00000000-0005-0000-0000-000000120000}"/>
    <cellStyle name="60% - Accent5 10 2" xfId="4324" xr:uid="{00000000-0005-0000-0000-000001120000}"/>
    <cellStyle name="60% - Accent5 10 2 2" xfId="4325" xr:uid="{00000000-0005-0000-0000-000002120000}"/>
    <cellStyle name="60% - Accent5 10 2 2 2" xfId="14313" xr:uid="{00000000-0005-0000-0000-000003120000}"/>
    <cellStyle name="60% - Accent5 10 3" xfId="4326" xr:uid="{00000000-0005-0000-0000-000004120000}"/>
    <cellStyle name="60% - Accent5 10 3 2" xfId="4327" xr:uid="{00000000-0005-0000-0000-000005120000}"/>
    <cellStyle name="60% - Accent5 10 3 2 2" xfId="14314" xr:uid="{00000000-0005-0000-0000-000006120000}"/>
    <cellStyle name="60% - Accent5 10 4" xfId="4328" xr:uid="{00000000-0005-0000-0000-000007120000}"/>
    <cellStyle name="60% - Accent5 10 4 2" xfId="4329" xr:uid="{00000000-0005-0000-0000-000008120000}"/>
    <cellStyle name="60% - Accent5 10 4 3" xfId="14315" xr:uid="{00000000-0005-0000-0000-000009120000}"/>
    <cellStyle name="60% - Accent5 10 5" xfId="4330" xr:uid="{00000000-0005-0000-0000-00000A120000}"/>
    <cellStyle name="60% - Accent5 10 5 2" xfId="14316" xr:uid="{00000000-0005-0000-0000-00000B120000}"/>
    <cellStyle name="60% - Accent5 10 6" xfId="4331" xr:uid="{00000000-0005-0000-0000-00000C120000}"/>
    <cellStyle name="60% - Accent5 10 6 2" xfId="14317" xr:uid="{00000000-0005-0000-0000-00000D120000}"/>
    <cellStyle name="60% - Accent5 10 7" xfId="4332" xr:uid="{00000000-0005-0000-0000-00000E120000}"/>
    <cellStyle name="60% - Accent5 10 7 2" xfId="14318" xr:uid="{00000000-0005-0000-0000-00000F120000}"/>
    <cellStyle name="60% - Accent5 10 8" xfId="4333" xr:uid="{00000000-0005-0000-0000-000010120000}"/>
    <cellStyle name="60% - Accent5 10 8 2" xfId="14319" xr:uid="{00000000-0005-0000-0000-000011120000}"/>
    <cellStyle name="60% - Accent5 10 9" xfId="4334" xr:uid="{00000000-0005-0000-0000-000012120000}"/>
    <cellStyle name="60% - Accent5 10 9 2" xfId="14320" xr:uid="{00000000-0005-0000-0000-000013120000}"/>
    <cellStyle name="60% - Accent5 11" xfId="4335" xr:uid="{00000000-0005-0000-0000-000014120000}"/>
    <cellStyle name="60% - Accent5 11 10" xfId="4336" xr:uid="{00000000-0005-0000-0000-000015120000}"/>
    <cellStyle name="60% - Accent5 11 10 2" xfId="14321" xr:uid="{00000000-0005-0000-0000-000016120000}"/>
    <cellStyle name="60% - Accent5 11 11" xfId="4337" xr:uid="{00000000-0005-0000-0000-000017120000}"/>
    <cellStyle name="60% - Accent5 11 11 2" xfId="14322" xr:uid="{00000000-0005-0000-0000-000018120000}"/>
    <cellStyle name="60% - Accent5 11 2" xfId="4338" xr:uid="{00000000-0005-0000-0000-000019120000}"/>
    <cellStyle name="60% - Accent5 11 2 2" xfId="4339" xr:uid="{00000000-0005-0000-0000-00001A120000}"/>
    <cellStyle name="60% - Accent5 11 2 2 2" xfId="14323" xr:uid="{00000000-0005-0000-0000-00001B120000}"/>
    <cellStyle name="60% - Accent5 11 3" xfId="4340" xr:uid="{00000000-0005-0000-0000-00001C120000}"/>
    <cellStyle name="60% - Accent5 11 3 2" xfId="4341" xr:uid="{00000000-0005-0000-0000-00001D120000}"/>
    <cellStyle name="60% - Accent5 11 3 2 2" xfId="14324" xr:uid="{00000000-0005-0000-0000-00001E120000}"/>
    <cellStyle name="60% - Accent5 11 4" xfId="4342" xr:uid="{00000000-0005-0000-0000-00001F120000}"/>
    <cellStyle name="60% - Accent5 11 4 2" xfId="4343" xr:uid="{00000000-0005-0000-0000-000020120000}"/>
    <cellStyle name="60% - Accent5 11 4 3" xfId="14325" xr:uid="{00000000-0005-0000-0000-000021120000}"/>
    <cellStyle name="60% - Accent5 11 5" xfId="4344" xr:uid="{00000000-0005-0000-0000-000022120000}"/>
    <cellStyle name="60% - Accent5 11 5 2" xfId="14326" xr:uid="{00000000-0005-0000-0000-000023120000}"/>
    <cellStyle name="60% - Accent5 11 6" xfId="4345" xr:uid="{00000000-0005-0000-0000-000024120000}"/>
    <cellStyle name="60% - Accent5 11 6 2" xfId="14327" xr:uid="{00000000-0005-0000-0000-000025120000}"/>
    <cellStyle name="60% - Accent5 11 7" xfId="4346" xr:uid="{00000000-0005-0000-0000-000026120000}"/>
    <cellStyle name="60% - Accent5 11 7 2" xfId="14328" xr:uid="{00000000-0005-0000-0000-000027120000}"/>
    <cellStyle name="60% - Accent5 11 8" xfId="4347" xr:uid="{00000000-0005-0000-0000-000028120000}"/>
    <cellStyle name="60% - Accent5 11 8 2" xfId="14329" xr:uid="{00000000-0005-0000-0000-000029120000}"/>
    <cellStyle name="60% - Accent5 11 9" xfId="4348" xr:uid="{00000000-0005-0000-0000-00002A120000}"/>
    <cellStyle name="60% - Accent5 11 9 2" xfId="14330" xr:uid="{00000000-0005-0000-0000-00002B120000}"/>
    <cellStyle name="60% - Accent5 12" xfId="4349" xr:uid="{00000000-0005-0000-0000-00002C120000}"/>
    <cellStyle name="60% - Accent5 12 10" xfId="4350" xr:uid="{00000000-0005-0000-0000-00002D120000}"/>
    <cellStyle name="60% - Accent5 12 10 2" xfId="14331" xr:uid="{00000000-0005-0000-0000-00002E120000}"/>
    <cellStyle name="60% - Accent5 12 11" xfId="4351" xr:uid="{00000000-0005-0000-0000-00002F120000}"/>
    <cellStyle name="60% - Accent5 12 11 2" xfId="14332" xr:uid="{00000000-0005-0000-0000-000030120000}"/>
    <cellStyle name="60% - Accent5 12 2" xfId="4352" xr:uid="{00000000-0005-0000-0000-000031120000}"/>
    <cellStyle name="60% - Accent5 12 2 2" xfId="4353" xr:uid="{00000000-0005-0000-0000-000032120000}"/>
    <cellStyle name="60% - Accent5 12 2 2 2" xfId="14333" xr:uid="{00000000-0005-0000-0000-000033120000}"/>
    <cellStyle name="60% - Accent5 12 3" xfId="4354" xr:uid="{00000000-0005-0000-0000-000034120000}"/>
    <cellStyle name="60% - Accent5 12 3 2" xfId="4355" xr:uid="{00000000-0005-0000-0000-000035120000}"/>
    <cellStyle name="60% - Accent5 12 3 2 2" xfId="14334" xr:uid="{00000000-0005-0000-0000-000036120000}"/>
    <cellStyle name="60% - Accent5 12 4" xfId="4356" xr:uid="{00000000-0005-0000-0000-000037120000}"/>
    <cellStyle name="60% - Accent5 12 4 2" xfId="4357" xr:uid="{00000000-0005-0000-0000-000038120000}"/>
    <cellStyle name="60% - Accent5 12 4 3" xfId="14335" xr:uid="{00000000-0005-0000-0000-000039120000}"/>
    <cellStyle name="60% - Accent5 12 5" xfId="4358" xr:uid="{00000000-0005-0000-0000-00003A120000}"/>
    <cellStyle name="60% - Accent5 12 5 2" xfId="14336" xr:uid="{00000000-0005-0000-0000-00003B120000}"/>
    <cellStyle name="60% - Accent5 12 6" xfId="4359" xr:uid="{00000000-0005-0000-0000-00003C120000}"/>
    <cellStyle name="60% - Accent5 12 6 2" xfId="14337" xr:uid="{00000000-0005-0000-0000-00003D120000}"/>
    <cellStyle name="60% - Accent5 12 7" xfId="4360" xr:uid="{00000000-0005-0000-0000-00003E120000}"/>
    <cellStyle name="60% - Accent5 12 7 2" xfId="14338" xr:uid="{00000000-0005-0000-0000-00003F120000}"/>
    <cellStyle name="60% - Accent5 12 8" xfId="4361" xr:uid="{00000000-0005-0000-0000-000040120000}"/>
    <cellStyle name="60% - Accent5 12 8 2" xfId="14339" xr:uid="{00000000-0005-0000-0000-000041120000}"/>
    <cellStyle name="60% - Accent5 12 9" xfId="4362" xr:uid="{00000000-0005-0000-0000-000042120000}"/>
    <cellStyle name="60% - Accent5 12 9 2" xfId="14340" xr:uid="{00000000-0005-0000-0000-000043120000}"/>
    <cellStyle name="60% - Accent5 13" xfId="4363" xr:uid="{00000000-0005-0000-0000-000044120000}"/>
    <cellStyle name="60% - Accent5 13 10" xfId="4364" xr:uid="{00000000-0005-0000-0000-000045120000}"/>
    <cellStyle name="60% - Accent5 13 10 2" xfId="14341" xr:uid="{00000000-0005-0000-0000-000046120000}"/>
    <cellStyle name="60% - Accent5 13 11" xfId="4365" xr:uid="{00000000-0005-0000-0000-000047120000}"/>
    <cellStyle name="60% - Accent5 13 11 2" xfId="14342" xr:uid="{00000000-0005-0000-0000-000048120000}"/>
    <cellStyle name="60% - Accent5 13 2" xfId="4366" xr:uid="{00000000-0005-0000-0000-000049120000}"/>
    <cellStyle name="60% - Accent5 13 2 2" xfId="4367" xr:uid="{00000000-0005-0000-0000-00004A120000}"/>
    <cellStyle name="60% - Accent5 13 2 2 2" xfId="14343" xr:uid="{00000000-0005-0000-0000-00004B120000}"/>
    <cellStyle name="60% - Accent5 13 3" xfId="4368" xr:uid="{00000000-0005-0000-0000-00004C120000}"/>
    <cellStyle name="60% - Accent5 13 3 2" xfId="4369" xr:uid="{00000000-0005-0000-0000-00004D120000}"/>
    <cellStyle name="60% - Accent5 13 3 2 2" xfId="14344" xr:uid="{00000000-0005-0000-0000-00004E120000}"/>
    <cellStyle name="60% - Accent5 13 4" xfId="4370" xr:uid="{00000000-0005-0000-0000-00004F120000}"/>
    <cellStyle name="60% - Accent5 13 4 2" xfId="14345" xr:uid="{00000000-0005-0000-0000-000050120000}"/>
    <cellStyle name="60% - Accent5 13 5" xfId="4371" xr:uid="{00000000-0005-0000-0000-000051120000}"/>
    <cellStyle name="60% - Accent5 13 5 2" xfId="14346" xr:uid="{00000000-0005-0000-0000-000052120000}"/>
    <cellStyle name="60% - Accent5 13 6" xfId="4372" xr:uid="{00000000-0005-0000-0000-000053120000}"/>
    <cellStyle name="60% - Accent5 13 6 2" xfId="14347" xr:uid="{00000000-0005-0000-0000-000054120000}"/>
    <cellStyle name="60% - Accent5 13 7" xfId="4373" xr:uid="{00000000-0005-0000-0000-000055120000}"/>
    <cellStyle name="60% - Accent5 13 7 2" xfId="14348" xr:uid="{00000000-0005-0000-0000-000056120000}"/>
    <cellStyle name="60% - Accent5 13 8" xfId="4374" xr:uid="{00000000-0005-0000-0000-000057120000}"/>
    <cellStyle name="60% - Accent5 13 8 2" xfId="14349" xr:uid="{00000000-0005-0000-0000-000058120000}"/>
    <cellStyle name="60% - Accent5 13 9" xfId="4375" xr:uid="{00000000-0005-0000-0000-000059120000}"/>
    <cellStyle name="60% - Accent5 13 9 2" xfId="14350" xr:uid="{00000000-0005-0000-0000-00005A120000}"/>
    <cellStyle name="60% - Accent5 14" xfId="4376" xr:uid="{00000000-0005-0000-0000-00005B120000}"/>
    <cellStyle name="60% - Accent5 14 10" xfId="4377" xr:uid="{00000000-0005-0000-0000-00005C120000}"/>
    <cellStyle name="60% - Accent5 14 10 2" xfId="14351" xr:uid="{00000000-0005-0000-0000-00005D120000}"/>
    <cellStyle name="60% - Accent5 14 11" xfId="4378" xr:uid="{00000000-0005-0000-0000-00005E120000}"/>
    <cellStyle name="60% - Accent5 14 11 2" xfId="14352" xr:uid="{00000000-0005-0000-0000-00005F120000}"/>
    <cellStyle name="60% - Accent5 14 2" xfId="4379" xr:uid="{00000000-0005-0000-0000-000060120000}"/>
    <cellStyle name="60% - Accent5 14 2 2" xfId="4380" xr:uid="{00000000-0005-0000-0000-000061120000}"/>
    <cellStyle name="60% - Accent5 14 2 2 2" xfId="14353" xr:uid="{00000000-0005-0000-0000-000062120000}"/>
    <cellStyle name="60% - Accent5 14 3" xfId="4381" xr:uid="{00000000-0005-0000-0000-000063120000}"/>
    <cellStyle name="60% - Accent5 14 3 2" xfId="4382" xr:uid="{00000000-0005-0000-0000-000064120000}"/>
    <cellStyle name="60% - Accent5 14 3 2 2" xfId="14354" xr:uid="{00000000-0005-0000-0000-000065120000}"/>
    <cellStyle name="60% - Accent5 14 4" xfId="4383" xr:uid="{00000000-0005-0000-0000-000066120000}"/>
    <cellStyle name="60% - Accent5 14 4 2" xfId="14355" xr:uid="{00000000-0005-0000-0000-000067120000}"/>
    <cellStyle name="60% - Accent5 14 5" xfId="4384" xr:uid="{00000000-0005-0000-0000-000068120000}"/>
    <cellStyle name="60% - Accent5 14 5 2" xfId="14356" xr:uid="{00000000-0005-0000-0000-000069120000}"/>
    <cellStyle name="60% - Accent5 14 6" xfId="4385" xr:uid="{00000000-0005-0000-0000-00006A120000}"/>
    <cellStyle name="60% - Accent5 14 6 2" xfId="14357" xr:uid="{00000000-0005-0000-0000-00006B120000}"/>
    <cellStyle name="60% - Accent5 14 7" xfId="4386" xr:uid="{00000000-0005-0000-0000-00006C120000}"/>
    <cellStyle name="60% - Accent5 14 7 2" xfId="14358" xr:uid="{00000000-0005-0000-0000-00006D120000}"/>
    <cellStyle name="60% - Accent5 14 8" xfId="4387" xr:uid="{00000000-0005-0000-0000-00006E120000}"/>
    <cellStyle name="60% - Accent5 14 8 2" xfId="14359" xr:uid="{00000000-0005-0000-0000-00006F120000}"/>
    <cellStyle name="60% - Accent5 14 9" xfId="4388" xr:uid="{00000000-0005-0000-0000-000070120000}"/>
    <cellStyle name="60% - Accent5 14 9 2" xfId="14360" xr:uid="{00000000-0005-0000-0000-000071120000}"/>
    <cellStyle name="60% - Accent5 15" xfId="4389" xr:uid="{00000000-0005-0000-0000-000072120000}"/>
    <cellStyle name="60% - Accent5 15 10" xfId="4390" xr:uid="{00000000-0005-0000-0000-000073120000}"/>
    <cellStyle name="60% - Accent5 15 10 2" xfId="14361" xr:uid="{00000000-0005-0000-0000-000074120000}"/>
    <cellStyle name="60% - Accent5 15 11" xfId="4391" xr:uid="{00000000-0005-0000-0000-000075120000}"/>
    <cellStyle name="60% - Accent5 15 11 2" xfId="14362" xr:uid="{00000000-0005-0000-0000-000076120000}"/>
    <cellStyle name="60% - Accent5 15 2" xfId="4392" xr:uid="{00000000-0005-0000-0000-000077120000}"/>
    <cellStyle name="60% - Accent5 15 2 2" xfId="4393" xr:uid="{00000000-0005-0000-0000-000078120000}"/>
    <cellStyle name="60% - Accent5 15 2 2 2" xfId="14363" xr:uid="{00000000-0005-0000-0000-000079120000}"/>
    <cellStyle name="60% - Accent5 15 3" xfId="4394" xr:uid="{00000000-0005-0000-0000-00007A120000}"/>
    <cellStyle name="60% - Accent5 15 3 2" xfId="4395" xr:uid="{00000000-0005-0000-0000-00007B120000}"/>
    <cellStyle name="60% - Accent5 15 3 2 2" xfId="14364" xr:uid="{00000000-0005-0000-0000-00007C120000}"/>
    <cellStyle name="60% - Accent5 15 4" xfId="4396" xr:uid="{00000000-0005-0000-0000-00007D120000}"/>
    <cellStyle name="60% - Accent5 15 4 2" xfId="14365" xr:uid="{00000000-0005-0000-0000-00007E120000}"/>
    <cellStyle name="60% - Accent5 15 5" xfId="4397" xr:uid="{00000000-0005-0000-0000-00007F120000}"/>
    <cellStyle name="60% - Accent5 15 5 2" xfId="14366" xr:uid="{00000000-0005-0000-0000-000080120000}"/>
    <cellStyle name="60% - Accent5 15 6" xfId="4398" xr:uid="{00000000-0005-0000-0000-000081120000}"/>
    <cellStyle name="60% - Accent5 15 6 2" xfId="14367" xr:uid="{00000000-0005-0000-0000-000082120000}"/>
    <cellStyle name="60% - Accent5 15 7" xfId="4399" xr:uid="{00000000-0005-0000-0000-000083120000}"/>
    <cellStyle name="60% - Accent5 15 7 2" xfId="14368" xr:uid="{00000000-0005-0000-0000-000084120000}"/>
    <cellStyle name="60% - Accent5 15 8" xfId="4400" xr:uid="{00000000-0005-0000-0000-000085120000}"/>
    <cellStyle name="60% - Accent5 15 8 2" xfId="14369" xr:uid="{00000000-0005-0000-0000-000086120000}"/>
    <cellStyle name="60% - Accent5 15 9" xfId="4401" xr:uid="{00000000-0005-0000-0000-000087120000}"/>
    <cellStyle name="60% - Accent5 15 9 2" xfId="14370" xr:uid="{00000000-0005-0000-0000-000088120000}"/>
    <cellStyle name="60% - Accent5 16" xfId="4402" xr:uid="{00000000-0005-0000-0000-000089120000}"/>
    <cellStyle name="60% - Accent5 16 10" xfId="4403" xr:uid="{00000000-0005-0000-0000-00008A120000}"/>
    <cellStyle name="60% - Accent5 16 10 2" xfId="14371" xr:uid="{00000000-0005-0000-0000-00008B120000}"/>
    <cellStyle name="60% - Accent5 16 11" xfId="4404" xr:uid="{00000000-0005-0000-0000-00008C120000}"/>
    <cellStyle name="60% - Accent5 16 11 2" xfId="14372" xr:uid="{00000000-0005-0000-0000-00008D120000}"/>
    <cellStyle name="60% - Accent5 16 2" xfId="4405" xr:uid="{00000000-0005-0000-0000-00008E120000}"/>
    <cellStyle name="60% - Accent5 16 2 2" xfId="4406" xr:uid="{00000000-0005-0000-0000-00008F120000}"/>
    <cellStyle name="60% - Accent5 16 2 2 2" xfId="14373" xr:uid="{00000000-0005-0000-0000-000090120000}"/>
    <cellStyle name="60% - Accent5 16 3" xfId="4407" xr:uid="{00000000-0005-0000-0000-000091120000}"/>
    <cellStyle name="60% - Accent5 16 3 2" xfId="4408" xr:uid="{00000000-0005-0000-0000-000092120000}"/>
    <cellStyle name="60% - Accent5 16 3 2 2" xfId="14374" xr:uid="{00000000-0005-0000-0000-000093120000}"/>
    <cellStyle name="60% - Accent5 16 4" xfId="4409" xr:uid="{00000000-0005-0000-0000-000094120000}"/>
    <cellStyle name="60% - Accent5 16 4 2" xfId="14375" xr:uid="{00000000-0005-0000-0000-000095120000}"/>
    <cellStyle name="60% - Accent5 16 5" xfId="4410" xr:uid="{00000000-0005-0000-0000-000096120000}"/>
    <cellStyle name="60% - Accent5 16 5 2" xfId="14376" xr:uid="{00000000-0005-0000-0000-000097120000}"/>
    <cellStyle name="60% - Accent5 16 6" xfId="4411" xr:uid="{00000000-0005-0000-0000-000098120000}"/>
    <cellStyle name="60% - Accent5 16 6 2" xfId="14377" xr:uid="{00000000-0005-0000-0000-000099120000}"/>
    <cellStyle name="60% - Accent5 16 7" xfId="4412" xr:uid="{00000000-0005-0000-0000-00009A120000}"/>
    <cellStyle name="60% - Accent5 16 7 2" xfId="14378" xr:uid="{00000000-0005-0000-0000-00009B120000}"/>
    <cellStyle name="60% - Accent5 16 8" xfId="4413" xr:uid="{00000000-0005-0000-0000-00009C120000}"/>
    <cellStyle name="60% - Accent5 16 8 2" xfId="14379" xr:uid="{00000000-0005-0000-0000-00009D120000}"/>
    <cellStyle name="60% - Accent5 16 9" xfId="4414" xr:uid="{00000000-0005-0000-0000-00009E120000}"/>
    <cellStyle name="60% - Accent5 16 9 2" xfId="14380" xr:uid="{00000000-0005-0000-0000-00009F120000}"/>
    <cellStyle name="60% - Accent5 17" xfId="4415" xr:uid="{00000000-0005-0000-0000-0000A0120000}"/>
    <cellStyle name="60% - Accent5 17 10" xfId="4416" xr:uid="{00000000-0005-0000-0000-0000A1120000}"/>
    <cellStyle name="60% - Accent5 17 10 2" xfId="14381" xr:uid="{00000000-0005-0000-0000-0000A2120000}"/>
    <cellStyle name="60% - Accent5 17 11" xfId="4417" xr:uid="{00000000-0005-0000-0000-0000A3120000}"/>
    <cellStyle name="60% - Accent5 17 11 2" xfId="14382" xr:uid="{00000000-0005-0000-0000-0000A4120000}"/>
    <cellStyle name="60% - Accent5 17 2" xfId="4418" xr:uid="{00000000-0005-0000-0000-0000A5120000}"/>
    <cellStyle name="60% - Accent5 17 2 2" xfId="4419" xr:uid="{00000000-0005-0000-0000-0000A6120000}"/>
    <cellStyle name="60% - Accent5 17 2 2 2" xfId="14383" xr:uid="{00000000-0005-0000-0000-0000A7120000}"/>
    <cellStyle name="60% - Accent5 17 3" xfId="4420" xr:uid="{00000000-0005-0000-0000-0000A8120000}"/>
    <cellStyle name="60% - Accent5 17 3 2" xfId="4421" xr:uid="{00000000-0005-0000-0000-0000A9120000}"/>
    <cellStyle name="60% - Accent5 17 3 2 2" xfId="14384" xr:uid="{00000000-0005-0000-0000-0000AA120000}"/>
    <cellStyle name="60% - Accent5 17 4" xfId="4422" xr:uid="{00000000-0005-0000-0000-0000AB120000}"/>
    <cellStyle name="60% - Accent5 17 4 2" xfId="14385" xr:uid="{00000000-0005-0000-0000-0000AC120000}"/>
    <cellStyle name="60% - Accent5 17 5" xfId="4423" xr:uid="{00000000-0005-0000-0000-0000AD120000}"/>
    <cellStyle name="60% - Accent5 17 5 2" xfId="14386" xr:uid="{00000000-0005-0000-0000-0000AE120000}"/>
    <cellStyle name="60% - Accent5 17 6" xfId="4424" xr:uid="{00000000-0005-0000-0000-0000AF120000}"/>
    <cellStyle name="60% - Accent5 17 6 2" xfId="14387" xr:uid="{00000000-0005-0000-0000-0000B0120000}"/>
    <cellStyle name="60% - Accent5 17 7" xfId="4425" xr:uid="{00000000-0005-0000-0000-0000B1120000}"/>
    <cellStyle name="60% - Accent5 17 7 2" xfId="14388" xr:uid="{00000000-0005-0000-0000-0000B2120000}"/>
    <cellStyle name="60% - Accent5 17 8" xfId="4426" xr:uid="{00000000-0005-0000-0000-0000B3120000}"/>
    <cellStyle name="60% - Accent5 17 8 2" xfId="14389" xr:uid="{00000000-0005-0000-0000-0000B4120000}"/>
    <cellStyle name="60% - Accent5 17 9" xfId="4427" xr:uid="{00000000-0005-0000-0000-0000B5120000}"/>
    <cellStyle name="60% - Accent5 17 9 2" xfId="14390" xr:uid="{00000000-0005-0000-0000-0000B6120000}"/>
    <cellStyle name="60% - Accent5 18" xfId="4428" xr:uid="{00000000-0005-0000-0000-0000B7120000}"/>
    <cellStyle name="60% - Accent5 18 2" xfId="4429" xr:uid="{00000000-0005-0000-0000-0000B8120000}"/>
    <cellStyle name="60% - Accent5 18 2 2" xfId="4430" xr:uid="{00000000-0005-0000-0000-0000B9120000}"/>
    <cellStyle name="60% - Accent5 18 2 2 2" xfId="14391" xr:uid="{00000000-0005-0000-0000-0000BA120000}"/>
    <cellStyle name="60% - Accent5 18 3" xfId="4431" xr:uid="{00000000-0005-0000-0000-0000BB120000}"/>
    <cellStyle name="60% - Accent5 18 3 2" xfId="14392" xr:uid="{00000000-0005-0000-0000-0000BC120000}"/>
    <cellStyle name="60% - Accent5 18 4" xfId="4432" xr:uid="{00000000-0005-0000-0000-0000BD120000}"/>
    <cellStyle name="60% - Accent5 18 4 2" xfId="14393" xr:uid="{00000000-0005-0000-0000-0000BE120000}"/>
    <cellStyle name="60% - Accent5 18 5" xfId="4433" xr:uid="{00000000-0005-0000-0000-0000BF120000}"/>
    <cellStyle name="60% - Accent5 18 5 2" xfId="14394" xr:uid="{00000000-0005-0000-0000-0000C0120000}"/>
    <cellStyle name="60% - Accent5 18 6" xfId="4434" xr:uid="{00000000-0005-0000-0000-0000C1120000}"/>
    <cellStyle name="60% - Accent5 18 6 2" xfId="14395" xr:uid="{00000000-0005-0000-0000-0000C2120000}"/>
    <cellStyle name="60% - Accent5 18 7" xfId="4435" xr:uid="{00000000-0005-0000-0000-0000C3120000}"/>
    <cellStyle name="60% - Accent5 18 7 2" xfId="14396" xr:uid="{00000000-0005-0000-0000-0000C4120000}"/>
    <cellStyle name="60% - Accent5 18 8" xfId="4436" xr:uid="{00000000-0005-0000-0000-0000C5120000}"/>
    <cellStyle name="60% - Accent5 18 8 2" xfId="14397" xr:uid="{00000000-0005-0000-0000-0000C6120000}"/>
    <cellStyle name="60% - Accent5 18 9" xfId="4437" xr:uid="{00000000-0005-0000-0000-0000C7120000}"/>
    <cellStyle name="60% - Accent5 18 9 2" xfId="14398" xr:uid="{00000000-0005-0000-0000-0000C8120000}"/>
    <cellStyle name="60% - Accent5 19" xfId="4438" xr:uid="{00000000-0005-0000-0000-0000C9120000}"/>
    <cellStyle name="60% - Accent5 19 2" xfId="4439" xr:uid="{00000000-0005-0000-0000-0000CA120000}"/>
    <cellStyle name="60% - Accent5 19 2 2" xfId="4440" xr:uid="{00000000-0005-0000-0000-0000CB120000}"/>
    <cellStyle name="60% - Accent5 19 2 2 2" xfId="14399" xr:uid="{00000000-0005-0000-0000-0000CC120000}"/>
    <cellStyle name="60% - Accent5 19 3" xfId="4441" xr:uid="{00000000-0005-0000-0000-0000CD120000}"/>
    <cellStyle name="60% - Accent5 19 3 2" xfId="14400" xr:uid="{00000000-0005-0000-0000-0000CE120000}"/>
    <cellStyle name="60% - Accent5 19 4" xfId="4442" xr:uid="{00000000-0005-0000-0000-0000CF120000}"/>
    <cellStyle name="60% - Accent5 19 4 2" xfId="14401" xr:uid="{00000000-0005-0000-0000-0000D0120000}"/>
    <cellStyle name="60% - Accent5 19 5" xfId="4443" xr:uid="{00000000-0005-0000-0000-0000D1120000}"/>
    <cellStyle name="60% - Accent5 19 5 2" xfId="14402" xr:uid="{00000000-0005-0000-0000-0000D2120000}"/>
    <cellStyle name="60% - Accent5 19 6" xfId="4444" xr:uid="{00000000-0005-0000-0000-0000D3120000}"/>
    <cellStyle name="60% - Accent5 19 6 2" xfId="14403" xr:uid="{00000000-0005-0000-0000-0000D4120000}"/>
    <cellStyle name="60% - Accent5 19 7" xfId="4445" xr:uid="{00000000-0005-0000-0000-0000D5120000}"/>
    <cellStyle name="60% - Accent5 19 7 2" xfId="14404" xr:uid="{00000000-0005-0000-0000-0000D6120000}"/>
    <cellStyle name="60% - Accent5 19 8" xfId="4446" xr:uid="{00000000-0005-0000-0000-0000D7120000}"/>
    <cellStyle name="60% - Accent5 19 8 2" xfId="14405" xr:uid="{00000000-0005-0000-0000-0000D8120000}"/>
    <cellStyle name="60% - Accent5 19 9" xfId="4447" xr:uid="{00000000-0005-0000-0000-0000D9120000}"/>
    <cellStyle name="60% - Accent5 19 9 2" xfId="14406" xr:uid="{00000000-0005-0000-0000-0000DA120000}"/>
    <cellStyle name="60% - Accent5 2" xfId="4448" xr:uid="{00000000-0005-0000-0000-0000DB120000}"/>
    <cellStyle name="60% - Accent5 2 10" xfId="4449" xr:uid="{00000000-0005-0000-0000-0000DC120000}"/>
    <cellStyle name="60% - Accent5 2 10 2" xfId="14407" xr:uid="{00000000-0005-0000-0000-0000DD120000}"/>
    <cellStyle name="60% - Accent5 2 11" xfId="4450" xr:uid="{00000000-0005-0000-0000-0000DE120000}"/>
    <cellStyle name="60% - Accent5 2 11 2" xfId="14408" xr:uid="{00000000-0005-0000-0000-0000DF120000}"/>
    <cellStyle name="60% - Accent5 2 2" xfId="4451" xr:uid="{00000000-0005-0000-0000-0000E0120000}"/>
    <cellStyle name="60% - Accent5 2 2 2" xfId="4452" xr:uid="{00000000-0005-0000-0000-0000E1120000}"/>
    <cellStyle name="60% - Accent5 2 2 2 2" xfId="14409" xr:uid="{00000000-0005-0000-0000-0000E2120000}"/>
    <cellStyle name="60% - Accent5 2 3" xfId="4453" xr:uid="{00000000-0005-0000-0000-0000E3120000}"/>
    <cellStyle name="60% - Accent5 2 3 2" xfId="4454" xr:uid="{00000000-0005-0000-0000-0000E4120000}"/>
    <cellStyle name="60% - Accent5 2 3 2 2" xfId="14410" xr:uid="{00000000-0005-0000-0000-0000E5120000}"/>
    <cellStyle name="60% - Accent5 2 4" xfId="4455" xr:uid="{00000000-0005-0000-0000-0000E6120000}"/>
    <cellStyle name="60% - Accent5 2 4 2" xfId="4456" xr:uid="{00000000-0005-0000-0000-0000E7120000}"/>
    <cellStyle name="60% - Accent5 2 4 3" xfId="14411" xr:uid="{00000000-0005-0000-0000-0000E8120000}"/>
    <cellStyle name="60% - Accent5 2 5" xfId="4457" xr:uid="{00000000-0005-0000-0000-0000E9120000}"/>
    <cellStyle name="60% - Accent5 2 5 2" xfId="14412" xr:uid="{00000000-0005-0000-0000-0000EA120000}"/>
    <cellStyle name="60% - Accent5 2 6" xfId="4458" xr:uid="{00000000-0005-0000-0000-0000EB120000}"/>
    <cellStyle name="60% - Accent5 2 6 2" xfId="14413" xr:uid="{00000000-0005-0000-0000-0000EC120000}"/>
    <cellStyle name="60% - Accent5 2 7" xfId="4459" xr:uid="{00000000-0005-0000-0000-0000ED120000}"/>
    <cellStyle name="60% - Accent5 2 7 2" xfId="14414" xr:uid="{00000000-0005-0000-0000-0000EE120000}"/>
    <cellStyle name="60% - Accent5 2 8" xfId="4460" xr:uid="{00000000-0005-0000-0000-0000EF120000}"/>
    <cellStyle name="60% - Accent5 2 8 2" xfId="14415" xr:uid="{00000000-0005-0000-0000-0000F0120000}"/>
    <cellStyle name="60% - Accent5 2 9" xfId="4461" xr:uid="{00000000-0005-0000-0000-0000F1120000}"/>
    <cellStyle name="60% - Accent5 2 9 2" xfId="14416" xr:uid="{00000000-0005-0000-0000-0000F2120000}"/>
    <cellStyle name="60% - Accent5 20" xfId="4462" xr:uid="{00000000-0005-0000-0000-0000F3120000}"/>
    <cellStyle name="60% - Accent5 20 2" xfId="4463" xr:uid="{00000000-0005-0000-0000-0000F4120000}"/>
    <cellStyle name="60% - Accent5 20 2 2" xfId="14417" xr:uid="{00000000-0005-0000-0000-0000F5120000}"/>
    <cellStyle name="60% - Accent5 20 3" xfId="4464" xr:uid="{00000000-0005-0000-0000-0000F6120000}"/>
    <cellStyle name="60% - Accent5 20 3 2" xfId="14418" xr:uid="{00000000-0005-0000-0000-0000F7120000}"/>
    <cellStyle name="60% - Accent5 20 4" xfId="4465" xr:uid="{00000000-0005-0000-0000-0000F8120000}"/>
    <cellStyle name="60% - Accent5 20 4 2" xfId="14419" xr:uid="{00000000-0005-0000-0000-0000F9120000}"/>
    <cellStyle name="60% - Accent5 20 5" xfId="4466" xr:uid="{00000000-0005-0000-0000-0000FA120000}"/>
    <cellStyle name="60% - Accent5 20 5 2" xfId="14420" xr:uid="{00000000-0005-0000-0000-0000FB120000}"/>
    <cellStyle name="60% - Accent5 20 6" xfId="4467" xr:uid="{00000000-0005-0000-0000-0000FC120000}"/>
    <cellStyle name="60% - Accent5 20 6 2" xfId="14421" xr:uid="{00000000-0005-0000-0000-0000FD120000}"/>
    <cellStyle name="60% - Accent5 20 7" xfId="4468" xr:uid="{00000000-0005-0000-0000-0000FE120000}"/>
    <cellStyle name="60% - Accent5 20 7 2" xfId="14422" xr:uid="{00000000-0005-0000-0000-0000FF120000}"/>
    <cellStyle name="60% - Accent5 20 8" xfId="4469" xr:uid="{00000000-0005-0000-0000-000000130000}"/>
    <cellStyle name="60% - Accent5 20 8 2" xfId="14423" xr:uid="{00000000-0005-0000-0000-000001130000}"/>
    <cellStyle name="60% - Accent5 20 9" xfId="4470" xr:uid="{00000000-0005-0000-0000-000002130000}"/>
    <cellStyle name="60% - Accent5 20 9 2" xfId="14424" xr:uid="{00000000-0005-0000-0000-000003130000}"/>
    <cellStyle name="60% - Accent5 21" xfId="4471" xr:uid="{00000000-0005-0000-0000-000004130000}"/>
    <cellStyle name="60% - Accent5 21 2" xfId="4472" xr:uid="{00000000-0005-0000-0000-000005130000}"/>
    <cellStyle name="60% - Accent5 21 2 2" xfId="14425" xr:uid="{00000000-0005-0000-0000-000006130000}"/>
    <cellStyle name="60% - Accent5 21 3" xfId="4473" xr:uid="{00000000-0005-0000-0000-000007130000}"/>
    <cellStyle name="60% - Accent5 21 3 2" xfId="14426" xr:uid="{00000000-0005-0000-0000-000008130000}"/>
    <cellStyle name="60% - Accent5 21 4" xfId="4474" xr:uid="{00000000-0005-0000-0000-000009130000}"/>
    <cellStyle name="60% - Accent5 21 4 2" xfId="14427" xr:uid="{00000000-0005-0000-0000-00000A130000}"/>
    <cellStyle name="60% - Accent5 21 5" xfId="4475" xr:uid="{00000000-0005-0000-0000-00000B130000}"/>
    <cellStyle name="60% - Accent5 21 5 2" xfId="14428" xr:uid="{00000000-0005-0000-0000-00000C130000}"/>
    <cellStyle name="60% - Accent5 21 6" xfId="4476" xr:uid="{00000000-0005-0000-0000-00000D130000}"/>
    <cellStyle name="60% - Accent5 21 6 2" xfId="14429" xr:uid="{00000000-0005-0000-0000-00000E130000}"/>
    <cellStyle name="60% - Accent5 21 7" xfId="4477" xr:uid="{00000000-0005-0000-0000-00000F130000}"/>
    <cellStyle name="60% - Accent5 21 7 2" xfId="14430" xr:uid="{00000000-0005-0000-0000-000010130000}"/>
    <cellStyle name="60% - Accent5 21 8" xfId="4478" xr:uid="{00000000-0005-0000-0000-000011130000}"/>
    <cellStyle name="60% - Accent5 21 8 2" xfId="14431" xr:uid="{00000000-0005-0000-0000-000012130000}"/>
    <cellStyle name="60% - Accent5 21 9" xfId="4479" xr:uid="{00000000-0005-0000-0000-000013130000}"/>
    <cellStyle name="60% - Accent5 21 9 2" xfId="14432" xr:uid="{00000000-0005-0000-0000-000014130000}"/>
    <cellStyle name="60% - Accent5 22" xfId="4480" xr:uid="{00000000-0005-0000-0000-000015130000}"/>
    <cellStyle name="60% - Accent5 22 2" xfId="4481" xr:uid="{00000000-0005-0000-0000-000016130000}"/>
    <cellStyle name="60% - Accent5 22 2 2" xfId="14433" xr:uid="{00000000-0005-0000-0000-000017130000}"/>
    <cellStyle name="60% - Accent5 22 3" xfId="4482" xr:uid="{00000000-0005-0000-0000-000018130000}"/>
    <cellStyle name="60% - Accent5 22 3 2" xfId="14434" xr:uid="{00000000-0005-0000-0000-000019130000}"/>
    <cellStyle name="60% - Accent5 22 4" xfId="4483" xr:uid="{00000000-0005-0000-0000-00001A130000}"/>
    <cellStyle name="60% - Accent5 22 4 2" xfId="14435" xr:uid="{00000000-0005-0000-0000-00001B130000}"/>
    <cellStyle name="60% - Accent5 22 5" xfId="4484" xr:uid="{00000000-0005-0000-0000-00001C130000}"/>
    <cellStyle name="60% - Accent5 22 5 2" xfId="14436" xr:uid="{00000000-0005-0000-0000-00001D130000}"/>
    <cellStyle name="60% - Accent5 22 6" xfId="4485" xr:uid="{00000000-0005-0000-0000-00001E130000}"/>
    <cellStyle name="60% - Accent5 22 6 2" xfId="14437" xr:uid="{00000000-0005-0000-0000-00001F130000}"/>
    <cellStyle name="60% - Accent5 22 7" xfId="4486" xr:uid="{00000000-0005-0000-0000-000020130000}"/>
    <cellStyle name="60% - Accent5 22 7 2" xfId="14438" xr:uid="{00000000-0005-0000-0000-000021130000}"/>
    <cellStyle name="60% - Accent5 22 8" xfId="4487" xr:uid="{00000000-0005-0000-0000-000022130000}"/>
    <cellStyle name="60% - Accent5 22 8 2" xfId="14439" xr:uid="{00000000-0005-0000-0000-000023130000}"/>
    <cellStyle name="60% - Accent5 22 9" xfId="4488" xr:uid="{00000000-0005-0000-0000-000024130000}"/>
    <cellStyle name="60% - Accent5 22 9 2" xfId="14440" xr:uid="{00000000-0005-0000-0000-000025130000}"/>
    <cellStyle name="60% - Accent5 23" xfId="4489" xr:uid="{00000000-0005-0000-0000-000026130000}"/>
    <cellStyle name="60% - Accent5 23 2" xfId="4490" xr:uid="{00000000-0005-0000-0000-000027130000}"/>
    <cellStyle name="60% - Accent5 23 2 2" xfId="14441" xr:uid="{00000000-0005-0000-0000-000028130000}"/>
    <cellStyle name="60% - Accent5 23 3" xfId="4491" xr:uid="{00000000-0005-0000-0000-000029130000}"/>
    <cellStyle name="60% - Accent5 23 3 2" xfId="14442" xr:uid="{00000000-0005-0000-0000-00002A130000}"/>
    <cellStyle name="60% - Accent5 23 4" xfId="4492" xr:uid="{00000000-0005-0000-0000-00002B130000}"/>
    <cellStyle name="60% - Accent5 23 4 2" xfId="14443" xr:uid="{00000000-0005-0000-0000-00002C130000}"/>
    <cellStyle name="60% - Accent5 23 5" xfId="4493" xr:uid="{00000000-0005-0000-0000-00002D130000}"/>
    <cellStyle name="60% - Accent5 23 5 2" xfId="14444" xr:uid="{00000000-0005-0000-0000-00002E130000}"/>
    <cellStyle name="60% - Accent5 23 6" xfId="4494" xr:uid="{00000000-0005-0000-0000-00002F130000}"/>
    <cellStyle name="60% - Accent5 23 6 2" xfId="14445" xr:uid="{00000000-0005-0000-0000-000030130000}"/>
    <cellStyle name="60% - Accent5 23 7" xfId="4495" xr:uid="{00000000-0005-0000-0000-000031130000}"/>
    <cellStyle name="60% - Accent5 23 7 2" xfId="14446" xr:uid="{00000000-0005-0000-0000-000032130000}"/>
    <cellStyle name="60% - Accent5 23 8" xfId="4496" xr:uid="{00000000-0005-0000-0000-000033130000}"/>
    <cellStyle name="60% - Accent5 23 8 2" xfId="14447" xr:uid="{00000000-0005-0000-0000-000034130000}"/>
    <cellStyle name="60% - Accent5 23 9" xfId="4497" xr:uid="{00000000-0005-0000-0000-000035130000}"/>
    <cellStyle name="60% - Accent5 23 9 2" xfId="14448" xr:uid="{00000000-0005-0000-0000-000036130000}"/>
    <cellStyle name="60% - Accent5 24" xfId="4498" xr:uid="{00000000-0005-0000-0000-000037130000}"/>
    <cellStyle name="60% - Accent5 24 2" xfId="4499" xr:uid="{00000000-0005-0000-0000-000038130000}"/>
    <cellStyle name="60% - Accent5 24 2 2" xfId="14449" xr:uid="{00000000-0005-0000-0000-000039130000}"/>
    <cellStyle name="60% - Accent5 24 3" xfId="4500" xr:uid="{00000000-0005-0000-0000-00003A130000}"/>
    <cellStyle name="60% - Accent5 24 3 2" xfId="14450" xr:uid="{00000000-0005-0000-0000-00003B130000}"/>
    <cellStyle name="60% - Accent5 24 4" xfId="4501" xr:uid="{00000000-0005-0000-0000-00003C130000}"/>
    <cellStyle name="60% - Accent5 24 4 2" xfId="14451" xr:uid="{00000000-0005-0000-0000-00003D130000}"/>
    <cellStyle name="60% - Accent5 24 5" xfId="4502" xr:uid="{00000000-0005-0000-0000-00003E130000}"/>
    <cellStyle name="60% - Accent5 24 5 2" xfId="14452" xr:uid="{00000000-0005-0000-0000-00003F130000}"/>
    <cellStyle name="60% - Accent5 24 6" xfId="4503" xr:uid="{00000000-0005-0000-0000-000040130000}"/>
    <cellStyle name="60% - Accent5 24 6 2" xfId="14453" xr:uid="{00000000-0005-0000-0000-000041130000}"/>
    <cellStyle name="60% - Accent5 24 7" xfId="4504" xr:uid="{00000000-0005-0000-0000-000042130000}"/>
    <cellStyle name="60% - Accent5 24 7 2" xfId="14454" xr:uid="{00000000-0005-0000-0000-000043130000}"/>
    <cellStyle name="60% - Accent5 24 8" xfId="4505" xr:uid="{00000000-0005-0000-0000-000044130000}"/>
    <cellStyle name="60% - Accent5 24 8 2" xfId="14455" xr:uid="{00000000-0005-0000-0000-000045130000}"/>
    <cellStyle name="60% - Accent5 24 9" xfId="4506" xr:uid="{00000000-0005-0000-0000-000046130000}"/>
    <cellStyle name="60% - Accent5 24 9 2" xfId="14456" xr:uid="{00000000-0005-0000-0000-000047130000}"/>
    <cellStyle name="60% - Accent5 25" xfId="4507" xr:uid="{00000000-0005-0000-0000-000048130000}"/>
    <cellStyle name="60% - Accent5 25 2" xfId="4508" xr:uid="{00000000-0005-0000-0000-000049130000}"/>
    <cellStyle name="60% - Accent5 25 2 2" xfId="14457" xr:uid="{00000000-0005-0000-0000-00004A130000}"/>
    <cellStyle name="60% - Accent5 25 3" xfId="4509" xr:uid="{00000000-0005-0000-0000-00004B130000}"/>
    <cellStyle name="60% - Accent5 25 3 2" xfId="14458" xr:uid="{00000000-0005-0000-0000-00004C130000}"/>
    <cellStyle name="60% - Accent5 25 4" xfId="4510" xr:uid="{00000000-0005-0000-0000-00004D130000}"/>
    <cellStyle name="60% - Accent5 25 4 2" xfId="14459" xr:uid="{00000000-0005-0000-0000-00004E130000}"/>
    <cellStyle name="60% - Accent5 25 5" xfId="4511" xr:uid="{00000000-0005-0000-0000-00004F130000}"/>
    <cellStyle name="60% - Accent5 25 5 2" xfId="14460" xr:uid="{00000000-0005-0000-0000-000050130000}"/>
    <cellStyle name="60% - Accent5 25 6" xfId="4512" xr:uid="{00000000-0005-0000-0000-000051130000}"/>
    <cellStyle name="60% - Accent5 25 6 2" xfId="14461" xr:uid="{00000000-0005-0000-0000-000052130000}"/>
    <cellStyle name="60% - Accent5 25 7" xfId="4513" xr:uid="{00000000-0005-0000-0000-000053130000}"/>
    <cellStyle name="60% - Accent5 25 7 2" xfId="14462" xr:uid="{00000000-0005-0000-0000-000054130000}"/>
    <cellStyle name="60% - Accent5 25 8" xfId="4514" xr:uid="{00000000-0005-0000-0000-000055130000}"/>
    <cellStyle name="60% - Accent5 25 8 2" xfId="14463" xr:uid="{00000000-0005-0000-0000-000056130000}"/>
    <cellStyle name="60% - Accent5 25 9" xfId="4515" xr:uid="{00000000-0005-0000-0000-000057130000}"/>
    <cellStyle name="60% - Accent5 25 9 2" xfId="14464" xr:uid="{00000000-0005-0000-0000-000058130000}"/>
    <cellStyle name="60% - Accent5 26" xfId="4516" xr:uid="{00000000-0005-0000-0000-000059130000}"/>
    <cellStyle name="60% - Accent5 26 2" xfId="4517" xr:uid="{00000000-0005-0000-0000-00005A130000}"/>
    <cellStyle name="60% - Accent5 26 2 2" xfId="14465" xr:uid="{00000000-0005-0000-0000-00005B130000}"/>
    <cellStyle name="60% - Accent5 26 3" xfId="4518" xr:uid="{00000000-0005-0000-0000-00005C130000}"/>
    <cellStyle name="60% - Accent5 26 3 2" xfId="14466" xr:uid="{00000000-0005-0000-0000-00005D130000}"/>
    <cellStyle name="60% - Accent5 26 4" xfId="4519" xr:uid="{00000000-0005-0000-0000-00005E130000}"/>
    <cellStyle name="60% - Accent5 26 4 2" xfId="14467" xr:uid="{00000000-0005-0000-0000-00005F130000}"/>
    <cellStyle name="60% - Accent5 26 5" xfId="4520" xr:uid="{00000000-0005-0000-0000-000060130000}"/>
    <cellStyle name="60% - Accent5 26 5 2" xfId="14468" xr:uid="{00000000-0005-0000-0000-000061130000}"/>
    <cellStyle name="60% - Accent5 26 6" xfId="4521" xr:uid="{00000000-0005-0000-0000-000062130000}"/>
    <cellStyle name="60% - Accent5 26 6 2" xfId="14469" xr:uid="{00000000-0005-0000-0000-000063130000}"/>
    <cellStyle name="60% - Accent5 26 7" xfId="4522" xr:uid="{00000000-0005-0000-0000-000064130000}"/>
    <cellStyle name="60% - Accent5 26 7 2" xfId="14470" xr:uid="{00000000-0005-0000-0000-000065130000}"/>
    <cellStyle name="60% - Accent5 26 8" xfId="4523" xr:uid="{00000000-0005-0000-0000-000066130000}"/>
    <cellStyle name="60% - Accent5 26 8 2" xfId="14471" xr:uid="{00000000-0005-0000-0000-000067130000}"/>
    <cellStyle name="60% - Accent5 26 9" xfId="4524" xr:uid="{00000000-0005-0000-0000-000068130000}"/>
    <cellStyle name="60% - Accent5 26 9 2" xfId="14472" xr:uid="{00000000-0005-0000-0000-000069130000}"/>
    <cellStyle name="60% - Accent5 27" xfId="4525" xr:uid="{00000000-0005-0000-0000-00006A130000}"/>
    <cellStyle name="60% - Accent5 27 2" xfId="4526" xr:uid="{00000000-0005-0000-0000-00006B130000}"/>
    <cellStyle name="60% - Accent5 27 2 2" xfId="14473" xr:uid="{00000000-0005-0000-0000-00006C130000}"/>
    <cellStyle name="60% - Accent5 27 3" xfId="4527" xr:uid="{00000000-0005-0000-0000-00006D130000}"/>
    <cellStyle name="60% - Accent5 27 3 2" xfId="14474" xr:uid="{00000000-0005-0000-0000-00006E130000}"/>
    <cellStyle name="60% - Accent5 27 4" xfId="4528" xr:uid="{00000000-0005-0000-0000-00006F130000}"/>
    <cellStyle name="60% - Accent5 27 4 2" xfId="14475" xr:uid="{00000000-0005-0000-0000-000070130000}"/>
    <cellStyle name="60% - Accent5 27 5" xfId="4529" xr:uid="{00000000-0005-0000-0000-000071130000}"/>
    <cellStyle name="60% - Accent5 27 5 2" xfId="14476" xr:uid="{00000000-0005-0000-0000-000072130000}"/>
    <cellStyle name="60% - Accent5 27 6" xfId="4530" xr:uid="{00000000-0005-0000-0000-000073130000}"/>
    <cellStyle name="60% - Accent5 27 6 2" xfId="14477" xr:uid="{00000000-0005-0000-0000-000074130000}"/>
    <cellStyle name="60% - Accent5 27 7" xfId="4531" xr:uid="{00000000-0005-0000-0000-000075130000}"/>
    <cellStyle name="60% - Accent5 27 7 2" xfId="14478" xr:uid="{00000000-0005-0000-0000-000076130000}"/>
    <cellStyle name="60% - Accent5 27 8" xfId="4532" xr:uid="{00000000-0005-0000-0000-000077130000}"/>
    <cellStyle name="60% - Accent5 27 8 2" xfId="14479" xr:uid="{00000000-0005-0000-0000-000078130000}"/>
    <cellStyle name="60% - Accent5 27 9" xfId="4533" xr:uid="{00000000-0005-0000-0000-000079130000}"/>
    <cellStyle name="60% - Accent5 27 9 2" xfId="14480" xr:uid="{00000000-0005-0000-0000-00007A130000}"/>
    <cellStyle name="60% - Accent5 28" xfId="4534" xr:uid="{00000000-0005-0000-0000-00007B130000}"/>
    <cellStyle name="60% - Accent5 28 2" xfId="4535" xr:uid="{00000000-0005-0000-0000-00007C130000}"/>
    <cellStyle name="60% - Accent5 28 2 2" xfId="14481" xr:uid="{00000000-0005-0000-0000-00007D130000}"/>
    <cellStyle name="60% - Accent5 28 3" xfId="4536" xr:uid="{00000000-0005-0000-0000-00007E130000}"/>
    <cellStyle name="60% - Accent5 28 3 2" xfId="14482" xr:uid="{00000000-0005-0000-0000-00007F130000}"/>
    <cellStyle name="60% - Accent5 28 4" xfId="4537" xr:uid="{00000000-0005-0000-0000-000080130000}"/>
    <cellStyle name="60% - Accent5 28 4 2" xfId="14483" xr:uid="{00000000-0005-0000-0000-000081130000}"/>
    <cellStyle name="60% - Accent5 28 5" xfId="4538" xr:uid="{00000000-0005-0000-0000-000082130000}"/>
    <cellStyle name="60% - Accent5 28 5 2" xfId="14484" xr:uid="{00000000-0005-0000-0000-000083130000}"/>
    <cellStyle name="60% - Accent5 28 6" xfId="4539" xr:uid="{00000000-0005-0000-0000-000084130000}"/>
    <cellStyle name="60% - Accent5 28 6 2" xfId="14485" xr:uid="{00000000-0005-0000-0000-000085130000}"/>
    <cellStyle name="60% - Accent5 28 7" xfId="4540" xr:uid="{00000000-0005-0000-0000-000086130000}"/>
    <cellStyle name="60% - Accent5 28 7 2" xfId="14486" xr:uid="{00000000-0005-0000-0000-000087130000}"/>
    <cellStyle name="60% - Accent5 28 8" xfId="4541" xr:uid="{00000000-0005-0000-0000-000088130000}"/>
    <cellStyle name="60% - Accent5 28 8 2" xfId="14487" xr:uid="{00000000-0005-0000-0000-000089130000}"/>
    <cellStyle name="60% - Accent5 28 9" xfId="4542" xr:uid="{00000000-0005-0000-0000-00008A130000}"/>
    <cellStyle name="60% - Accent5 28 9 2" xfId="14488" xr:uid="{00000000-0005-0000-0000-00008B130000}"/>
    <cellStyle name="60% - Accent5 29" xfId="4543" xr:uid="{00000000-0005-0000-0000-00008C130000}"/>
    <cellStyle name="60% - Accent5 29 2" xfId="4544" xr:uid="{00000000-0005-0000-0000-00008D130000}"/>
    <cellStyle name="60% - Accent5 29 2 2" xfId="14489" xr:uid="{00000000-0005-0000-0000-00008E130000}"/>
    <cellStyle name="60% - Accent5 29 3" xfId="4545" xr:uid="{00000000-0005-0000-0000-00008F130000}"/>
    <cellStyle name="60% - Accent5 29 3 2" xfId="14490" xr:uid="{00000000-0005-0000-0000-000090130000}"/>
    <cellStyle name="60% - Accent5 29 4" xfId="4546" xr:uid="{00000000-0005-0000-0000-000091130000}"/>
    <cellStyle name="60% - Accent5 29 4 2" xfId="14491" xr:uid="{00000000-0005-0000-0000-000092130000}"/>
    <cellStyle name="60% - Accent5 29 5" xfId="4547" xr:uid="{00000000-0005-0000-0000-000093130000}"/>
    <cellStyle name="60% - Accent5 29 5 2" xfId="14492" xr:uid="{00000000-0005-0000-0000-000094130000}"/>
    <cellStyle name="60% - Accent5 29 6" xfId="4548" xr:uid="{00000000-0005-0000-0000-000095130000}"/>
    <cellStyle name="60% - Accent5 29 6 2" xfId="14493" xr:uid="{00000000-0005-0000-0000-000096130000}"/>
    <cellStyle name="60% - Accent5 29 7" xfId="4549" xr:uid="{00000000-0005-0000-0000-000097130000}"/>
    <cellStyle name="60% - Accent5 29 7 2" xfId="14494" xr:uid="{00000000-0005-0000-0000-000098130000}"/>
    <cellStyle name="60% - Accent5 29 8" xfId="4550" xr:uid="{00000000-0005-0000-0000-000099130000}"/>
    <cellStyle name="60% - Accent5 29 8 2" xfId="14495" xr:uid="{00000000-0005-0000-0000-00009A130000}"/>
    <cellStyle name="60% - Accent5 29 9" xfId="4551" xr:uid="{00000000-0005-0000-0000-00009B130000}"/>
    <cellStyle name="60% - Accent5 29 9 2" xfId="14496" xr:uid="{00000000-0005-0000-0000-00009C130000}"/>
    <cellStyle name="60% - Accent5 3" xfId="4552" xr:uid="{00000000-0005-0000-0000-00009D130000}"/>
    <cellStyle name="60% - Accent5 3 10" xfId="4553" xr:uid="{00000000-0005-0000-0000-00009E130000}"/>
    <cellStyle name="60% - Accent5 3 10 2" xfId="14497" xr:uid="{00000000-0005-0000-0000-00009F130000}"/>
    <cellStyle name="60% - Accent5 3 11" xfId="4554" xr:uid="{00000000-0005-0000-0000-0000A0130000}"/>
    <cellStyle name="60% - Accent5 3 11 2" xfId="14498" xr:uid="{00000000-0005-0000-0000-0000A1130000}"/>
    <cellStyle name="60% - Accent5 3 12" xfId="22017" xr:uid="{00000000-0005-0000-0000-0000A2130000}"/>
    <cellStyle name="60% - Accent5 3 2" xfId="4555" xr:uid="{00000000-0005-0000-0000-0000A3130000}"/>
    <cellStyle name="60% - Accent5 3 2 2" xfId="4556" xr:uid="{00000000-0005-0000-0000-0000A4130000}"/>
    <cellStyle name="60% - Accent5 3 2 2 2" xfId="14499" xr:uid="{00000000-0005-0000-0000-0000A5130000}"/>
    <cellStyle name="60% - Accent5 3 3" xfId="4557" xr:uid="{00000000-0005-0000-0000-0000A6130000}"/>
    <cellStyle name="60% - Accent5 3 3 2" xfId="4558" xr:uid="{00000000-0005-0000-0000-0000A7130000}"/>
    <cellStyle name="60% - Accent5 3 3 2 2" xfId="14500" xr:uid="{00000000-0005-0000-0000-0000A8130000}"/>
    <cellStyle name="60% - Accent5 3 4" xfId="4559" xr:uid="{00000000-0005-0000-0000-0000A9130000}"/>
    <cellStyle name="60% - Accent5 3 4 2" xfId="4560" xr:uid="{00000000-0005-0000-0000-0000AA130000}"/>
    <cellStyle name="60% - Accent5 3 4 3" xfId="14501" xr:uid="{00000000-0005-0000-0000-0000AB130000}"/>
    <cellStyle name="60% - Accent5 3 5" xfId="4561" xr:uid="{00000000-0005-0000-0000-0000AC130000}"/>
    <cellStyle name="60% - Accent5 3 5 2" xfId="14502" xr:uid="{00000000-0005-0000-0000-0000AD130000}"/>
    <cellStyle name="60% - Accent5 3 6" xfId="4562" xr:uid="{00000000-0005-0000-0000-0000AE130000}"/>
    <cellStyle name="60% - Accent5 3 6 2" xfId="14503" xr:uid="{00000000-0005-0000-0000-0000AF130000}"/>
    <cellStyle name="60% - Accent5 3 7" xfId="4563" xr:uid="{00000000-0005-0000-0000-0000B0130000}"/>
    <cellStyle name="60% - Accent5 3 7 2" xfId="14504" xr:uid="{00000000-0005-0000-0000-0000B1130000}"/>
    <cellStyle name="60% - Accent5 3 8" xfId="4564" xr:uid="{00000000-0005-0000-0000-0000B2130000}"/>
    <cellStyle name="60% - Accent5 3 8 2" xfId="14505" xr:uid="{00000000-0005-0000-0000-0000B3130000}"/>
    <cellStyle name="60% - Accent5 3 9" xfId="4565" xr:uid="{00000000-0005-0000-0000-0000B4130000}"/>
    <cellStyle name="60% - Accent5 3 9 2" xfId="14506" xr:uid="{00000000-0005-0000-0000-0000B5130000}"/>
    <cellStyle name="60% - Accent5 30" xfId="4566" xr:uid="{00000000-0005-0000-0000-0000B6130000}"/>
    <cellStyle name="60% - Accent5 30 2" xfId="4567" xr:uid="{00000000-0005-0000-0000-0000B7130000}"/>
    <cellStyle name="60% - Accent5 30 2 2" xfId="14507" xr:uid="{00000000-0005-0000-0000-0000B8130000}"/>
    <cellStyle name="60% - Accent5 31" xfId="4568" xr:uid="{00000000-0005-0000-0000-0000B9130000}"/>
    <cellStyle name="60% - Accent5 31 2" xfId="4569" xr:uid="{00000000-0005-0000-0000-0000BA130000}"/>
    <cellStyle name="60% - Accent5 31 2 2" xfId="14508" xr:uid="{00000000-0005-0000-0000-0000BB130000}"/>
    <cellStyle name="60% - Accent5 32" xfId="4570" xr:uid="{00000000-0005-0000-0000-0000BC130000}"/>
    <cellStyle name="60% - Accent5 32 2" xfId="4571" xr:uid="{00000000-0005-0000-0000-0000BD130000}"/>
    <cellStyle name="60% - Accent5 32 2 2" xfId="14509" xr:uid="{00000000-0005-0000-0000-0000BE130000}"/>
    <cellStyle name="60% - Accent5 33" xfId="4572" xr:uid="{00000000-0005-0000-0000-0000BF130000}"/>
    <cellStyle name="60% - Accent5 33 2" xfId="4573" xr:uid="{00000000-0005-0000-0000-0000C0130000}"/>
    <cellStyle name="60% - Accent5 33 2 2" xfId="14510" xr:uid="{00000000-0005-0000-0000-0000C1130000}"/>
    <cellStyle name="60% - Accent5 34" xfId="4574" xr:uid="{00000000-0005-0000-0000-0000C2130000}"/>
    <cellStyle name="60% - Accent5 34 2" xfId="4575" xr:uid="{00000000-0005-0000-0000-0000C3130000}"/>
    <cellStyle name="60% - Accent5 34 2 2" xfId="14511" xr:uid="{00000000-0005-0000-0000-0000C4130000}"/>
    <cellStyle name="60% - Accent5 35" xfId="4576" xr:uid="{00000000-0005-0000-0000-0000C5130000}"/>
    <cellStyle name="60% - Accent5 35 2" xfId="4577" xr:uid="{00000000-0005-0000-0000-0000C6130000}"/>
    <cellStyle name="60% - Accent5 35 2 2" xfId="14512" xr:uid="{00000000-0005-0000-0000-0000C7130000}"/>
    <cellStyle name="60% - Accent5 36" xfId="4578" xr:uid="{00000000-0005-0000-0000-0000C8130000}"/>
    <cellStyle name="60% - Accent5 37" xfId="4579" xr:uid="{00000000-0005-0000-0000-0000C9130000}"/>
    <cellStyle name="60% - Accent5 38" xfId="4580" xr:uid="{00000000-0005-0000-0000-0000CA130000}"/>
    <cellStyle name="60% - Accent5 39" xfId="4581" xr:uid="{00000000-0005-0000-0000-0000CB130000}"/>
    <cellStyle name="60% - Accent5 4" xfId="4582" xr:uid="{00000000-0005-0000-0000-0000CC130000}"/>
    <cellStyle name="60% - Accent5 4 10" xfId="4583" xr:uid="{00000000-0005-0000-0000-0000CD130000}"/>
    <cellStyle name="60% - Accent5 4 10 2" xfId="14513" xr:uid="{00000000-0005-0000-0000-0000CE130000}"/>
    <cellStyle name="60% - Accent5 4 11" xfId="4584" xr:uid="{00000000-0005-0000-0000-0000CF130000}"/>
    <cellStyle name="60% - Accent5 4 11 2" xfId="14514" xr:uid="{00000000-0005-0000-0000-0000D0130000}"/>
    <cellStyle name="60% - Accent5 4 2" xfId="4585" xr:uid="{00000000-0005-0000-0000-0000D1130000}"/>
    <cellStyle name="60% - Accent5 4 2 2" xfId="4586" xr:uid="{00000000-0005-0000-0000-0000D2130000}"/>
    <cellStyle name="60% - Accent5 4 2 2 2" xfId="14515" xr:uid="{00000000-0005-0000-0000-0000D3130000}"/>
    <cellStyle name="60% - Accent5 4 3" xfId="4587" xr:uid="{00000000-0005-0000-0000-0000D4130000}"/>
    <cellStyle name="60% - Accent5 4 3 2" xfId="4588" xr:uid="{00000000-0005-0000-0000-0000D5130000}"/>
    <cellStyle name="60% - Accent5 4 3 2 2" xfId="14516" xr:uid="{00000000-0005-0000-0000-0000D6130000}"/>
    <cellStyle name="60% - Accent5 4 4" xfId="4589" xr:uid="{00000000-0005-0000-0000-0000D7130000}"/>
    <cellStyle name="60% - Accent5 4 4 2" xfId="4590" xr:uid="{00000000-0005-0000-0000-0000D8130000}"/>
    <cellStyle name="60% - Accent5 4 4 3" xfId="14517" xr:uid="{00000000-0005-0000-0000-0000D9130000}"/>
    <cellStyle name="60% - Accent5 4 5" xfId="4591" xr:uid="{00000000-0005-0000-0000-0000DA130000}"/>
    <cellStyle name="60% - Accent5 4 5 2" xfId="14518" xr:uid="{00000000-0005-0000-0000-0000DB130000}"/>
    <cellStyle name="60% - Accent5 4 6" xfId="4592" xr:uid="{00000000-0005-0000-0000-0000DC130000}"/>
    <cellStyle name="60% - Accent5 4 6 2" xfId="14519" xr:uid="{00000000-0005-0000-0000-0000DD130000}"/>
    <cellStyle name="60% - Accent5 4 7" xfId="4593" xr:uid="{00000000-0005-0000-0000-0000DE130000}"/>
    <cellStyle name="60% - Accent5 4 7 2" xfId="14520" xr:uid="{00000000-0005-0000-0000-0000DF130000}"/>
    <cellStyle name="60% - Accent5 4 8" xfId="4594" xr:uid="{00000000-0005-0000-0000-0000E0130000}"/>
    <cellStyle name="60% - Accent5 4 8 2" xfId="14521" xr:uid="{00000000-0005-0000-0000-0000E1130000}"/>
    <cellStyle name="60% - Accent5 4 9" xfId="4595" xr:uid="{00000000-0005-0000-0000-0000E2130000}"/>
    <cellStyle name="60% - Accent5 4 9 2" xfId="14522" xr:uid="{00000000-0005-0000-0000-0000E3130000}"/>
    <cellStyle name="60% - Accent5 40" xfId="27188" xr:uid="{0FDA94DA-F228-4ADA-B635-040502252A4F}"/>
    <cellStyle name="60% - Accent5 5" xfId="4596" xr:uid="{00000000-0005-0000-0000-0000E4130000}"/>
    <cellStyle name="60% - Accent5 5 10" xfId="4597" xr:uid="{00000000-0005-0000-0000-0000E5130000}"/>
    <cellStyle name="60% - Accent5 5 10 2" xfId="14523" xr:uid="{00000000-0005-0000-0000-0000E6130000}"/>
    <cellStyle name="60% - Accent5 5 11" xfId="4598" xr:uid="{00000000-0005-0000-0000-0000E7130000}"/>
    <cellStyle name="60% - Accent5 5 11 2" xfId="14524" xr:uid="{00000000-0005-0000-0000-0000E8130000}"/>
    <cellStyle name="60% - Accent5 5 2" xfId="4599" xr:uid="{00000000-0005-0000-0000-0000E9130000}"/>
    <cellStyle name="60% - Accent5 5 2 2" xfId="4600" xr:uid="{00000000-0005-0000-0000-0000EA130000}"/>
    <cellStyle name="60% - Accent5 5 2 2 2" xfId="14525" xr:uid="{00000000-0005-0000-0000-0000EB130000}"/>
    <cellStyle name="60% - Accent5 5 3" xfId="4601" xr:uid="{00000000-0005-0000-0000-0000EC130000}"/>
    <cellStyle name="60% - Accent5 5 3 2" xfId="4602" xr:uid="{00000000-0005-0000-0000-0000ED130000}"/>
    <cellStyle name="60% - Accent5 5 3 2 2" xfId="14526" xr:uid="{00000000-0005-0000-0000-0000EE130000}"/>
    <cellStyle name="60% - Accent5 5 4" xfId="4603" xr:uid="{00000000-0005-0000-0000-0000EF130000}"/>
    <cellStyle name="60% - Accent5 5 4 2" xfId="4604" xr:uid="{00000000-0005-0000-0000-0000F0130000}"/>
    <cellStyle name="60% - Accent5 5 4 3" xfId="14527" xr:uid="{00000000-0005-0000-0000-0000F1130000}"/>
    <cellStyle name="60% - Accent5 5 5" xfId="4605" xr:uid="{00000000-0005-0000-0000-0000F2130000}"/>
    <cellStyle name="60% - Accent5 5 5 2" xfId="14528" xr:uid="{00000000-0005-0000-0000-0000F3130000}"/>
    <cellStyle name="60% - Accent5 5 6" xfId="4606" xr:uid="{00000000-0005-0000-0000-0000F4130000}"/>
    <cellStyle name="60% - Accent5 5 6 2" xfId="14529" xr:uid="{00000000-0005-0000-0000-0000F5130000}"/>
    <cellStyle name="60% - Accent5 5 7" xfId="4607" xr:uid="{00000000-0005-0000-0000-0000F6130000}"/>
    <cellStyle name="60% - Accent5 5 7 2" xfId="14530" xr:uid="{00000000-0005-0000-0000-0000F7130000}"/>
    <cellStyle name="60% - Accent5 5 8" xfId="4608" xr:uid="{00000000-0005-0000-0000-0000F8130000}"/>
    <cellStyle name="60% - Accent5 5 8 2" xfId="14531" xr:uid="{00000000-0005-0000-0000-0000F9130000}"/>
    <cellStyle name="60% - Accent5 5 9" xfId="4609" xr:uid="{00000000-0005-0000-0000-0000FA130000}"/>
    <cellStyle name="60% - Accent5 5 9 2" xfId="14532" xr:uid="{00000000-0005-0000-0000-0000FB130000}"/>
    <cellStyle name="60% - Accent5 6" xfId="4610" xr:uid="{00000000-0005-0000-0000-0000FC130000}"/>
    <cellStyle name="60% - Accent5 6 10" xfId="4611" xr:uid="{00000000-0005-0000-0000-0000FD130000}"/>
    <cellStyle name="60% - Accent5 6 10 2" xfId="14533" xr:uid="{00000000-0005-0000-0000-0000FE130000}"/>
    <cellStyle name="60% - Accent5 6 11" xfId="4612" xr:uid="{00000000-0005-0000-0000-0000FF130000}"/>
    <cellStyle name="60% - Accent5 6 11 2" xfId="14534" xr:uid="{00000000-0005-0000-0000-000000140000}"/>
    <cellStyle name="60% - Accent5 6 2" xfId="4613" xr:uid="{00000000-0005-0000-0000-000001140000}"/>
    <cellStyle name="60% - Accent5 6 2 2" xfId="4614" xr:uid="{00000000-0005-0000-0000-000002140000}"/>
    <cellStyle name="60% - Accent5 6 2 2 2" xfId="14535" xr:uid="{00000000-0005-0000-0000-000003140000}"/>
    <cellStyle name="60% - Accent5 6 3" xfId="4615" xr:uid="{00000000-0005-0000-0000-000004140000}"/>
    <cellStyle name="60% - Accent5 6 3 2" xfId="4616" xr:uid="{00000000-0005-0000-0000-000005140000}"/>
    <cellStyle name="60% - Accent5 6 3 2 2" xfId="14536" xr:uid="{00000000-0005-0000-0000-000006140000}"/>
    <cellStyle name="60% - Accent5 6 4" xfId="4617" xr:uid="{00000000-0005-0000-0000-000007140000}"/>
    <cellStyle name="60% - Accent5 6 4 2" xfId="4618" xr:uid="{00000000-0005-0000-0000-000008140000}"/>
    <cellStyle name="60% - Accent5 6 4 3" xfId="14537" xr:uid="{00000000-0005-0000-0000-000009140000}"/>
    <cellStyle name="60% - Accent5 6 5" xfId="4619" xr:uid="{00000000-0005-0000-0000-00000A140000}"/>
    <cellStyle name="60% - Accent5 6 5 2" xfId="14538" xr:uid="{00000000-0005-0000-0000-00000B140000}"/>
    <cellStyle name="60% - Accent5 6 6" xfId="4620" xr:uid="{00000000-0005-0000-0000-00000C140000}"/>
    <cellStyle name="60% - Accent5 6 6 2" xfId="14539" xr:uid="{00000000-0005-0000-0000-00000D140000}"/>
    <cellStyle name="60% - Accent5 6 7" xfId="4621" xr:uid="{00000000-0005-0000-0000-00000E140000}"/>
    <cellStyle name="60% - Accent5 6 7 2" xfId="14540" xr:uid="{00000000-0005-0000-0000-00000F140000}"/>
    <cellStyle name="60% - Accent5 6 8" xfId="4622" xr:uid="{00000000-0005-0000-0000-000010140000}"/>
    <cellStyle name="60% - Accent5 6 8 2" xfId="14541" xr:uid="{00000000-0005-0000-0000-000011140000}"/>
    <cellStyle name="60% - Accent5 6 9" xfId="4623" xr:uid="{00000000-0005-0000-0000-000012140000}"/>
    <cellStyle name="60% - Accent5 6 9 2" xfId="14542" xr:uid="{00000000-0005-0000-0000-000013140000}"/>
    <cellStyle name="60% - Accent5 7" xfId="4624" xr:uid="{00000000-0005-0000-0000-000014140000}"/>
    <cellStyle name="60% - Accent5 7 10" xfId="4625" xr:uid="{00000000-0005-0000-0000-000015140000}"/>
    <cellStyle name="60% - Accent5 7 10 2" xfId="14543" xr:uid="{00000000-0005-0000-0000-000016140000}"/>
    <cellStyle name="60% - Accent5 7 11" xfId="4626" xr:uid="{00000000-0005-0000-0000-000017140000}"/>
    <cellStyle name="60% - Accent5 7 11 2" xfId="14544" xr:uid="{00000000-0005-0000-0000-000018140000}"/>
    <cellStyle name="60% - Accent5 7 2" xfId="4627" xr:uid="{00000000-0005-0000-0000-000019140000}"/>
    <cellStyle name="60% - Accent5 7 2 2" xfId="4628" xr:uid="{00000000-0005-0000-0000-00001A140000}"/>
    <cellStyle name="60% - Accent5 7 2 2 2" xfId="14545" xr:uid="{00000000-0005-0000-0000-00001B140000}"/>
    <cellStyle name="60% - Accent5 7 3" xfId="4629" xr:uid="{00000000-0005-0000-0000-00001C140000}"/>
    <cellStyle name="60% - Accent5 7 3 2" xfId="4630" xr:uid="{00000000-0005-0000-0000-00001D140000}"/>
    <cellStyle name="60% - Accent5 7 3 2 2" xfId="14546" xr:uid="{00000000-0005-0000-0000-00001E140000}"/>
    <cellStyle name="60% - Accent5 7 4" xfId="4631" xr:uid="{00000000-0005-0000-0000-00001F140000}"/>
    <cellStyle name="60% - Accent5 7 4 2" xfId="4632" xr:uid="{00000000-0005-0000-0000-000020140000}"/>
    <cellStyle name="60% - Accent5 7 4 3" xfId="14547" xr:uid="{00000000-0005-0000-0000-000021140000}"/>
    <cellStyle name="60% - Accent5 7 5" xfId="4633" xr:uid="{00000000-0005-0000-0000-000022140000}"/>
    <cellStyle name="60% - Accent5 7 5 2" xfId="14548" xr:uid="{00000000-0005-0000-0000-000023140000}"/>
    <cellStyle name="60% - Accent5 7 6" xfId="4634" xr:uid="{00000000-0005-0000-0000-000024140000}"/>
    <cellStyle name="60% - Accent5 7 6 2" xfId="14549" xr:uid="{00000000-0005-0000-0000-000025140000}"/>
    <cellStyle name="60% - Accent5 7 7" xfId="4635" xr:uid="{00000000-0005-0000-0000-000026140000}"/>
    <cellStyle name="60% - Accent5 7 7 2" xfId="14550" xr:uid="{00000000-0005-0000-0000-000027140000}"/>
    <cellStyle name="60% - Accent5 7 8" xfId="4636" xr:uid="{00000000-0005-0000-0000-000028140000}"/>
    <cellStyle name="60% - Accent5 7 8 2" xfId="14551" xr:uid="{00000000-0005-0000-0000-000029140000}"/>
    <cellStyle name="60% - Accent5 7 9" xfId="4637" xr:uid="{00000000-0005-0000-0000-00002A140000}"/>
    <cellStyle name="60% - Accent5 7 9 2" xfId="14552" xr:uid="{00000000-0005-0000-0000-00002B140000}"/>
    <cellStyle name="60% - Accent5 8" xfId="4638" xr:uid="{00000000-0005-0000-0000-00002C140000}"/>
    <cellStyle name="60% - Accent5 8 10" xfId="4639" xr:uid="{00000000-0005-0000-0000-00002D140000}"/>
    <cellStyle name="60% - Accent5 8 10 2" xfId="14553" xr:uid="{00000000-0005-0000-0000-00002E140000}"/>
    <cellStyle name="60% - Accent5 8 11" xfId="4640" xr:uid="{00000000-0005-0000-0000-00002F140000}"/>
    <cellStyle name="60% - Accent5 8 11 2" xfId="14554" xr:uid="{00000000-0005-0000-0000-000030140000}"/>
    <cellStyle name="60% - Accent5 8 2" xfId="4641" xr:uid="{00000000-0005-0000-0000-000031140000}"/>
    <cellStyle name="60% - Accent5 8 2 2" xfId="4642" xr:uid="{00000000-0005-0000-0000-000032140000}"/>
    <cellStyle name="60% - Accent5 8 2 2 2" xfId="14555" xr:uid="{00000000-0005-0000-0000-000033140000}"/>
    <cellStyle name="60% - Accent5 8 3" xfId="4643" xr:uid="{00000000-0005-0000-0000-000034140000}"/>
    <cellStyle name="60% - Accent5 8 3 2" xfId="4644" xr:uid="{00000000-0005-0000-0000-000035140000}"/>
    <cellStyle name="60% - Accent5 8 3 2 2" xfId="14556" xr:uid="{00000000-0005-0000-0000-000036140000}"/>
    <cellStyle name="60% - Accent5 8 4" xfId="4645" xr:uid="{00000000-0005-0000-0000-000037140000}"/>
    <cellStyle name="60% - Accent5 8 4 2" xfId="4646" xr:uid="{00000000-0005-0000-0000-000038140000}"/>
    <cellStyle name="60% - Accent5 8 4 3" xfId="14557" xr:uid="{00000000-0005-0000-0000-000039140000}"/>
    <cellStyle name="60% - Accent5 8 5" xfId="4647" xr:uid="{00000000-0005-0000-0000-00003A140000}"/>
    <cellStyle name="60% - Accent5 8 5 2" xfId="14558" xr:uid="{00000000-0005-0000-0000-00003B140000}"/>
    <cellStyle name="60% - Accent5 8 6" xfId="4648" xr:uid="{00000000-0005-0000-0000-00003C140000}"/>
    <cellStyle name="60% - Accent5 8 6 2" xfId="14559" xr:uid="{00000000-0005-0000-0000-00003D140000}"/>
    <cellStyle name="60% - Accent5 8 7" xfId="4649" xr:uid="{00000000-0005-0000-0000-00003E140000}"/>
    <cellStyle name="60% - Accent5 8 7 2" xfId="14560" xr:uid="{00000000-0005-0000-0000-00003F140000}"/>
    <cellStyle name="60% - Accent5 8 8" xfId="4650" xr:uid="{00000000-0005-0000-0000-000040140000}"/>
    <cellStyle name="60% - Accent5 8 8 2" xfId="14561" xr:uid="{00000000-0005-0000-0000-000041140000}"/>
    <cellStyle name="60% - Accent5 8 9" xfId="4651" xr:uid="{00000000-0005-0000-0000-000042140000}"/>
    <cellStyle name="60% - Accent5 8 9 2" xfId="14562" xr:uid="{00000000-0005-0000-0000-000043140000}"/>
    <cellStyle name="60% - Accent5 9" xfId="4652" xr:uid="{00000000-0005-0000-0000-000044140000}"/>
    <cellStyle name="60% - Accent5 9 10" xfId="4653" xr:uid="{00000000-0005-0000-0000-000045140000}"/>
    <cellStyle name="60% - Accent5 9 10 2" xfId="14563" xr:uid="{00000000-0005-0000-0000-000046140000}"/>
    <cellStyle name="60% - Accent5 9 11" xfId="4654" xr:uid="{00000000-0005-0000-0000-000047140000}"/>
    <cellStyle name="60% - Accent5 9 11 2" xfId="14564" xr:uid="{00000000-0005-0000-0000-000048140000}"/>
    <cellStyle name="60% - Accent5 9 2" xfId="4655" xr:uid="{00000000-0005-0000-0000-000049140000}"/>
    <cellStyle name="60% - Accent5 9 2 2" xfId="4656" xr:uid="{00000000-0005-0000-0000-00004A140000}"/>
    <cellStyle name="60% - Accent5 9 2 2 2" xfId="14565" xr:uid="{00000000-0005-0000-0000-00004B140000}"/>
    <cellStyle name="60% - Accent5 9 3" xfId="4657" xr:uid="{00000000-0005-0000-0000-00004C140000}"/>
    <cellStyle name="60% - Accent5 9 3 2" xfId="4658" xr:uid="{00000000-0005-0000-0000-00004D140000}"/>
    <cellStyle name="60% - Accent5 9 3 2 2" xfId="14566" xr:uid="{00000000-0005-0000-0000-00004E140000}"/>
    <cellStyle name="60% - Accent5 9 4" xfId="4659" xr:uid="{00000000-0005-0000-0000-00004F140000}"/>
    <cellStyle name="60% - Accent5 9 4 2" xfId="4660" xr:uid="{00000000-0005-0000-0000-000050140000}"/>
    <cellStyle name="60% - Accent5 9 4 3" xfId="14567" xr:uid="{00000000-0005-0000-0000-000051140000}"/>
    <cellStyle name="60% - Accent5 9 5" xfId="4661" xr:uid="{00000000-0005-0000-0000-000052140000}"/>
    <cellStyle name="60% - Accent5 9 5 2" xfId="14568" xr:uid="{00000000-0005-0000-0000-000053140000}"/>
    <cellStyle name="60% - Accent5 9 6" xfId="4662" xr:uid="{00000000-0005-0000-0000-000054140000}"/>
    <cellStyle name="60% - Accent5 9 6 2" xfId="14569" xr:uid="{00000000-0005-0000-0000-000055140000}"/>
    <cellStyle name="60% - Accent5 9 7" xfId="4663" xr:uid="{00000000-0005-0000-0000-000056140000}"/>
    <cellStyle name="60% - Accent5 9 7 2" xfId="14570" xr:uid="{00000000-0005-0000-0000-000057140000}"/>
    <cellStyle name="60% - Accent5 9 8" xfId="4664" xr:uid="{00000000-0005-0000-0000-000058140000}"/>
    <cellStyle name="60% - Accent5 9 8 2" xfId="14571" xr:uid="{00000000-0005-0000-0000-000059140000}"/>
    <cellStyle name="60% - Accent5 9 9" xfId="4665" xr:uid="{00000000-0005-0000-0000-00005A140000}"/>
    <cellStyle name="60% - Accent5 9 9 2" xfId="14572" xr:uid="{00000000-0005-0000-0000-00005B140000}"/>
    <cellStyle name="60% - Accent6 10" xfId="4666" xr:uid="{00000000-0005-0000-0000-00005C140000}"/>
    <cellStyle name="60% - Accent6 10 10" xfId="4667" xr:uid="{00000000-0005-0000-0000-00005D140000}"/>
    <cellStyle name="60% - Accent6 10 10 2" xfId="14573" xr:uid="{00000000-0005-0000-0000-00005E140000}"/>
    <cellStyle name="60% - Accent6 10 11" xfId="4668" xr:uid="{00000000-0005-0000-0000-00005F140000}"/>
    <cellStyle name="60% - Accent6 10 11 2" xfId="14574" xr:uid="{00000000-0005-0000-0000-000060140000}"/>
    <cellStyle name="60% - Accent6 10 2" xfId="4669" xr:uid="{00000000-0005-0000-0000-000061140000}"/>
    <cellStyle name="60% - Accent6 10 2 2" xfId="4670" xr:uid="{00000000-0005-0000-0000-000062140000}"/>
    <cellStyle name="60% - Accent6 10 2 2 2" xfId="14575" xr:uid="{00000000-0005-0000-0000-000063140000}"/>
    <cellStyle name="60% - Accent6 10 3" xfId="4671" xr:uid="{00000000-0005-0000-0000-000064140000}"/>
    <cellStyle name="60% - Accent6 10 3 2" xfId="4672" xr:uid="{00000000-0005-0000-0000-000065140000}"/>
    <cellStyle name="60% - Accent6 10 3 2 2" xfId="14576" xr:uid="{00000000-0005-0000-0000-000066140000}"/>
    <cellStyle name="60% - Accent6 10 4" xfId="4673" xr:uid="{00000000-0005-0000-0000-000067140000}"/>
    <cellStyle name="60% - Accent6 10 4 2" xfId="4674" xr:uid="{00000000-0005-0000-0000-000068140000}"/>
    <cellStyle name="60% - Accent6 10 4 3" xfId="14577" xr:uid="{00000000-0005-0000-0000-000069140000}"/>
    <cellStyle name="60% - Accent6 10 5" xfId="4675" xr:uid="{00000000-0005-0000-0000-00006A140000}"/>
    <cellStyle name="60% - Accent6 10 5 2" xfId="14578" xr:uid="{00000000-0005-0000-0000-00006B140000}"/>
    <cellStyle name="60% - Accent6 10 6" xfId="4676" xr:uid="{00000000-0005-0000-0000-00006C140000}"/>
    <cellStyle name="60% - Accent6 10 6 2" xfId="14579" xr:uid="{00000000-0005-0000-0000-00006D140000}"/>
    <cellStyle name="60% - Accent6 10 7" xfId="4677" xr:uid="{00000000-0005-0000-0000-00006E140000}"/>
    <cellStyle name="60% - Accent6 10 7 2" xfId="14580" xr:uid="{00000000-0005-0000-0000-00006F140000}"/>
    <cellStyle name="60% - Accent6 10 8" xfId="4678" xr:uid="{00000000-0005-0000-0000-000070140000}"/>
    <cellStyle name="60% - Accent6 10 8 2" xfId="14581" xr:uid="{00000000-0005-0000-0000-000071140000}"/>
    <cellStyle name="60% - Accent6 10 9" xfId="4679" xr:uid="{00000000-0005-0000-0000-000072140000}"/>
    <cellStyle name="60% - Accent6 10 9 2" xfId="14582" xr:uid="{00000000-0005-0000-0000-000073140000}"/>
    <cellStyle name="60% - Accent6 11" xfId="4680" xr:uid="{00000000-0005-0000-0000-000074140000}"/>
    <cellStyle name="60% - Accent6 11 10" xfId="4681" xr:uid="{00000000-0005-0000-0000-000075140000}"/>
    <cellStyle name="60% - Accent6 11 10 2" xfId="14583" xr:uid="{00000000-0005-0000-0000-000076140000}"/>
    <cellStyle name="60% - Accent6 11 11" xfId="4682" xr:uid="{00000000-0005-0000-0000-000077140000}"/>
    <cellStyle name="60% - Accent6 11 11 2" xfId="14584" xr:uid="{00000000-0005-0000-0000-000078140000}"/>
    <cellStyle name="60% - Accent6 11 2" xfId="4683" xr:uid="{00000000-0005-0000-0000-000079140000}"/>
    <cellStyle name="60% - Accent6 11 2 2" xfId="4684" xr:uid="{00000000-0005-0000-0000-00007A140000}"/>
    <cellStyle name="60% - Accent6 11 2 2 2" xfId="14585" xr:uid="{00000000-0005-0000-0000-00007B140000}"/>
    <cellStyle name="60% - Accent6 11 3" xfId="4685" xr:uid="{00000000-0005-0000-0000-00007C140000}"/>
    <cellStyle name="60% - Accent6 11 3 2" xfId="4686" xr:uid="{00000000-0005-0000-0000-00007D140000}"/>
    <cellStyle name="60% - Accent6 11 3 2 2" xfId="14586" xr:uid="{00000000-0005-0000-0000-00007E140000}"/>
    <cellStyle name="60% - Accent6 11 4" xfId="4687" xr:uid="{00000000-0005-0000-0000-00007F140000}"/>
    <cellStyle name="60% - Accent6 11 4 2" xfId="4688" xr:uid="{00000000-0005-0000-0000-000080140000}"/>
    <cellStyle name="60% - Accent6 11 4 3" xfId="14587" xr:uid="{00000000-0005-0000-0000-000081140000}"/>
    <cellStyle name="60% - Accent6 11 5" xfId="4689" xr:uid="{00000000-0005-0000-0000-000082140000}"/>
    <cellStyle name="60% - Accent6 11 5 2" xfId="14588" xr:uid="{00000000-0005-0000-0000-000083140000}"/>
    <cellStyle name="60% - Accent6 11 6" xfId="4690" xr:uid="{00000000-0005-0000-0000-000084140000}"/>
    <cellStyle name="60% - Accent6 11 6 2" xfId="14589" xr:uid="{00000000-0005-0000-0000-000085140000}"/>
    <cellStyle name="60% - Accent6 11 7" xfId="4691" xr:uid="{00000000-0005-0000-0000-000086140000}"/>
    <cellStyle name="60% - Accent6 11 7 2" xfId="14590" xr:uid="{00000000-0005-0000-0000-000087140000}"/>
    <cellStyle name="60% - Accent6 11 8" xfId="4692" xr:uid="{00000000-0005-0000-0000-000088140000}"/>
    <cellStyle name="60% - Accent6 11 8 2" xfId="14591" xr:uid="{00000000-0005-0000-0000-000089140000}"/>
    <cellStyle name="60% - Accent6 11 9" xfId="4693" xr:uid="{00000000-0005-0000-0000-00008A140000}"/>
    <cellStyle name="60% - Accent6 11 9 2" xfId="14592" xr:uid="{00000000-0005-0000-0000-00008B140000}"/>
    <cellStyle name="60% - Accent6 12" xfId="4694" xr:uid="{00000000-0005-0000-0000-00008C140000}"/>
    <cellStyle name="60% - Accent6 12 10" xfId="4695" xr:uid="{00000000-0005-0000-0000-00008D140000}"/>
    <cellStyle name="60% - Accent6 12 10 2" xfId="14593" xr:uid="{00000000-0005-0000-0000-00008E140000}"/>
    <cellStyle name="60% - Accent6 12 11" xfId="4696" xr:uid="{00000000-0005-0000-0000-00008F140000}"/>
    <cellStyle name="60% - Accent6 12 11 2" xfId="14594" xr:uid="{00000000-0005-0000-0000-000090140000}"/>
    <cellStyle name="60% - Accent6 12 2" xfId="4697" xr:uid="{00000000-0005-0000-0000-000091140000}"/>
    <cellStyle name="60% - Accent6 12 2 2" xfId="4698" xr:uid="{00000000-0005-0000-0000-000092140000}"/>
    <cellStyle name="60% - Accent6 12 2 2 2" xfId="14595" xr:uid="{00000000-0005-0000-0000-000093140000}"/>
    <cellStyle name="60% - Accent6 12 3" xfId="4699" xr:uid="{00000000-0005-0000-0000-000094140000}"/>
    <cellStyle name="60% - Accent6 12 3 2" xfId="4700" xr:uid="{00000000-0005-0000-0000-000095140000}"/>
    <cellStyle name="60% - Accent6 12 3 2 2" xfId="14596" xr:uid="{00000000-0005-0000-0000-000096140000}"/>
    <cellStyle name="60% - Accent6 12 4" xfId="4701" xr:uid="{00000000-0005-0000-0000-000097140000}"/>
    <cellStyle name="60% - Accent6 12 4 2" xfId="4702" xr:uid="{00000000-0005-0000-0000-000098140000}"/>
    <cellStyle name="60% - Accent6 12 4 3" xfId="14597" xr:uid="{00000000-0005-0000-0000-000099140000}"/>
    <cellStyle name="60% - Accent6 12 5" xfId="4703" xr:uid="{00000000-0005-0000-0000-00009A140000}"/>
    <cellStyle name="60% - Accent6 12 5 2" xfId="14598" xr:uid="{00000000-0005-0000-0000-00009B140000}"/>
    <cellStyle name="60% - Accent6 12 6" xfId="4704" xr:uid="{00000000-0005-0000-0000-00009C140000}"/>
    <cellStyle name="60% - Accent6 12 6 2" xfId="14599" xr:uid="{00000000-0005-0000-0000-00009D140000}"/>
    <cellStyle name="60% - Accent6 12 7" xfId="4705" xr:uid="{00000000-0005-0000-0000-00009E140000}"/>
    <cellStyle name="60% - Accent6 12 7 2" xfId="14600" xr:uid="{00000000-0005-0000-0000-00009F140000}"/>
    <cellStyle name="60% - Accent6 12 8" xfId="4706" xr:uid="{00000000-0005-0000-0000-0000A0140000}"/>
    <cellStyle name="60% - Accent6 12 8 2" xfId="14601" xr:uid="{00000000-0005-0000-0000-0000A1140000}"/>
    <cellStyle name="60% - Accent6 12 9" xfId="4707" xr:uid="{00000000-0005-0000-0000-0000A2140000}"/>
    <cellStyle name="60% - Accent6 12 9 2" xfId="14602" xr:uid="{00000000-0005-0000-0000-0000A3140000}"/>
    <cellStyle name="60% - Accent6 13" xfId="4708" xr:uid="{00000000-0005-0000-0000-0000A4140000}"/>
    <cellStyle name="60% - Accent6 13 10" xfId="4709" xr:uid="{00000000-0005-0000-0000-0000A5140000}"/>
    <cellStyle name="60% - Accent6 13 10 2" xfId="14603" xr:uid="{00000000-0005-0000-0000-0000A6140000}"/>
    <cellStyle name="60% - Accent6 13 11" xfId="4710" xr:uid="{00000000-0005-0000-0000-0000A7140000}"/>
    <cellStyle name="60% - Accent6 13 11 2" xfId="14604" xr:uid="{00000000-0005-0000-0000-0000A8140000}"/>
    <cellStyle name="60% - Accent6 13 2" xfId="4711" xr:uid="{00000000-0005-0000-0000-0000A9140000}"/>
    <cellStyle name="60% - Accent6 13 2 2" xfId="4712" xr:uid="{00000000-0005-0000-0000-0000AA140000}"/>
    <cellStyle name="60% - Accent6 13 2 2 2" xfId="14605" xr:uid="{00000000-0005-0000-0000-0000AB140000}"/>
    <cellStyle name="60% - Accent6 13 3" xfId="4713" xr:uid="{00000000-0005-0000-0000-0000AC140000}"/>
    <cellStyle name="60% - Accent6 13 3 2" xfId="4714" xr:uid="{00000000-0005-0000-0000-0000AD140000}"/>
    <cellStyle name="60% - Accent6 13 3 2 2" xfId="14606" xr:uid="{00000000-0005-0000-0000-0000AE140000}"/>
    <cellStyle name="60% - Accent6 13 4" xfId="4715" xr:uid="{00000000-0005-0000-0000-0000AF140000}"/>
    <cellStyle name="60% - Accent6 13 4 2" xfId="14607" xr:uid="{00000000-0005-0000-0000-0000B0140000}"/>
    <cellStyle name="60% - Accent6 13 5" xfId="4716" xr:uid="{00000000-0005-0000-0000-0000B1140000}"/>
    <cellStyle name="60% - Accent6 13 5 2" xfId="14608" xr:uid="{00000000-0005-0000-0000-0000B2140000}"/>
    <cellStyle name="60% - Accent6 13 6" xfId="4717" xr:uid="{00000000-0005-0000-0000-0000B3140000}"/>
    <cellStyle name="60% - Accent6 13 6 2" xfId="14609" xr:uid="{00000000-0005-0000-0000-0000B4140000}"/>
    <cellStyle name="60% - Accent6 13 7" xfId="4718" xr:uid="{00000000-0005-0000-0000-0000B5140000}"/>
    <cellStyle name="60% - Accent6 13 7 2" xfId="14610" xr:uid="{00000000-0005-0000-0000-0000B6140000}"/>
    <cellStyle name="60% - Accent6 13 8" xfId="4719" xr:uid="{00000000-0005-0000-0000-0000B7140000}"/>
    <cellStyle name="60% - Accent6 13 8 2" xfId="14611" xr:uid="{00000000-0005-0000-0000-0000B8140000}"/>
    <cellStyle name="60% - Accent6 13 9" xfId="4720" xr:uid="{00000000-0005-0000-0000-0000B9140000}"/>
    <cellStyle name="60% - Accent6 13 9 2" xfId="14612" xr:uid="{00000000-0005-0000-0000-0000BA140000}"/>
    <cellStyle name="60% - Accent6 14" xfId="4721" xr:uid="{00000000-0005-0000-0000-0000BB140000}"/>
    <cellStyle name="60% - Accent6 14 10" xfId="4722" xr:uid="{00000000-0005-0000-0000-0000BC140000}"/>
    <cellStyle name="60% - Accent6 14 10 2" xfId="14613" xr:uid="{00000000-0005-0000-0000-0000BD140000}"/>
    <cellStyle name="60% - Accent6 14 11" xfId="4723" xr:uid="{00000000-0005-0000-0000-0000BE140000}"/>
    <cellStyle name="60% - Accent6 14 11 2" xfId="14614" xr:uid="{00000000-0005-0000-0000-0000BF140000}"/>
    <cellStyle name="60% - Accent6 14 2" xfId="4724" xr:uid="{00000000-0005-0000-0000-0000C0140000}"/>
    <cellStyle name="60% - Accent6 14 2 2" xfId="4725" xr:uid="{00000000-0005-0000-0000-0000C1140000}"/>
    <cellStyle name="60% - Accent6 14 2 2 2" xfId="14615" xr:uid="{00000000-0005-0000-0000-0000C2140000}"/>
    <cellStyle name="60% - Accent6 14 3" xfId="4726" xr:uid="{00000000-0005-0000-0000-0000C3140000}"/>
    <cellStyle name="60% - Accent6 14 3 2" xfId="4727" xr:uid="{00000000-0005-0000-0000-0000C4140000}"/>
    <cellStyle name="60% - Accent6 14 3 2 2" xfId="14616" xr:uid="{00000000-0005-0000-0000-0000C5140000}"/>
    <cellStyle name="60% - Accent6 14 4" xfId="4728" xr:uid="{00000000-0005-0000-0000-0000C6140000}"/>
    <cellStyle name="60% - Accent6 14 4 2" xfId="14617" xr:uid="{00000000-0005-0000-0000-0000C7140000}"/>
    <cellStyle name="60% - Accent6 14 5" xfId="4729" xr:uid="{00000000-0005-0000-0000-0000C8140000}"/>
    <cellStyle name="60% - Accent6 14 5 2" xfId="14618" xr:uid="{00000000-0005-0000-0000-0000C9140000}"/>
    <cellStyle name="60% - Accent6 14 6" xfId="4730" xr:uid="{00000000-0005-0000-0000-0000CA140000}"/>
    <cellStyle name="60% - Accent6 14 6 2" xfId="14619" xr:uid="{00000000-0005-0000-0000-0000CB140000}"/>
    <cellStyle name="60% - Accent6 14 7" xfId="4731" xr:uid="{00000000-0005-0000-0000-0000CC140000}"/>
    <cellStyle name="60% - Accent6 14 7 2" xfId="14620" xr:uid="{00000000-0005-0000-0000-0000CD140000}"/>
    <cellStyle name="60% - Accent6 14 8" xfId="4732" xr:uid="{00000000-0005-0000-0000-0000CE140000}"/>
    <cellStyle name="60% - Accent6 14 8 2" xfId="14621" xr:uid="{00000000-0005-0000-0000-0000CF140000}"/>
    <cellStyle name="60% - Accent6 14 9" xfId="4733" xr:uid="{00000000-0005-0000-0000-0000D0140000}"/>
    <cellStyle name="60% - Accent6 14 9 2" xfId="14622" xr:uid="{00000000-0005-0000-0000-0000D1140000}"/>
    <cellStyle name="60% - Accent6 15" xfId="4734" xr:uid="{00000000-0005-0000-0000-0000D2140000}"/>
    <cellStyle name="60% - Accent6 15 10" xfId="4735" xr:uid="{00000000-0005-0000-0000-0000D3140000}"/>
    <cellStyle name="60% - Accent6 15 10 2" xfId="14623" xr:uid="{00000000-0005-0000-0000-0000D4140000}"/>
    <cellStyle name="60% - Accent6 15 11" xfId="4736" xr:uid="{00000000-0005-0000-0000-0000D5140000}"/>
    <cellStyle name="60% - Accent6 15 11 2" xfId="14624" xr:uid="{00000000-0005-0000-0000-0000D6140000}"/>
    <cellStyle name="60% - Accent6 15 2" xfId="4737" xr:uid="{00000000-0005-0000-0000-0000D7140000}"/>
    <cellStyle name="60% - Accent6 15 2 2" xfId="4738" xr:uid="{00000000-0005-0000-0000-0000D8140000}"/>
    <cellStyle name="60% - Accent6 15 2 2 2" xfId="14625" xr:uid="{00000000-0005-0000-0000-0000D9140000}"/>
    <cellStyle name="60% - Accent6 15 3" xfId="4739" xr:uid="{00000000-0005-0000-0000-0000DA140000}"/>
    <cellStyle name="60% - Accent6 15 3 2" xfId="4740" xr:uid="{00000000-0005-0000-0000-0000DB140000}"/>
    <cellStyle name="60% - Accent6 15 3 2 2" xfId="14626" xr:uid="{00000000-0005-0000-0000-0000DC140000}"/>
    <cellStyle name="60% - Accent6 15 4" xfId="4741" xr:uid="{00000000-0005-0000-0000-0000DD140000}"/>
    <cellStyle name="60% - Accent6 15 4 2" xfId="14627" xr:uid="{00000000-0005-0000-0000-0000DE140000}"/>
    <cellStyle name="60% - Accent6 15 5" xfId="4742" xr:uid="{00000000-0005-0000-0000-0000DF140000}"/>
    <cellStyle name="60% - Accent6 15 5 2" xfId="14628" xr:uid="{00000000-0005-0000-0000-0000E0140000}"/>
    <cellStyle name="60% - Accent6 15 6" xfId="4743" xr:uid="{00000000-0005-0000-0000-0000E1140000}"/>
    <cellStyle name="60% - Accent6 15 6 2" xfId="14629" xr:uid="{00000000-0005-0000-0000-0000E2140000}"/>
    <cellStyle name="60% - Accent6 15 7" xfId="4744" xr:uid="{00000000-0005-0000-0000-0000E3140000}"/>
    <cellStyle name="60% - Accent6 15 7 2" xfId="14630" xr:uid="{00000000-0005-0000-0000-0000E4140000}"/>
    <cellStyle name="60% - Accent6 15 8" xfId="4745" xr:uid="{00000000-0005-0000-0000-0000E5140000}"/>
    <cellStyle name="60% - Accent6 15 8 2" xfId="14631" xr:uid="{00000000-0005-0000-0000-0000E6140000}"/>
    <cellStyle name="60% - Accent6 15 9" xfId="4746" xr:uid="{00000000-0005-0000-0000-0000E7140000}"/>
    <cellStyle name="60% - Accent6 15 9 2" xfId="14632" xr:uid="{00000000-0005-0000-0000-0000E8140000}"/>
    <cellStyle name="60% - Accent6 16" xfId="4747" xr:uid="{00000000-0005-0000-0000-0000E9140000}"/>
    <cellStyle name="60% - Accent6 16 10" xfId="4748" xr:uid="{00000000-0005-0000-0000-0000EA140000}"/>
    <cellStyle name="60% - Accent6 16 10 2" xfId="14633" xr:uid="{00000000-0005-0000-0000-0000EB140000}"/>
    <cellStyle name="60% - Accent6 16 11" xfId="4749" xr:uid="{00000000-0005-0000-0000-0000EC140000}"/>
    <cellStyle name="60% - Accent6 16 11 2" xfId="14634" xr:uid="{00000000-0005-0000-0000-0000ED140000}"/>
    <cellStyle name="60% - Accent6 16 2" xfId="4750" xr:uid="{00000000-0005-0000-0000-0000EE140000}"/>
    <cellStyle name="60% - Accent6 16 2 2" xfId="4751" xr:uid="{00000000-0005-0000-0000-0000EF140000}"/>
    <cellStyle name="60% - Accent6 16 2 2 2" xfId="14635" xr:uid="{00000000-0005-0000-0000-0000F0140000}"/>
    <cellStyle name="60% - Accent6 16 3" xfId="4752" xr:uid="{00000000-0005-0000-0000-0000F1140000}"/>
    <cellStyle name="60% - Accent6 16 3 2" xfId="4753" xr:uid="{00000000-0005-0000-0000-0000F2140000}"/>
    <cellStyle name="60% - Accent6 16 3 2 2" xfId="14636" xr:uid="{00000000-0005-0000-0000-0000F3140000}"/>
    <cellStyle name="60% - Accent6 16 4" xfId="4754" xr:uid="{00000000-0005-0000-0000-0000F4140000}"/>
    <cellStyle name="60% - Accent6 16 4 2" xfId="14637" xr:uid="{00000000-0005-0000-0000-0000F5140000}"/>
    <cellStyle name="60% - Accent6 16 5" xfId="4755" xr:uid="{00000000-0005-0000-0000-0000F6140000}"/>
    <cellStyle name="60% - Accent6 16 5 2" xfId="14638" xr:uid="{00000000-0005-0000-0000-0000F7140000}"/>
    <cellStyle name="60% - Accent6 16 6" xfId="4756" xr:uid="{00000000-0005-0000-0000-0000F8140000}"/>
    <cellStyle name="60% - Accent6 16 6 2" xfId="14639" xr:uid="{00000000-0005-0000-0000-0000F9140000}"/>
    <cellStyle name="60% - Accent6 16 7" xfId="4757" xr:uid="{00000000-0005-0000-0000-0000FA140000}"/>
    <cellStyle name="60% - Accent6 16 7 2" xfId="14640" xr:uid="{00000000-0005-0000-0000-0000FB140000}"/>
    <cellStyle name="60% - Accent6 16 8" xfId="4758" xr:uid="{00000000-0005-0000-0000-0000FC140000}"/>
    <cellStyle name="60% - Accent6 16 8 2" xfId="14641" xr:uid="{00000000-0005-0000-0000-0000FD140000}"/>
    <cellStyle name="60% - Accent6 16 9" xfId="4759" xr:uid="{00000000-0005-0000-0000-0000FE140000}"/>
    <cellStyle name="60% - Accent6 16 9 2" xfId="14642" xr:uid="{00000000-0005-0000-0000-0000FF140000}"/>
    <cellStyle name="60% - Accent6 17" xfId="4760" xr:uid="{00000000-0005-0000-0000-000000150000}"/>
    <cellStyle name="60% - Accent6 17 10" xfId="4761" xr:uid="{00000000-0005-0000-0000-000001150000}"/>
    <cellStyle name="60% - Accent6 17 10 2" xfId="14643" xr:uid="{00000000-0005-0000-0000-000002150000}"/>
    <cellStyle name="60% - Accent6 17 11" xfId="4762" xr:uid="{00000000-0005-0000-0000-000003150000}"/>
    <cellStyle name="60% - Accent6 17 11 2" xfId="14644" xr:uid="{00000000-0005-0000-0000-000004150000}"/>
    <cellStyle name="60% - Accent6 17 2" xfId="4763" xr:uid="{00000000-0005-0000-0000-000005150000}"/>
    <cellStyle name="60% - Accent6 17 2 2" xfId="4764" xr:uid="{00000000-0005-0000-0000-000006150000}"/>
    <cellStyle name="60% - Accent6 17 2 2 2" xfId="14645" xr:uid="{00000000-0005-0000-0000-000007150000}"/>
    <cellStyle name="60% - Accent6 17 3" xfId="4765" xr:uid="{00000000-0005-0000-0000-000008150000}"/>
    <cellStyle name="60% - Accent6 17 3 2" xfId="4766" xr:uid="{00000000-0005-0000-0000-000009150000}"/>
    <cellStyle name="60% - Accent6 17 3 2 2" xfId="14646" xr:uid="{00000000-0005-0000-0000-00000A150000}"/>
    <cellStyle name="60% - Accent6 17 4" xfId="4767" xr:uid="{00000000-0005-0000-0000-00000B150000}"/>
    <cellStyle name="60% - Accent6 17 4 2" xfId="14647" xr:uid="{00000000-0005-0000-0000-00000C150000}"/>
    <cellStyle name="60% - Accent6 17 5" xfId="4768" xr:uid="{00000000-0005-0000-0000-00000D150000}"/>
    <cellStyle name="60% - Accent6 17 5 2" xfId="14648" xr:uid="{00000000-0005-0000-0000-00000E150000}"/>
    <cellStyle name="60% - Accent6 17 6" xfId="4769" xr:uid="{00000000-0005-0000-0000-00000F150000}"/>
    <cellStyle name="60% - Accent6 17 6 2" xfId="14649" xr:uid="{00000000-0005-0000-0000-000010150000}"/>
    <cellStyle name="60% - Accent6 17 7" xfId="4770" xr:uid="{00000000-0005-0000-0000-000011150000}"/>
    <cellStyle name="60% - Accent6 17 7 2" xfId="14650" xr:uid="{00000000-0005-0000-0000-000012150000}"/>
    <cellStyle name="60% - Accent6 17 8" xfId="4771" xr:uid="{00000000-0005-0000-0000-000013150000}"/>
    <cellStyle name="60% - Accent6 17 8 2" xfId="14651" xr:uid="{00000000-0005-0000-0000-000014150000}"/>
    <cellStyle name="60% - Accent6 17 9" xfId="4772" xr:uid="{00000000-0005-0000-0000-000015150000}"/>
    <cellStyle name="60% - Accent6 17 9 2" xfId="14652" xr:uid="{00000000-0005-0000-0000-000016150000}"/>
    <cellStyle name="60% - Accent6 18" xfId="4773" xr:uid="{00000000-0005-0000-0000-000017150000}"/>
    <cellStyle name="60% - Accent6 18 2" xfId="4774" xr:uid="{00000000-0005-0000-0000-000018150000}"/>
    <cellStyle name="60% - Accent6 18 2 2" xfId="4775" xr:uid="{00000000-0005-0000-0000-000019150000}"/>
    <cellStyle name="60% - Accent6 18 2 2 2" xfId="14653" xr:uid="{00000000-0005-0000-0000-00001A150000}"/>
    <cellStyle name="60% - Accent6 18 3" xfId="4776" xr:uid="{00000000-0005-0000-0000-00001B150000}"/>
    <cellStyle name="60% - Accent6 18 3 2" xfId="14654" xr:uid="{00000000-0005-0000-0000-00001C150000}"/>
    <cellStyle name="60% - Accent6 18 4" xfId="4777" xr:uid="{00000000-0005-0000-0000-00001D150000}"/>
    <cellStyle name="60% - Accent6 18 4 2" xfId="14655" xr:uid="{00000000-0005-0000-0000-00001E150000}"/>
    <cellStyle name="60% - Accent6 18 5" xfId="4778" xr:uid="{00000000-0005-0000-0000-00001F150000}"/>
    <cellStyle name="60% - Accent6 18 5 2" xfId="14656" xr:uid="{00000000-0005-0000-0000-000020150000}"/>
    <cellStyle name="60% - Accent6 18 6" xfId="4779" xr:uid="{00000000-0005-0000-0000-000021150000}"/>
    <cellStyle name="60% - Accent6 18 6 2" xfId="14657" xr:uid="{00000000-0005-0000-0000-000022150000}"/>
    <cellStyle name="60% - Accent6 18 7" xfId="4780" xr:uid="{00000000-0005-0000-0000-000023150000}"/>
    <cellStyle name="60% - Accent6 18 7 2" xfId="14658" xr:uid="{00000000-0005-0000-0000-000024150000}"/>
    <cellStyle name="60% - Accent6 18 8" xfId="4781" xr:uid="{00000000-0005-0000-0000-000025150000}"/>
    <cellStyle name="60% - Accent6 18 8 2" xfId="14659" xr:uid="{00000000-0005-0000-0000-000026150000}"/>
    <cellStyle name="60% - Accent6 18 9" xfId="4782" xr:uid="{00000000-0005-0000-0000-000027150000}"/>
    <cellStyle name="60% - Accent6 18 9 2" xfId="14660" xr:uid="{00000000-0005-0000-0000-000028150000}"/>
    <cellStyle name="60% - Accent6 19" xfId="4783" xr:uid="{00000000-0005-0000-0000-000029150000}"/>
    <cellStyle name="60% - Accent6 19 2" xfId="4784" xr:uid="{00000000-0005-0000-0000-00002A150000}"/>
    <cellStyle name="60% - Accent6 19 2 2" xfId="4785" xr:uid="{00000000-0005-0000-0000-00002B150000}"/>
    <cellStyle name="60% - Accent6 19 2 2 2" xfId="14661" xr:uid="{00000000-0005-0000-0000-00002C150000}"/>
    <cellStyle name="60% - Accent6 19 3" xfId="4786" xr:uid="{00000000-0005-0000-0000-00002D150000}"/>
    <cellStyle name="60% - Accent6 19 3 2" xfId="14662" xr:uid="{00000000-0005-0000-0000-00002E150000}"/>
    <cellStyle name="60% - Accent6 19 4" xfId="4787" xr:uid="{00000000-0005-0000-0000-00002F150000}"/>
    <cellStyle name="60% - Accent6 19 4 2" xfId="14663" xr:uid="{00000000-0005-0000-0000-000030150000}"/>
    <cellStyle name="60% - Accent6 19 5" xfId="4788" xr:uid="{00000000-0005-0000-0000-000031150000}"/>
    <cellStyle name="60% - Accent6 19 5 2" xfId="14664" xr:uid="{00000000-0005-0000-0000-000032150000}"/>
    <cellStyle name="60% - Accent6 19 6" xfId="4789" xr:uid="{00000000-0005-0000-0000-000033150000}"/>
    <cellStyle name="60% - Accent6 19 6 2" xfId="14665" xr:uid="{00000000-0005-0000-0000-000034150000}"/>
    <cellStyle name="60% - Accent6 19 7" xfId="4790" xr:uid="{00000000-0005-0000-0000-000035150000}"/>
    <cellStyle name="60% - Accent6 19 7 2" xfId="14666" xr:uid="{00000000-0005-0000-0000-000036150000}"/>
    <cellStyle name="60% - Accent6 19 8" xfId="4791" xr:uid="{00000000-0005-0000-0000-000037150000}"/>
    <cellStyle name="60% - Accent6 19 8 2" xfId="14667" xr:uid="{00000000-0005-0000-0000-000038150000}"/>
    <cellStyle name="60% - Accent6 19 9" xfId="4792" xr:uid="{00000000-0005-0000-0000-000039150000}"/>
    <cellStyle name="60% - Accent6 19 9 2" xfId="14668" xr:uid="{00000000-0005-0000-0000-00003A150000}"/>
    <cellStyle name="60% - Accent6 2" xfId="4793" xr:uid="{00000000-0005-0000-0000-00003B150000}"/>
    <cellStyle name="60% - Accent6 2 10" xfId="4794" xr:uid="{00000000-0005-0000-0000-00003C150000}"/>
    <cellStyle name="60% - Accent6 2 10 2" xfId="14669" xr:uid="{00000000-0005-0000-0000-00003D150000}"/>
    <cellStyle name="60% - Accent6 2 11" xfId="4795" xr:uid="{00000000-0005-0000-0000-00003E150000}"/>
    <cellStyle name="60% - Accent6 2 11 2" xfId="14670" xr:uid="{00000000-0005-0000-0000-00003F150000}"/>
    <cellStyle name="60% - Accent6 2 12" xfId="21703" xr:uid="{00000000-0005-0000-0000-000040150000}"/>
    <cellStyle name="60% - Accent6 2 2" xfId="4796" xr:uid="{00000000-0005-0000-0000-000041150000}"/>
    <cellStyle name="60% - Accent6 2 2 2" xfId="4797" xr:uid="{00000000-0005-0000-0000-000042150000}"/>
    <cellStyle name="60% - Accent6 2 2 2 2" xfId="14671" xr:uid="{00000000-0005-0000-0000-000043150000}"/>
    <cellStyle name="60% - Accent6 2 3" xfId="4798" xr:uid="{00000000-0005-0000-0000-000044150000}"/>
    <cellStyle name="60% - Accent6 2 3 2" xfId="4799" xr:uid="{00000000-0005-0000-0000-000045150000}"/>
    <cellStyle name="60% - Accent6 2 3 2 2" xfId="14672" xr:uid="{00000000-0005-0000-0000-000046150000}"/>
    <cellStyle name="60% - Accent6 2 4" xfId="4800" xr:uid="{00000000-0005-0000-0000-000047150000}"/>
    <cellStyle name="60% - Accent6 2 4 2" xfId="4801" xr:uid="{00000000-0005-0000-0000-000048150000}"/>
    <cellStyle name="60% - Accent6 2 4 3" xfId="14673" xr:uid="{00000000-0005-0000-0000-000049150000}"/>
    <cellStyle name="60% - Accent6 2 5" xfId="4802" xr:uid="{00000000-0005-0000-0000-00004A150000}"/>
    <cellStyle name="60% - Accent6 2 5 2" xfId="14674" xr:uid="{00000000-0005-0000-0000-00004B150000}"/>
    <cellStyle name="60% - Accent6 2 6" xfId="4803" xr:uid="{00000000-0005-0000-0000-00004C150000}"/>
    <cellStyle name="60% - Accent6 2 6 2" xfId="14675" xr:uid="{00000000-0005-0000-0000-00004D150000}"/>
    <cellStyle name="60% - Accent6 2 7" xfId="4804" xr:uid="{00000000-0005-0000-0000-00004E150000}"/>
    <cellStyle name="60% - Accent6 2 7 2" xfId="14676" xr:uid="{00000000-0005-0000-0000-00004F150000}"/>
    <cellStyle name="60% - Accent6 2 8" xfId="4805" xr:uid="{00000000-0005-0000-0000-000050150000}"/>
    <cellStyle name="60% - Accent6 2 8 2" xfId="14677" xr:uid="{00000000-0005-0000-0000-000051150000}"/>
    <cellStyle name="60% - Accent6 2 9" xfId="4806" xr:uid="{00000000-0005-0000-0000-000052150000}"/>
    <cellStyle name="60% - Accent6 2 9 2" xfId="14678" xr:uid="{00000000-0005-0000-0000-000053150000}"/>
    <cellStyle name="60% - Accent6 20" xfId="4807" xr:uid="{00000000-0005-0000-0000-000054150000}"/>
    <cellStyle name="60% - Accent6 20 2" xfId="4808" xr:uid="{00000000-0005-0000-0000-000055150000}"/>
    <cellStyle name="60% - Accent6 20 2 2" xfId="14679" xr:uid="{00000000-0005-0000-0000-000056150000}"/>
    <cellStyle name="60% - Accent6 20 3" xfId="4809" xr:uid="{00000000-0005-0000-0000-000057150000}"/>
    <cellStyle name="60% - Accent6 20 3 2" xfId="14680" xr:uid="{00000000-0005-0000-0000-000058150000}"/>
    <cellStyle name="60% - Accent6 20 4" xfId="4810" xr:uid="{00000000-0005-0000-0000-000059150000}"/>
    <cellStyle name="60% - Accent6 20 4 2" xfId="14681" xr:uid="{00000000-0005-0000-0000-00005A150000}"/>
    <cellStyle name="60% - Accent6 20 5" xfId="4811" xr:uid="{00000000-0005-0000-0000-00005B150000}"/>
    <cellStyle name="60% - Accent6 20 5 2" xfId="14682" xr:uid="{00000000-0005-0000-0000-00005C150000}"/>
    <cellStyle name="60% - Accent6 20 6" xfId="4812" xr:uid="{00000000-0005-0000-0000-00005D150000}"/>
    <cellStyle name="60% - Accent6 20 6 2" xfId="14683" xr:uid="{00000000-0005-0000-0000-00005E150000}"/>
    <cellStyle name="60% - Accent6 20 7" xfId="4813" xr:uid="{00000000-0005-0000-0000-00005F150000}"/>
    <cellStyle name="60% - Accent6 20 7 2" xfId="14684" xr:uid="{00000000-0005-0000-0000-000060150000}"/>
    <cellStyle name="60% - Accent6 20 8" xfId="4814" xr:uid="{00000000-0005-0000-0000-000061150000}"/>
    <cellStyle name="60% - Accent6 20 8 2" xfId="14685" xr:uid="{00000000-0005-0000-0000-000062150000}"/>
    <cellStyle name="60% - Accent6 20 9" xfId="4815" xr:uid="{00000000-0005-0000-0000-000063150000}"/>
    <cellStyle name="60% - Accent6 20 9 2" xfId="14686" xr:uid="{00000000-0005-0000-0000-000064150000}"/>
    <cellStyle name="60% - Accent6 21" xfId="4816" xr:uid="{00000000-0005-0000-0000-000065150000}"/>
    <cellStyle name="60% - Accent6 21 2" xfId="4817" xr:uid="{00000000-0005-0000-0000-000066150000}"/>
    <cellStyle name="60% - Accent6 21 2 2" xfId="14687" xr:uid="{00000000-0005-0000-0000-000067150000}"/>
    <cellStyle name="60% - Accent6 21 3" xfId="4818" xr:uid="{00000000-0005-0000-0000-000068150000}"/>
    <cellStyle name="60% - Accent6 21 3 2" xfId="14688" xr:uid="{00000000-0005-0000-0000-000069150000}"/>
    <cellStyle name="60% - Accent6 21 4" xfId="4819" xr:uid="{00000000-0005-0000-0000-00006A150000}"/>
    <cellStyle name="60% - Accent6 21 4 2" xfId="14689" xr:uid="{00000000-0005-0000-0000-00006B150000}"/>
    <cellStyle name="60% - Accent6 21 5" xfId="4820" xr:uid="{00000000-0005-0000-0000-00006C150000}"/>
    <cellStyle name="60% - Accent6 21 5 2" xfId="14690" xr:uid="{00000000-0005-0000-0000-00006D150000}"/>
    <cellStyle name="60% - Accent6 21 6" xfId="4821" xr:uid="{00000000-0005-0000-0000-00006E150000}"/>
    <cellStyle name="60% - Accent6 21 6 2" xfId="14691" xr:uid="{00000000-0005-0000-0000-00006F150000}"/>
    <cellStyle name="60% - Accent6 21 7" xfId="4822" xr:uid="{00000000-0005-0000-0000-000070150000}"/>
    <cellStyle name="60% - Accent6 21 7 2" xfId="14692" xr:uid="{00000000-0005-0000-0000-000071150000}"/>
    <cellStyle name="60% - Accent6 21 8" xfId="4823" xr:uid="{00000000-0005-0000-0000-000072150000}"/>
    <cellStyle name="60% - Accent6 21 8 2" xfId="14693" xr:uid="{00000000-0005-0000-0000-000073150000}"/>
    <cellStyle name="60% - Accent6 21 9" xfId="4824" xr:uid="{00000000-0005-0000-0000-000074150000}"/>
    <cellStyle name="60% - Accent6 21 9 2" xfId="14694" xr:uid="{00000000-0005-0000-0000-000075150000}"/>
    <cellStyle name="60% - Accent6 22" xfId="4825" xr:uid="{00000000-0005-0000-0000-000076150000}"/>
    <cellStyle name="60% - Accent6 22 2" xfId="4826" xr:uid="{00000000-0005-0000-0000-000077150000}"/>
    <cellStyle name="60% - Accent6 22 2 2" xfId="14695" xr:uid="{00000000-0005-0000-0000-000078150000}"/>
    <cellStyle name="60% - Accent6 22 3" xfId="4827" xr:uid="{00000000-0005-0000-0000-000079150000}"/>
    <cellStyle name="60% - Accent6 22 3 2" xfId="14696" xr:uid="{00000000-0005-0000-0000-00007A150000}"/>
    <cellStyle name="60% - Accent6 22 4" xfId="4828" xr:uid="{00000000-0005-0000-0000-00007B150000}"/>
    <cellStyle name="60% - Accent6 22 4 2" xfId="14697" xr:uid="{00000000-0005-0000-0000-00007C150000}"/>
    <cellStyle name="60% - Accent6 22 5" xfId="4829" xr:uid="{00000000-0005-0000-0000-00007D150000}"/>
    <cellStyle name="60% - Accent6 22 5 2" xfId="14698" xr:uid="{00000000-0005-0000-0000-00007E150000}"/>
    <cellStyle name="60% - Accent6 22 6" xfId="4830" xr:uid="{00000000-0005-0000-0000-00007F150000}"/>
    <cellStyle name="60% - Accent6 22 6 2" xfId="14699" xr:uid="{00000000-0005-0000-0000-000080150000}"/>
    <cellStyle name="60% - Accent6 22 7" xfId="4831" xr:uid="{00000000-0005-0000-0000-000081150000}"/>
    <cellStyle name="60% - Accent6 22 7 2" xfId="14700" xr:uid="{00000000-0005-0000-0000-000082150000}"/>
    <cellStyle name="60% - Accent6 22 8" xfId="4832" xr:uid="{00000000-0005-0000-0000-000083150000}"/>
    <cellStyle name="60% - Accent6 22 8 2" xfId="14701" xr:uid="{00000000-0005-0000-0000-000084150000}"/>
    <cellStyle name="60% - Accent6 22 9" xfId="4833" xr:uid="{00000000-0005-0000-0000-000085150000}"/>
    <cellStyle name="60% - Accent6 22 9 2" xfId="14702" xr:uid="{00000000-0005-0000-0000-000086150000}"/>
    <cellStyle name="60% - Accent6 23" xfId="4834" xr:uid="{00000000-0005-0000-0000-000087150000}"/>
    <cellStyle name="60% - Accent6 23 2" xfId="4835" xr:uid="{00000000-0005-0000-0000-000088150000}"/>
    <cellStyle name="60% - Accent6 23 2 2" xfId="14703" xr:uid="{00000000-0005-0000-0000-000089150000}"/>
    <cellStyle name="60% - Accent6 23 3" xfId="4836" xr:uid="{00000000-0005-0000-0000-00008A150000}"/>
    <cellStyle name="60% - Accent6 23 3 2" xfId="14704" xr:uid="{00000000-0005-0000-0000-00008B150000}"/>
    <cellStyle name="60% - Accent6 23 4" xfId="4837" xr:uid="{00000000-0005-0000-0000-00008C150000}"/>
    <cellStyle name="60% - Accent6 23 4 2" xfId="14705" xr:uid="{00000000-0005-0000-0000-00008D150000}"/>
    <cellStyle name="60% - Accent6 23 5" xfId="4838" xr:uid="{00000000-0005-0000-0000-00008E150000}"/>
    <cellStyle name="60% - Accent6 23 5 2" xfId="14706" xr:uid="{00000000-0005-0000-0000-00008F150000}"/>
    <cellStyle name="60% - Accent6 23 6" xfId="4839" xr:uid="{00000000-0005-0000-0000-000090150000}"/>
    <cellStyle name="60% - Accent6 23 6 2" xfId="14707" xr:uid="{00000000-0005-0000-0000-000091150000}"/>
    <cellStyle name="60% - Accent6 23 7" xfId="4840" xr:uid="{00000000-0005-0000-0000-000092150000}"/>
    <cellStyle name="60% - Accent6 23 7 2" xfId="14708" xr:uid="{00000000-0005-0000-0000-000093150000}"/>
    <cellStyle name="60% - Accent6 23 8" xfId="4841" xr:uid="{00000000-0005-0000-0000-000094150000}"/>
    <cellStyle name="60% - Accent6 23 8 2" xfId="14709" xr:uid="{00000000-0005-0000-0000-000095150000}"/>
    <cellStyle name="60% - Accent6 23 9" xfId="4842" xr:uid="{00000000-0005-0000-0000-000096150000}"/>
    <cellStyle name="60% - Accent6 23 9 2" xfId="14710" xr:uid="{00000000-0005-0000-0000-000097150000}"/>
    <cellStyle name="60% - Accent6 24" xfId="4843" xr:uid="{00000000-0005-0000-0000-000098150000}"/>
    <cellStyle name="60% - Accent6 24 2" xfId="4844" xr:uid="{00000000-0005-0000-0000-000099150000}"/>
    <cellStyle name="60% - Accent6 24 2 2" xfId="14711" xr:uid="{00000000-0005-0000-0000-00009A150000}"/>
    <cellStyle name="60% - Accent6 24 3" xfId="4845" xr:uid="{00000000-0005-0000-0000-00009B150000}"/>
    <cellStyle name="60% - Accent6 24 3 2" xfId="14712" xr:uid="{00000000-0005-0000-0000-00009C150000}"/>
    <cellStyle name="60% - Accent6 24 4" xfId="4846" xr:uid="{00000000-0005-0000-0000-00009D150000}"/>
    <cellStyle name="60% - Accent6 24 4 2" xfId="14713" xr:uid="{00000000-0005-0000-0000-00009E150000}"/>
    <cellStyle name="60% - Accent6 24 5" xfId="4847" xr:uid="{00000000-0005-0000-0000-00009F150000}"/>
    <cellStyle name="60% - Accent6 24 5 2" xfId="14714" xr:uid="{00000000-0005-0000-0000-0000A0150000}"/>
    <cellStyle name="60% - Accent6 24 6" xfId="4848" xr:uid="{00000000-0005-0000-0000-0000A1150000}"/>
    <cellStyle name="60% - Accent6 24 6 2" xfId="14715" xr:uid="{00000000-0005-0000-0000-0000A2150000}"/>
    <cellStyle name="60% - Accent6 24 7" xfId="4849" xr:uid="{00000000-0005-0000-0000-0000A3150000}"/>
    <cellStyle name="60% - Accent6 24 7 2" xfId="14716" xr:uid="{00000000-0005-0000-0000-0000A4150000}"/>
    <cellStyle name="60% - Accent6 24 8" xfId="4850" xr:uid="{00000000-0005-0000-0000-0000A5150000}"/>
    <cellStyle name="60% - Accent6 24 8 2" xfId="14717" xr:uid="{00000000-0005-0000-0000-0000A6150000}"/>
    <cellStyle name="60% - Accent6 24 9" xfId="4851" xr:uid="{00000000-0005-0000-0000-0000A7150000}"/>
    <cellStyle name="60% - Accent6 24 9 2" xfId="14718" xr:uid="{00000000-0005-0000-0000-0000A8150000}"/>
    <cellStyle name="60% - Accent6 25" xfId="4852" xr:uid="{00000000-0005-0000-0000-0000A9150000}"/>
    <cellStyle name="60% - Accent6 25 2" xfId="4853" xr:uid="{00000000-0005-0000-0000-0000AA150000}"/>
    <cellStyle name="60% - Accent6 25 2 2" xfId="14719" xr:uid="{00000000-0005-0000-0000-0000AB150000}"/>
    <cellStyle name="60% - Accent6 25 3" xfId="4854" xr:uid="{00000000-0005-0000-0000-0000AC150000}"/>
    <cellStyle name="60% - Accent6 25 3 2" xfId="14720" xr:uid="{00000000-0005-0000-0000-0000AD150000}"/>
    <cellStyle name="60% - Accent6 25 4" xfId="4855" xr:uid="{00000000-0005-0000-0000-0000AE150000}"/>
    <cellStyle name="60% - Accent6 25 4 2" xfId="14721" xr:uid="{00000000-0005-0000-0000-0000AF150000}"/>
    <cellStyle name="60% - Accent6 25 5" xfId="4856" xr:uid="{00000000-0005-0000-0000-0000B0150000}"/>
    <cellStyle name="60% - Accent6 25 5 2" xfId="14722" xr:uid="{00000000-0005-0000-0000-0000B1150000}"/>
    <cellStyle name="60% - Accent6 25 6" xfId="4857" xr:uid="{00000000-0005-0000-0000-0000B2150000}"/>
    <cellStyle name="60% - Accent6 25 6 2" xfId="14723" xr:uid="{00000000-0005-0000-0000-0000B3150000}"/>
    <cellStyle name="60% - Accent6 25 7" xfId="4858" xr:uid="{00000000-0005-0000-0000-0000B4150000}"/>
    <cellStyle name="60% - Accent6 25 7 2" xfId="14724" xr:uid="{00000000-0005-0000-0000-0000B5150000}"/>
    <cellStyle name="60% - Accent6 25 8" xfId="4859" xr:uid="{00000000-0005-0000-0000-0000B6150000}"/>
    <cellStyle name="60% - Accent6 25 8 2" xfId="14725" xr:uid="{00000000-0005-0000-0000-0000B7150000}"/>
    <cellStyle name="60% - Accent6 25 9" xfId="4860" xr:uid="{00000000-0005-0000-0000-0000B8150000}"/>
    <cellStyle name="60% - Accent6 25 9 2" xfId="14726" xr:uid="{00000000-0005-0000-0000-0000B9150000}"/>
    <cellStyle name="60% - Accent6 26" xfId="4861" xr:uid="{00000000-0005-0000-0000-0000BA150000}"/>
    <cellStyle name="60% - Accent6 26 2" xfId="4862" xr:uid="{00000000-0005-0000-0000-0000BB150000}"/>
    <cellStyle name="60% - Accent6 26 2 2" xfId="14727" xr:uid="{00000000-0005-0000-0000-0000BC150000}"/>
    <cellStyle name="60% - Accent6 26 3" xfId="4863" xr:uid="{00000000-0005-0000-0000-0000BD150000}"/>
    <cellStyle name="60% - Accent6 26 3 2" xfId="14728" xr:uid="{00000000-0005-0000-0000-0000BE150000}"/>
    <cellStyle name="60% - Accent6 26 4" xfId="4864" xr:uid="{00000000-0005-0000-0000-0000BF150000}"/>
    <cellStyle name="60% - Accent6 26 4 2" xfId="14729" xr:uid="{00000000-0005-0000-0000-0000C0150000}"/>
    <cellStyle name="60% - Accent6 26 5" xfId="4865" xr:uid="{00000000-0005-0000-0000-0000C1150000}"/>
    <cellStyle name="60% - Accent6 26 5 2" xfId="14730" xr:uid="{00000000-0005-0000-0000-0000C2150000}"/>
    <cellStyle name="60% - Accent6 26 6" xfId="4866" xr:uid="{00000000-0005-0000-0000-0000C3150000}"/>
    <cellStyle name="60% - Accent6 26 6 2" xfId="14731" xr:uid="{00000000-0005-0000-0000-0000C4150000}"/>
    <cellStyle name="60% - Accent6 26 7" xfId="4867" xr:uid="{00000000-0005-0000-0000-0000C5150000}"/>
    <cellStyle name="60% - Accent6 26 7 2" xfId="14732" xr:uid="{00000000-0005-0000-0000-0000C6150000}"/>
    <cellStyle name="60% - Accent6 26 8" xfId="4868" xr:uid="{00000000-0005-0000-0000-0000C7150000}"/>
    <cellStyle name="60% - Accent6 26 8 2" xfId="14733" xr:uid="{00000000-0005-0000-0000-0000C8150000}"/>
    <cellStyle name="60% - Accent6 26 9" xfId="4869" xr:uid="{00000000-0005-0000-0000-0000C9150000}"/>
    <cellStyle name="60% - Accent6 26 9 2" xfId="14734" xr:uid="{00000000-0005-0000-0000-0000CA150000}"/>
    <cellStyle name="60% - Accent6 27" xfId="4870" xr:uid="{00000000-0005-0000-0000-0000CB150000}"/>
    <cellStyle name="60% - Accent6 27 2" xfId="4871" xr:uid="{00000000-0005-0000-0000-0000CC150000}"/>
    <cellStyle name="60% - Accent6 27 2 2" xfId="14735" xr:uid="{00000000-0005-0000-0000-0000CD150000}"/>
    <cellStyle name="60% - Accent6 27 3" xfId="4872" xr:uid="{00000000-0005-0000-0000-0000CE150000}"/>
    <cellStyle name="60% - Accent6 27 3 2" xfId="14736" xr:uid="{00000000-0005-0000-0000-0000CF150000}"/>
    <cellStyle name="60% - Accent6 27 4" xfId="4873" xr:uid="{00000000-0005-0000-0000-0000D0150000}"/>
    <cellStyle name="60% - Accent6 27 4 2" xfId="14737" xr:uid="{00000000-0005-0000-0000-0000D1150000}"/>
    <cellStyle name="60% - Accent6 27 5" xfId="4874" xr:uid="{00000000-0005-0000-0000-0000D2150000}"/>
    <cellStyle name="60% - Accent6 27 5 2" xfId="14738" xr:uid="{00000000-0005-0000-0000-0000D3150000}"/>
    <cellStyle name="60% - Accent6 27 6" xfId="4875" xr:uid="{00000000-0005-0000-0000-0000D4150000}"/>
    <cellStyle name="60% - Accent6 27 6 2" xfId="14739" xr:uid="{00000000-0005-0000-0000-0000D5150000}"/>
    <cellStyle name="60% - Accent6 27 7" xfId="4876" xr:uid="{00000000-0005-0000-0000-0000D6150000}"/>
    <cellStyle name="60% - Accent6 27 7 2" xfId="14740" xr:uid="{00000000-0005-0000-0000-0000D7150000}"/>
    <cellStyle name="60% - Accent6 27 8" xfId="4877" xr:uid="{00000000-0005-0000-0000-0000D8150000}"/>
    <cellStyle name="60% - Accent6 27 8 2" xfId="14741" xr:uid="{00000000-0005-0000-0000-0000D9150000}"/>
    <cellStyle name="60% - Accent6 27 9" xfId="4878" xr:uid="{00000000-0005-0000-0000-0000DA150000}"/>
    <cellStyle name="60% - Accent6 27 9 2" xfId="14742" xr:uid="{00000000-0005-0000-0000-0000DB150000}"/>
    <cellStyle name="60% - Accent6 28" xfId="4879" xr:uid="{00000000-0005-0000-0000-0000DC150000}"/>
    <cellStyle name="60% - Accent6 28 2" xfId="4880" xr:uid="{00000000-0005-0000-0000-0000DD150000}"/>
    <cellStyle name="60% - Accent6 28 2 2" xfId="14743" xr:uid="{00000000-0005-0000-0000-0000DE150000}"/>
    <cellStyle name="60% - Accent6 28 3" xfId="4881" xr:uid="{00000000-0005-0000-0000-0000DF150000}"/>
    <cellStyle name="60% - Accent6 28 3 2" xfId="14744" xr:uid="{00000000-0005-0000-0000-0000E0150000}"/>
    <cellStyle name="60% - Accent6 28 4" xfId="4882" xr:uid="{00000000-0005-0000-0000-0000E1150000}"/>
    <cellStyle name="60% - Accent6 28 4 2" xfId="14745" xr:uid="{00000000-0005-0000-0000-0000E2150000}"/>
    <cellStyle name="60% - Accent6 28 5" xfId="4883" xr:uid="{00000000-0005-0000-0000-0000E3150000}"/>
    <cellStyle name="60% - Accent6 28 5 2" xfId="14746" xr:uid="{00000000-0005-0000-0000-0000E4150000}"/>
    <cellStyle name="60% - Accent6 28 6" xfId="4884" xr:uid="{00000000-0005-0000-0000-0000E5150000}"/>
    <cellStyle name="60% - Accent6 28 6 2" xfId="14747" xr:uid="{00000000-0005-0000-0000-0000E6150000}"/>
    <cellStyle name="60% - Accent6 28 7" xfId="4885" xr:uid="{00000000-0005-0000-0000-0000E7150000}"/>
    <cellStyle name="60% - Accent6 28 7 2" xfId="14748" xr:uid="{00000000-0005-0000-0000-0000E8150000}"/>
    <cellStyle name="60% - Accent6 28 8" xfId="4886" xr:uid="{00000000-0005-0000-0000-0000E9150000}"/>
    <cellStyle name="60% - Accent6 28 8 2" xfId="14749" xr:uid="{00000000-0005-0000-0000-0000EA150000}"/>
    <cellStyle name="60% - Accent6 28 9" xfId="4887" xr:uid="{00000000-0005-0000-0000-0000EB150000}"/>
    <cellStyle name="60% - Accent6 28 9 2" xfId="14750" xr:uid="{00000000-0005-0000-0000-0000EC150000}"/>
    <cellStyle name="60% - Accent6 29" xfId="4888" xr:uid="{00000000-0005-0000-0000-0000ED150000}"/>
    <cellStyle name="60% - Accent6 29 2" xfId="4889" xr:uid="{00000000-0005-0000-0000-0000EE150000}"/>
    <cellStyle name="60% - Accent6 29 2 2" xfId="14751" xr:uid="{00000000-0005-0000-0000-0000EF150000}"/>
    <cellStyle name="60% - Accent6 29 3" xfId="4890" xr:uid="{00000000-0005-0000-0000-0000F0150000}"/>
    <cellStyle name="60% - Accent6 29 3 2" xfId="14752" xr:uid="{00000000-0005-0000-0000-0000F1150000}"/>
    <cellStyle name="60% - Accent6 29 4" xfId="4891" xr:uid="{00000000-0005-0000-0000-0000F2150000}"/>
    <cellStyle name="60% - Accent6 29 4 2" xfId="14753" xr:uid="{00000000-0005-0000-0000-0000F3150000}"/>
    <cellStyle name="60% - Accent6 29 5" xfId="4892" xr:uid="{00000000-0005-0000-0000-0000F4150000}"/>
    <cellStyle name="60% - Accent6 29 5 2" xfId="14754" xr:uid="{00000000-0005-0000-0000-0000F5150000}"/>
    <cellStyle name="60% - Accent6 29 6" xfId="4893" xr:uid="{00000000-0005-0000-0000-0000F6150000}"/>
    <cellStyle name="60% - Accent6 29 6 2" xfId="14755" xr:uid="{00000000-0005-0000-0000-0000F7150000}"/>
    <cellStyle name="60% - Accent6 29 7" xfId="4894" xr:uid="{00000000-0005-0000-0000-0000F8150000}"/>
    <cellStyle name="60% - Accent6 29 7 2" xfId="14756" xr:uid="{00000000-0005-0000-0000-0000F9150000}"/>
    <cellStyle name="60% - Accent6 29 8" xfId="4895" xr:uid="{00000000-0005-0000-0000-0000FA150000}"/>
    <cellStyle name="60% - Accent6 29 8 2" xfId="14757" xr:uid="{00000000-0005-0000-0000-0000FB150000}"/>
    <cellStyle name="60% - Accent6 29 9" xfId="4896" xr:uid="{00000000-0005-0000-0000-0000FC150000}"/>
    <cellStyle name="60% - Accent6 29 9 2" xfId="14758" xr:uid="{00000000-0005-0000-0000-0000FD150000}"/>
    <cellStyle name="60% - Accent6 3" xfId="4897" xr:uid="{00000000-0005-0000-0000-0000FE150000}"/>
    <cellStyle name="60% - Accent6 3 10" xfId="4898" xr:uid="{00000000-0005-0000-0000-0000FF150000}"/>
    <cellStyle name="60% - Accent6 3 10 2" xfId="14759" xr:uid="{00000000-0005-0000-0000-000000160000}"/>
    <cellStyle name="60% - Accent6 3 11" xfId="4899" xr:uid="{00000000-0005-0000-0000-000001160000}"/>
    <cellStyle name="60% - Accent6 3 11 2" xfId="14760" xr:uid="{00000000-0005-0000-0000-000002160000}"/>
    <cellStyle name="60% - Accent6 3 12" xfId="22018" xr:uid="{00000000-0005-0000-0000-000003160000}"/>
    <cellStyle name="60% - Accent6 3 2" xfId="4900" xr:uid="{00000000-0005-0000-0000-000004160000}"/>
    <cellStyle name="60% - Accent6 3 2 2" xfId="4901" xr:uid="{00000000-0005-0000-0000-000005160000}"/>
    <cellStyle name="60% - Accent6 3 2 2 2" xfId="14761" xr:uid="{00000000-0005-0000-0000-000006160000}"/>
    <cellStyle name="60% - Accent6 3 3" xfId="4902" xr:uid="{00000000-0005-0000-0000-000007160000}"/>
    <cellStyle name="60% - Accent6 3 3 2" xfId="4903" xr:uid="{00000000-0005-0000-0000-000008160000}"/>
    <cellStyle name="60% - Accent6 3 3 2 2" xfId="14762" xr:uid="{00000000-0005-0000-0000-000009160000}"/>
    <cellStyle name="60% - Accent6 3 4" xfId="4904" xr:uid="{00000000-0005-0000-0000-00000A160000}"/>
    <cellStyle name="60% - Accent6 3 4 2" xfId="4905" xr:uid="{00000000-0005-0000-0000-00000B160000}"/>
    <cellStyle name="60% - Accent6 3 4 3" xfId="14763" xr:uid="{00000000-0005-0000-0000-00000C160000}"/>
    <cellStyle name="60% - Accent6 3 5" xfId="4906" xr:uid="{00000000-0005-0000-0000-00000D160000}"/>
    <cellStyle name="60% - Accent6 3 5 2" xfId="14764" xr:uid="{00000000-0005-0000-0000-00000E160000}"/>
    <cellStyle name="60% - Accent6 3 6" xfId="4907" xr:uid="{00000000-0005-0000-0000-00000F160000}"/>
    <cellStyle name="60% - Accent6 3 6 2" xfId="14765" xr:uid="{00000000-0005-0000-0000-000010160000}"/>
    <cellStyle name="60% - Accent6 3 7" xfId="4908" xr:uid="{00000000-0005-0000-0000-000011160000}"/>
    <cellStyle name="60% - Accent6 3 7 2" xfId="14766" xr:uid="{00000000-0005-0000-0000-000012160000}"/>
    <cellStyle name="60% - Accent6 3 8" xfId="4909" xr:uid="{00000000-0005-0000-0000-000013160000}"/>
    <cellStyle name="60% - Accent6 3 8 2" xfId="14767" xr:uid="{00000000-0005-0000-0000-000014160000}"/>
    <cellStyle name="60% - Accent6 3 9" xfId="4910" xr:uid="{00000000-0005-0000-0000-000015160000}"/>
    <cellStyle name="60% - Accent6 3 9 2" xfId="14768" xr:uid="{00000000-0005-0000-0000-000016160000}"/>
    <cellStyle name="60% - Accent6 30" xfId="4911" xr:uid="{00000000-0005-0000-0000-000017160000}"/>
    <cellStyle name="60% - Accent6 30 2" xfId="4912" xr:uid="{00000000-0005-0000-0000-000018160000}"/>
    <cellStyle name="60% - Accent6 30 2 2" xfId="14769" xr:uid="{00000000-0005-0000-0000-000019160000}"/>
    <cellStyle name="60% - Accent6 31" xfId="4913" xr:uid="{00000000-0005-0000-0000-00001A160000}"/>
    <cellStyle name="60% - Accent6 31 2" xfId="4914" xr:uid="{00000000-0005-0000-0000-00001B160000}"/>
    <cellStyle name="60% - Accent6 31 2 2" xfId="14770" xr:uid="{00000000-0005-0000-0000-00001C160000}"/>
    <cellStyle name="60% - Accent6 32" xfId="4915" xr:uid="{00000000-0005-0000-0000-00001D160000}"/>
    <cellStyle name="60% - Accent6 32 2" xfId="4916" xr:uid="{00000000-0005-0000-0000-00001E160000}"/>
    <cellStyle name="60% - Accent6 32 2 2" xfId="14771" xr:uid="{00000000-0005-0000-0000-00001F160000}"/>
    <cellStyle name="60% - Accent6 33" xfId="4917" xr:uid="{00000000-0005-0000-0000-000020160000}"/>
    <cellStyle name="60% - Accent6 33 2" xfId="4918" xr:uid="{00000000-0005-0000-0000-000021160000}"/>
    <cellStyle name="60% - Accent6 33 2 2" xfId="14772" xr:uid="{00000000-0005-0000-0000-000022160000}"/>
    <cellStyle name="60% - Accent6 34" xfId="4919" xr:uid="{00000000-0005-0000-0000-000023160000}"/>
    <cellStyle name="60% - Accent6 34 2" xfId="4920" xr:uid="{00000000-0005-0000-0000-000024160000}"/>
    <cellStyle name="60% - Accent6 34 2 2" xfId="14773" xr:uid="{00000000-0005-0000-0000-000025160000}"/>
    <cellStyle name="60% - Accent6 35" xfId="4921" xr:uid="{00000000-0005-0000-0000-000026160000}"/>
    <cellStyle name="60% - Accent6 35 2" xfId="4922" xr:uid="{00000000-0005-0000-0000-000027160000}"/>
    <cellStyle name="60% - Accent6 35 2 2" xfId="14774" xr:uid="{00000000-0005-0000-0000-000028160000}"/>
    <cellStyle name="60% - Accent6 36" xfId="4923" xr:uid="{00000000-0005-0000-0000-000029160000}"/>
    <cellStyle name="60% - Accent6 37" xfId="4924" xr:uid="{00000000-0005-0000-0000-00002A160000}"/>
    <cellStyle name="60% - Accent6 38" xfId="4925" xr:uid="{00000000-0005-0000-0000-00002B160000}"/>
    <cellStyle name="60% - Accent6 39" xfId="4926" xr:uid="{00000000-0005-0000-0000-00002C160000}"/>
    <cellStyle name="60% - Accent6 4" xfId="4927" xr:uid="{00000000-0005-0000-0000-00002D160000}"/>
    <cellStyle name="60% - Accent6 4 10" xfId="4928" xr:uid="{00000000-0005-0000-0000-00002E160000}"/>
    <cellStyle name="60% - Accent6 4 10 2" xfId="14775" xr:uid="{00000000-0005-0000-0000-00002F160000}"/>
    <cellStyle name="60% - Accent6 4 11" xfId="4929" xr:uid="{00000000-0005-0000-0000-000030160000}"/>
    <cellStyle name="60% - Accent6 4 11 2" xfId="14776" xr:uid="{00000000-0005-0000-0000-000031160000}"/>
    <cellStyle name="60% - Accent6 4 12" xfId="22019" xr:uid="{00000000-0005-0000-0000-000032160000}"/>
    <cellStyle name="60% - Accent6 4 2" xfId="4930" xr:uid="{00000000-0005-0000-0000-000033160000}"/>
    <cellStyle name="60% - Accent6 4 2 2" xfId="4931" xr:uid="{00000000-0005-0000-0000-000034160000}"/>
    <cellStyle name="60% - Accent6 4 2 2 2" xfId="14777" xr:uid="{00000000-0005-0000-0000-000035160000}"/>
    <cellStyle name="60% - Accent6 4 3" xfId="4932" xr:uid="{00000000-0005-0000-0000-000036160000}"/>
    <cellStyle name="60% - Accent6 4 3 2" xfId="4933" xr:uid="{00000000-0005-0000-0000-000037160000}"/>
    <cellStyle name="60% - Accent6 4 3 2 2" xfId="14778" xr:uid="{00000000-0005-0000-0000-000038160000}"/>
    <cellStyle name="60% - Accent6 4 4" xfId="4934" xr:uid="{00000000-0005-0000-0000-000039160000}"/>
    <cellStyle name="60% - Accent6 4 4 2" xfId="4935" xr:uid="{00000000-0005-0000-0000-00003A160000}"/>
    <cellStyle name="60% - Accent6 4 4 3" xfId="14779" xr:uid="{00000000-0005-0000-0000-00003B160000}"/>
    <cellStyle name="60% - Accent6 4 5" xfId="4936" xr:uid="{00000000-0005-0000-0000-00003C160000}"/>
    <cellStyle name="60% - Accent6 4 5 2" xfId="14780" xr:uid="{00000000-0005-0000-0000-00003D160000}"/>
    <cellStyle name="60% - Accent6 4 6" xfId="4937" xr:uid="{00000000-0005-0000-0000-00003E160000}"/>
    <cellStyle name="60% - Accent6 4 6 2" xfId="14781" xr:uid="{00000000-0005-0000-0000-00003F160000}"/>
    <cellStyle name="60% - Accent6 4 7" xfId="4938" xr:uid="{00000000-0005-0000-0000-000040160000}"/>
    <cellStyle name="60% - Accent6 4 7 2" xfId="14782" xr:uid="{00000000-0005-0000-0000-000041160000}"/>
    <cellStyle name="60% - Accent6 4 8" xfId="4939" xr:uid="{00000000-0005-0000-0000-000042160000}"/>
    <cellStyle name="60% - Accent6 4 8 2" xfId="14783" xr:uid="{00000000-0005-0000-0000-000043160000}"/>
    <cellStyle name="60% - Accent6 4 9" xfId="4940" xr:uid="{00000000-0005-0000-0000-000044160000}"/>
    <cellStyle name="60% - Accent6 4 9 2" xfId="14784" xr:uid="{00000000-0005-0000-0000-000045160000}"/>
    <cellStyle name="60% - Accent6 40" xfId="21704" xr:uid="{00000000-0005-0000-0000-000046160000}"/>
    <cellStyle name="60% - Accent6 41" xfId="27191" xr:uid="{F4A97AB9-F0D3-40ED-A5FD-96EED1A7F588}"/>
    <cellStyle name="60% - Accent6 5" xfId="4941" xr:uid="{00000000-0005-0000-0000-000047160000}"/>
    <cellStyle name="60% - Accent6 5 10" xfId="4942" xr:uid="{00000000-0005-0000-0000-000048160000}"/>
    <cellStyle name="60% - Accent6 5 10 2" xfId="14785" xr:uid="{00000000-0005-0000-0000-000049160000}"/>
    <cellStyle name="60% - Accent6 5 11" xfId="4943" xr:uid="{00000000-0005-0000-0000-00004A160000}"/>
    <cellStyle name="60% - Accent6 5 11 2" xfId="14786" xr:uid="{00000000-0005-0000-0000-00004B160000}"/>
    <cellStyle name="60% - Accent6 5 12" xfId="22020" xr:uid="{00000000-0005-0000-0000-00004C160000}"/>
    <cellStyle name="60% - Accent6 5 2" xfId="4944" xr:uid="{00000000-0005-0000-0000-00004D160000}"/>
    <cellStyle name="60% - Accent6 5 2 2" xfId="4945" xr:uid="{00000000-0005-0000-0000-00004E160000}"/>
    <cellStyle name="60% - Accent6 5 2 2 2" xfId="14787" xr:uid="{00000000-0005-0000-0000-00004F160000}"/>
    <cellStyle name="60% - Accent6 5 3" xfId="4946" xr:uid="{00000000-0005-0000-0000-000050160000}"/>
    <cellStyle name="60% - Accent6 5 3 2" xfId="4947" xr:uid="{00000000-0005-0000-0000-000051160000}"/>
    <cellStyle name="60% - Accent6 5 3 2 2" xfId="14788" xr:uid="{00000000-0005-0000-0000-000052160000}"/>
    <cellStyle name="60% - Accent6 5 4" xfId="4948" xr:uid="{00000000-0005-0000-0000-000053160000}"/>
    <cellStyle name="60% - Accent6 5 4 2" xfId="4949" xr:uid="{00000000-0005-0000-0000-000054160000}"/>
    <cellStyle name="60% - Accent6 5 4 3" xfId="14789" xr:uid="{00000000-0005-0000-0000-000055160000}"/>
    <cellStyle name="60% - Accent6 5 5" xfId="4950" xr:uid="{00000000-0005-0000-0000-000056160000}"/>
    <cellStyle name="60% - Accent6 5 5 2" xfId="14790" xr:uid="{00000000-0005-0000-0000-000057160000}"/>
    <cellStyle name="60% - Accent6 5 6" xfId="4951" xr:uid="{00000000-0005-0000-0000-000058160000}"/>
    <cellStyle name="60% - Accent6 5 6 2" xfId="14791" xr:uid="{00000000-0005-0000-0000-000059160000}"/>
    <cellStyle name="60% - Accent6 5 7" xfId="4952" xr:uid="{00000000-0005-0000-0000-00005A160000}"/>
    <cellStyle name="60% - Accent6 5 7 2" xfId="14792" xr:uid="{00000000-0005-0000-0000-00005B160000}"/>
    <cellStyle name="60% - Accent6 5 8" xfId="4953" xr:uid="{00000000-0005-0000-0000-00005C160000}"/>
    <cellStyle name="60% - Accent6 5 8 2" xfId="14793" xr:uid="{00000000-0005-0000-0000-00005D160000}"/>
    <cellStyle name="60% - Accent6 5 9" xfId="4954" xr:uid="{00000000-0005-0000-0000-00005E160000}"/>
    <cellStyle name="60% - Accent6 5 9 2" xfId="14794" xr:uid="{00000000-0005-0000-0000-00005F160000}"/>
    <cellStyle name="60% - Accent6 6" xfId="4955" xr:uid="{00000000-0005-0000-0000-000060160000}"/>
    <cellStyle name="60% - Accent6 6 10" xfId="4956" xr:uid="{00000000-0005-0000-0000-000061160000}"/>
    <cellStyle name="60% - Accent6 6 10 2" xfId="14795" xr:uid="{00000000-0005-0000-0000-000062160000}"/>
    <cellStyle name="60% - Accent6 6 11" xfId="4957" xr:uid="{00000000-0005-0000-0000-000063160000}"/>
    <cellStyle name="60% - Accent6 6 11 2" xfId="14796" xr:uid="{00000000-0005-0000-0000-000064160000}"/>
    <cellStyle name="60% - Accent6 6 2" xfId="4958" xr:uid="{00000000-0005-0000-0000-000065160000}"/>
    <cellStyle name="60% - Accent6 6 2 2" xfId="4959" xr:uid="{00000000-0005-0000-0000-000066160000}"/>
    <cellStyle name="60% - Accent6 6 2 2 2" xfId="14797" xr:uid="{00000000-0005-0000-0000-000067160000}"/>
    <cellStyle name="60% - Accent6 6 3" xfId="4960" xr:uid="{00000000-0005-0000-0000-000068160000}"/>
    <cellStyle name="60% - Accent6 6 3 2" xfId="4961" xr:uid="{00000000-0005-0000-0000-000069160000}"/>
    <cellStyle name="60% - Accent6 6 3 2 2" xfId="14798" xr:uid="{00000000-0005-0000-0000-00006A160000}"/>
    <cellStyle name="60% - Accent6 6 4" xfId="4962" xr:uid="{00000000-0005-0000-0000-00006B160000}"/>
    <cellStyle name="60% - Accent6 6 4 2" xfId="4963" xr:uid="{00000000-0005-0000-0000-00006C160000}"/>
    <cellStyle name="60% - Accent6 6 4 3" xfId="14799" xr:uid="{00000000-0005-0000-0000-00006D160000}"/>
    <cellStyle name="60% - Accent6 6 5" xfId="4964" xr:uid="{00000000-0005-0000-0000-00006E160000}"/>
    <cellStyle name="60% - Accent6 6 5 2" xfId="14800" xr:uid="{00000000-0005-0000-0000-00006F160000}"/>
    <cellStyle name="60% - Accent6 6 6" xfId="4965" xr:uid="{00000000-0005-0000-0000-000070160000}"/>
    <cellStyle name="60% - Accent6 6 6 2" xfId="14801" xr:uid="{00000000-0005-0000-0000-000071160000}"/>
    <cellStyle name="60% - Accent6 6 7" xfId="4966" xr:uid="{00000000-0005-0000-0000-000072160000}"/>
    <cellStyle name="60% - Accent6 6 7 2" xfId="14802" xr:uid="{00000000-0005-0000-0000-000073160000}"/>
    <cellStyle name="60% - Accent6 6 8" xfId="4967" xr:uid="{00000000-0005-0000-0000-000074160000}"/>
    <cellStyle name="60% - Accent6 6 8 2" xfId="14803" xr:uid="{00000000-0005-0000-0000-000075160000}"/>
    <cellStyle name="60% - Accent6 6 9" xfId="4968" xr:uid="{00000000-0005-0000-0000-000076160000}"/>
    <cellStyle name="60% - Accent6 6 9 2" xfId="14804" xr:uid="{00000000-0005-0000-0000-000077160000}"/>
    <cellStyle name="60% - Accent6 7" xfId="4969" xr:uid="{00000000-0005-0000-0000-000078160000}"/>
    <cellStyle name="60% - Accent6 7 10" xfId="4970" xr:uid="{00000000-0005-0000-0000-000079160000}"/>
    <cellStyle name="60% - Accent6 7 10 2" xfId="14805" xr:uid="{00000000-0005-0000-0000-00007A160000}"/>
    <cellStyle name="60% - Accent6 7 11" xfId="4971" xr:uid="{00000000-0005-0000-0000-00007B160000}"/>
    <cellStyle name="60% - Accent6 7 11 2" xfId="14806" xr:uid="{00000000-0005-0000-0000-00007C160000}"/>
    <cellStyle name="60% - Accent6 7 2" xfId="4972" xr:uid="{00000000-0005-0000-0000-00007D160000}"/>
    <cellStyle name="60% - Accent6 7 2 2" xfId="4973" xr:uid="{00000000-0005-0000-0000-00007E160000}"/>
    <cellStyle name="60% - Accent6 7 2 2 2" xfId="14807" xr:uid="{00000000-0005-0000-0000-00007F160000}"/>
    <cellStyle name="60% - Accent6 7 3" xfId="4974" xr:uid="{00000000-0005-0000-0000-000080160000}"/>
    <cellStyle name="60% - Accent6 7 3 2" xfId="4975" xr:uid="{00000000-0005-0000-0000-000081160000}"/>
    <cellStyle name="60% - Accent6 7 3 2 2" xfId="14808" xr:uid="{00000000-0005-0000-0000-000082160000}"/>
    <cellStyle name="60% - Accent6 7 4" xfId="4976" xr:uid="{00000000-0005-0000-0000-000083160000}"/>
    <cellStyle name="60% - Accent6 7 4 2" xfId="4977" xr:uid="{00000000-0005-0000-0000-000084160000}"/>
    <cellStyle name="60% - Accent6 7 4 3" xfId="14809" xr:uid="{00000000-0005-0000-0000-000085160000}"/>
    <cellStyle name="60% - Accent6 7 5" xfId="4978" xr:uid="{00000000-0005-0000-0000-000086160000}"/>
    <cellStyle name="60% - Accent6 7 5 2" xfId="14810" xr:uid="{00000000-0005-0000-0000-000087160000}"/>
    <cellStyle name="60% - Accent6 7 6" xfId="4979" xr:uid="{00000000-0005-0000-0000-000088160000}"/>
    <cellStyle name="60% - Accent6 7 6 2" xfId="14811" xr:uid="{00000000-0005-0000-0000-000089160000}"/>
    <cellStyle name="60% - Accent6 7 7" xfId="4980" xr:uid="{00000000-0005-0000-0000-00008A160000}"/>
    <cellStyle name="60% - Accent6 7 7 2" xfId="14812" xr:uid="{00000000-0005-0000-0000-00008B160000}"/>
    <cellStyle name="60% - Accent6 7 8" xfId="4981" xr:uid="{00000000-0005-0000-0000-00008C160000}"/>
    <cellStyle name="60% - Accent6 7 8 2" xfId="14813" xr:uid="{00000000-0005-0000-0000-00008D160000}"/>
    <cellStyle name="60% - Accent6 7 9" xfId="4982" xr:uid="{00000000-0005-0000-0000-00008E160000}"/>
    <cellStyle name="60% - Accent6 7 9 2" xfId="14814" xr:uid="{00000000-0005-0000-0000-00008F160000}"/>
    <cellStyle name="60% - Accent6 8" xfId="4983" xr:uid="{00000000-0005-0000-0000-000090160000}"/>
    <cellStyle name="60% - Accent6 8 10" xfId="4984" xr:uid="{00000000-0005-0000-0000-000091160000}"/>
    <cellStyle name="60% - Accent6 8 10 2" xfId="14815" xr:uid="{00000000-0005-0000-0000-000092160000}"/>
    <cellStyle name="60% - Accent6 8 11" xfId="4985" xr:uid="{00000000-0005-0000-0000-000093160000}"/>
    <cellStyle name="60% - Accent6 8 11 2" xfId="14816" xr:uid="{00000000-0005-0000-0000-000094160000}"/>
    <cellStyle name="60% - Accent6 8 2" xfId="4986" xr:uid="{00000000-0005-0000-0000-000095160000}"/>
    <cellStyle name="60% - Accent6 8 2 2" xfId="4987" xr:uid="{00000000-0005-0000-0000-000096160000}"/>
    <cellStyle name="60% - Accent6 8 2 2 2" xfId="14817" xr:uid="{00000000-0005-0000-0000-000097160000}"/>
    <cellStyle name="60% - Accent6 8 3" xfId="4988" xr:uid="{00000000-0005-0000-0000-000098160000}"/>
    <cellStyle name="60% - Accent6 8 3 2" xfId="4989" xr:uid="{00000000-0005-0000-0000-000099160000}"/>
    <cellStyle name="60% - Accent6 8 3 2 2" xfId="14818" xr:uid="{00000000-0005-0000-0000-00009A160000}"/>
    <cellStyle name="60% - Accent6 8 4" xfId="4990" xr:uid="{00000000-0005-0000-0000-00009B160000}"/>
    <cellStyle name="60% - Accent6 8 4 2" xfId="4991" xr:uid="{00000000-0005-0000-0000-00009C160000}"/>
    <cellStyle name="60% - Accent6 8 4 3" xfId="14819" xr:uid="{00000000-0005-0000-0000-00009D160000}"/>
    <cellStyle name="60% - Accent6 8 5" xfId="4992" xr:uid="{00000000-0005-0000-0000-00009E160000}"/>
    <cellStyle name="60% - Accent6 8 5 2" xfId="14820" xr:uid="{00000000-0005-0000-0000-00009F160000}"/>
    <cellStyle name="60% - Accent6 8 6" xfId="4993" xr:uid="{00000000-0005-0000-0000-0000A0160000}"/>
    <cellStyle name="60% - Accent6 8 6 2" xfId="14821" xr:uid="{00000000-0005-0000-0000-0000A1160000}"/>
    <cellStyle name="60% - Accent6 8 7" xfId="4994" xr:uid="{00000000-0005-0000-0000-0000A2160000}"/>
    <cellStyle name="60% - Accent6 8 7 2" xfId="14822" xr:uid="{00000000-0005-0000-0000-0000A3160000}"/>
    <cellStyle name="60% - Accent6 8 8" xfId="4995" xr:uid="{00000000-0005-0000-0000-0000A4160000}"/>
    <cellStyle name="60% - Accent6 8 8 2" xfId="14823" xr:uid="{00000000-0005-0000-0000-0000A5160000}"/>
    <cellStyle name="60% - Accent6 8 9" xfId="4996" xr:uid="{00000000-0005-0000-0000-0000A6160000}"/>
    <cellStyle name="60% - Accent6 8 9 2" xfId="14824" xr:uid="{00000000-0005-0000-0000-0000A7160000}"/>
    <cellStyle name="60% - Accent6 9" xfId="4997" xr:uid="{00000000-0005-0000-0000-0000A8160000}"/>
    <cellStyle name="60% - Accent6 9 10" xfId="4998" xr:uid="{00000000-0005-0000-0000-0000A9160000}"/>
    <cellStyle name="60% - Accent6 9 10 2" xfId="14825" xr:uid="{00000000-0005-0000-0000-0000AA160000}"/>
    <cellStyle name="60% - Accent6 9 11" xfId="4999" xr:uid="{00000000-0005-0000-0000-0000AB160000}"/>
    <cellStyle name="60% - Accent6 9 11 2" xfId="14826" xr:uid="{00000000-0005-0000-0000-0000AC160000}"/>
    <cellStyle name="60% - Accent6 9 2" xfId="5000" xr:uid="{00000000-0005-0000-0000-0000AD160000}"/>
    <cellStyle name="60% - Accent6 9 2 2" xfId="5001" xr:uid="{00000000-0005-0000-0000-0000AE160000}"/>
    <cellStyle name="60% - Accent6 9 2 2 2" xfId="14827" xr:uid="{00000000-0005-0000-0000-0000AF160000}"/>
    <cellStyle name="60% - Accent6 9 3" xfId="5002" xr:uid="{00000000-0005-0000-0000-0000B0160000}"/>
    <cellStyle name="60% - Accent6 9 3 2" xfId="5003" xr:uid="{00000000-0005-0000-0000-0000B1160000}"/>
    <cellStyle name="60% - Accent6 9 3 2 2" xfId="14828" xr:uid="{00000000-0005-0000-0000-0000B2160000}"/>
    <cellStyle name="60% - Accent6 9 4" xfId="5004" xr:uid="{00000000-0005-0000-0000-0000B3160000}"/>
    <cellStyle name="60% - Accent6 9 4 2" xfId="5005" xr:uid="{00000000-0005-0000-0000-0000B4160000}"/>
    <cellStyle name="60% - Accent6 9 4 3" xfId="14829" xr:uid="{00000000-0005-0000-0000-0000B5160000}"/>
    <cellStyle name="60% - Accent6 9 5" xfId="5006" xr:uid="{00000000-0005-0000-0000-0000B6160000}"/>
    <cellStyle name="60% - Accent6 9 5 2" xfId="14830" xr:uid="{00000000-0005-0000-0000-0000B7160000}"/>
    <cellStyle name="60% - Accent6 9 6" xfId="5007" xr:uid="{00000000-0005-0000-0000-0000B8160000}"/>
    <cellStyle name="60% - Accent6 9 6 2" xfId="14831" xr:uid="{00000000-0005-0000-0000-0000B9160000}"/>
    <cellStyle name="60% - Accent6 9 7" xfId="5008" xr:uid="{00000000-0005-0000-0000-0000BA160000}"/>
    <cellStyle name="60% - Accent6 9 7 2" xfId="14832" xr:uid="{00000000-0005-0000-0000-0000BB160000}"/>
    <cellStyle name="60% - Accent6 9 8" xfId="5009" xr:uid="{00000000-0005-0000-0000-0000BC160000}"/>
    <cellStyle name="60% - Accent6 9 8 2" xfId="14833" xr:uid="{00000000-0005-0000-0000-0000BD160000}"/>
    <cellStyle name="60% - Accent6 9 9" xfId="5010" xr:uid="{00000000-0005-0000-0000-0000BE160000}"/>
    <cellStyle name="60% - Accent6 9 9 2" xfId="14834" xr:uid="{00000000-0005-0000-0000-0000BF160000}"/>
    <cellStyle name="Accent1 10" xfId="5011" xr:uid="{00000000-0005-0000-0000-0000C0160000}"/>
    <cellStyle name="Accent1 10 10" xfId="5012" xr:uid="{00000000-0005-0000-0000-0000C1160000}"/>
    <cellStyle name="Accent1 10 10 2" xfId="14835" xr:uid="{00000000-0005-0000-0000-0000C2160000}"/>
    <cellStyle name="Accent1 10 11" xfId="5013" xr:uid="{00000000-0005-0000-0000-0000C3160000}"/>
    <cellStyle name="Accent1 10 11 2" xfId="14836" xr:uid="{00000000-0005-0000-0000-0000C4160000}"/>
    <cellStyle name="Accent1 10 2" xfId="5014" xr:uid="{00000000-0005-0000-0000-0000C5160000}"/>
    <cellStyle name="Accent1 10 2 2" xfId="5015" xr:uid="{00000000-0005-0000-0000-0000C6160000}"/>
    <cellStyle name="Accent1 10 2 2 2" xfId="14837" xr:uid="{00000000-0005-0000-0000-0000C7160000}"/>
    <cellStyle name="Accent1 10 3" xfId="5016" xr:uid="{00000000-0005-0000-0000-0000C8160000}"/>
    <cellStyle name="Accent1 10 3 2" xfId="5017" xr:uid="{00000000-0005-0000-0000-0000C9160000}"/>
    <cellStyle name="Accent1 10 3 2 2" xfId="14838" xr:uid="{00000000-0005-0000-0000-0000CA160000}"/>
    <cellStyle name="Accent1 10 4" xfId="5018" xr:uid="{00000000-0005-0000-0000-0000CB160000}"/>
    <cellStyle name="Accent1 10 4 2" xfId="5019" xr:uid="{00000000-0005-0000-0000-0000CC160000}"/>
    <cellStyle name="Accent1 10 4 3" xfId="14839" xr:uid="{00000000-0005-0000-0000-0000CD160000}"/>
    <cellStyle name="Accent1 10 5" xfId="5020" xr:uid="{00000000-0005-0000-0000-0000CE160000}"/>
    <cellStyle name="Accent1 10 5 2" xfId="14840" xr:uid="{00000000-0005-0000-0000-0000CF160000}"/>
    <cellStyle name="Accent1 10 6" xfId="5021" xr:uid="{00000000-0005-0000-0000-0000D0160000}"/>
    <cellStyle name="Accent1 10 6 2" xfId="14841" xr:uid="{00000000-0005-0000-0000-0000D1160000}"/>
    <cellStyle name="Accent1 10 7" xfId="5022" xr:uid="{00000000-0005-0000-0000-0000D2160000}"/>
    <cellStyle name="Accent1 10 7 2" xfId="14842" xr:uid="{00000000-0005-0000-0000-0000D3160000}"/>
    <cellStyle name="Accent1 10 8" xfId="5023" xr:uid="{00000000-0005-0000-0000-0000D4160000}"/>
    <cellStyle name="Accent1 10 8 2" xfId="14843" xr:uid="{00000000-0005-0000-0000-0000D5160000}"/>
    <cellStyle name="Accent1 10 9" xfId="5024" xr:uid="{00000000-0005-0000-0000-0000D6160000}"/>
    <cellStyle name="Accent1 10 9 2" xfId="14844" xr:uid="{00000000-0005-0000-0000-0000D7160000}"/>
    <cellStyle name="Accent1 11" xfId="5025" xr:uid="{00000000-0005-0000-0000-0000D8160000}"/>
    <cellStyle name="Accent1 11 10" xfId="5026" xr:uid="{00000000-0005-0000-0000-0000D9160000}"/>
    <cellStyle name="Accent1 11 10 2" xfId="14845" xr:uid="{00000000-0005-0000-0000-0000DA160000}"/>
    <cellStyle name="Accent1 11 11" xfId="5027" xr:uid="{00000000-0005-0000-0000-0000DB160000}"/>
    <cellStyle name="Accent1 11 11 2" xfId="14846" xr:uid="{00000000-0005-0000-0000-0000DC160000}"/>
    <cellStyle name="Accent1 11 2" xfId="5028" xr:uid="{00000000-0005-0000-0000-0000DD160000}"/>
    <cellStyle name="Accent1 11 2 2" xfId="5029" xr:uid="{00000000-0005-0000-0000-0000DE160000}"/>
    <cellStyle name="Accent1 11 2 2 2" xfId="14847" xr:uid="{00000000-0005-0000-0000-0000DF160000}"/>
    <cellStyle name="Accent1 11 3" xfId="5030" xr:uid="{00000000-0005-0000-0000-0000E0160000}"/>
    <cellStyle name="Accent1 11 3 2" xfId="5031" xr:uid="{00000000-0005-0000-0000-0000E1160000}"/>
    <cellStyle name="Accent1 11 3 2 2" xfId="14848" xr:uid="{00000000-0005-0000-0000-0000E2160000}"/>
    <cellStyle name="Accent1 11 4" xfId="5032" xr:uid="{00000000-0005-0000-0000-0000E3160000}"/>
    <cellStyle name="Accent1 11 4 2" xfId="5033" xr:uid="{00000000-0005-0000-0000-0000E4160000}"/>
    <cellStyle name="Accent1 11 4 3" xfId="14849" xr:uid="{00000000-0005-0000-0000-0000E5160000}"/>
    <cellStyle name="Accent1 11 5" xfId="5034" xr:uid="{00000000-0005-0000-0000-0000E6160000}"/>
    <cellStyle name="Accent1 11 5 2" xfId="14850" xr:uid="{00000000-0005-0000-0000-0000E7160000}"/>
    <cellStyle name="Accent1 11 6" xfId="5035" xr:uid="{00000000-0005-0000-0000-0000E8160000}"/>
    <cellStyle name="Accent1 11 6 2" xfId="14851" xr:uid="{00000000-0005-0000-0000-0000E9160000}"/>
    <cellStyle name="Accent1 11 7" xfId="5036" xr:uid="{00000000-0005-0000-0000-0000EA160000}"/>
    <cellStyle name="Accent1 11 7 2" xfId="14852" xr:uid="{00000000-0005-0000-0000-0000EB160000}"/>
    <cellStyle name="Accent1 11 8" xfId="5037" xr:uid="{00000000-0005-0000-0000-0000EC160000}"/>
    <cellStyle name="Accent1 11 8 2" xfId="14853" xr:uid="{00000000-0005-0000-0000-0000ED160000}"/>
    <cellStyle name="Accent1 11 9" xfId="5038" xr:uid="{00000000-0005-0000-0000-0000EE160000}"/>
    <cellStyle name="Accent1 11 9 2" xfId="14854" xr:uid="{00000000-0005-0000-0000-0000EF160000}"/>
    <cellStyle name="Accent1 12" xfId="5039" xr:uid="{00000000-0005-0000-0000-0000F0160000}"/>
    <cellStyle name="Accent1 12 10" xfId="5040" xr:uid="{00000000-0005-0000-0000-0000F1160000}"/>
    <cellStyle name="Accent1 12 10 2" xfId="14855" xr:uid="{00000000-0005-0000-0000-0000F2160000}"/>
    <cellStyle name="Accent1 12 11" xfId="5041" xr:uid="{00000000-0005-0000-0000-0000F3160000}"/>
    <cellStyle name="Accent1 12 11 2" xfId="14856" xr:uid="{00000000-0005-0000-0000-0000F4160000}"/>
    <cellStyle name="Accent1 12 2" xfId="5042" xr:uid="{00000000-0005-0000-0000-0000F5160000}"/>
    <cellStyle name="Accent1 12 2 2" xfId="5043" xr:uid="{00000000-0005-0000-0000-0000F6160000}"/>
    <cellStyle name="Accent1 12 2 2 2" xfId="14857" xr:uid="{00000000-0005-0000-0000-0000F7160000}"/>
    <cellStyle name="Accent1 12 3" xfId="5044" xr:uid="{00000000-0005-0000-0000-0000F8160000}"/>
    <cellStyle name="Accent1 12 3 2" xfId="5045" xr:uid="{00000000-0005-0000-0000-0000F9160000}"/>
    <cellStyle name="Accent1 12 3 2 2" xfId="14858" xr:uid="{00000000-0005-0000-0000-0000FA160000}"/>
    <cellStyle name="Accent1 12 4" xfId="5046" xr:uid="{00000000-0005-0000-0000-0000FB160000}"/>
    <cellStyle name="Accent1 12 4 2" xfId="5047" xr:uid="{00000000-0005-0000-0000-0000FC160000}"/>
    <cellStyle name="Accent1 12 4 3" xfId="14859" xr:uid="{00000000-0005-0000-0000-0000FD160000}"/>
    <cellStyle name="Accent1 12 5" xfId="5048" xr:uid="{00000000-0005-0000-0000-0000FE160000}"/>
    <cellStyle name="Accent1 12 5 2" xfId="14860" xr:uid="{00000000-0005-0000-0000-0000FF160000}"/>
    <cellStyle name="Accent1 12 6" xfId="5049" xr:uid="{00000000-0005-0000-0000-000000170000}"/>
    <cellStyle name="Accent1 12 6 2" xfId="14861" xr:uid="{00000000-0005-0000-0000-000001170000}"/>
    <cellStyle name="Accent1 12 7" xfId="5050" xr:uid="{00000000-0005-0000-0000-000002170000}"/>
    <cellStyle name="Accent1 12 7 2" xfId="14862" xr:uid="{00000000-0005-0000-0000-000003170000}"/>
    <cellStyle name="Accent1 12 8" xfId="5051" xr:uid="{00000000-0005-0000-0000-000004170000}"/>
    <cellStyle name="Accent1 12 8 2" xfId="14863" xr:uid="{00000000-0005-0000-0000-000005170000}"/>
    <cellStyle name="Accent1 12 9" xfId="5052" xr:uid="{00000000-0005-0000-0000-000006170000}"/>
    <cellStyle name="Accent1 12 9 2" xfId="14864" xr:uid="{00000000-0005-0000-0000-000007170000}"/>
    <cellStyle name="Accent1 13" xfId="5053" xr:uid="{00000000-0005-0000-0000-000008170000}"/>
    <cellStyle name="Accent1 13 10" xfId="5054" xr:uid="{00000000-0005-0000-0000-000009170000}"/>
    <cellStyle name="Accent1 13 10 2" xfId="14865" xr:uid="{00000000-0005-0000-0000-00000A170000}"/>
    <cellStyle name="Accent1 13 11" xfId="5055" xr:uid="{00000000-0005-0000-0000-00000B170000}"/>
    <cellStyle name="Accent1 13 11 2" xfId="14866" xr:uid="{00000000-0005-0000-0000-00000C170000}"/>
    <cellStyle name="Accent1 13 2" xfId="5056" xr:uid="{00000000-0005-0000-0000-00000D170000}"/>
    <cellStyle name="Accent1 13 2 2" xfId="5057" xr:uid="{00000000-0005-0000-0000-00000E170000}"/>
    <cellStyle name="Accent1 13 2 2 2" xfId="14867" xr:uid="{00000000-0005-0000-0000-00000F170000}"/>
    <cellStyle name="Accent1 13 3" xfId="5058" xr:uid="{00000000-0005-0000-0000-000010170000}"/>
    <cellStyle name="Accent1 13 3 2" xfId="5059" xr:uid="{00000000-0005-0000-0000-000011170000}"/>
    <cellStyle name="Accent1 13 3 2 2" xfId="14868" xr:uid="{00000000-0005-0000-0000-000012170000}"/>
    <cellStyle name="Accent1 13 4" xfId="5060" xr:uid="{00000000-0005-0000-0000-000013170000}"/>
    <cellStyle name="Accent1 13 4 2" xfId="14869" xr:uid="{00000000-0005-0000-0000-000014170000}"/>
    <cellStyle name="Accent1 13 5" xfId="5061" xr:uid="{00000000-0005-0000-0000-000015170000}"/>
    <cellStyle name="Accent1 13 5 2" xfId="14870" xr:uid="{00000000-0005-0000-0000-000016170000}"/>
    <cellStyle name="Accent1 13 6" xfId="5062" xr:uid="{00000000-0005-0000-0000-000017170000}"/>
    <cellStyle name="Accent1 13 6 2" xfId="14871" xr:uid="{00000000-0005-0000-0000-000018170000}"/>
    <cellStyle name="Accent1 13 7" xfId="5063" xr:uid="{00000000-0005-0000-0000-000019170000}"/>
    <cellStyle name="Accent1 13 7 2" xfId="14872" xr:uid="{00000000-0005-0000-0000-00001A170000}"/>
    <cellStyle name="Accent1 13 8" xfId="5064" xr:uid="{00000000-0005-0000-0000-00001B170000}"/>
    <cellStyle name="Accent1 13 8 2" xfId="14873" xr:uid="{00000000-0005-0000-0000-00001C170000}"/>
    <cellStyle name="Accent1 13 9" xfId="5065" xr:uid="{00000000-0005-0000-0000-00001D170000}"/>
    <cellStyle name="Accent1 13 9 2" xfId="14874" xr:uid="{00000000-0005-0000-0000-00001E170000}"/>
    <cellStyle name="Accent1 14" xfId="5066" xr:uid="{00000000-0005-0000-0000-00001F170000}"/>
    <cellStyle name="Accent1 14 10" xfId="5067" xr:uid="{00000000-0005-0000-0000-000020170000}"/>
    <cellStyle name="Accent1 14 10 2" xfId="14875" xr:uid="{00000000-0005-0000-0000-000021170000}"/>
    <cellStyle name="Accent1 14 11" xfId="5068" xr:uid="{00000000-0005-0000-0000-000022170000}"/>
    <cellStyle name="Accent1 14 11 2" xfId="14876" xr:uid="{00000000-0005-0000-0000-000023170000}"/>
    <cellStyle name="Accent1 14 2" xfId="5069" xr:uid="{00000000-0005-0000-0000-000024170000}"/>
    <cellStyle name="Accent1 14 2 2" xfId="5070" xr:uid="{00000000-0005-0000-0000-000025170000}"/>
    <cellStyle name="Accent1 14 2 2 2" xfId="14877" xr:uid="{00000000-0005-0000-0000-000026170000}"/>
    <cellStyle name="Accent1 14 3" xfId="5071" xr:uid="{00000000-0005-0000-0000-000027170000}"/>
    <cellStyle name="Accent1 14 3 2" xfId="5072" xr:uid="{00000000-0005-0000-0000-000028170000}"/>
    <cellStyle name="Accent1 14 3 2 2" xfId="14878" xr:uid="{00000000-0005-0000-0000-000029170000}"/>
    <cellStyle name="Accent1 14 4" xfId="5073" xr:uid="{00000000-0005-0000-0000-00002A170000}"/>
    <cellStyle name="Accent1 14 4 2" xfId="14879" xr:uid="{00000000-0005-0000-0000-00002B170000}"/>
    <cellStyle name="Accent1 14 5" xfId="5074" xr:uid="{00000000-0005-0000-0000-00002C170000}"/>
    <cellStyle name="Accent1 14 5 2" xfId="14880" xr:uid="{00000000-0005-0000-0000-00002D170000}"/>
    <cellStyle name="Accent1 14 6" xfId="5075" xr:uid="{00000000-0005-0000-0000-00002E170000}"/>
    <cellStyle name="Accent1 14 6 2" xfId="14881" xr:uid="{00000000-0005-0000-0000-00002F170000}"/>
    <cellStyle name="Accent1 14 7" xfId="5076" xr:uid="{00000000-0005-0000-0000-000030170000}"/>
    <cellStyle name="Accent1 14 7 2" xfId="14882" xr:uid="{00000000-0005-0000-0000-000031170000}"/>
    <cellStyle name="Accent1 14 8" xfId="5077" xr:uid="{00000000-0005-0000-0000-000032170000}"/>
    <cellStyle name="Accent1 14 8 2" xfId="14883" xr:uid="{00000000-0005-0000-0000-000033170000}"/>
    <cellStyle name="Accent1 14 9" xfId="5078" xr:uid="{00000000-0005-0000-0000-000034170000}"/>
    <cellStyle name="Accent1 14 9 2" xfId="14884" xr:uid="{00000000-0005-0000-0000-000035170000}"/>
    <cellStyle name="Accent1 15" xfId="5079" xr:uid="{00000000-0005-0000-0000-000036170000}"/>
    <cellStyle name="Accent1 15 10" xfId="5080" xr:uid="{00000000-0005-0000-0000-000037170000}"/>
    <cellStyle name="Accent1 15 10 2" xfId="14885" xr:uid="{00000000-0005-0000-0000-000038170000}"/>
    <cellStyle name="Accent1 15 11" xfId="5081" xr:uid="{00000000-0005-0000-0000-000039170000}"/>
    <cellStyle name="Accent1 15 11 2" xfId="14886" xr:uid="{00000000-0005-0000-0000-00003A170000}"/>
    <cellStyle name="Accent1 15 2" xfId="5082" xr:uid="{00000000-0005-0000-0000-00003B170000}"/>
    <cellStyle name="Accent1 15 2 2" xfId="5083" xr:uid="{00000000-0005-0000-0000-00003C170000}"/>
    <cellStyle name="Accent1 15 2 2 2" xfId="14887" xr:uid="{00000000-0005-0000-0000-00003D170000}"/>
    <cellStyle name="Accent1 15 3" xfId="5084" xr:uid="{00000000-0005-0000-0000-00003E170000}"/>
    <cellStyle name="Accent1 15 3 2" xfId="5085" xr:uid="{00000000-0005-0000-0000-00003F170000}"/>
    <cellStyle name="Accent1 15 3 2 2" xfId="14888" xr:uid="{00000000-0005-0000-0000-000040170000}"/>
    <cellStyle name="Accent1 15 4" xfId="5086" xr:uid="{00000000-0005-0000-0000-000041170000}"/>
    <cellStyle name="Accent1 15 4 2" xfId="14889" xr:uid="{00000000-0005-0000-0000-000042170000}"/>
    <cellStyle name="Accent1 15 5" xfId="5087" xr:uid="{00000000-0005-0000-0000-000043170000}"/>
    <cellStyle name="Accent1 15 5 2" xfId="14890" xr:uid="{00000000-0005-0000-0000-000044170000}"/>
    <cellStyle name="Accent1 15 6" xfId="5088" xr:uid="{00000000-0005-0000-0000-000045170000}"/>
    <cellStyle name="Accent1 15 6 2" xfId="14891" xr:uid="{00000000-0005-0000-0000-000046170000}"/>
    <cellStyle name="Accent1 15 7" xfId="5089" xr:uid="{00000000-0005-0000-0000-000047170000}"/>
    <cellStyle name="Accent1 15 7 2" xfId="14892" xr:uid="{00000000-0005-0000-0000-000048170000}"/>
    <cellStyle name="Accent1 15 8" xfId="5090" xr:uid="{00000000-0005-0000-0000-000049170000}"/>
    <cellStyle name="Accent1 15 8 2" xfId="14893" xr:uid="{00000000-0005-0000-0000-00004A170000}"/>
    <cellStyle name="Accent1 15 9" xfId="5091" xr:uid="{00000000-0005-0000-0000-00004B170000}"/>
    <cellStyle name="Accent1 15 9 2" xfId="14894" xr:uid="{00000000-0005-0000-0000-00004C170000}"/>
    <cellStyle name="Accent1 16" xfId="5092" xr:uid="{00000000-0005-0000-0000-00004D170000}"/>
    <cellStyle name="Accent1 16 10" xfId="5093" xr:uid="{00000000-0005-0000-0000-00004E170000}"/>
    <cellStyle name="Accent1 16 10 2" xfId="14895" xr:uid="{00000000-0005-0000-0000-00004F170000}"/>
    <cellStyle name="Accent1 16 11" xfId="5094" xr:uid="{00000000-0005-0000-0000-000050170000}"/>
    <cellStyle name="Accent1 16 11 2" xfId="14896" xr:uid="{00000000-0005-0000-0000-000051170000}"/>
    <cellStyle name="Accent1 16 2" xfId="5095" xr:uid="{00000000-0005-0000-0000-000052170000}"/>
    <cellStyle name="Accent1 16 2 2" xfId="5096" xr:uid="{00000000-0005-0000-0000-000053170000}"/>
    <cellStyle name="Accent1 16 2 2 2" xfId="14897" xr:uid="{00000000-0005-0000-0000-000054170000}"/>
    <cellStyle name="Accent1 16 3" xfId="5097" xr:uid="{00000000-0005-0000-0000-000055170000}"/>
    <cellStyle name="Accent1 16 3 2" xfId="5098" xr:uid="{00000000-0005-0000-0000-000056170000}"/>
    <cellStyle name="Accent1 16 3 2 2" xfId="14898" xr:uid="{00000000-0005-0000-0000-000057170000}"/>
    <cellStyle name="Accent1 16 4" xfId="5099" xr:uid="{00000000-0005-0000-0000-000058170000}"/>
    <cellStyle name="Accent1 16 4 2" xfId="14899" xr:uid="{00000000-0005-0000-0000-000059170000}"/>
    <cellStyle name="Accent1 16 5" xfId="5100" xr:uid="{00000000-0005-0000-0000-00005A170000}"/>
    <cellStyle name="Accent1 16 5 2" xfId="14900" xr:uid="{00000000-0005-0000-0000-00005B170000}"/>
    <cellStyle name="Accent1 16 6" xfId="5101" xr:uid="{00000000-0005-0000-0000-00005C170000}"/>
    <cellStyle name="Accent1 16 6 2" xfId="14901" xr:uid="{00000000-0005-0000-0000-00005D170000}"/>
    <cellStyle name="Accent1 16 7" xfId="5102" xr:uid="{00000000-0005-0000-0000-00005E170000}"/>
    <cellStyle name="Accent1 16 7 2" xfId="14902" xr:uid="{00000000-0005-0000-0000-00005F170000}"/>
    <cellStyle name="Accent1 16 8" xfId="5103" xr:uid="{00000000-0005-0000-0000-000060170000}"/>
    <cellStyle name="Accent1 16 8 2" xfId="14903" xr:uid="{00000000-0005-0000-0000-000061170000}"/>
    <cellStyle name="Accent1 16 9" xfId="5104" xr:uid="{00000000-0005-0000-0000-000062170000}"/>
    <cellStyle name="Accent1 16 9 2" xfId="14904" xr:uid="{00000000-0005-0000-0000-000063170000}"/>
    <cellStyle name="Accent1 17" xfId="5105" xr:uid="{00000000-0005-0000-0000-000064170000}"/>
    <cellStyle name="Accent1 17 10" xfId="5106" xr:uid="{00000000-0005-0000-0000-000065170000}"/>
    <cellStyle name="Accent1 17 10 2" xfId="14905" xr:uid="{00000000-0005-0000-0000-000066170000}"/>
    <cellStyle name="Accent1 17 11" xfId="5107" xr:uid="{00000000-0005-0000-0000-000067170000}"/>
    <cellStyle name="Accent1 17 11 2" xfId="14906" xr:uid="{00000000-0005-0000-0000-000068170000}"/>
    <cellStyle name="Accent1 17 2" xfId="5108" xr:uid="{00000000-0005-0000-0000-000069170000}"/>
    <cellStyle name="Accent1 17 2 2" xfId="5109" xr:uid="{00000000-0005-0000-0000-00006A170000}"/>
    <cellStyle name="Accent1 17 2 2 2" xfId="14907" xr:uid="{00000000-0005-0000-0000-00006B170000}"/>
    <cellStyle name="Accent1 17 3" xfId="5110" xr:uid="{00000000-0005-0000-0000-00006C170000}"/>
    <cellStyle name="Accent1 17 3 2" xfId="5111" xr:uid="{00000000-0005-0000-0000-00006D170000}"/>
    <cellStyle name="Accent1 17 3 2 2" xfId="14908" xr:uid="{00000000-0005-0000-0000-00006E170000}"/>
    <cellStyle name="Accent1 17 4" xfId="5112" xr:uid="{00000000-0005-0000-0000-00006F170000}"/>
    <cellStyle name="Accent1 17 4 2" xfId="14909" xr:uid="{00000000-0005-0000-0000-000070170000}"/>
    <cellStyle name="Accent1 17 5" xfId="5113" xr:uid="{00000000-0005-0000-0000-000071170000}"/>
    <cellStyle name="Accent1 17 5 2" xfId="14910" xr:uid="{00000000-0005-0000-0000-000072170000}"/>
    <cellStyle name="Accent1 17 6" xfId="5114" xr:uid="{00000000-0005-0000-0000-000073170000}"/>
    <cellStyle name="Accent1 17 6 2" xfId="14911" xr:uid="{00000000-0005-0000-0000-000074170000}"/>
    <cellStyle name="Accent1 17 7" xfId="5115" xr:uid="{00000000-0005-0000-0000-000075170000}"/>
    <cellStyle name="Accent1 17 7 2" xfId="14912" xr:uid="{00000000-0005-0000-0000-000076170000}"/>
    <cellStyle name="Accent1 17 8" xfId="5116" xr:uid="{00000000-0005-0000-0000-000077170000}"/>
    <cellStyle name="Accent1 17 8 2" xfId="14913" xr:uid="{00000000-0005-0000-0000-000078170000}"/>
    <cellStyle name="Accent1 17 9" xfId="5117" xr:uid="{00000000-0005-0000-0000-000079170000}"/>
    <cellStyle name="Accent1 17 9 2" xfId="14914" xr:uid="{00000000-0005-0000-0000-00007A170000}"/>
    <cellStyle name="Accent1 18" xfId="5118" xr:uid="{00000000-0005-0000-0000-00007B170000}"/>
    <cellStyle name="Accent1 18 2" xfId="5119" xr:uid="{00000000-0005-0000-0000-00007C170000}"/>
    <cellStyle name="Accent1 18 2 2" xfId="5120" xr:uid="{00000000-0005-0000-0000-00007D170000}"/>
    <cellStyle name="Accent1 18 2 2 2" xfId="14915" xr:uid="{00000000-0005-0000-0000-00007E170000}"/>
    <cellStyle name="Accent1 18 3" xfId="5121" xr:uid="{00000000-0005-0000-0000-00007F170000}"/>
    <cellStyle name="Accent1 18 3 2" xfId="14916" xr:uid="{00000000-0005-0000-0000-000080170000}"/>
    <cellStyle name="Accent1 18 4" xfId="5122" xr:uid="{00000000-0005-0000-0000-000081170000}"/>
    <cellStyle name="Accent1 18 4 2" xfId="14917" xr:uid="{00000000-0005-0000-0000-000082170000}"/>
    <cellStyle name="Accent1 18 5" xfId="5123" xr:uid="{00000000-0005-0000-0000-000083170000}"/>
    <cellStyle name="Accent1 18 5 2" xfId="14918" xr:uid="{00000000-0005-0000-0000-000084170000}"/>
    <cellStyle name="Accent1 18 6" xfId="5124" xr:uid="{00000000-0005-0000-0000-000085170000}"/>
    <cellStyle name="Accent1 18 6 2" xfId="14919" xr:uid="{00000000-0005-0000-0000-000086170000}"/>
    <cellStyle name="Accent1 18 7" xfId="5125" xr:uid="{00000000-0005-0000-0000-000087170000}"/>
    <cellStyle name="Accent1 18 7 2" xfId="14920" xr:uid="{00000000-0005-0000-0000-000088170000}"/>
    <cellStyle name="Accent1 18 8" xfId="5126" xr:uid="{00000000-0005-0000-0000-000089170000}"/>
    <cellStyle name="Accent1 18 8 2" xfId="14921" xr:uid="{00000000-0005-0000-0000-00008A170000}"/>
    <cellStyle name="Accent1 18 9" xfId="5127" xr:uid="{00000000-0005-0000-0000-00008B170000}"/>
    <cellStyle name="Accent1 18 9 2" xfId="14922" xr:uid="{00000000-0005-0000-0000-00008C170000}"/>
    <cellStyle name="Accent1 19" xfId="5128" xr:uid="{00000000-0005-0000-0000-00008D170000}"/>
    <cellStyle name="Accent1 19 2" xfId="5129" xr:uid="{00000000-0005-0000-0000-00008E170000}"/>
    <cellStyle name="Accent1 19 2 2" xfId="5130" xr:uid="{00000000-0005-0000-0000-00008F170000}"/>
    <cellStyle name="Accent1 19 2 2 2" xfId="14923" xr:uid="{00000000-0005-0000-0000-000090170000}"/>
    <cellStyle name="Accent1 19 3" xfId="5131" xr:uid="{00000000-0005-0000-0000-000091170000}"/>
    <cellStyle name="Accent1 19 3 2" xfId="14924" xr:uid="{00000000-0005-0000-0000-000092170000}"/>
    <cellStyle name="Accent1 19 4" xfId="5132" xr:uid="{00000000-0005-0000-0000-000093170000}"/>
    <cellStyle name="Accent1 19 4 2" xfId="14925" xr:uid="{00000000-0005-0000-0000-000094170000}"/>
    <cellStyle name="Accent1 19 5" xfId="5133" xr:uid="{00000000-0005-0000-0000-000095170000}"/>
    <cellStyle name="Accent1 19 5 2" xfId="14926" xr:uid="{00000000-0005-0000-0000-000096170000}"/>
    <cellStyle name="Accent1 19 6" xfId="5134" xr:uid="{00000000-0005-0000-0000-000097170000}"/>
    <cellStyle name="Accent1 19 6 2" xfId="14927" xr:uid="{00000000-0005-0000-0000-000098170000}"/>
    <cellStyle name="Accent1 19 7" xfId="5135" xr:uid="{00000000-0005-0000-0000-000099170000}"/>
    <cellStyle name="Accent1 19 7 2" xfId="14928" xr:uid="{00000000-0005-0000-0000-00009A170000}"/>
    <cellStyle name="Accent1 19 8" xfId="5136" xr:uid="{00000000-0005-0000-0000-00009B170000}"/>
    <cellStyle name="Accent1 19 8 2" xfId="14929" xr:uid="{00000000-0005-0000-0000-00009C170000}"/>
    <cellStyle name="Accent1 19 9" xfId="5137" xr:uid="{00000000-0005-0000-0000-00009D170000}"/>
    <cellStyle name="Accent1 19 9 2" xfId="14930" xr:uid="{00000000-0005-0000-0000-00009E170000}"/>
    <cellStyle name="Accent1 2" xfId="5138" xr:uid="{00000000-0005-0000-0000-00009F170000}"/>
    <cellStyle name="Accent1 2 10" xfId="5139" xr:uid="{00000000-0005-0000-0000-0000A0170000}"/>
    <cellStyle name="Accent1 2 10 2" xfId="14931" xr:uid="{00000000-0005-0000-0000-0000A1170000}"/>
    <cellStyle name="Accent1 2 11" xfId="5140" xr:uid="{00000000-0005-0000-0000-0000A2170000}"/>
    <cellStyle name="Accent1 2 11 2" xfId="14932" xr:uid="{00000000-0005-0000-0000-0000A3170000}"/>
    <cellStyle name="Accent1 2 12" xfId="21705" xr:uid="{00000000-0005-0000-0000-0000A4170000}"/>
    <cellStyle name="Accent1 2 2" xfId="5141" xr:uid="{00000000-0005-0000-0000-0000A5170000}"/>
    <cellStyle name="Accent1 2 2 2" xfId="5142" xr:uid="{00000000-0005-0000-0000-0000A6170000}"/>
    <cellStyle name="Accent1 2 2 2 2" xfId="14933" xr:uid="{00000000-0005-0000-0000-0000A7170000}"/>
    <cellStyle name="Accent1 2 3" xfId="5143" xr:uid="{00000000-0005-0000-0000-0000A8170000}"/>
    <cellStyle name="Accent1 2 3 2" xfId="5144" xr:uid="{00000000-0005-0000-0000-0000A9170000}"/>
    <cellStyle name="Accent1 2 3 2 2" xfId="14934" xr:uid="{00000000-0005-0000-0000-0000AA170000}"/>
    <cellStyle name="Accent1 2 4" xfId="5145" xr:uid="{00000000-0005-0000-0000-0000AB170000}"/>
    <cellStyle name="Accent1 2 4 2" xfId="5146" xr:uid="{00000000-0005-0000-0000-0000AC170000}"/>
    <cellStyle name="Accent1 2 4 3" xfId="14935" xr:uid="{00000000-0005-0000-0000-0000AD170000}"/>
    <cellStyle name="Accent1 2 5" xfId="5147" xr:uid="{00000000-0005-0000-0000-0000AE170000}"/>
    <cellStyle name="Accent1 2 5 2" xfId="14936" xr:uid="{00000000-0005-0000-0000-0000AF170000}"/>
    <cellStyle name="Accent1 2 6" xfId="5148" xr:uid="{00000000-0005-0000-0000-0000B0170000}"/>
    <cellStyle name="Accent1 2 6 2" xfId="14937" xr:uid="{00000000-0005-0000-0000-0000B1170000}"/>
    <cellStyle name="Accent1 2 7" xfId="5149" xr:uid="{00000000-0005-0000-0000-0000B2170000}"/>
    <cellStyle name="Accent1 2 7 2" xfId="14938" xr:uid="{00000000-0005-0000-0000-0000B3170000}"/>
    <cellStyle name="Accent1 2 8" xfId="5150" xr:uid="{00000000-0005-0000-0000-0000B4170000}"/>
    <cellStyle name="Accent1 2 8 2" xfId="14939" xr:uid="{00000000-0005-0000-0000-0000B5170000}"/>
    <cellStyle name="Accent1 2 9" xfId="5151" xr:uid="{00000000-0005-0000-0000-0000B6170000}"/>
    <cellStyle name="Accent1 2 9 2" xfId="14940" xr:uid="{00000000-0005-0000-0000-0000B7170000}"/>
    <cellStyle name="Accent1 20" xfId="5152" xr:uid="{00000000-0005-0000-0000-0000B8170000}"/>
    <cellStyle name="Accent1 20 2" xfId="5153" xr:uid="{00000000-0005-0000-0000-0000B9170000}"/>
    <cellStyle name="Accent1 20 2 2" xfId="14941" xr:uid="{00000000-0005-0000-0000-0000BA170000}"/>
    <cellStyle name="Accent1 20 3" xfId="5154" xr:uid="{00000000-0005-0000-0000-0000BB170000}"/>
    <cellStyle name="Accent1 20 3 2" xfId="14942" xr:uid="{00000000-0005-0000-0000-0000BC170000}"/>
    <cellStyle name="Accent1 20 4" xfId="5155" xr:uid="{00000000-0005-0000-0000-0000BD170000}"/>
    <cellStyle name="Accent1 20 4 2" xfId="14943" xr:uid="{00000000-0005-0000-0000-0000BE170000}"/>
    <cellStyle name="Accent1 20 5" xfId="5156" xr:uid="{00000000-0005-0000-0000-0000BF170000}"/>
    <cellStyle name="Accent1 20 5 2" xfId="14944" xr:uid="{00000000-0005-0000-0000-0000C0170000}"/>
    <cellStyle name="Accent1 20 6" xfId="5157" xr:uid="{00000000-0005-0000-0000-0000C1170000}"/>
    <cellStyle name="Accent1 20 6 2" xfId="14945" xr:uid="{00000000-0005-0000-0000-0000C2170000}"/>
    <cellStyle name="Accent1 20 7" xfId="5158" xr:uid="{00000000-0005-0000-0000-0000C3170000}"/>
    <cellStyle name="Accent1 20 7 2" xfId="14946" xr:uid="{00000000-0005-0000-0000-0000C4170000}"/>
    <cellStyle name="Accent1 20 8" xfId="5159" xr:uid="{00000000-0005-0000-0000-0000C5170000}"/>
    <cellStyle name="Accent1 20 8 2" xfId="14947" xr:uid="{00000000-0005-0000-0000-0000C6170000}"/>
    <cellStyle name="Accent1 20 9" xfId="5160" xr:uid="{00000000-0005-0000-0000-0000C7170000}"/>
    <cellStyle name="Accent1 20 9 2" xfId="14948" xr:uid="{00000000-0005-0000-0000-0000C8170000}"/>
    <cellStyle name="Accent1 21" xfId="5161" xr:uid="{00000000-0005-0000-0000-0000C9170000}"/>
    <cellStyle name="Accent1 21 2" xfId="5162" xr:uid="{00000000-0005-0000-0000-0000CA170000}"/>
    <cellStyle name="Accent1 21 2 2" xfId="14949" xr:uid="{00000000-0005-0000-0000-0000CB170000}"/>
    <cellStyle name="Accent1 21 3" xfId="5163" xr:uid="{00000000-0005-0000-0000-0000CC170000}"/>
    <cellStyle name="Accent1 21 3 2" xfId="14950" xr:uid="{00000000-0005-0000-0000-0000CD170000}"/>
    <cellStyle name="Accent1 21 4" xfId="5164" xr:uid="{00000000-0005-0000-0000-0000CE170000}"/>
    <cellStyle name="Accent1 21 4 2" xfId="14951" xr:uid="{00000000-0005-0000-0000-0000CF170000}"/>
    <cellStyle name="Accent1 21 5" xfId="5165" xr:uid="{00000000-0005-0000-0000-0000D0170000}"/>
    <cellStyle name="Accent1 21 5 2" xfId="14952" xr:uid="{00000000-0005-0000-0000-0000D1170000}"/>
    <cellStyle name="Accent1 21 6" xfId="5166" xr:uid="{00000000-0005-0000-0000-0000D2170000}"/>
    <cellStyle name="Accent1 21 6 2" xfId="14953" xr:uid="{00000000-0005-0000-0000-0000D3170000}"/>
    <cellStyle name="Accent1 21 7" xfId="5167" xr:uid="{00000000-0005-0000-0000-0000D4170000}"/>
    <cellStyle name="Accent1 21 7 2" xfId="14954" xr:uid="{00000000-0005-0000-0000-0000D5170000}"/>
    <cellStyle name="Accent1 21 8" xfId="5168" xr:uid="{00000000-0005-0000-0000-0000D6170000}"/>
    <cellStyle name="Accent1 21 8 2" xfId="14955" xr:uid="{00000000-0005-0000-0000-0000D7170000}"/>
    <cellStyle name="Accent1 21 9" xfId="5169" xr:uid="{00000000-0005-0000-0000-0000D8170000}"/>
    <cellStyle name="Accent1 21 9 2" xfId="14956" xr:uid="{00000000-0005-0000-0000-0000D9170000}"/>
    <cellStyle name="Accent1 22" xfId="5170" xr:uid="{00000000-0005-0000-0000-0000DA170000}"/>
    <cellStyle name="Accent1 22 2" xfId="5171" xr:uid="{00000000-0005-0000-0000-0000DB170000}"/>
    <cellStyle name="Accent1 22 2 2" xfId="14957" xr:uid="{00000000-0005-0000-0000-0000DC170000}"/>
    <cellStyle name="Accent1 22 3" xfId="5172" xr:uid="{00000000-0005-0000-0000-0000DD170000}"/>
    <cellStyle name="Accent1 22 3 2" xfId="14958" xr:uid="{00000000-0005-0000-0000-0000DE170000}"/>
    <cellStyle name="Accent1 22 4" xfId="5173" xr:uid="{00000000-0005-0000-0000-0000DF170000}"/>
    <cellStyle name="Accent1 22 4 2" xfId="14959" xr:uid="{00000000-0005-0000-0000-0000E0170000}"/>
    <cellStyle name="Accent1 22 5" xfId="5174" xr:uid="{00000000-0005-0000-0000-0000E1170000}"/>
    <cellStyle name="Accent1 22 5 2" xfId="14960" xr:uid="{00000000-0005-0000-0000-0000E2170000}"/>
    <cellStyle name="Accent1 22 6" xfId="5175" xr:uid="{00000000-0005-0000-0000-0000E3170000}"/>
    <cellStyle name="Accent1 22 6 2" xfId="14961" xr:uid="{00000000-0005-0000-0000-0000E4170000}"/>
    <cellStyle name="Accent1 22 7" xfId="5176" xr:uid="{00000000-0005-0000-0000-0000E5170000}"/>
    <cellStyle name="Accent1 22 7 2" xfId="14962" xr:uid="{00000000-0005-0000-0000-0000E6170000}"/>
    <cellStyle name="Accent1 22 8" xfId="5177" xr:uid="{00000000-0005-0000-0000-0000E7170000}"/>
    <cellStyle name="Accent1 22 8 2" xfId="14963" xr:uid="{00000000-0005-0000-0000-0000E8170000}"/>
    <cellStyle name="Accent1 22 9" xfId="5178" xr:uid="{00000000-0005-0000-0000-0000E9170000}"/>
    <cellStyle name="Accent1 22 9 2" xfId="14964" xr:uid="{00000000-0005-0000-0000-0000EA170000}"/>
    <cellStyle name="Accent1 23" xfId="5179" xr:uid="{00000000-0005-0000-0000-0000EB170000}"/>
    <cellStyle name="Accent1 23 2" xfId="5180" xr:uid="{00000000-0005-0000-0000-0000EC170000}"/>
    <cellStyle name="Accent1 23 2 2" xfId="14965" xr:uid="{00000000-0005-0000-0000-0000ED170000}"/>
    <cellStyle name="Accent1 23 3" xfId="5181" xr:uid="{00000000-0005-0000-0000-0000EE170000}"/>
    <cellStyle name="Accent1 23 3 2" xfId="14966" xr:uid="{00000000-0005-0000-0000-0000EF170000}"/>
    <cellStyle name="Accent1 23 4" xfId="5182" xr:uid="{00000000-0005-0000-0000-0000F0170000}"/>
    <cellStyle name="Accent1 23 4 2" xfId="14967" xr:uid="{00000000-0005-0000-0000-0000F1170000}"/>
    <cellStyle name="Accent1 23 5" xfId="5183" xr:uid="{00000000-0005-0000-0000-0000F2170000}"/>
    <cellStyle name="Accent1 23 5 2" xfId="14968" xr:uid="{00000000-0005-0000-0000-0000F3170000}"/>
    <cellStyle name="Accent1 23 6" xfId="5184" xr:uid="{00000000-0005-0000-0000-0000F4170000}"/>
    <cellStyle name="Accent1 23 6 2" xfId="14969" xr:uid="{00000000-0005-0000-0000-0000F5170000}"/>
    <cellStyle name="Accent1 23 7" xfId="5185" xr:uid="{00000000-0005-0000-0000-0000F6170000}"/>
    <cellStyle name="Accent1 23 7 2" xfId="14970" xr:uid="{00000000-0005-0000-0000-0000F7170000}"/>
    <cellStyle name="Accent1 23 8" xfId="5186" xr:uid="{00000000-0005-0000-0000-0000F8170000}"/>
    <cellStyle name="Accent1 23 8 2" xfId="14971" xr:uid="{00000000-0005-0000-0000-0000F9170000}"/>
    <cellStyle name="Accent1 23 9" xfId="5187" xr:uid="{00000000-0005-0000-0000-0000FA170000}"/>
    <cellStyle name="Accent1 23 9 2" xfId="14972" xr:uid="{00000000-0005-0000-0000-0000FB170000}"/>
    <cellStyle name="Accent1 24" xfId="5188" xr:uid="{00000000-0005-0000-0000-0000FC170000}"/>
    <cellStyle name="Accent1 24 2" xfId="5189" xr:uid="{00000000-0005-0000-0000-0000FD170000}"/>
    <cellStyle name="Accent1 24 2 2" xfId="14973" xr:uid="{00000000-0005-0000-0000-0000FE170000}"/>
    <cellStyle name="Accent1 24 3" xfId="5190" xr:uid="{00000000-0005-0000-0000-0000FF170000}"/>
    <cellStyle name="Accent1 24 3 2" xfId="14974" xr:uid="{00000000-0005-0000-0000-000000180000}"/>
    <cellStyle name="Accent1 24 4" xfId="5191" xr:uid="{00000000-0005-0000-0000-000001180000}"/>
    <cellStyle name="Accent1 24 4 2" xfId="14975" xr:uid="{00000000-0005-0000-0000-000002180000}"/>
    <cellStyle name="Accent1 24 5" xfId="5192" xr:uid="{00000000-0005-0000-0000-000003180000}"/>
    <cellStyle name="Accent1 24 5 2" xfId="14976" xr:uid="{00000000-0005-0000-0000-000004180000}"/>
    <cellStyle name="Accent1 24 6" xfId="5193" xr:uid="{00000000-0005-0000-0000-000005180000}"/>
    <cellStyle name="Accent1 24 6 2" xfId="14977" xr:uid="{00000000-0005-0000-0000-000006180000}"/>
    <cellStyle name="Accent1 24 7" xfId="5194" xr:uid="{00000000-0005-0000-0000-000007180000}"/>
    <cellStyle name="Accent1 24 7 2" xfId="14978" xr:uid="{00000000-0005-0000-0000-000008180000}"/>
    <cellStyle name="Accent1 24 8" xfId="5195" xr:uid="{00000000-0005-0000-0000-000009180000}"/>
    <cellStyle name="Accent1 24 8 2" xfId="14979" xr:uid="{00000000-0005-0000-0000-00000A180000}"/>
    <cellStyle name="Accent1 24 9" xfId="5196" xr:uid="{00000000-0005-0000-0000-00000B180000}"/>
    <cellStyle name="Accent1 24 9 2" xfId="14980" xr:uid="{00000000-0005-0000-0000-00000C180000}"/>
    <cellStyle name="Accent1 25" xfId="5197" xr:uid="{00000000-0005-0000-0000-00000D180000}"/>
    <cellStyle name="Accent1 25 2" xfId="5198" xr:uid="{00000000-0005-0000-0000-00000E180000}"/>
    <cellStyle name="Accent1 25 2 2" xfId="14981" xr:uid="{00000000-0005-0000-0000-00000F180000}"/>
    <cellStyle name="Accent1 25 3" xfId="5199" xr:uid="{00000000-0005-0000-0000-000010180000}"/>
    <cellStyle name="Accent1 25 3 2" xfId="14982" xr:uid="{00000000-0005-0000-0000-000011180000}"/>
    <cellStyle name="Accent1 25 4" xfId="5200" xr:uid="{00000000-0005-0000-0000-000012180000}"/>
    <cellStyle name="Accent1 25 4 2" xfId="14983" xr:uid="{00000000-0005-0000-0000-000013180000}"/>
    <cellStyle name="Accent1 25 5" xfId="5201" xr:uid="{00000000-0005-0000-0000-000014180000}"/>
    <cellStyle name="Accent1 25 5 2" xfId="14984" xr:uid="{00000000-0005-0000-0000-000015180000}"/>
    <cellStyle name="Accent1 25 6" xfId="5202" xr:uid="{00000000-0005-0000-0000-000016180000}"/>
    <cellStyle name="Accent1 25 6 2" xfId="14985" xr:uid="{00000000-0005-0000-0000-000017180000}"/>
    <cellStyle name="Accent1 25 7" xfId="5203" xr:uid="{00000000-0005-0000-0000-000018180000}"/>
    <cellStyle name="Accent1 25 7 2" xfId="14986" xr:uid="{00000000-0005-0000-0000-000019180000}"/>
    <cellStyle name="Accent1 25 8" xfId="5204" xr:uid="{00000000-0005-0000-0000-00001A180000}"/>
    <cellStyle name="Accent1 25 8 2" xfId="14987" xr:uid="{00000000-0005-0000-0000-00001B180000}"/>
    <cellStyle name="Accent1 25 9" xfId="5205" xr:uid="{00000000-0005-0000-0000-00001C180000}"/>
    <cellStyle name="Accent1 25 9 2" xfId="14988" xr:uid="{00000000-0005-0000-0000-00001D180000}"/>
    <cellStyle name="Accent1 26" xfId="5206" xr:uid="{00000000-0005-0000-0000-00001E180000}"/>
    <cellStyle name="Accent1 26 2" xfId="5207" xr:uid="{00000000-0005-0000-0000-00001F180000}"/>
    <cellStyle name="Accent1 26 2 2" xfId="14989" xr:uid="{00000000-0005-0000-0000-000020180000}"/>
    <cellStyle name="Accent1 26 3" xfId="5208" xr:uid="{00000000-0005-0000-0000-000021180000}"/>
    <cellStyle name="Accent1 26 3 2" xfId="14990" xr:uid="{00000000-0005-0000-0000-000022180000}"/>
    <cellStyle name="Accent1 26 4" xfId="5209" xr:uid="{00000000-0005-0000-0000-000023180000}"/>
    <cellStyle name="Accent1 26 4 2" xfId="14991" xr:uid="{00000000-0005-0000-0000-000024180000}"/>
    <cellStyle name="Accent1 26 5" xfId="5210" xr:uid="{00000000-0005-0000-0000-000025180000}"/>
    <cellStyle name="Accent1 26 5 2" xfId="14992" xr:uid="{00000000-0005-0000-0000-000026180000}"/>
    <cellStyle name="Accent1 26 6" xfId="5211" xr:uid="{00000000-0005-0000-0000-000027180000}"/>
    <cellStyle name="Accent1 26 6 2" xfId="14993" xr:uid="{00000000-0005-0000-0000-000028180000}"/>
    <cellStyle name="Accent1 26 7" xfId="5212" xr:uid="{00000000-0005-0000-0000-000029180000}"/>
    <cellStyle name="Accent1 26 7 2" xfId="14994" xr:uid="{00000000-0005-0000-0000-00002A180000}"/>
    <cellStyle name="Accent1 26 8" xfId="5213" xr:uid="{00000000-0005-0000-0000-00002B180000}"/>
    <cellStyle name="Accent1 26 8 2" xfId="14995" xr:uid="{00000000-0005-0000-0000-00002C180000}"/>
    <cellStyle name="Accent1 26 9" xfId="5214" xr:uid="{00000000-0005-0000-0000-00002D180000}"/>
    <cellStyle name="Accent1 26 9 2" xfId="14996" xr:uid="{00000000-0005-0000-0000-00002E180000}"/>
    <cellStyle name="Accent1 27" xfId="5215" xr:uid="{00000000-0005-0000-0000-00002F180000}"/>
    <cellStyle name="Accent1 27 2" xfId="5216" xr:uid="{00000000-0005-0000-0000-000030180000}"/>
    <cellStyle name="Accent1 27 2 2" xfId="14997" xr:uid="{00000000-0005-0000-0000-000031180000}"/>
    <cellStyle name="Accent1 27 3" xfId="5217" xr:uid="{00000000-0005-0000-0000-000032180000}"/>
    <cellStyle name="Accent1 27 3 2" xfId="14998" xr:uid="{00000000-0005-0000-0000-000033180000}"/>
    <cellStyle name="Accent1 27 4" xfId="5218" xr:uid="{00000000-0005-0000-0000-000034180000}"/>
    <cellStyle name="Accent1 27 4 2" xfId="14999" xr:uid="{00000000-0005-0000-0000-000035180000}"/>
    <cellStyle name="Accent1 27 5" xfId="5219" xr:uid="{00000000-0005-0000-0000-000036180000}"/>
    <cellStyle name="Accent1 27 5 2" xfId="15000" xr:uid="{00000000-0005-0000-0000-000037180000}"/>
    <cellStyle name="Accent1 27 6" xfId="5220" xr:uid="{00000000-0005-0000-0000-000038180000}"/>
    <cellStyle name="Accent1 27 6 2" xfId="15001" xr:uid="{00000000-0005-0000-0000-000039180000}"/>
    <cellStyle name="Accent1 27 7" xfId="5221" xr:uid="{00000000-0005-0000-0000-00003A180000}"/>
    <cellStyle name="Accent1 27 7 2" xfId="15002" xr:uid="{00000000-0005-0000-0000-00003B180000}"/>
    <cellStyle name="Accent1 27 8" xfId="5222" xr:uid="{00000000-0005-0000-0000-00003C180000}"/>
    <cellStyle name="Accent1 27 8 2" xfId="15003" xr:uid="{00000000-0005-0000-0000-00003D180000}"/>
    <cellStyle name="Accent1 27 9" xfId="5223" xr:uid="{00000000-0005-0000-0000-00003E180000}"/>
    <cellStyle name="Accent1 27 9 2" xfId="15004" xr:uid="{00000000-0005-0000-0000-00003F180000}"/>
    <cellStyle name="Accent1 28" xfId="5224" xr:uid="{00000000-0005-0000-0000-000040180000}"/>
    <cellStyle name="Accent1 28 2" xfId="5225" xr:uid="{00000000-0005-0000-0000-000041180000}"/>
    <cellStyle name="Accent1 28 2 2" xfId="15005" xr:uid="{00000000-0005-0000-0000-000042180000}"/>
    <cellStyle name="Accent1 28 3" xfId="5226" xr:uid="{00000000-0005-0000-0000-000043180000}"/>
    <cellStyle name="Accent1 28 3 2" xfId="15006" xr:uid="{00000000-0005-0000-0000-000044180000}"/>
    <cellStyle name="Accent1 28 4" xfId="5227" xr:uid="{00000000-0005-0000-0000-000045180000}"/>
    <cellStyle name="Accent1 28 4 2" xfId="15007" xr:uid="{00000000-0005-0000-0000-000046180000}"/>
    <cellStyle name="Accent1 28 5" xfId="5228" xr:uid="{00000000-0005-0000-0000-000047180000}"/>
    <cellStyle name="Accent1 28 5 2" xfId="15008" xr:uid="{00000000-0005-0000-0000-000048180000}"/>
    <cellStyle name="Accent1 28 6" xfId="5229" xr:uid="{00000000-0005-0000-0000-000049180000}"/>
    <cellStyle name="Accent1 28 6 2" xfId="15009" xr:uid="{00000000-0005-0000-0000-00004A180000}"/>
    <cellStyle name="Accent1 28 7" xfId="5230" xr:uid="{00000000-0005-0000-0000-00004B180000}"/>
    <cellStyle name="Accent1 28 7 2" xfId="15010" xr:uid="{00000000-0005-0000-0000-00004C180000}"/>
    <cellStyle name="Accent1 28 8" xfId="5231" xr:uid="{00000000-0005-0000-0000-00004D180000}"/>
    <cellStyle name="Accent1 28 8 2" xfId="15011" xr:uid="{00000000-0005-0000-0000-00004E180000}"/>
    <cellStyle name="Accent1 28 9" xfId="5232" xr:uid="{00000000-0005-0000-0000-00004F180000}"/>
    <cellStyle name="Accent1 28 9 2" xfId="15012" xr:uid="{00000000-0005-0000-0000-000050180000}"/>
    <cellStyle name="Accent1 29" xfId="5233" xr:uid="{00000000-0005-0000-0000-000051180000}"/>
    <cellStyle name="Accent1 29 2" xfId="5234" xr:uid="{00000000-0005-0000-0000-000052180000}"/>
    <cellStyle name="Accent1 29 2 2" xfId="15013" xr:uid="{00000000-0005-0000-0000-000053180000}"/>
    <cellStyle name="Accent1 29 3" xfId="5235" xr:uid="{00000000-0005-0000-0000-000054180000}"/>
    <cellStyle name="Accent1 29 3 2" xfId="15014" xr:uid="{00000000-0005-0000-0000-000055180000}"/>
    <cellStyle name="Accent1 29 4" xfId="5236" xr:uid="{00000000-0005-0000-0000-000056180000}"/>
    <cellStyle name="Accent1 29 4 2" xfId="15015" xr:uid="{00000000-0005-0000-0000-000057180000}"/>
    <cellStyle name="Accent1 29 5" xfId="5237" xr:uid="{00000000-0005-0000-0000-000058180000}"/>
    <cellStyle name="Accent1 29 5 2" xfId="15016" xr:uid="{00000000-0005-0000-0000-000059180000}"/>
    <cellStyle name="Accent1 29 6" xfId="5238" xr:uid="{00000000-0005-0000-0000-00005A180000}"/>
    <cellStyle name="Accent1 29 6 2" xfId="15017" xr:uid="{00000000-0005-0000-0000-00005B180000}"/>
    <cellStyle name="Accent1 29 7" xfId="5239" xr:uid="{00000000-0005-0000-0000-00005C180000}"/>
    <cellStyle name="Accent1 29 7 2" xfId="15018" xr:uid="{00000000-0005-0000-0000-00005D180000}"/>
    <cellStyle name="Accent1 29 8" xfId="5240" xr:uid="{00000000-0005-0000-0000-00005E180000}"/>
    <cellStyle name="Accent1 29 8 2" xfId="15019" xr:uid="{00000000-0005-0000-0000-00005F180000}"/>
    <cellStyle name="Accent1 29 9" xfId="5241" xr:uid="{00000000-0005-0000-0000-000060180000}"/>
    <cellStyle name="Accent1 29 9 2" xfId="15020" xr:uid="{00000000-0005-0000-0000-000061180000}"/>
    <cellStyle name="Accent1 3" xfId="5242" xr:uid="{00000000-0005-0000-0000-000062180000}"/>
    <cellStyle name="Accent1 3 10" xfId="5243" xr:uid="{00000000-0005-0000-0000-000063180000}"/>
    <cellStyle name="Accent1 3 10 2" xfId="15021" xr:uid="{00000000-0005-0000-0000-000064180000}"/>
    <cellStyle name="Accent1 3 11" xfId="5244" xr:uid="{00000000-0005-0000-0000-000065180000}"/>
    <cellStyle name="Accent1 3 11 2" xfId="15022" xr:uid="{00000000-0005-0000-0000-000066180000}"/>
    <cellStyle name="Accent1 3 12" xfId="22021" xr:uid="{00000000-0005-0000-0000-000067180000}"/>
    <cellStyle name="Accent1 3 2" xfId="5245" xr:uid="{00000000-0005-0000-0000-000068180000}"/>
    <cellStyle name="Accent1 3 2 2" xfId="5246" xr:uid="{00000000-0005-0000-0000-000069180000}"/>
    <cellStyle name="Accent1 3 2 2 2" xfId="15023" xr:uid="{00000000-0005-0000-0000-00006A180000}"/>
    <cellStyle name="Accent1 3 3" xfId="5247" xr:uid="{00000000-0005-0000-0000-00006B180000}"/>
    <cellStyle name="Accent1 3 3 2" xfId="5248" xr:uid="{00000000-0005-0000-0000-00006C180000}"/>
    <cellStyle name="Accent1 3 3 2 2" xfId="15024" xr:uid="{00000000-0005-0000-0000-00006D180000}"/>
    <cellStyle name="Accent1 3 4" xfId="5249" xr:uid="{00000000-0005-0000-0000-00006E180000}"/>
    <cellStyle name="Accent1 3 4 2" xfId="5250" xr:uid="{00000000-0005-0000-0000-00006F180000}"/>
    <cellStyle name="Accent1 3 4 3" xfId="15025" xr:uid="{00000000-0005-0000-0000-000070180000}"/>
    <cellStyle name="Accent1 3 5" xfId="5251" xr:uid="{00000000-0005-0000-0000-000071180000}"/>
    <cellStyle name="Accent1 3 5 2" xfId="15026" xr:uid="{00000000-0005-0000-0000-000072180000}"/>
    <cellStyle name="Accent1 3 6" xfId="5252" xr:uid="{00000000-0005-0000-0000-000073180000}"/>
    <cellStyle name="Accent1 3 6 2" xfId="15027" xr:uid="{00000000-0005-0000-0000-000074180000}"/>
    <cellStyle name="Accent1 3 7" xfId="5253" xr:uid="{00000000-0005-0000-0000-000075180000}"/>
    <cellStyle name="Accent1 3 7 2" xfId="15028" xr:uid="{00000000-0005-0000-0000-000076180000}"/>
    <cellStyle name="Accent1 3 8" xfId="5254" xr:uid="{00000000-0005-0000-0000-000077180000}"/>
    <cellStyle name="Accent1 3 8 2" xfId="15029" xr:uid="{00000000-0005-0000-0000-000078180000}"/>
    <cellStyle name="Accent1 3 9" xfId="5255" xr:uid="{00000000-0005-0000-0000-000079180000}"/>
    <cellStyle name="Accent1 3 9 2" xfId="15030" xr:uid="{00000000-0005-0000-0000-00007A180000}"/>
    <cellStyle name="Accent1 30" xfId="5256" xr:uid="{00000000-0005-0000-0000-00007B180000}"/>
    <cellStyle name="Accent1 30 2" xfId="5257" xr:uid="{00000000-0005-0000-0000-00007C180000}"/>
    <cellStyle name="Accent1 30 2 2" xfId="15031" xr:uid="{00000000-0005-0000-0000-00007D180000}"/>
    <cellStyle name="Accent1 31" xfId="5258" xr:uid="{00000000-0005-0000-0000-00007E180000}"/>
    <cellStyle name="Accent1 31 2" xfId="5259" xr:uid="{00000000-0005-0000-0000-00007F180000}"/>
    <cellStyle name="Accent1 31 2 2" xfId="15032" xr:uid="{00000000-0005-0000-0000-000080180000}"/>
    <cellStyle name="Accent1 32" xfId="5260" xr:uid="{00000000-0005-0000-0000-000081180000}"/>
    <cellStyle name="Accent1 32 2" xfId="5261" xr:uid="{00000000-0005-0000-0000-000082180000}"/>
    <cellStyle name="Accent1 32 2 2" xfId="15033" xr:uid="{00000000-0005-0000-0000-000083180000}"/>
    <cellStyle name="Accent1 33" xfId="5262" xr:uid="{00000000-0005-0000-0000-000084180000}"/>
    <cellStyle name="Accent1 33 2" xfId="5263" xr:uid="{00000000-0005-0000-0000-000085180000}"/>
    <cellStyle name="Accent1 33 2 2" xfId="15034" xr:uid="{00000000-0005-0000-0000-000086180000}"/>
    <cellStyle name="Accent1 34" xfId="5264" xr:uid="{00000000-0005-0000-0000-000087180000}"/>
    <cellStyle name="Accent1 34 2" xfId="5265" xr:uid="{00000000-0005-0000-0000-000088180000}"/>
    <cellStyle name="Accent1 34 2 2" xfId="15035" xr:uid="{00000000-0005-0000-0000-000089180000}"/>
    <cellStyle name="Accent1 35" xfId="5266" xr:uid="{00000000-0005-0000-0000-00008A180000}"/>
    <cellStyle name="Accent1 35 2" xfId="5267" xr:uid="{00000000-0005-0000-0000-00008B180000}"/>
    <cellStyle name="Accent1 35 2 2" xfId="15036" xr:uid="{00000000-0005-0000-0000-00008C180000}"/>
    <cellStyle name="Accent1 36" xfId="5268" xr:uid="{00000000-0005-0000-0000-00008D180000}"/>
    <cellStyle name="Accent1 37" xfId="5269" xr:uid="{00000000-0005-0000-0000-00008E180000}"/>
    <cellStyle name="Accent1 38" xfId="5270" xr:uid="{00000000-0005-0000-0000-00008F180000}"/>
    <cellStyle name="Accent1 39" xfId="5271" xr:uid="{00000000-0005-0000-0000-000090180000}"/>
    <cellStyle name="Accent1 4" xfId="5272" xr:uid="{00000000-0005-0000-0000-000091180000}"/>
    <cellStyle name="Accent1 4 10" xfId="5273" xr:uid="{00000000-0005-0000-0000-000092180000}"/>
    <cellStyle name="Accent1 4 10 2" xfId="15037" xr:uid="{00000000-0005-0000-0000-000093180000}"/>
    <cellStyle name="Accent1 4 11" xfId="5274" xr:uid="{00000000-0005-0000-0000-000094180000}"/>
    <cellStyle name="Accent1 4 11 2" xfId="15038" xr:uid="{00000000-0005-0000-0000-000095180000}"/>
    <cellStyle name="Accent1 4 12" xfId="22022" xr:uid="{00000000-0005-0000-0000-000096180000}"/>
    <cellStyle name="Accent1 4 2" xfId="5275" xr:uid="{00000000-0005-0000-0000-000097180000}"/>
    <cellStyle name="Accent1 4 2 2" xfId="5276" xr:uid="{00000000-0005-0000-0000-000098180000}"/>
    <cellStyle name="Accent1 4 2 2 2" xfId="15039" xr:uid="{00000000-0005-0000-0000-000099180000}"/>
    <cellStyle name="Accent1 4 3" xfId="5277" xr:uid="{00000000-0005-0000-0000-00009A180000}"/>
    <cellStyle name="Accent1 4 3 2" xfId="5278" xr:uid="{00000000-0005-0000-0000-00009B180000}"/>
    <cellStyle name="Accent1 4 3 2 2" xfId="15040" xr:uid="{00000000-0005-0000-0000-00009C180000}"/>
    <cellStyle name="Accent1 4 4" xfId="5279" xr:uid="{00000000-0005-0000-0000-00009D180000}"/>
    <cellStyle name="Accent1 4 4 2" xfId="5280" xr:uid="{00000000-0005-0000-0000-00009E180000}"/>
    <cellStyle name="Accent1 4 4 3" xfId="15041" xr:uid="{00000000-0005-0000-0000-00009F180000}"/>
    <cellStyle name="Accent1 4 5" xfId="5281" xr:uid="{00000000-0005-0000-0000-0000A0180000}"/>
    <cellStyle name="Accent1 4 5 2" xfId="15042" xr:uid="{00000000-0005-0000-0000-0000A1180000}"/>
    <cellStyle name="Accent1 4 6" xfId="5282" xr:uid="{00000000-0005-0000-0000-0000A2180000}"/>
    <cellStyle name="Accent1 4 6 2" xfId="15043" xr:uid="{00000000-0005-0000-0000-0000A3180000}"/>
    <cellStyle name="Accent1 4 7" xfId="5283" xr:uid="{00000000-0005-0000-0000-0000A4180000}"/>
    <cellStyle name="Accent1 4 7 2" xfId="15044" xr:uid="{00000000-0005-0000-0000-0000A5180000}"/>
    <cellStyle name="Accent1 4 8" xfId="5284" xr:uid="{00000000-0005-0000-0000-0000A6180000}"/>
    <cellStyle name="Accent1 4 8 2" xfId="15045" xr:uid="{00000000-0005-0000-0000-0000A7180000}"/>
    <cellStyle name="Accent1 4 9" xfId="5285" xr:uid="{00000000-0005-0000-0000-0000A8180000}"/>
    <cellStyle name="Accent1 4 9 2" xfId="15046" xr:uid="{00000000-0005-0000-0000-0000A9180000}"/>
    <cellStyle name="Accent1 40" xfId="21706" xr:uid="{00000000-0005-0000-0000-0000AA180000}"/>
    <cellStyle name="Accent1 5" xfId="5286" xr:uid="{00000000-0005-0000-0000-0000AB180000}"/>
    <cellStyle name="Accent1 5 10" xfId="5287" xr:uid="{00000000-0005-0000-0000-0000AC180000}"/>
    <cellStyle name="Accent1 5 10 2" xfId="15047" xr:uid="{00000000-0005-0000-0000-0000AD180000}"/>
    <cellStyle name="Accent1 5 11" xfId="5288" xr:uid="{00000000-0005-0000-0000-0000AE180000}"/>
    <cellStyle name="Accent1 5 11 2" xfId="15048" xr:uid="{00000000-0005-0000-0000-0000AF180000}"/>
    <cellStyle name="Accent1 5 12" xfId="22023" xr:uid="{00000000-0005-0000-0000-0000B0180000}"/>
    <cellStyle name="Accent1 5 2" xfId="5289" xr:uid="{00000000-0005-0000-0000-0000B1180000}"/>
    <cellStyle name="Accent1 5 2 2" xfId="5290" xr:uid="{00000000-0005-0000-0000-0000B2180000}"/>
    <cellStyle name="Accent1 5 2 2 2" xfId="15049" xr:uid="{00000000-0005-0000-0000-0000B3180000}"/>
    <cellStyle name="Accent1 5 3" xfId="5291" xr:uid="{00000000-0005-0000-0000-0000B4180000}"/>
    <cellStyle name="Accent1 5 3 2" xfId="5292" xr:uid="{00000000-0005-0000-0000-0000B5180000}"/>
    <cellStyle name="Accent1 5 3 2 2" xfId="15050" xr:uid="{00000000-0005-0000-0000-0000B6180000}"/>
    <cellStyle name="Accent1 5 4" xfId="5293" xr:uid="{00000000-0005-0000-0000-0000B7180000}"/>
    <cellStyle name="Accent1 5 4 2" xfId="5294" xr:uid="{00000000-0005-0000-0000-0000B8180000}"/>
    <cellStyle name="Accent1 5 4 3" xfId="15051" xr:uid="{00000000-0005-0000-0000-0000B9180000}"/>
    <cellStyle name="Accent1 5 5" xfId="5295" xr:uid="{00000000-0005-0000-0000-0000BA180000}"/>
    <cellStyle name="Accent1 5 5 2" xfId="15052" xr:uid="{00000000-0005-0000-0000-0000BB180000}"/>
    <cellStyle name="Accent1 5 6" xfId="5296" xr:uid="{00000000-0005-0000-0000-0000BC180000}"/>
    <cellStyle name="Accent1 5 6 2" xfId="15053" xr:uid="{00000000-0005-0000-0000-0000BD180000}"/>
    <cellStyle name="Accent1 5 7" xfId="5297" xr:uid="{00000000-0005-0000-0000-0000BE180000}"/>
    <cellStyle name="Accent1 5 7 2" xfId="15054" xr:uid="{00000000-0005-0000-0000-0000BF180000}"/>
    <cellStyle name="Accent1 5 8" xfId="5298" xr:uid="{00000000-0005-0000-0000-0000C0180000}"/>
    <cellStyle name="Accent1 5 8 2" xfId="15055" xr:uid="{00000000-0005-0000-0000-0000C1180000}"/>
    <cellStyle name="Accent1 5 9" xfId="5299" xr:uid="{00000000-0005-0000-0000-0000C2180000}"/>
    <cellStyle name="Accent1 5 9 2" xfId="15056" xr:uid="{00000000-0005-0000-0000-0000C3180000}"/>
    <cellStyle name="Accent1 6" xfId="5300" xr:uid="{00000000-0005-0000-0000-0000C4180000}"/>
    <cellStyle name="Accent1 6 10" xfId="5301" xr:uid="{00000000-0005-0000-0000-0000C5180000}"/>
    <cellStyle name="Accent1 6 10 2" xfId="15057" xr:uid="{00000000-0005-0000-0000-0000C6180000}"/>
    <cellStyle name="Accent1 6 11" xfId="5302" xr:uid="{00000000-0005-0000-0000-0000C7180000}"/>
    <cellStyle name="Accent1 6 11 2" xfId="15058" xr:uid="{00000000-0005-0000-0000-0000C8180000}"/>
    <cellStyle name="Accent1 6 2" xfId="5303" xr:uid="{00000000-0005-0000-0000-0000C9180000}"/>
    <cellStyle name="Accent1 6 2 2" xfId="5304" xr:uid="{00000000-0005-0000-0000-0000CA180000}"/>
    <cellStyle name="Accent1 6 2 2 2" xfId="15059" xr:uid="{00000000-0005-0000-0000-0000CB180000}"/>
    <cellStyle name="Accent1 6 3" xfId="5305" xr:uid="{00000000-0005-0000-0000-0000CC180000}"/>
    <cellStyle name="Accent1 6 3 2" xfId="5306" xr:uid="{00000000-0005-0000-0000-0000CD180000}"/>
    <cellStyle name="Accent1 6 3 2 2" xfId="15060" xr:uid="{00000000-0005-0000-0000-0000CE180000}"/>
    <cellStyle name="Accent1 6 4" xfId="5307" xr:uid="{00000000-0005-0000-0000-0000CF180000}"/>
    <cellStyle name="Accent1 6 4 2" xfId="5308" xr:uid="{00000000-0005-0000-0000-0000D0180000}"/>
    <cellStyle name="Accent1 6 4 3" xfId="15061" xr:uid="{00000000-0005-0000-0000-0000D1180000}"/>
    <cellStyle name="Accent1 6 5" xfId="5309" xr:uid="{00000000-0005-0000-0000-0000D2180000}"/>
    <cellStyle name="Accent1 6 5 2" xfId="15062" xr:uid="{00000000-0005-0000-0000-0000D3180000}"/>
    <cellStyle name="Accent1 6 6" xfId="5310" xr:uid="{00000000-0005-0000-0000-0000D4180000}"/>
    <cellStyle name="Accent1 6 6 2" xfId="15063" xr:uid="{00000000-0005-0000-0000-0000D5180000}"/>
    <cellStyle name="Accent1 6 7" xfId="5311" xr:uid="{00000000-0005-0000-0000-0000D6180000}"/>
    <cellStyle name="Accent1 6 7 2" xfId="15064" xr:uid="{00000000-0005-0000-0000-0000D7180000}"/>
    <cellStyle name="Accent1 6 8" xfId="5312" xr:uid="{00000000-0005-0000-0000-0000D8180000}"/>
    <cellStyle name="Accent1 6 8 2" xfId="15065" xr:uid="{00000000-0005-0000-0000-0000D9180000}"/>
    <cellStyle name="Accent1 6 9" xfId="5313" xr:uid="{00000000-0005-0000-0000-0000DA180000}"/>
    <cellStyle name="Accent1 6 9 2" xfId="15066" xr:uid="{00000000-0005-0000-0000-0000DB180000}"/>
    <cellStyle name="Accent1 7" xfId="5314" xr:uid="{00000000-0005-0000-0000-0000DC180000}"/>
    <cellStyle name="Accent1 7 10" xfId="5315" xr:uid="{00000000-0005-0000-0000-0000DD180000}"/>
    <cellStyle name="Accent1 7 10 2" xfId="15067" xr:uid="{00000000-0005-0000-0000-0000DE180000}"/>
    <cellStyle name="Accent1 7 11" xfId="5316" xr:uid="{00000000-0005-0000-0000-0000DF180000}"/>
    <cellStyle name="Accent1 7 11 2" xfId="15068" xr:uid="{00000000-0005-0000-0000-0000E0180000}"/>
    <cellStyle name="Accent1 7 2" xfId="5317" xr:uid="{00000000-0005-0000-0000-0000E1180000}"/>
    <cellStyle name="Accent1 7 2 2" xfId="5318" xr:uid="{00000000-0005-0000-0000-0000E2180000}"/>
    <cellStyle name="Accent1 7 2 2 2" xfId="15069" xr:uid="{00000000-0005-0000-0000-0000E3180000}"/>
    <cellStyle name="Accent1 7 3" xfId="5319" xr:uid="{00000000-0005-0000-0000-0000E4180000}"/>
    <cellStyle name="Accent1 7 3 2" xfId="5320" xr:uid="{00000000-0005-0000-0000-0000E5180000}"/>
    <cellStyle name="Accent1 7 3 2 2" xfId="15070" xr:uid="{00000000-0005-0000-0000-0000E6180000}"/>
    <cellStyle name="Accent1 7 4" xfId="5321" xr:uid="{00000000-0005-0000-0000-0000E7180000}"/>
    <cellStyle name="Accent1 7 4 2" xfId="5322" xr:uid="{00000000-0005-0000-0000-0000E8180000}"/>
    <cellStyle name="Accent1 7 4 3" xfId="15071" xr:uid="{00000000-0005-0000-0000-0000E9180000}"/>
    <cellStyle name="Accent1 7 5" xfId="5323" xr:uid="{00000000-0005-0000-0000-0000EA180000}"/>
    <cellStyle name="Accent1 7 5 2" xfId="15072" xr:uid="{00000000-0005-0000-0000-0000EB180000}"/>
    <cellStyle name="Accent1 7 6" xfId="5324" xr:uid="{00000000-0005-0000-0000-0000EC180000}"/>
    <cellStyle name="Accent1 7 6 2" xfId="15073" xr:uid="{00000000-0005-0000-0000-0000ED180000}"/>
    <cellStyle name="Accent1 7 7" xfId="5325" xr:uid="{00000000-0005-0000-0000-0000EE180000}"/>
    <cellStyle name="Accent1 7 7 2" xfId="15074" xr:uid="{00000000-0005-0000-0000-0000EF180000}"/>
    <cellStyle name="Accent1 7 8" xfId="5326" xr:uid="{00000000-0005-0000-0000-0000F0180000}"/>
    <cellStyle name="Accent1 7 8 2" xfId="15075" xr:uid="{00000000-0005-0000-0000-0000F1180000}"/>
    <cellStyle name="Accent1 7 9" xfId="5327" xr:uid="{00000000-0005-0000-0000-0000F2180000}"/>
    <cellStyle name="Accent1 7 9 2" xfId="15076" xr:uid="{00000000-0005-0000-0000-0000F3180000}"/>
    <cellStyle name="Accent1 8" xfId="5328" xr:uid="{00000000-0005-0000-0000-0000F4180000}"/>
    <cellStyle name="Accent1 8 10" xfId="5329" xr:uid="{00000000-0005-0000-0000-0000F5180000}"/>
    <cellStyle name="Accent1 8 10 2" xfId="15077" xr:uid="{00000000-0005-0000-0000-0000F6180000}"/>
    <cellStyle name="Accent1 8 11" xfId="5330" xr:uid="{00000000-0005-0000-0000-0000F7180000}"/>
    <cellStyle name="Accent1 8 11 2" xfId="15078" xr:uid="{00000000-0005-0000-0000-0000F8180000}"/>
    <cellStyle name="Accent1 8 2" xfId="5331" xr:uid="{00000000-0005-0000-0000-0000F9180000}"/>
    <cellStyle name="Accent1 8 2 2" xfId="5332" xr:uid="{00000000-0005-0000-0000-0000FA180000}"/>
    <cellStyle name="Accent1 8 2 2 2" xfId="15079" xr:uid="{00000000-0005-0000-0000-0000FB180000}"/>
    <cellStyle name="Accent1 8 3" xfId="5333" xr:uid="{00000000-0005-0000-0000-0000FC180000}"/>
    <cellStyle name="Accent1 8 3 2" xfId="5334" xr:uid="{00000000-0005-0000-0000-0000FD180000}"/>
    <cellStyle name="Accent1 8 3 2 2" xfId="15080" xr:uid="{00000000-0005-0000-0000-0000FE180000}"/>
    <cellStyle name="Accent1 8 4" xfId="5335" xr:uid="{00000000-0005-0000-0000-0000FF180000}"/>
    <cellStyle name="Accent1 8 4 2" xfId="5336" xr:uid="{00000000-0005-0000-0000-000000190000}"/>
    <cellStyle name="Accent1 8 4 3" xfId="15081" xr:uid="{00000000-0005-0000-0000-000001190000}"/>
    <cellStyle name="Accent1 8 5" xfId="5337" xr:uid="{00000000-0005-0000-0000-000002190000}"/>
    <cellStyle name="Accent1 8 5 2" xfId="15082" xr:uid="{00000000-0005-0000-0000-000003190000}"/>
    <cellStyle name="Accent1 8 6" xfId="5338" xr:uid="{00000000-0005-0000-0000-000004190000}"/>
    <cellStyle name="Accent1 8 6 2" xfId="15083" xr:uid="{00000000-0005-0000-0000-000005190000}"/>
    <cellStyle name="Accent1 8 7" xfId="5339" xr:uid="{00000000-0005-0000-0000-000006190000}"/>
    <cellStyle name="Accent1 8 7 2" xfId="15084" xr:uid="{00000000-0005-0000-0000-000007190000}"/>
    <cellStyle name="Accent1 8 8" xfId="5340" xr:uid="{00000000-0005-0000-0000-000008190000}"/>
    <cellStyle name="Accent1 8 8 2" xfId="15085" xr:uid="{00000000-0005-0000-0000-000009190000}"/>
    <cellStyle name="Accent1 8 9" xfId="5341" xr:uid="{00000000-0005-0000-0000-00000A190000}"/>
    <cellStyle name="Accent1 8 9 2" xfId="15086" xr:uid="{00000000-0005-0000-0000-00000B190000}"/>
    <cellStyle name="Accent1 9" xfId="5342" xr:uid="{00000000-0005-0000-0000-00000C190000}"/>
    <cellStyle name="Accent1 9 10" xfId="5343" xr:uid="{00000000-0005-0000-0000-00000D190000}"/>
    <cellStyle name="Accent1 9 10 2" xfId="15087" xr:uid="{00000000-0005-0000-0000-00000E190000}"/>
    <cellStyle name="Accent1 9 11" xfId="5344" xr:uid="{00000000-0005-0000-0000-00000F190000}"/>
    <cellStyle name="Accent1 9 11 2" xfId="15088" xr:uid="{00000000-0005-0000-0000-000010190000}"/>
    <cellStyle name="Accent1 9 2" xfId="5345" xr:uid="{00000000-0005-0000-0000-000011190000}"/>
    <cellStyle name="Accent1 9 2 2" xfId="5346" xr:uid="{00000000-0005-0000-0000-000012190000}"/>
    <cellStyle name="Accent1 9 2 2 2" xfId="15089" xr:uid="{00000000-0005-0000-0000-000013190000}"/>
    <cellStyle name="Accent1 9 3" xfId="5347" xr:uid="{00000000-0005-0000-0000-000014190000}"/>
    <cellStyle name="Accent1 9 3 2" xfId="5348" xr:uid="{00000000-0005-0000-0000-000015190000}"/>
    <cellStyle name="Accent1 9 3 2 2" xfId="15090" xr:uid="{00000000-0005-0000-0000-000016190000}"/>
    <cellStyle name="Accent1 9 4" xfId="5349" xr:uid="{00000000-0005-0000-0000-000017190000}"/>
    <cellStyle name="Accent1 9 4 2" xfId="5350" xr:uid="{00000000-0005-0000-0000-000018190000}"/>
    <cellStyle name="Accent1 9 4 3" xfId="15091" xr:uid="{00000000-0005-0000-0000-000019190000}"/>
    <cellStyle name="Accent1 9 5" xfId="5351" xr:uid="{00000000-0005-0000-0000-00001A190000}"/>
    <cellStyle name="Accent1 9 5 2" xfId="15092" xr:uid="{00000000-0005-0000-0000-00001B190000}"/>
    <cellStyle name="Accent1 9 6" xfId="5352" xr:uid="{00000000-0005-0000-0000-00001C190000}"/>
    <cellStyle name="Accent1 9 6 2" xfId="15093" xr:uid="{00000000-0005-0000-0000-00001D190000}"/>
    <cellStyle name="Accent1 9 7" xfId="5353" xr:uid="{00000000-0005-0000-0000-00001E190000}"/>
    <cellStyle name="Accent1 9 7 2" xfId="15094" xr:uid="{00000000-0005-0000-0000-00001F190000}"/>
    <cellStyle name="Accent1 9 8" xfId="5354" xr:uid="{00000000-0005-0000-0000-000020190000}"/>
    <cellStyle name="Accent1 9 8 2" xfId="15095" xr:uid="{00000000-0005-0000-0000-000021190000}"/>
    <cellStyle name="Accent1 9 9" xfId="5355" xr:uid="{00000000-0005-0000-0000-000022190000}"/>
    <cellStyle name="Accent1 9 9 2" xfId="15096" xr:uid="{00000000-0005-0000-0000-000023190000}"/>
    <cellStyle name="Accent2 10" xfId="5356" xr:uid="{00000000-0005-0000-0000-000024190000}"/>
    <cellStyle name="Accent2 10 10" xfId="5357" xr:uid="{00000000-0005-0000-0000-000025190000}"/>
    <cellStyle name="Accent2 10 10 2" xfId="15097" xr:uid="{00000000-0005-0000-0000-000026190000}"/>
    <cellStyle name="Accent2 10 11" xfId="5358" xr:uid="{00000000-0005-0000-0000-000027190000}"/>
    <cellStyle name="Accent2 10 11 2" xfId="15098" xr:uid="{00000000-0005-0000-0000-000028190000}"/>
    <cellStyle name="Accent2 10 2" xfId="5359" xr:uid="{00000000-0005-0000-0000-000029190000}"/>
    <cellStyle name="Accent2 10 2 2" xfId="5360" xr:uid="{00000000-0005-0000-0000-00002A190000}"/>
    <cellStyle name="Accent2 10 2 2 2" xfId="15099" xr:uid="{00000000-0005-0000-0000-00002B190000}"/>
    <cellStyle name="Accent2 10 3" xfId="5361" xr:uid="{00000000-0005-0000-0000-00002C190000}"/>
    <cellStyle name="Accent2 10 3 2" xfId="5362" xr:uid="{00000000-0005-0000-0000-00002D190000}"/>
    <cellStyle name="Accent2 10 3 2 2" xfId="15100" xr:uid="{00000000-0005-0000-0000-00002E190000}"/>
    <cellStyle name="Accent2 10 4" xfId="5363" xr:uid="{00000000-0005-0000-0000-00002F190000}"/>
    <cellStyle name="Accent2 10 4 2" xfId="5364" xr:uid="{00000000-0005-0000-0000-000030190000}"/>
    <cellStyle name="Accent2 10 4 3" xfId="15101" xr:uid="{00000000-0005-0000-0000-000031190000}"/>
    <cellStyle name="Accent2 10 5" xfId="5365" xr:uid="{00000000-0005-0000-0000-000032190000}"/>
    <cellStyle name="Accent2 10 5 2" xfId="15102" xr:uid="{00000000-0005-0000-0000-000033190000}"/>
    <cellStyle name="Accent2 10 6" xfId="5366" xr:uid="{00000000-0005-0000-0000-000034190000}"/>
    <cellStyle name="Accent2 10 6 2" xfId="15103" xr:uid="{00000000-0005-0000-0000-000035190000}"/>
    <cellStyle name="Accent2 10 7" xfId="5367" xr:uid="{00000000-0005-0000-0000-000036190000}"/>
    <cellStyle name="Accent2 10 7 2" xfId="15104" xr:uid="{00000000-0005-0000-0000-000037190000}"/>
    <cellStyle name="Accent2 10 8" xfId="5368" xr:uid="{00000000-0005-0000-0000-000038190000}"/>
    <cellStyle name="Accent2 10 8 2" xfId="15105" xr:uid="{00000000-0005-0000-0000-000039190000}"/>
    <cellStyle name="Accent2 10 9" xfId="5369" xr:uid="{00000000-0005-0000-0000-00003A190000}"/>
    <cellStyle name="Accent2 10 9 2" xfId="15106" xr:uid="{00000000-0005-0000-0000-00003B190000}"/>
    <cellStyle name="Accent2 11" xfId="5370" xr:uid="{00000000-0005-0000-0000-00003C190000}"/>
    <cellStyle name="Accent2 11 10" xfId="5371" xr:uid="{00000000-0005-0000-0000-00003D190000}"/>
    <cellStyle name="Accent2 11 10 2" xfId="15107" xr:uid="{00000000-0005-0000-0000-00003E190000}"/>
    <cellStyle name="Accent2 11 11" xfId="5372" xr:uid="{00000000-0005-0000-0000-00003F190000}"/>
    <cellStyle name="Accent2 11 11 2" xfId="15108" xr:uid="{00000000-0005-0000-0000-000040190000}"/>
    <cellStyle name="Accent2 11 2" xfId="5373" xr:uid="{00000000-0005-0000-0000-000041190000}"/>
    <cellStyle name="Accent2 11 2 2" xfId="5374" xr:uid="{00000000-0005-0000-0000-000042190000}"/>
    <cellStyle name="Accent2 11 2 2 2" xfId="15109" xr:uid="{00000000-0005-0000-0000-000043190000}"/>
    <cellStyle name="Accent2 11 3" xfId="5375" xr:uid="{00000000-0005-0000-0000-000044190000}"/>
    <cellStyle name="Accent2 11 3 2" xfId="5376" xr:uid="{00000000-0005-0000-0000-000045190000}"/>
    <cellStyle name="Accent2 11 3 2 2" xfId="15110" xr:uid="{00000000-0005-0000-0000-000046190000}"/>
    <cellStyle name="Accent2 11 4" xfId="5377" xr:uid="{00000000-0005-0000-0000-000047190000}"/>
    <cellStyle name="Accent2 11 4 2" xfId="5378" xr:uid="{00000000-0005-0000-0000-000048190000}"/>
    <cellStyle name="Accent2 11 4 3" xfId="15111" xr:uid="{00000000-0005-0000-0000-000049190000}"/>
    <cellStyle name="Accent2 11 5" xfId="5379" xr:uid="{00000000-0005-0000-0000-00004A190000}"/>
    <cellStyle name="Accent2 11 5 2" xfId="15112" xr:uid="{00000000-0005-0000-0000-00004B190000}"/>
    <cellStyle name="Accent2 11 6" xfId="5380" xr:uid="{00000000-0005-0000-0000-00004C190000}"/>
    <cellStyle name="Accent2 11 6 2" xfId="15113" xr:uid="{00000000-0005-0000-0000-00004D190000}"/>
    <cellStyle name="Accent2 11 7" xfId="5381" xr:uid="{00000000-0005-0000-0000-00004E190000}"/>
    <cellStyle name="Accent2 11 7 2" xfId="15114" xr:uid="{00000000-0005-0000-0000-00004F190000}"/>
    <cellStyle name="Accent2 11 8" xfId="5382" xr:uid="{00000000-0005-0000-0000-000050190000}"/>
    <cellStyle name="Accent2 11 8 2" xfId="15115" xr:uid="{00000000-0005-0000-0000-000051190000}"/>
    <cellStyle name="Accent2 11 9" xfId="5383" xr:uid="{00000000-0005-0000-0000-000052190000}"/>
    <cellStyle name="Accent2 11 9 2" xfId="15116" xr:uid="{00000000-0005-0000-0000-000053190000}"/>
    <cellStyle name="Accent2 12" xfId="5384" xr:uid="{00000000-0005-0000-0000-000054190000}"/>
    <cellStyle name="Accent2 12 10" xfId="5385" xr:uid="{00000000-0005-0000-0000-000055190000}"/>
    <cellStyle name="Accent2 12 10 2" xfId="15117" xr:uid="{00000000-0005-0000-0000-000056190000}"/>
    <cellStyle name="Accent2 12 11" xfId="5386" xr:uid="{00000000-0005-0000-0000-000057190000}"/>
    <cellStyle name="Accent2 12 11 2" xfId="15118" xr:uid="{00000000-0005-0000-0000-000058190000}"/>
    <cellStyle name="Accent2 12 2" xfId="5387" xr:uid="{00000000-0005-0000-0000-000059190000}"/>
    <cellStyle name="Accent2 12 2 2" xfId="5388" xr:uid="{00000000-0005-0000-0000-00005A190000}"/>
    <cellStyle name="Accent2 12 2 2 2" xfId="15119" xr:uid="{00000000-0005-0000-0000-00005B190000}"/>
    <cellStyle name="Accent2 12 3" xfId="5389" xr:uid="{00000000-0005-0000-0000-00005C190000}"/>
    <cellStyle name="Accent2 12 3 2" xfId="5390" xr:uid="{00000000-0005-0000-0000-00005D190000}"/>
    <cellStyle name="Accent2 12 3 2 2" xfId="15120" xr:uid="{00000000-0005-0000-0000-00005E190000}"/>
    <cellStyle name="Accent2 12 4" xfId="5391" xr:uid="{00000000-0005-0000-0000-00005F190000}"/>
    <cellStyle name="Accent2 12 4 2" xfId="5392" xr:uid="{00000000-0005-0000-0000-000060190000}"/>
    <cellStyle name="Accent2 12 4 3" xfId="15121" xr:uid="{00000000-0005-0000-0000-000061190000}"/>
    <cellStyle name="Accent2 12 5" xfId="5393" xr:uid="{00000000-0005-0000-0000-000062190000}"/>
    <cellStyle name="Accent2 12 5 2" xfId="15122" xr:uid="{00000000-0005-0000-0000-000063190000}"/>
    <cellStyle name="Accent2 12 6" xfId="5394" xr:uid="{00000000-0005-0000-0000-000064190000}"/>
    <cellStyle name="Accent2 12 6 2" xfId="15123" xr:uid="{00000000-0005-0000-0000-000065190000}"/>
    <cellStyle name="Accent2 12 7" xfId="5395" xr:uid="{00000000-0005-0000-0000-000066190000}"/>
    <cellStyle name="Accent2 12 7 2" xfId="15124" xr:uid="{00000000-0005-0000-0000-000067190000}"/>
    <cellStyle name="Accent2 12 8" xfId="5396" xr:uid="{00000000-0005-0000-0000-000068190000}"/>
    <cellStyle name="Accent2 12 8 2" xfId="15125" xr:uid="{00000000-0005-0000-0000-000069190000}"/>
    <cellStyle name="Accent2 12 9" xfId="5397" xr:uid="{00000000-0005-0000-0000-00006A190000}"/>
    <cellStyle name="Accent2 12 9 2" xfId="15126" xr:uid="{00000000-0005-0000-0000-00006B190000}"/>
    <cellStyle name="Accent2 13" xfId="5398" xr:uid="{00000000-0005-0000-0000-00006C190000}"/>
    <cellStyle name="Accent2 13 10" xfId="5399" xr:uid="{00000000-0005-0000-0000-00006D190000}"/>
    <cellStyle name="Accent2 13 10 2" xfId="15127" xr:uid="{00000000-0005-0000-0000-00006E190000}"/>
    <cellStyle name="Accent2 13 11" xfId="5400" xr:uid="{00000000-0005-0000-0000-00006F190000}"/>
    <cellStyle name="Accent2 13 11 2" xfId="15128" xr:uid="{00000000-0005-0000-0000-000070190000}"/>
    <cellStyle name="Accent2 13 2" xfId="5401" xr:uid="{00000000-0005-0000-0000-000071190000}"/>
    <cellStyle name="Accent2 13 2 2" xfId="5402" xr:uid="{00000000-0005-0000-0000-000072190000}"/>
    <cellStyle name="Accent2 13 2 2 2" xfId="15129" xr:uid="{00000000-0005-0000-0000-000073190000}"/>
    <cellStyle name="Accent2 13 3" xfId="5403" xr:uid="{00000000-0005-0000-0000-000074190000}"/>
    <cellStyle name="Accent2 13 3 2" xfId="5404" xr:uid="{00000000-0005-0000-0000-000075190000}"/>
    <cellStyle name="Accent2 13 3 2 2" xfId="15130" xr:uid="{00000000-0005-0000-0000-000076190000}"/>
    <cellStyle name="Accent2 13 4" xfId="5405" xr:uid="{00000000-0005-0000-0000-000077190000}"/>
    <cellStyle name="Accent2 13 4 2" xfId="15131" xr:uid="{00000000-0005-0000-0000-000078190000}"/>
    <cellStyle name="Accent2 13 5" xfId="5406" xr:uid="{00000000-0005-0000-0000-000079190000}"/>
    <cellStyle name="Accent2 13 5 2" xfId="15132" xr:uid="{00000000-0005-0000-0000-00007A190000}"/>
    <cellStyle name="Accent2 13 6" xfId="5407" xr:uid="{00000000-0005-0000-0000-00007B190000}"/>
    <cellStyle name="Accent2 13 6 2" xfId="15133" xr:uid="{00000000-0005-0000-0000-00007C190000}"/>
    <cellStyle name="Accent2 13 7" xfId="5408" xr:uid="{00000000-0005-0000-0000-00007D190000}"/>
    <cellStyle name="Accent2 13 7 2" xfId="15134" xr:uid="{00000000-0005-0000-0000-00007E190000}"/>
    <cellStyle name="Accent2 13 8" xfId="5409" xr:uid="{00000000-0005-0000-0000-00007F190000}"/>
    <cellStyle name="Accent2 13 8 2" xfId="15135" xr:uid="{00000000-0005-0000-0000-000080190000}"/>
    <cellStyle name="Accent2 13 9" xfId="5410" xr:uid="{00000000-0005-0000-0000-000081190000}"/>
    <cellStyle name="Accent2 13 9 2" xfId="15136" xr:uid="{00000000-0005-0000-0000-000082190000}"/>
    <cellStyle name="Accent2 14" xfId="5411" xr:uid="{00000000-0005-0000-0000-000083190000}"/>
    <cellStyle name="Accent2 14 10" xfId="5412" xr:uid="{00000000-0005-0000-0000-000084190000}"/>
    <cellStyle name="Accent2 14 10 2" xfId="15137" xr:uid="{00000000-0005-0000-0000-000085190000}"/>
    <cellStyle name="Accent2 14 11" xfId="5413" xr:uid="{00000000-0005-0000-0000-000086190000}"/>
    <cellStyle name="Accent2 14 11 2" xfId="15138" xr:uid="{00000000-0005-0000-0000-000087190000}"/>
    <cellStyle name="Accent2 14 2" xfId="5414" xr:uid="{00000000-0005-0000-0000-000088190000}"/>
    <cellStyle name="Accent2 14 2 2" xfId="5415" xr:uid="{00000000-0005-0000-0000-000089190000}"/>
    <cellStyle name="Accent2 14 2 2 2" xfId="15139" xr:uid="{00000000-0005-0000-0000-00008A190000}"/>
    <cellStyle name="Accent2 14 3" xfId="5416" xr:uid="{00000000-0005-0000-0000-00008B190000}"/>
    <cellStyle name="Accent2 14 3 2" xfId="5417" xr:uid="{00000000-0005-0000-0000-00008C190000}"/>
    <cellStyle name="Accent2 14 3 2 2" xfId="15140" xr:uid="{00000000-0005-0000-0000-00008D190000}"/>
    <cellStyle name="Accent2 14 4" xfId="5418" xr:uid="{00000000-0005-0000-0000-00008E190000}"/>
    <cellStyle name="Accent2 14 4 2" xfId="15141" xr:uid="{00000000-0005-0000-0000-00008F190000}"/>
    <cellStyle name="Accent2 14 5" xfId="5419" xr:uid="{00000000-0005-0000-0000-000090190000}"/>
    <cellStyle name="Accent2 14 5 2" xfId="15142" xr:uid="{00000000-0005-0000-0000-000091190000}"/>
    <cellStyle name="Accent2 14 6" xfId="5420" xr:uid="{00000000-0005-0000-0000-000092190000}"/>
    <cellStyle name="Accent2 14 6 2" xfId="15143" xr:uid="{00000000-0005-0000-0000-000093190000}"/>
    <cellStyle name="Accent2 14 7" xfId="5421" xr:uid="{00000000-0005-0000-0000-000094190000}"/>
    <cellStyle name="Accent2 14 7 2" xfId="15144" xr:uid="{00000000-0005-0000-0000-000095190000}"/>
    <cellStyle name="Accent2 14 8" xfId="5422" xr:uid="{00000000-0005-0000-0000-000096190000}"/>
    <cellStyle name="Accent2 14 8 2" xfId="15145" xr:uid="{00000000-0005-0000-0000-000097190000}"/>
    <cellStyle name="Accent2 14 9" xfId="5423" xr:uid="{00000000-0005-0000-0000-000098190000}"/>
    <cellStyle name="Accent2 14 9 2" xfId="15146" xr:uid="{00000000-0005-0000-0000-000099190000}"/>
    <cellStyle name="Accent2 15" xfId="5424" xr:uid="{00000000-0005-0000-0000-00009A190000}"/>
    <cellStyle name="Accent2 15 10" xfId="5425" xr:uid="{00000000-0005-0000-0000-00009B190000}"/>
    <cellStyle name="Accent2 15 10 2" xfId="15147" xr:uid="{00000000-0005-0000-0000-00009C190000}"/>
    <cellStyle name="Accent2 15 11" xfId="5426" xr:uid="{00000000-0005-0000-0000-00009D190000}"/>
    <cellStyle name="Accent2 15 11 2" xfId="15148" xr:uid="{00000000-0005-0000-0000-00009E190000}"/>
    <cellStyle name="Accent2 15 2" xfId="5427" xr:uid="{00000000-0005-0000-0000-00009F190000}"/>
    <cellStyle name="Accent2 15 2 2" xfId="5428" xr:uid="{00000000-0005-0000-0000-0000A0190000}"/>
    <cellStyle name="Accent2 15 2 2 2" xfId="15149" xr:uid="{00000000-0005-0000-0000-0000A1190000}"/>
    <cellStyle name="Accent2 15 3" xfId="5429" xr:uid="{00000000-0005-0000-0000-0000A2190000}"/>
    <cellStyle name="Accent2 15 3 2" xfId="5430" xr:uid="{00000000-0005-0000-0000-0000A3190000}"/>
    <cellStyle name="Accent2 15 3 2 2" xfId="15150" xr:uid="{00000000-0005-0000-0000-0000A4190000}"/>
    <cellStyle name="Accent2 15 4" xfId="5431" xr:uid="{00000000-0005-0000-0000-0000A5190000}"/>
    <cellStyle name="Accent2 15 4 2" xfId="15151" xr:uid="{00000000-0005-0000-0000-0000A6190000}"/>
    <cellStyle name="Accent2 15 5" xfId="5432" xr:uid="{00000000-0005-0000-0000-0000A7190000}"/>
    <cellStyle name="Accent2 15 5 2" xfId="15152" xr:uid="{00000000-0005-0000-0000-0000A8190000}"/>
    <cellStyle name="Accent2 15 6" xfId="5433" xr:uid="{00000000-0005-0000-0000-0000A9190000}"/>
    <cellStyle name="Accent2 15 6 2" xfId="15153" xr:uid="{00000000-0005-0000-0000-0000AA190000}"/>
    <cellStyle name="Accent2 15 7" xfId="5434" xr:uid="{00000000-0005-0000-0000-0000AB190000}"/>
    <cellStyle name="Accent2 15 7 2" xfId="15154" xr:uid="{00000000-0005-0000-0000-0000AC190000}"/>
    <cellStyle name="Accent2 15 8" xfId="5435" xr:uid="{00000000-0005-0000-0000-0000AD190000}"/>
    <cellStyle name="Accent2 15 8 2" xfId="15155" xr:uid="{00000000-0005-0000-0000-0000AE190000}"/>
    <cellStyle name="Accent2 15 9" xfId="5436" xr:uid="{00000000-0005-0000-0000-0000AF190000}"/>
    <cellStyle name="Accent2 15 9 2" xfId="15156" xr:uid="{00000000-0005-0000-0000-0000B0190000}"/>
    <cellStyle name="Accent2 16" xfId="5437" xr:uid="{00000000-0005-0000-0000-0000B1190000}"/>
    <cellStyle name="Accent2 16 10" xfId="5438" xr:uid="{00000000-0005-0000-0000-0000B2190000}"/>
    <cellStyle name="Accent2 16 10 2" xfId="15157" xr:uid="{00000000-0005-0000-0000-0000B3190000}"/>
    <cellStyle name="Accent2 16 11" xfId="5439" xr:uid="{00000000-0005-0000-0000-0000B4190000}"/>
    <cellStyle name="Accent2 16 11 2" xfId="15158" xr:uid="{00000000-0005-0000-0000-0000B5190000}"/>
    <cellStyle name="Accent2 16 2" xfId="5440" xr:uid="{00000000-0005-0000-0000-0000B6190000}"/>
    <cellStyle name="Accent2 16 2 2" xfId="5441" xr:uid="{00000000-0005-0000-0000-0000B7190000}"/>
    <cellStyle name="Accent2 16 2 2 2" xfId="15159" xr:uid="{00000000-0005-0000-0000-0000B8190000}"/>
    <cellStyle name="Accent2 16 3" xfId="5442" xr:uid="{00000000-0005-0000-0000-0000B9190000}"/>
    <cellStyle name="Accent2 16 3 2" xfId="5443" xr:uid="{00000000-0005-0000-0000-0000BA190000}"/>
    <cellStyle name="Accent2 16 3 2 2" xfId="15160" xr:uid="{00000000-0005-0000-0000-0000BB190000}"/>
    <cellStyle name="Accent2 16 4" xfId="5444" xr:uid="{00000000-0005-0000-0000-0000BC190000}"/>
    <cellStyle name="Accent2 16 4 2" xfId="15161" xr:uid="{00000000-0005-0000-0000-0000BD190000}"/>
    <cellStyle name="Accent2 16 5" xfId="5445" xr:uid="{00000000-0005-0000-0000-0000BE190000}"/>
    <cellStyle name="Accent2 16 5 2" xfId="15162" xr:uid="{00000000-0005-0000-0000-0000BF190000}"/>
    <cellStyle name="Accent2 16 6" xfId="5446" xr:uid="{00000000-0005-0000-0000-0000C0190000}"/>
    <cellStyle name="Accent2 16 6 2" xfId="15163" xr:uid="{00000000-0005-0000-0000-0000C1190000}"/>
    <cellStyle name="Accent2 16 7" xfId="5447" xr:uid="{00000000-0005-0000-0000-0000C2190000}"/>
    <cellStyle name="Accent2 16 7 2" xfId="15164" xr:uid="{00000000-0005-0000-0000-0000C3190000}"/>
    <cellStyle name="Accent2 16 8" xfId="5448" xr:uid="{00000000-0005-0000-0000-0000C4190000}"/>
    <cellStyle name="Accent2 16 8 2" xfId="15165" xr:uid="{00000000-0005-0000-0000-0000C5190000}"/>
    <cellStyle name="Accent2 16 9" xfId="5449" xr:uid="{00000000-0005-0000-0000-0000C6190000}"/>
    <cellStyle name="Accent2 16 9 2" xfId="15166" xr:uid="{00000000-0005-0000-0000-0000C7190000}"/>
    <cellStyle name="Accent2 17" xfId="5450" xr:uid="{00000000-0005-0000-0000-0000C8190000}"/>
    <cellStyle name="Accent2 17 10" xfId="5451" xr:uid="{00000000-0005-0000-0000-0000C9190000}"/>
    <cellStyle name="Accent2 17 10 2" xfId="15167" xr:uid="{00000000-0005-0000-0000-0000CA190000}"/>
    <cellStyle name="Accent2 17 11" xfId="5452" xr:uid="{00000000-0005-0000-0000-0000CB190000}"/>
    <cellStyle name="Accent2 17 11 2" xfId="15168" xr:uid="{00000000-0005-0000-0000-0000CC190000}"/>
    <cellStyle name="Accent2 17 2" xfId="5453" xr:uid="{00000000-0005-0000-0000-0000CD190000}"/>
    <cellStyle name="Accent2 17 2 2" xfId="5454" xr:uid="{00000000-0005-0000-0000-0000CE190000}"/>
    <cellStyle name="Accent2 17 2 2 2" xfId="15169" xr:uid="{00000000-0005-0000-0000-0000CF190000}"/>
    <cellStyle name="Accent2 17 3" xfId="5455" xr:uid="{00000000-0005-0000-0000-0000D0190000}"/>
    <cellStyle name="Accent2 17 3 2" xfId="5456" xr:uid="{00000000-0005-0000-0000-0000D1190000}"/>
    <cellStyle name="Accent2 17 3 2 2" xfId="15170" xr:uid="{00000000-0005-0000-0000-0000D2190000}"/>
    <cellStyle name="Accent2 17 4" xfId="5457" xr:uid="{00000000-0005-0000-0000-0000D3190000}"/>
    <cellStyle name="Accent2 17 4 2" xfId="15171" xr:uid="{00000000-0005-0000-0000-0000D4190000}"/>
    <cellStyle name="Accent2 17 5" xfId="5458" xr:uid="{00000000-0005-0000-0000-0000D5190000}"/>
    <cellStyle name="Accent2 17 5 2" xfId="15172" xr:uid="{00000000-0005-0000-0000-0000D6190000}"/>
    <cellStyle name="Accent2 17 6" xfId="5459" xr:uid="{00000000-0005-0000-0000-0000D7190000}"/>
    <cellStyle name="Accent2 17 6 2" xfId="15173" xr:uid="{00000000-0005-0000-0000-0000D8190000}"/>
    <cellStyle name="Accent2 17 7" xfId="5460" xr:uid="{00000000-0005-0000-0000-0000D9190000}"/>
    <cellStyle name="Accent2 17 7 2" xfId="15174" xr:uid="{00000000-0005-0000-0000-0000DA190000}"/>
    <cellStyle name="Accent2 17 8" xfId="5461" xr:uid="{00000000-0005-0000-0000-0000DB190000}"/>
    <cellStyle name="Accent2 17 8 2" xfId="15175" xr:uid="{00000000-0005-0000-0000-0000DC190000}"/>
    <cellStyle name="Accent2 17 9" xfId="5462" xr:uid="{00000000-0005-0000-0000-0000DD190000}"/>
    <cellStyle name="Accent2 17 9 2" xfId="15176" xr:uid="{00000000-0005-0000-0000-0000DE190000}"/>
    <cellStyle name="Accent2 18" xfId="5463" xr:uid="{00000000-0005-0000-0000-0000DF190000}"/>
    <cellStyle name="Accent2 18 2" xfId="5464" xr:uid="{00000000-0005-0000-0000-0000E0190000}"/>
    <cellStyle name="Accent2 18 2 2" xfId="5465" xr:uid="{00000000-0005-0000-0000-0000E1190000}"/>
    <cellStyle name="Accent2 18 2 2 2" xfId="15177" xr:uid="{00000000-0005-0000-0000-0000E2190000}"/>
    <cellStyle name="Accent2 18 3" xfId="5466" xr:uid="{00000000-0005-0000-0000-0000E3190000}"/>
    <cellStyle name="Accent2 18 3 2" xfId="15178" xr:uid="{00000000-0005-0000-0000-0000E4190000}"/>
    <cellStyle name="Accent2 18 4" xfId="5467" xr:uid="{00000000-0005-0000-0000-0000E5190000}"/>
    <cellStyle name="Accent2 18 4 2" xfId="15179" xr:uid="{00000000-0005-0000-0000-0000E6190000}"/>
    <cellStyle name="Accent2 18 5" xfId="5468" xr:uid="{00000000-0005-0000-0000-0000E7190000}"/>
    <cellStyle name="Accent2 18 5 2" xfId="15180" xr:uid="{00000000-0005-0000-0000-0000E8190000}"/>
    <cellStyle name="Accent2 18 6" xfId="5469" xr:uid="{00000000-0005-0000-0000-0000E9190000}"/>
    <cellStyle name="Accent2 18 6 2" xfId="15181" xr:uid="{00000000-0005-0000-0000-0000EA190000}"/>
    <cellStyle name="Accent2 18 7" xfId="5470" xr:uid="{00000000-0005-0000-0000-0000EB190000}"/>
    <cellStyle name="Accent2 18 7 2" xfId="15182" xr:uid="{00000000-0005-0000-0000-0000EC190000}"/>
    <cellStyle name="Accent2 18 8" xfId="5471" xr:uid="{00000000-0005-0000-0000-0000ED190000}"/>
    <cellStyle name="Accent2 18 8 2" xfId="15183" xr:uid="{00000000-0005-0000-0000-0000EE190000}"/>
    <cellStyle name="Accent2 18 9" xfId="5472" xr:uid="{00000000-0005-0000-0000-0000EF190000}"/>
    <cellStyle name="Accent2 18 9 2" xfId="15184" xr:uid="{00000000-0005-0000-0000-0000F0190000}"/>
    <cellStyle name="Accent2 19" xfId="5473" xr:uid="{00000000-0005-0000-0000-0000F1190000}"/>
    <cellStyle name="Accent2 19 2" xfId="5474" xr:uid="{00000000-0005-0000-0000-0000F2190000}"/>
    <cellStyle name="Accent2 19 2 2" xfId="5475" xr:uid="{00000000-0005-0000-0000-0000F3190000}"/>
    <cellStyle name="Accent2 19 2 2 2" xfId="15185" xr:uid="{00000000-0005-0000-0000-0000F4190000}"/>
    <cellStyle name="Accent2 19 3" xfId="5476" xr:uid="{00000000-0005-0000-0000-0000F5190000}"/>
    <cellStyle name="Accent2 19 3 2" xfId="15186" xr:uid="{00000000-0005-0000-0000-0000F6190000}"/>
    <cellStyle name="Accent2 19 4" xfId="5477" xr:uid="{00000000-0005-0000-0000-0000F7190000}"/>
    <cellStyle name="Accent2 19 4 2" xfId="15187" xr:uid="{00000000-0005-0000-0000-0000F8190000}"/>
    <cellStyle name="Accent2 19 5" xfId="5478" xr:uid="{00000000-0005-0000-0000-0000F9190000}"/>
    <cellStyle name="Accent2 19 5 2" xfId="15188" xr:uid="{00000000-0005-0000-0000-0000FA190000}"/>
    <cellStyle name="Accent2 19 6" xfId="5479" xr:uid="{00000000-0005-0000-0000-0000FB190000}"/>
    <cellStyle name="Accent2 19 6 2" xfId="15189" xr:uid="{00000000-0005-0000-0000-0000FC190000}"/>
    <cellStyle name="Accent2 19 7" xfId="5480" xr:uid="{00000000-0005-0000-0000-0000FD190000}"/>
    <cellStyle name="Accent2 19 7 2" xfId="15190" xr:uid="{00000000-0005-0000-0000-0000FE190000}"/>
    <cellStyle name="Accent2 19 8" xfId="5481" xr:uid="{00000000-0005-0000-0000-0000FF190000}"/>
    <cellStyle name="Accent2 19 8 2" xfId="15191" xr:uid="{00000000-0005-0000-0000-0000001A0000}"/>
    <cellStyle name="Accent2 19 9" xfId="5482" xr:uid="{00000000-0005-0000-0000-0000011A0000}"/>
    <cellStyle name="Accent2 19 9 2" xfId="15192" xr:uid="{00000000-0005-0000-0000-0000021A0000}"/>
    <cellStyle name="Accent2 2" xfId="5483" xr:uid="{00000000-0005-0000-0000-0000031A0000}"/>
    <cellStyle name="Accent2 2 10" xfId="5484" xr:uid="{00000000-0005-0000-0000-0000041A0000}"/>
    <cellStyle name="Accent2 2 10 2" xfId="15193" xr:uid="{00000000-0005-0000-0000-0000051A0000}"/>
    <cellStyle name="Accent2 2 11" xfId="5485" xr:uid="{00000000-0005-0000-0000-0000061A0000}"/>
    <cellStyle name="Accent2 2 11 2" xfId="15194" xr:uid="{00000000-0005-0000-0000-0000071A0000}"/>
    <cellStyle name="Accent2 2 12" xfId="21707" xr:uid="{00000000-0005-0000-0000-0000081A0000}"/>
    <cellStyle name="Accent2 2 2" xfId="5486" xr:uid="{00000000-0005-0000-0000-0000091A0000}"/>
    <cellStyle name="Accent2 2 2 2" xfId="5487" xr:uid="{00000000-0005-0000-0000-00000A1A0000}"/>
    <cellStyle name="Accent2 2 2 2 2" xfId="15195" xr:uid="{00000000-0005-0000-0000-00000B1A0000}"/>
    <cellStyle name="Accent2 2 3" xfId="5488" xr:uid="{00000000-0005-0000-0000-00000C1A0000}"/>
    <cellStyle name="Accent2 2 3 2" xfId="5489" xr:uid="{00000000-0005-0000-0000-00000D1A0000}"/>
    <cellStyle name="Accent2 2 3 2 2" xfId="15196" xr:uid="{00000000-0005-0000-0000-00000E1A0000}"/>
    <cellStyle name="Accent2 2 4" xfId="5490" xr:uid="{00000000-0005-0000-0000-00000F1A0000}"/>
    <cellStyle name="Accent2 2 4 2" xfId="5491" xr:uid="{00000000-0005-0000-0000-0000101A0000}"/>
    <cellStyle name="Accent2 2 4 3" xfId="15197" xr:uid="{00000000-0005-0000-0000-0000111A0000}"/>
    <cellStyle name="Accent2 2 5" xfId="5492" xr:uid="{00000000-0005-0000-0000-0000121A0000}"/>
    <cellStyle name="Accent2 2 5 2" xfId="15198" xr:uid="{00000000-0005-0000-0000-0000131A0000}"/>
    <cellStyle name="Accent2 2 6" xfId="5493" xr:uid="{00000000-0005-0000-0000-0000141A0000}"/>
    <cellStyle name="Accent2 2 6 2" xfId="15199" xr:uid="{00000000-0005-0000-0000-0000151A0000}"/>
    <cellStyle name="Accent2 2 7" xfId="5494" xr:uid="{00000000-0005-0000-0000-0000161A0000}"/>
    <cellStyle name="Accent2 2 7 2" xfId="15200" xr:uid="{00000000-0005-0000-0000-0000171A0000}"/>
    <cellStyle name="Accent2 2 8" xfId="5495" xr:uid="{00000000-0005-0000-0000-0000181A0000}"/>
    <cellStyle name="Accent2 2 8 2" xfId="15201" xr:uid="{00000000-0005-0000-0000-0000191A0000}"/>
    <cellStyle name="Accent2 2 9" xfId="5496" xr:uid="{00000000-0005-0000-0000-00001A1A0000}"/>
    <cellStyle name="Accent2 2 9 2" xfId="15202" xr:uid="{00000000-0005-0000-0000-00001B1A0000}"/>
    <cellStyle name="Accent2 20" xfId="5497" xr:uid="{00000000-0005-0000-0000-00001C1A0000}"/>
    <cellStyle name="Accent2 20 2" xfId="5498" xr:uid="{00000000-0005-0000-0000-00001D1A0000}"/>
    <cellStyle name="Accent2 20 2 2" xfId="15203" xr:uid="{00000000-0005-0000-0000-00001E1A0000}"/>
    <cellStyle name="Accent2 20 3" xfId="5499" xr:uid="{00000000-0005-0000-0000-00001F1A0000}"/>
    <cellStyle name="Accent2 20 3 2" xfId="15204" xr:uid="{00000000-0005-0000-0000-0000201A0000}"/>
    <cellStyle name="Accent2 20 4" xfId="5500" xr:uid="{00000000-0005-0000-0000-0000211A0000}"/>
    <cellStyle name="Accent2 20 4 2" xfId="15205" xr:uid="{00000000-0005-0000-0000-0000221A0000}"/>
    <cellStyle name="Accent2 20 5" xfId="5501" xr:uid="{00000000-0005-0000-0000-0000231A0000}"/>
    <cellStyle name="Accent2 20 5 2" xfId="15206" xr:uid="{00000000-0005-0000-0000-0000241A0000}"/>
    <cellStyle name="Accent2 20 6" xfId="5502" xr:uid="{00000000-0005-0000-0000-0000251A0000}"/>
    <cellStyle name="Accent2 20 6 2" xfId="15207" xr:uid="{00000000-0005-0000-0000-0000261A0000}"/>
    <cellStyle name="Accent2 20 7" xfId="5503" xr:uid="{00000000-0005-0000-0000-0000271A0000}"/>
    <cellStyle name="Accent2 20 7 2" xfId="15208" xr:uid="{00000000-0005-0000-0000-0000281A0000}"/>
    <cellStyle name="Accent2 20 8" xfId="5504" xr:uid="{00000000-0005-0000-0000-0000291A0000}"/>
    <cellStyle name="Accent2 20 8 2" xfId="15209" xr:uid="{00000000-0005-0000-0000-00002A1A0000}"/>
    <cellStyle name="Accent2 20 9" xfId="5505" xr:uid="{00000000-0005-0000-0000-00002B1A0000}"/>
    <cellStyle name="Accent2 20 9 2" xfId="15210" xr:uid="{00000000-0005-0000-0000-00002C1A0000}"/>
    <cellStyle name="Accent2 21" xfId="5506" xr:uid="{00000000-0005-0000-0000-00002D1A0000}"/>
    <cellStyle name="Accent2 21 2" xfId="5507" xr:uid="{00000000-0005-0000-0000-00002E1A0000}"/>
    <cellStyle name="Accent2 21 2 2" xfId="15211" xr:uid="{00000000-0005-0000-0000-00002F1A0000}"/>
    <cellStyle name="Accent2 21 3" xfId="5508" xr:uid="{00000000-0005-0000-0000-0000301A0000}"/>
    <cellStyle name="Accent2 21 3 2" xfId="15212" xr:uid="{00000000-0005-0000-0000-0000311A0000}"/>
    <cellStyle name="Accent2 21 4" xfId="5509" xr:uid="{00000000-0005-0000-0000-0000321A0000}"/>
    <cellStyle name="Accent2 21 4 2" xfId="15213" xr:uid="{00000000-0005-0000-0000-0000331A0000}"/>
    <cellStyle name="Accent2 21 5" xfId="5510" xr:uid="{00000000-0005-0000-0000-0000341A0000}"/>
    <cellStyle name="Accent2 21 5 2" xfId="15214" xr:uid="{00000000-0005-0000-0000-0000351A0000}"/>
    <cellStyle name="Accent2 21 6" xfId="5511" xr:uid="{00000000-0005-0000-0000-0000361A0000}"/>
    <cellStyle name="Accent2 21 6 2" xfId="15215" xr:uid="{00000000-0005-0000-0000-0000371A0000}"/>
    <cellStyle name="Accent2 21 7" xfId="5512" xr:uid="{00000000-0005-0000-0000-0000381A0000}"/>
    <cellStyle name="Accent2 21 7 2" xfId="15216" xr:uid="{00000000-0005-0000-0000-0000391A0000}"/>
    <cellStyle name="Accent2 21 8" xfId="5513" xr:uid="{00000000-0005-0000-0000-00003A1A0000}"/>
    <cellStyle name="Accent2 21 8 2" xfId="15217" xr:uid="{00000000-0005-0000-0000-00003B1A0000}"/>
    <cellStyle name="Accent2 21 9" xfId="5514" xr:uid="{00000000-0005-0000-0000-00003C1A0000}"/>
    <cellStyle name="Accent2 21 9 2" xfId="15218" xr:uid="{00000000-0005-0000-0000-00003D1A0000}"/>
    <cellStyle name="Accent2 22" xfId="5515" xr:uid="{00000000-0005-0000-0000-00003E1A0000}"/>
    <cellStyle name="Accent2 22 2" xfId="5516" xr:uid="{00000000-0005-0000-0000-00003F1A0000}"/>
    <cellStyle name="Accent2 22 2 2" xfId="15219" xr:uid="{00000000-0005-0000-0000-0000401A0000}"/>
    <cellStyle name="Accent2 22 3" xfId="5517" xr:uid="{00000000-0005-0000-0000-0000411A0000}"/>
    <cellStyle name="Accent2 22 3 2" xfId="15220" xr:uid="{00000000-0005-0000-0000-0000421A0000}"/>
    <cellStyle name="Accent2 22 4" xfId="5518" xr:uid="{00000000-0005-0000-0000-0000431A0000}"/>
    <cellStyle name="Accent2 22 4 2" xfId="15221" xr:uid="{00000000-0005-0000-0000-0000441A0000}"/>
    <cellStyle name="Accent2 22 5" xfId="5519" xr:uid="{00000000-0005-0000-0000-0000451A0000}"/>
    <cellStyle name="Accent2 22 5 2" xfId="15222" xr:uid="{00000000-0005-0000-0000-0000461A0000}"/>
    <cellStyle name="Accent2 22 6" xfId="5520" xr:uid="{00000000-0005-0000-0000-0000471A0000}"/>
    <cellStyle name="Accent2 22 6 2" xfId="15223" xr:uid="{00000000-0005-0000-0000-0000481A0000}"/>
    <cellStyle name="Accent2 22 7" xfId="5521" xr:uid="{00000000-0005-0000-0000-0000491A0000}"/>
    <cellStyle name="Accent2 22 7 2" xfId="15224" xr:uid="{00000000-0005-0000-0000-00004A1A0000}"/>
    <cellStyle name="Accent2 22 8" xfId="5522" xr:uid="{00000000-0005-0000-0000-00004B1A0000}"/>
    <cellStyle name="Accent2 22 8 2" xfId="15225" xr:uid="{00000000-0005-0000-0000-00004C1A0000}"/>
    <cellStyle name="Accent2 22 9" xfId="5523" xr:uid="{00000000-0005-0000-0000-00004D1A0000}"/>
    <cellStyle name="Accent2 22 9 2" xfId="15226" xr:uid="{00000000-0005-0000-0000-00004E1A0000}"/>
    <cellStyle name="Accent2 23" xfId="5524" xr:uid="{00000000-0005-0000-0000-00004F1A0000}"/>
    <cellStyle name="Accent2 23 2" xfId="5525" xr:uid="{00000000-0005-0000-0000-0000501A0000}"/>
    <cellStyle name="Accent2 23 2 2" xfId="15227" xr:uid="{00000000-0005-0000-0000-0000511A0000}"/>
    <cellStyle name="Accent2 23 3" xfId="5526" xr:uid="{00000000-0005-0000-0000-0000521A0000}"/>
    <cellStyle name="Accent2 23 3 2" xfId="15228" xr:uid="{00000000-0005-0000-0000-0000531A0000}"/>
    <cellStyle name="Accent2 23 4" xfId="5527" xr:uid="{00000000-0005-0000-0000-0000541A0000}"/>
    <cellStyle name="Accent2 23 4 2" xfId="15229" xr:uid="{00000000-0005-0000-0000-0000551A0000}"/>
    <cellStyle name="Accent2 23 5" xfId="5528" xr:uid="{00000000-0005-0000-0000-0000561A0000}"/>
    <cellStyle name="Accent2 23 5 2" xfId="15230" xr:uid="{00000000-0005-0000-0000-0000571A0000}"/>
    <cellStyle name="Accent2 23 6" xfId="5529" xr:uid="{00000000-0005-0000-0000-0000581A0000}"/>
    <cellStyle name="Accent2 23 6 2" xfId="15231" xr:uid="{00000000-0005-0000-0000-0000591A0000}"/>
    <cellStyle name="Accent2 23 7" xfId="5530" xr:uid="{00000000-0005-0000-0000-00005A1A0000}"/>
    <cellStyle name="Accent2 23 7 2" xfId="15232" xr:uid="{00000000-0005-0000-0000-00005B1A0000}"/>
    <cellStyle name="Accent2 23 8" xfId="5531" xr:uid="{00000000-0005-0000-0000-00005C1A0000}"/>
    <cellStyle name="Accent2 23 8 2" xfId="15233" xr:uid="{00000000-0005-0000-0000-00005D1A0000}"/>
    <cellStyle name="Accent2 23 9" xfId="5532" xr:uid="{00000000-0005-0000-0000-00005E1A0000}"/>
    <cellStyle name="Accent2 23 9 2" xfId="15234" xr:uid="{00000000-0005-0000-0000-00005F1A0000}"/>
    <cellStyle name="Accent2 24" xfId="5533" xr:uid="{00000000-0005-0000-0000-0000601A0000}"/>
    <cellStyle name="Accent2 24 2" xfId="5534" xr:uid="{00000000-0005-0000-0000-0000611A0000}"/>
    <cellStyle name="Accent2 24 2 2" xfId="15235" xr:uid="{00000000-0005-0000-0000-0000621A0000}"/>
    <cellStyle name="Accent2 24 3" xfId="5535" xr:uid="{00000000-0005-0000-0000-0000631A0000}"/>
    <cellStyle name="Accent2 24 3 2" xfId="15236" xr:uid="{00000000-0005-0000-0000-0000641A0000}"/>
    <cellStyle name="Accent2 24 4" xfId="5536" xr:uid="{00000000-0005-0000-0000-0000651A0000}"/>
    <cellStyle name="Accent2 24 4 2" xfId="15237" xr:uid="{00000000-0005-0000-0000-0000661A0000}"/>
    <cellStyle name="Accent2 24 5" xfId="5537" xr:uid="{00000000-0005-0000-0000-0000671A0000}"/>
    <cellStyle name="Accent2 24 5 2" xfId="15238" xr:uid="{00000000-0005-0000-0000-0000681A0000}"/>
    <cellStyle name="Accent2 24 6" xfId="5538" xr:uid="{00000000-0005-0000-0000-0000691A0000}"/>
    <cellStyle name="Accent2 24 6 2" xfId="15239" xr:uid="{00000000-0005-0000-0000-00006A1A0000}"/>
    <cellStyle name="Accent2 24 7" xfId="5539" xr:uid="{00000000-0005-0000-0000-00006B1A0000}"/>
    <cellStyle name="Accent2 24 7 2" xfId="15240" xr:uid="{00000000-0005-0000-0000-00006C1A0000}"/>
    <cellStyle name="Accent2 24 8" xfId="5540" xr:uid="{00000000-0005-0000-0000-00006D1A0000}"/>
    <cellStyle name="Accent2 24 8 2" xfId="15241" xr:uid="{00000000-0005-0000-0000-00006E1A0000}"/>
    <cellStyle name="Accent2 24 9" xfId="5541" xr:uid="{00000000-0005-0000-0000-00006F1A0000}"/>
    <cellStyle name="Accent2 24 9 2" xfId="15242" xr:uid="{00000000-0005-0000-0000-0000701A0000}"/>
    <cellStyle name="Accent2 25" xfId="5542" xr:uid="{00000000-0005-0000-0000-0000711A0000}"/>
    <cellStyle name="Accent2 25 2" xfId="5543" xr:uid="{00000000-0005-0000-0000-0000721A0000}"/>
    <cellStyle name="Accent2 25 2 2" xfId="15243" xr:uid="{00000000-0005-0000-0000-0000731A0000}"/>
    <cellStyle name="Accent2 25 3" xfId="5544" xr:uid="{00000000-0005-0000-0000-0000741A0000}"/>
    <cellStyle name="Accent2 25 3 2" xfId="15244" xr:uid="{00000000-0005-0000-0000-0000751A0000}"/>
    <cellStyle name="Accent2 25 4" xfId="5545" xr:uid="{00000000-0005-0000-0000-0000761A0000}"/>
    <cellStyle name="Accent2 25 4 2" xfId="15245" xr:uid="{00000000-0005-0000-0000-0000771A0000}"/>
    <cellStyle name="Accent2 25 5" xfId="5546" xr:uid="{00000000-0005-0000-0000-0000781A0000}"/>
    <cellStyle name="Accent2 25 5 2" xfId="15246" xr:uid="{00000000-0005-0000-0000-0000791A0000}"/>
    <cellStyle name="Accent2 25 6" xfId="5547" xr:uid="{00000000-0005-0000-0000-00007A1A0000}"/>
    <cellStyle name="Accent2 25 6 2" xfId="15247" xr:uid="{00000000-0005-0000-0000-00007B1A0000}"/>
    <cellStyle name="Accent2 25 7" xfId="5548" xr:uid="{00000000-0005-0000-0000-00007C1A0000}"/>
    <cellStyle name="Accent2 25 7 2" xfId="15248" xr:uid="{00000000-0005-0000-0000-00007D1A0000}"/>
    <cellStyle name="Accent2 25 8" xfId="5549" xr:uid="{00000000-0005-0000-0000-00007E1A0000}"/>
    <cellStyle name="Accent2 25 8 2" xfId="15249" xr:uid="{00000000-0005-0000-0000-00007F1A0000}"/>
    <cellStyle name="Accent2 25 9" xfId="5550" xr:uid="{00000000-0005-0000-0000-0000801A0000}"/>
    <cellStyle name="Accent2 25 9 2" xfId="15250" xr:uid="{00000000-0005-0000-0000-0000811A0000}"/>
    <cellStyle name="Accent2 26" xfId="5551" xr:uid="{00000000-0005-0000-0000-0000821A0000}"/>
    <cellStyle name="Accent2 26 2" xfId="5552" xr:uid="{00000000-0005-0000-0000-0000831A0000}"/>
    <cellStyle name="Accent2 26 2 2" xfId="15251" xr:uid="{00000000-0005-0000-0000-0000841A0000}"/>
    <cellStyle name="Accent2 26 3" xfId="5553" xr:uid="{00000000-0005-0000-0000-0000851A0000}"/>
    <cellStyle name="Accent2 26 3 2" xfId="15252" xr:uid="{00000000-0005-0000-0000-0000861A0000}"/>
    <cellStyle name="Accent2 26 4" xfId="5554" xr:uid="{00000000-0005-0000-0000-0000871A0000}"/>
    <cellStyle name="Accent2 26 4 2" xfId="15253" xr:uid="{00000000-0005-0000-0000-0000881A0000}"/>
    <cellStyle name="Accent2 26 5" xfId="5555" xr:uid="{00000000-0005-0000-0000-0000891A0000}"/>
    <cellStyle name="Accent2 26 5 2" xfId="15254" xr:uid="{00000000-0005-0000-0000-00008A1A0000}"/>
    <cellStyle name="Accent2 26 6" xfId="5556" xr:uid="{00000000-0005-0000-0000-00008B1A0000}"/>
    <cellStyle name="Accent2 26 6 2" xfId="15255" xr:uid="{00000000-0005-0000-0000-00008C1A0000}"/>
    <cellStyle name="Accent2 26 7" xfId="5557" xr:uid="{00000000-0005-0000-0000-00008D1A0000}"/>
    <cellStyle name="Accent2 26 7 2" xfId="15256" xr:uid="{00000000-0005-0000-0000-00008E1A0000}"/>
    <cellStyle name="Accent2 26 8" xfId="5558" xr:uid="{00000000-0005-0000-0000-00008F1A0000}"/>
    <cellStyle name="Accent2 26 8 2" xfId="15257" xr:uid="{00000000-0005-0000-0000-0000901A0000}"/>
    <cellStyle name="Accent2 26 9" xfId="5559" xr:uid="{00000000-0005-0000-0000-0000911A0000}"/>
    <cellStyle name="Accent2 26 9 2" xfId="15258" xr:uid="{00000000-0005-0000-0000-0000921A0000}"/>
    <cellStyle name="Accent2 27" xfId="5560" xr:uid="{00000000-0005-0000-0000-0000931A0000}"/>
    <cellStyle name="Accent2 27 2" xfId="5561" xr:uid="{00000000-0005-0000-0000-0000941A0000}"/>
    <cellStyle name="Accent2 27 2 2" xfId="15259" xr:uid="{00000000-0005-0000-0000-0000951A0000}"/>
    <cellStyle name="Accent2 27 3" xfId="5562" xr:uid="{00000000-0005-0000-0000-0000961A0000}"/>
    <cellStyle name="Accent2 27 3 2" xfId="15260" xr:uid="{00000000-0005-0000-0000-0000971A0000}"/>
    <cellStyle name="Accent2 27 4" xfId="5563" xr:uid="{00000000-0005-0000-0000-0000981A0000}"/>
    <cellStyle name="Accent2 27 4 2" xfId="15261" xr:uid="{00000000-0005-0000-0000-0000991A0000}"/>
    <cellStyle name="Accent2 27 5" xfId="5564" xr:uid="{00000000-0005-0000-0000-00009A1A0000}"/>
    <cellStyle name="Accent2 27 5 2" xfId="15262" xr:uid="{00000000-0005-0000-0000-00009B1A0000}"/>
    <cellStyle name="Accent2 27 6" xfId="5565" xr:uid="{00000000-0005-0000-0000-00009C1A0000}"/>
    <cellStyle name="Accent2 27 6 2" xfId="15263" xr:uid="{00000000-0005-0000-0000-00009D1A0000}"/>
    <cellStyle name="Accent2 27 7" xfId="5566" xr:uid="{00000000-0005-0000-0000-00009E1A0000}"/>
    <cellStyle name="Accent2 27 7 2" xfId="15264" xr:uid="{00000000-0005-0000-0000-00009F1A0000}"/>
    <cellStyle name="Accent2 27 8" xfId="5567" xr:uid="{00000000-0005-0000-0000-0000A01A0000}"/>
    <cellStyle name="Accent2 27 8 2" xfId="15265" xr:uid="{00000000-0005-0000-0000-0000A11A0000}"/>
    <cellStyle name="Accent2 27 9" xfId="5568" xr:uid="{00000000-0005-0000-0000-0000A21A0000}"/>
    <cellStyle name="Accent2 27 9 2" xfId="15266" xr:uid="{00000000-0005-0000-0000-0000A31A0000}"/>
    <cellStyle name="Accent2 28" xfId="5569" xr:uid="{00000000-0005-0000-0000-0000A41A0000}"/>
    <cellStyle name="Accent2 28 2" xfId="5570" xr:uid="{00000000-0005-0000-0000-0000A51A0000}"/>
    <cellStyle name="Accent2 28 2 2" xfId="15267" xr:uid="{00000000-0005-0000-0000-0000A61A0000}"/>
    <cellStyle name="Accent2 28 3" xfId="5571" xr:uid="{00000000-0005-0000-0000-0000A71A0000}"/>
    <cellStyle name="Accent2 28 3 2" xfId="15268" xr:uid="{00000000-0005-0000-0000-0000A81A0000}"/>
    <cellStyle name="Accent2 28 4" xfId="5572" xr:uid="{00000000-0005-0000-0000-0000A91A0000}"/>
    <cellStyle name="Accent2 28 4 2" xfId="15269" xr:uid="{00000000-0005-0000-0000-0000AA1A0000}"/>
    <cellStyle name="Accent2 28 5" xfId="5573" xr:uid="{00000000-0005-0000-0000-0000AB1A0000}"/>
    <cellStyle name="Accent2 28 5 2" xfId="15270" xr:uid="{00000000-0005-0000-0000-0000AC1A0000}"/>
    <cellStyle name="Accent2 28 6" xfId="5574" xr:uid="{00000000-0005-0000-0000-0000AD1A0000}"/>
    <cellStyle name="Accent2 28 6 2" xfId="15271" xr:uid="{00000000-0005-0000-0000-0000AE1A0000}"/>
    <cellStyle name="Accent2 28 7" xfId="5575" xr:uid="{00000000-0005-0000-0000-0000AF1A0000}"/>
    <cellStyle name="Accent2 28 7 2" xfId="15272" xr:uid="{00000000-0005-0000-0000-0000B01A0000}"/>
    <cellStyle name="Accent2 28 8" xfId="5576" xr:uid="{00000000-0005-0000-0000-0000B11A0000}"/>
    <cellStyle name="Accent2 28 8 2" xfId="15273" xr:uid="{00000000-0005-0000-0000-0000B21A0000}"/>
    <cellStyle name="Accent2 28 9" xfId="5577" xr:uid="{00000000-0005-0000-0000-0000B31A0000}"/>
    <cellStyle name="Accent2 28 9 2" xfId="15274" xr:uid="{00000000-0005-0000-0000-0000B41A0000}"/>
    <cellStyle name="Accent2 29" xfId="5578" xr:uid="{00000000-0005-0000-0000-0000B51A0000}"/>
    <cellStyle name="Accent2 29 2" xfId="5579" xr:uid="{00000000-0005-0000-0000-0000B61A0000}"/>
    <cellStyle name="Accent2 29 2 2" xfId="15275" xr:uid="{00000000-0005-0000-0000-0000B71A0000}"/>
    <cellStyle name="Accent2 29 3" xfId="5580" xr:uid="{00000000-0005-0000-0000-0000B81A0000}"/>
    <cellStyle name="Accent2 29 3 2" xfId="15276" xr:uid="{00000000-0005-0000-0000-0000B91A0000}"/>
    <cellStyle name="Accent2 29 4" xfId="5581" xr:uid="{00000000-0005-0000-0000-0000BA1A0000}"/>
    <cellStyle name="Accent2 29 4 2" xfId="15277" xr:uid="{00000000-0005-0000-0000-0000BB1A0000}"/>
    <cellStyle name="Accent2 29 5" xfId="5582" xr:uid="{00000000-0005-0000-0000-0000BC1A0000}"/>
    <cellStyle name="Accent2 29 5 2" xfId="15278" xr:uid="{00000000-0005-0000-0000-0000BD1A0000}"/>
    <cellStyle name="Accent2 29 6" xfId="5583" xr:uid="{00000000-0005-0000-0000-0000BE1A0000}"/>
    <cellStyle name="Accent2 29 6 2" xfId="15279" xr:uid="{00000000-0005-0000-0000-0000BF1A0000}"/>
    <cellStyle name="Accent2 29 7" xfId="5584" xr:uid="{00000000-0005-0000-0000-0000C01A0000}"/>
    <cellStyle name="Accent2 29 7 2" xfId="15280" xr:uid="{00000000-0005-0000-0000-0000C11A0000}"/>
    <cellStyle name="Accent2 29 8" xfId="5585" xr:uid="{00000000-0005-0000-0000-0000C21A0000}"/>
    <cellStyle name="Accent2 29 8 2" xfId="15281" xr:uid="{00000000-0005-0000-0000-0000C31A0000}"/>
    <cellStyle name="Accent2 29 9" xfId="5586" xr:uid="{00000000-0005-0000-0000-0000C41A0000}"/>
    <cellStyle name="Accent2 29 9 2" xfId="15282" xr:uid="{00000000-0005-0000-0000-0000C51A0000}"/>
    <cellStyle name="Accent2 3" xfId="5587" xr:uid="{00000000-0005-0000-0000-0000C61A0000}"/>
    <cellStyle name="Accent2 3 10" xfId="5588" xr:uid="{00000000-0005-0000-0000-0000C71A0000}"/>
    <cellStyle name="Accent2 3 10 2" xfId="15283" xr:uid="{00000000-0005-0000-0000-0000C81A0000}"/>
    <cellStyle name="Accent2 3 11" xfId="5589" xr:uid="{00000000-0005-0000-0000-0000C91A0000}"/>
    <cellStyle name="Accent2 3 11 2" xfId="15284" xr:uid="{00000000-0005-0000-0000-0000CA1A0000}"/>
    <cellStyle name="Accent2 3 12" xfId="22024" xr:uid="{00000000-0005-0000-0000-0000CB1A0000}"/>
    <cellStyle name="Accent2 3 2" xfId="5590" xr:uid="{00000000-0005-0000-0000-0000CC1A0000}"/>
    <cellStyle name="Accent2 3 2 2" xfId="5591" xr:uid="{00000000-0005-0000-0000-0000CD1A0000}"/>
    <cellStyle name="Accent2 3 2 2 2" xfId="15285" xr:uid="{00000000-0005-0000-0000-0000CE1A0000}"/>
    <cellStyle name="Accent2 3 3" xfId="5592" xr:uid="{00000000-0005-0000-0000-0000CF1A0000}"/>
    <cellStyle name="Accent2 3 3 2" xfId="5593" xr:uid="{00000000-0005-0000-0000-0000D01A0000}"/>
    <cellStyle name="Accent2 3 3 2 2" xfId="15286" xr:uid="{00000000-0005-0000-0000-0000D11A0000}"/>
    <cellStyle name="Accent2 3 4" xfId="5594" xr:uid="{00000000-0005-0000-0000-0000D21A0000}"/>
    <cellStyle name="Accent2 3 4 2" xfId="5595" xr:uid="{00000000-0005-0000-0000-0000D31A0000}"/>
    <cellStyle name="Accent2 3 4 3" xfId="15287" xr:uid="{00000000-0005-0000-0000-0000D41A0000}"/>
    <cellStyle name="Accent2 3 5" xfId="5596" xr:uid="{00000000-0005-0000-0000-0000D51A0000}"/>
    <cellStyle name="Accent2 3 5 2" xfId="15288" xr:uid="{00000000-0005-0000-0000-0000D61A0000}"/>
    <cellStyle name="Accent2 3 6" xfId="5597" xr:uid="{00000000-0005-0000-0000-0000D71A0000}"/>
    <cellStyle name="Accent2 3 6 2" xfId="15289" xr:uid="{00000000-0005-0000-0000-0000D81A0000}"/>
    <cellStyle name="Accent2 3 7" xfId="5598" xr:uid="{00000000-0005-0000-0000-0000D91A0000}"/>
    <cellStyle name="Accent2 3 7 2" xfId="15290" xr:uid="{00000000-0005-0000-0000-0000DA1A0000}"/>
    <cellStyle name="Accent2 3 8" xfId="5599" xr:uid="{00000000-0005-0000-0000-0000DB1A0000}"/>
    <cellStyle name="Accent2 3 8 2" xfId="15291" xr:uid="{00000000-0005-0000-0000-0000DC1A0000}"/>
    <cellStyle name="Accent2 3 9" xfId="5600" xr:uid="{00000000-0005-0000-0000-0000DD1A0000}"/>
    <cellStyle name="Accent2 3 9 2" xfId="15292" xr:uid="{00000000-0005-0000-0000-0000DE1A0000}"/>
    <cellStyle name="Accent2 30" xfId="5601" xr:uid="{00000000-0005-0000-0000-0000DF1A0000}"/>
    <cellStyle name="Accent2 30 2" xfId="5602" xr:uid="{00000000-0005-0000-0000-0000E01A0000}"/>
    <cellStyle name="Accent2 30 2 2" xfId="15293" xr:uid="{00000000-0005-0000-0000-0000E11A0000}"/>
    <cellStyle name="Accent2 31" xfId="5603" xr:uid="{00000000-0005-0000-0000-0000E21A0000}"/>
    <cellStyle name="Accent2 31 2" xfId="5604" xr:uid="{00000000-0005-0000-0000-0000E31A0000}"/>
    <cellStyle name="Accent2 31 2 2" xfId="15294" xr:uid="{00000000-0005-0000-0000-0000E41A0000}"/>
    <cellStyle name="Accent2 32" xfId="5605" xr:uid="{00000000-0005-0000-0000-0000E51A0000}"/>
    <cellStyle name="Accent2 32 2" xfId="5606" xr:uid="{00000000-0005-0000-0000-0000E61A0000}"/>
    <cellStyle name="Accent2 32 2 2" xfId="15295" xr:uid="{00000000-0005-0000-0000-0000E71A0000}"/>
    <cellStyle name="Accent2 33" xfId="5607" xr:uid="{00000000-0005-0000-0000-0000E81A0000}"/>
    <cellStyle name="Accent2 33 2" xfId="5608" xr:uid="{00000000-0005-0000-0000-0000E91A0000}"/>
    <cellStyle name="Accent2 33 2 2" xfId="15296" xr:uid="{00000000-0005-0000-0000-0000EA1A0000}"/>
    <cellStyle name="Accent2 34" xfId="5609" xr:uid="{00000000-0005-0000-0000-0000EB1A0000}"/>
    <cellStyle name="Accent2 34 2" xfId="5610" xr:uid="{00000000-0005-0000-0000-0000EC1A0000}"/>
    <cellStyle name="Accent2 34 2 2" xfId="15297" xr:uid="{00000000-0005-0000-0000-0000ED1A0000}"/>
    <cellStyle name="Accent2 35" xfId="5611" xr:uid="{00000000-0005-0000-0000-0000EE1A0000}"/>
    <cellStyle name="Accent2 35 2" xfId="5612" xr:uid="{00000000-0005-0000-0000-0000EF1A0000}"/>
    <cellStyle name="Accent2 35 2 2" xfId="15298" xr:uid="{00000000-0005-0000-0000-0000F01A0000}"/>
    <cellStyle name="Accent2 36" xfId="5613" xr:uid="{00000000-0005-0000-0000-0000F11A0000}"/>
    <cellStyle name="Accent2 37" xfId="5614" xr:uid="{00000000-0005-0000-0000-0000F21A0000}"/>
    <cellStyle name="Accent2 38" xfId="5615" xr:uid="{00000000-0005-0000-0000-0000F31A0000}"/>
    <cellStyle name="Accent2 39" xfId="5616" xr:uid="{00000000-0005-0000-0000-0000F41A0000}"/>
    <cellStyle name="Accent2 4" xfId="5617" xr:uid="{00000000-0005-0000-0000-0000F51A0000}"/>
    <cellStyle name="Accent2 4 10" xfId="5618" xr:uid="{00000000-0005-0000-0000-0000F61A0000}"/>
    <cellStyle name="Accent2 4 10 2" xfId="15299" xr:uid="{00000000-0005-0000-0000-0000F71A0000}"/>
    <cellStyle name="Accent2 4 11" xfId="5619" xr:uid="{00000000-0005-0000-0000-0000F81A0000}"/>
    <cellStyle name="Accent2 4 11 2" xfId="15300" xr:uid="{00000000-0005-0000-0000-0000F91A0000}"/>
    <cellStyle name="Accent2 4 12" xfId="22025" xr:uid="{00000000-0005-0000-0000-0000FA1A0000}"/>
    <cellStyle name="Accent2 4 2" xfId="5620" xr:uid="{00000000-0005-0000-0000-0000FB1A0000}"/>
    <cellStyle name="Accent2 4 2 2" xfId="5621" xr:uid="{00000000-0005-0000-0000-0000FC1A0000}"/>
    <cellStyle name="Accent2 4 2 2 2" xfId="15301" xr:uid="{00000000-0005-0000-0000-0000FD1A0000}"/>
    <cellStyle name="Accent2 4 3" xfId="5622" xr:uid="{00000000-0005-0000-0000-0000FE1A0000}"/>
    <cellStyle name="Accent2 4 3 2" xfId="5623" xr:uid="{00000000-0005-0000-0000-0000FF1A0000}"/>
    <cellStyle name="Accent2 4 3 2 2" xfId="15302" xr:uid="{00000000-0005-0000-0000-0000001B0000}"/>
    <cellStyle name="Accent2 4 4" xfId="5624" xr:uid="{00000000-0005-0000-0000-0000011B0000}"/>
    <cellStyle name="Accent2 4 4 2" xfId="5625" xr:uid="{00000000-0005-0000-0000-0000021B0000}"/>
    <cellStyle name="Accent2 4 4 3" xfId="15303" xr:uid="{00000000-0005-0000-0000-0000031B0000}"/>
    <cellStyle name="Accent2 4 5" xfId="5626" xr:uid="{00000000-0005-0000-0000-0000041B0000}"/>
    <cellStyle name="Accent2 4 5 2" xfId="15304" xr:uid="{00000000-0005-0000-0000-0000051B0000}"/>
    <cellStyle name="Accent2 4 6" xfId="5627" xr:uid="{00000000-0005-0000-0000-0000061B0000}"/>
    <cellStyle name="Accent2 4 6 2" xfId="15305" xr:uid="{00000000-0005-0000-0000-0000071B0000}"/>
    <cellStyle name="Accent2 4 7" xfId="5628" xr:uid="{00000000-0005-0000-0000-0000081B0000}"/>
    <cellStyle name="Accent2 4 7 2" xfId="15306" xr:uid="{00000000-0005-0000-0000-0000091B0000}"/>
    <cellStyle name="Accent2 4 8" xfId="5629" xr:uid="{00000000-0005-0000-0000-00000A1B0000}"/>
    <cellStyle name="Accent2 4 8 2" xfId="15307" xr:uid="{00000000-0005-0000-0000-00000B1B0000}"/>
    <cellStyle name="Accent2 4 9" xfId="5630" xr:uid="{00000000-0005-0000-0000-00000C1B0000}"/>
    <cellStyle name="Accent2 4 9 2" xfId="15308" xr:uid="{00000000-0005-0000-0000-00000D1B0000}"/>
    <cellStyle name="Accent2 40" xfId="21708" xr:uid="{00000000-0005-0000-0000-00000E1B0000}"/>
    <cellStyle name="Accent2 5" xfId="5631" xr:uid="{00000000-0005-0000-0000-00000F1B0000}"/>
    <cellStyle name="Accent2 5 10" xfId="5632" xr:uid="{00000000-0005-0000-0000-0000101B0000}"/>
    <cellStyle name="Accent2 5 10 2" xfId="15309" xr:uid="{00000000-0005-0000-0000-0000111B0000}"/>
    <cellStyle name="Accent2 5 11" xfId="5633" xr:uid="{00000000-0005-0000-0000-0000121B0000}"/>
    <cellStyle name="Accent2 5 11 2" xfId="15310" xr:uid="{00000000-0005-0000-0000-0000131B0000}"/>
    <cellStyle name="Accent2 5 12" xfId="22026" xr:uid="{00000000-0005-0000-0000-0000141B0000}"/>
    <cellStyle name="Accent2 5 2" xfId="5634" xr:uid="{00000000-0005-0000-0000-0000151B0000}"/>
    <cellStyle name="Accent2 5 2 2" xfId="5635" xr:uid="{00000000-0005-0000-0000-0000161B0000}"/>
    <cellStyle name="Accent2 5 2 2 2" xfId="15311" xr:uid="{00000000-0005-0000-0000-0000171B0000}"/>
    <cellStyle name="Accent2 5 3" xfId="5636" xr:uid="{00000000-0005-0000-0000-0000181B0000}"/>
    <cellStyle name="Accent2 5 3 2" xfId="5637" xr:uid="{00000000-0005-0000-0000-0000191B0000}"/>
    <cellStyle name="Accent2 5 3 2 2" xfId="15312" xr:uid="{00000000-0005-0000-0000-00001A1B0000}"/>
    <cellStyle name="Accent2 5 4" xfId="5638" xr:uid="{00000000-0005-0000-0000-00001B1B0000}"/>
    <cellStyle name="Accent2 5 4 2" xfId="5639" xr:uid="{00000000-0005-0000-0000-00001C1B0000}"/>
    <cellStyle name="Accent2 5 4 3" xfId="15313" xr:uid="{00000000-0005-0000-0000-00001D1B0000}"/>
    <cellStyle name="Accent2 5 5" xfId="5640" xr:uid="{00000000-0005-0000-0000-00001E1B0000}"/>
    <cellStyle name="Accent2 5 5 2" xfId="15314" xr:uid="{00000000-0005-0000-0000-00001F1B0000}"/>
    <cellStyle name="Accent2 5 6" xfId="5641" xr:uid="{00000000-0005-0000-0000-0000201B0000}"/>
    <cellStyle name="Accent2 5 6 2" xfId="15315" xr:uid="{00000000-0005-0000-0000-0000211B0000}"/>
    <cellStyle name="Accent2 5 7" xfId="5642" xr:uid="{00000000-0005-0000-0000-0000221B0000}"/>
    <cellStyle name="Accent2 5 7 2" xfId="15316" xr:uid="{00000000-0005-0000-0000-0000231B0000}"/>
    <cellStyle name="Accent2 5 8" xfId="5643" xr:uid="{00000000-0005-0000-0000-0000241B0000}"/>
    <cellStyle name="Accent2 5 8 2" xfId="15317" xr:uid="{00000000-0005-0000-0000-0000251B0000}"/>
    <cellStyle name="Accent2 5 9" xfId="5644" xr:uid="{00000000-0005-0000-0000-0000261B0000}"/>
    <cellStyle name="Accent2 5 9 2" xfId="15318" xr:uid="{00000000-0005-0000-0000-0000271B0000}"/>
    <cellStyle name="Accent2 6" xfId="5645" xr:uid="{00000000-0005-0000-0000-0000281B0000}"/>
    <cellStyle name="Accent2 6 10" xfId="5646" xr:uid="{00000000-0005-0000-0000-0000291B0000}"/>
    <cellStyle name="Accent2 6 10 2" xfId="15319" xr:uid="{00000000-0005-0000-0000-00002A1B0000}"/>
    <cellStyle name="Accent2 6 11" xfId="5647" xr:uid="{00000000-0005-0000-0000-00002B1B0000}"/>
    <cellStyle name="Accent2 6 11 2" xfId="15320" xr:uid="{00000000-0005-0000-0000-00002C1B0000}"/>
    <cellStyle name="Accent2 6 2" xfId="5648" xr:uid="{00000000-0005-0000-0000-00002D1B0000}"/>
    <cellStyle name="Accent2 6 2 2" xfId="5649" xr:uid="{00000000-0005-0000-0000-00002E1B0000}"/>
    <cellStyle name="Accent2 6 2 2 2" xfId="15321" xr:uid="{00000000-0005-0000-0000-00002F1B0000}"/>
    <cellStyle name="Accent2 6 3" xfId="5650" xr:uid="{00000000-0005-0000-0000-0000301B0000}"/>
    <cellStyle name="Accent2 6 3 2" xfId="5651" xr:uid="{00000000-0005-0000-0000-0000311B0000}"/>
    <cellStyle name="Accent2 6 3 2 2" xfId="15322" xr:uid="{00000000-0005-0000-0000-0000321B0000}"/>
    <cellStyle name="Accent2 6 4" xfId="5652" xr:uid="{00000000-0005-0000-0000-0000331B0000}"/>
    <cellStyle name="Accent2 6 4 2" xfId="5653" xr:uid="{00000000-0005-0000-0000-0000341B0000}"/>
    <cellStyle name="Accent2 6 4 3" xfId="15323" xr:uid="{00000000-0005-0000-0000-0000351B0000}"/>
    <cellStyle name="Accent2 6 5" xfId="5654" xr:uid="{00000000-0005-0000-0000-0000361B0000}"/>
    <cellStyle name="Accent2 6 5 2" xfId="15324" xr:uid="{00000000-0005-0000-0000-0000371B0000}"/>
    <cellStyle name="Accent2 6 6" xfId="5655" xr:uid="{00000000-0005-0000-0000-0000381B0000}"/>
    <cellStyle name="Accent2 6 6 2" xfId="15325" xr:uid="{00000000-0005-0000-0000-0000391B0000}"/>
    <cellStyle name="Accent2 6 7" xfId="5656" xr:uid="{00000000-0005-0000-0000-00003A1B0000}"/>
    <cellStyle name="Accent2 6 7 2" xfId="15326" xr:uid="{00000000-0005-0000-0000-00003B1B0000}"/>
    <cellStyle name="Accent2 6 8" xfId="5657" xr:uid="{00000000-0005-0000-0000-00003C1B0000}"/>
    <cellStyle name="Accent2 6 8 2" xfId="15327" xr:uid="{00000000-0005-0000-0000-00003D1B0000}"/>
    <cellStyle name="Accent2 6 9" xfId="5658" xr:uid="{00000000-0005-0000-0000-00003E1B0000}"/>
    <cellStyle name="Accent2 6 9 2" xfId="15328" xr:uid="{00000000-0005-0000-0000-00003F1B0000}"/>
    <cellStyle name="Accent2 7" xfId="5659" xr:uid="{00000000-0005-0000-0000-0000401B0000}"/>
    <cellStyle name="Accent2 7 10" xfId="5660" xr:uid="{00000000-0005-0000-0000-0000411B0000}"/>
    <cellStyle name="Accent2 7 10 2" xfId="15329" xr:uid="{00000000-0005-0000-0000-0000421B0000}"/>
    <cellStyle name="Accent2 7 11" xfId="5661" xr:uid="{00000000-0005-0000-0000-0000431B0000}"/>
    <cellStyle name="Accent2 7 11 2" xfId="15330" xr:uid="{00000000-0005-0000-0000-0000441B0000}"/>
    <cellStyle name="Accent2 7 2" xfId="5662" xr:uid="{00000000-0005-0000-0000-0000451B0000}"/>
    <cellStyle name="Accent2 7 2 2" xfId="5663" xr:uid="{00000000-0005-0000-0000-0000461B0000}"/>
    <cellStyle name="Accent2 7 2 2 2" xfId="15331" xr:uid="{00000000-0005-0000-0000-0000471B0000}"/>
    <cellStyle name="Accent2 7 3" xfId="5664" xr:uid="{00000000-0005-0000-0000-0000481B0000}"/>
    <cellStyle name="Accent2 7 3 2" xfId="5665" xr:uid="{00000000-0005-0000-0000-0000491B0000}"/>
    <cellStyle name="Accent2 7 3 2 2" xfId="15332" xr:uid="{00000000-0005-0000-0000-00004A1B0000}"/>
    <cellStyle name="Accent2 7 4" xfId="5666" xr:uid="{00000000-0005-0000-0000-00004B1B0000}"/>
    <cellStyle name="Accent2 7 4 2" xfId="5667" xr:uid="{00000000-0005-0000-0000-00004C1B0000}"/>
    <cellStyle name="Accent2 7 4 3" xfId="15333" xr:uid="{00000000-0005-0000-0000-00004D1B0000}"/>
    <cellStyle name="Accent2 7 5" xfId="5668" xr:uid="{00000000-0005-0000-0000-00004E1B0000}"/>
    <cellStyle name="Accent2 7 5 2" xfId="15334" xr:uid="{00000000-0005-0000-0000-00004F1B0000}"/>
    <cellStyle name="Accent2 7 6" xfId="5669" xr:uid="{00000000-0005-0000-0000-0000501B0000}"/>
    <cellStyle name="Accent2 7 6 2" xfId="15335" xr:uid="{00000000-0005-0000-0000-0000511B0000}"/>
    <cellStyle name="Accent2 7 7" xfId="5670" xr:uid="{00000000-0005-0000-0000-0000521B0000}"/>
    <cellStyle name="Accent2 7 7 2" xfId="15336" xr:uid="{00000000-0005-0000-0000-0000531B0000}"/>
    <cellStyle name="Accent2 7 8" xfId="5671" xr:uid="{00000000-0005-0000-0000-0000541B0000}"/>
    <cellStyle name="Accent2 7 8 2" xfId="15337" xr:uid="{00000000-0005-0000-0000-0000551B0000}"/>
    <cellStyle name="Accent2 7 9" xfId="5672" xr:uid="{00000000-0005-0000-0000-0000561B0000}"/>
    <cellStyle name="Accent2 7 9 2" xfId="15338" xr:uid="{00000000-0005-0000-0000-0000571B0000}"/>
    <cellStyle name="Accent2 8" xfId="5673" xr:uid="{00000000-0005-0000-0000-0000581B0000}"/>
    <cellStyle name="Accent2 8 10" xfId="5674" xr:uid="{00000000-0005-0000-0000-0000591B0000}"/>
    <cellStyle name="Accent2 8 10 2" xfId="15339" xr:uid="{00000000-0005-0000-0000-00005A1B0000}"/>
    <cellStyle name="Accent2 8 11" xfId="5675" xr:uid="{00000000-0005-0000-0000-00005B1B0000}"/>
    <cellStyle name="Accent2 8 11 2" xfId="15340" xr:uid="{00000000-0005-0000-0000-00005C1B0000}"/>
    <cellStyle name="Accent2 8 2" xfId="5676" xr:uid="{00000000-0005-0000-0000-00005D1B0000}"/>
    <cellStyle name="Accent2 8 2 2" xfId="5677" xr:uid="{00000000-0005-0000-0000-00005E1B0000}"/>
    <cellStyle name="Accent2 8 2 2 2" xfId="15341" xr:uid="{00000000-0005-0000-0000-00005F1B0000}"/>
    <cellStyle name="Accent2 8 3" xfId="5678" xr:uid="{00000000-0005-0000-0000-0000601B0000}"/>
    <cellStyle name="Accent2 8 3 2" xfId="5679" xr:uid="{00000000-0005-0000-0000-0000611B0000}"/>
    <cellStyle name="Accent2 8 3 2 2" xfId="15342" xr:uid="{00000000-0005-0000-0000-0000621B0000}"/>
    <cellStyle name="Accent2 8 4" xfId="5680" xr:uid="{00000000-0005-0000-0000-0000631B0000}"/>
    <cellStyle name="Accent2 8 4 2" xfId="5681" xr:uid="{00000000-0005-0000-0000-0000641B0000}"/>
    <cellStyle name="Accent2 8 4 3" xfId="15343" xr:uid="{00000000-0005-0000-0000-0000651B0000}"/>
    <cellStyle name="Accent2 8 5" xfId="5682" xr:uid="{00000000-0005-0000-0000-0000661B0000}"/>
    <cellStyle name="Accent2 8 5 2" xfId="15344" xr:uid="{00000000-0005-0000-0000-0000671B0000}"/>
    <cellStyle name="Accent2 8 6" xfId="5683" xr:uid="{00000000-0005-0000-0000-0000681B0000}"/>
    <cellStyle name="Accent2 8 6 2" xfId="15345" xr:uid="{00000000-0005-0000-0000-0000691B0000}"/>
    <cellStyle name="Accent2 8 7" xfId="5684" xr:uid="{00000000-0005-0000-0000-00006A1B0000}"/>
    <cellStyle name="Accent2 8 7 2" xfId="15346" xr:uid="{00000000-0005-0000-0000-00006B1B0000}"/>
    <cellStyle name="Accent2 8 8" xfId="5685" xr:uid="{00000000-0005-0000-0000-00006C1B0000}"/>
    <cellStyle name="Accent2 8 8 2" xfId="15347" xr:uid="{00000000-0005-0000-0000-00006D1B0000}"/>
    <cellStyle name="Accent2 8 9" xfId="5686" xr:uid="{00000000-0005-0000-0000-00006E1B0000}"/>
    <cellStyle name="Accent2 8 9 2" xfId="15348" xr:uid="{00000000-0005-0000-0000-00006F1B0000}"/>
    <cellStyle name="Accent2 9" xfId="5687" xr:uid="{00000000-0005-0000-0000-0000701B0000}"/>
    <cellStyle name="Accent2 9 10" xfId="5688" xr:uid="{00000000-0005-0000-0000-0000711B0000}"/>
    <cellStyle name="Accent2 9 10 2" xfId="15349" xr:uid="{00000000-0005-0000-0000-0000721B0000}"/>
    <cellStyle name="Accent2 9 11" xfId="5689" xr:uid="{00000000-0005-0000-0000-0000731B0000}"/>
    <cellStyle name="Accent2 9 11 2" xfId="15350" xr:uid="{00000000-0005-0000-0000-0000741B0000}"/>
    <cellStyle name="Accent2 9 2" xfId="5690" xr:uid="{00000000-0005-0000-0000-0000751B0000}"/>
    <cellStyle name="Accent2 9 2 2" xfId="5691" xr:uid="{00000000-0005-0000-0000-0000761B0000}"/>
    <cellStyle name="Accent2 9 2 2 2" xfId="15351" xr:uid="{00000000-0005-0000-0000-0000771B0000}"/>
    <cellStyle name="Accent2 9 3" xfId="5692" xr:uid="{00000000-0005-0000-0000-0000781B0000}"/>
    <cellStyle name="Accent2 9 3 2" xfId="5693" xr:uid="{00000000-0005-0000-0000-0000791B0000}"/>
    <cellStyle name="Accent2 9 3 2 2" xfId="15352" xr:uid="{00000000-0005-0000-0000-00007A1B0000}"/>
    <cellStyle name="Accent2 9 4" xfId="5694" xr:uid="{00000000-0005-0000-0000-00007B1B0000}"/>
    <cellStyle name="Accent2 9 4 2" xfId="5695" xr:uid="{00000000-0005-0000-0000-00007C1B0000}"/>
    <cellStyle name="Accent2 9 4 3" xfId="15353" xr:uid="{00000000-0005-0000-0000-00007D1B0000}"/>
    <cellStyle name="Accent2 9 5" xfId="5696" xr:uid="{00000000-0005-0000-0000-00007E1B0000}"/>
    <cellStyle name="Accent2 9 5 2" xfId="15354" xr:uid="{00000000-0005-0000-0000-00007F1B0000}"/>
    <cellStyle name="Accent2 9 6" xfId="5697" xr:uid="{00000000-0005-0000-0000-0000801B0000}"/>
    <cellStyle name="Accent2 9 6 2" xfId="15355" xr:uid="{00000000-0005-0000-0000-0000811B0000}"/>
    <cellStyle name="Accent2 9 7" xfId="5698" xr:uid="{00000000-0005-0000-0000-0000821B0000}"/>
    <cellStyle name="Accent2 9 7 2" xfId="15356" xr:uid="{00000000-0005-0000-0000-0000831B0000}"/>
    <cellStyle name="Accent2 9 8" xfId="5699" xr:uid="{00000000-0005-0000-0000-0000841B0000}"/>
    <cellStyle name="Accent2 9 8 2" xfId="15357" xr:uid="{00000000-0005-0000-0000-0000851B0000}"/>
    <cellStyle name="Accent2 9 9" xfId="5700" xr:uid="{00000000-0005-0000-0000-0000861B0000}"/>
    <cellStyle name="Accent2 9 9 2" xfId="15358" xr:uid="{00000000-0005-0000-0000-0000871B0000}"/>
    <cellStyle name="Accent3 10" xfId="5701" xr:uid="{00000000-0005-0000-0000-0000881B0000}"/>
    <cellStyle name="Accent3 10 10" xfId="5702" xr:uid="{00000000-0005-0000-0000-0000891B0000}"/>
    <cellStyle name="Accent3 10 10 2" xfId="15359" xr:uid="{00000000-0005-0000-0000-00008A1B0000}"/>
    <cellStyle name="Accent3 10 11" xfId="5703" xr:uid="{00000000-0005-0000-0000-00008B1B0000}"/>
    <cellStyle name="Accent3 10 11 2" xfId="15360" xr:uid="{00000000-0005-0000-0000-00008C1B0000}"/>
    <cellStyle name="Accent3 10 2" xfId="5704" xr:uid="{00000000-0005-0000-0000-00008D1B0000}"/>
    <cellStyle name="Accent3 10 2 2" xfId="5705" xr:uid="{00000000-0005-0000-0000-00008E1B0000}"/>
    <cellStyle name="Accent3 10 2 2 2" xfId="15361" xr:uid="{00000000-0005-0000-0000-00008F1B0000}"/>
    <cellStyle name="Accent3 10 3" xfId="5706" xr:uid="{00000000-0005-0000-0000-0000901B0000}"/>
    <cellStyle name="Accent3 10 3 2" xfId="5707" xr:uid="{00000000-0005-0000-0000-0000911B0000}"/>
    <cellStyle name="Accent3 10 3 2 2" xfId="15362" xr:uid="{00000000-0005-0000-0000-0000921B0000}"/>
    <cellStyle name="Accent3 10 4" xfId="5708" xr:uid="{00000000-0005-0000-0000-0000931B0000}"/>
    <cellStyle name="Accent3 10 4 2" xfId="5709" xr:uid="{00000000-0005-0000-0000-0000941B0000}"/>
    <cellStyle name="Accent3 10 4 3" xfId="15363" xr:uid="{00000000-0005-0000-0000-0000951B0000}"/>
    <cellStyle name="Accent3 10 5" xfId="5710" xr:uid="{00000000-0005-0000-0000-0000961B0000}"/>
    <cellStyle name="Accent3 10 5 2" xfId="15364" xr:uid="{00000000-0005-0000-0000-0000971B0000}"/>
    <cellStyle name="Accent3 10 6" xfId="5711" xr:uid="{00000000-0005-0000-0000-0000981B0000}"/>
    <cellStyle name="Accent3 10 6 2" xfId="15365" xr:uid="{00000000-0005-0000-0000-0000991B0000}"/>
    <cellStyle name="Accent3 10 7" xfId="5712" xr:uid="{00000000-0005-0000-0000-00009A1B0000}"/>
    <cellStyle name="Accent3 10 7 2" xfId="15366" xr:uid="{00000000-0005-0000-0000-00009B1B0000}"/>
    <cellStyle name="Accent3 10 8" xfId="5713" xr:uid="{00000000-0005-0000-0000-00009C1B0000}"/>
    <cellStyle name="Accent3 10 8 2" xfId="15367" xr:uid="{00000000-0005-0000-0000-00009D1B0000}"/>
    <cellStyle name="Accent3 10 9" xfId="5714" xr:uid="{00000000-0005-0000-0000-00009E1B0000}"/>
    <cellStyle name="Accent3 10 9 2" xfId="15368" xr:uid="{00000000-0005-0000-0000-00009F1B0000}"/>
    <cellStyle name="Accent3 11" xfId="5715" xr:uid="{00000000-0005-0000-0000-0000A01B0000}"/>
    <cellStyle name="Accent3 11 10" xfId="5716" xr:uid="{00000000-0005-0000-0000-0000A11B0000}"/>
    <cellStyle name="Accent3 11 10 2" xfId="15369" xr:uid="{00000000-0005-0000-0000-0000A21B0000}"/>
    <cellStyle name="Accent3 11 11" xfId="5717" xr:uid="{00000000-0005-0000-0000-0000A31B0000}"/>
    <cellStyle name="Accent3 11 11 2" xfId="15370" xr:uid="{00000000-0005-0000-0000-0000A41B0000}"/>
    <cellStyle name="Accent3 11 2" xfId="5718" xr:uid="{00000000-0005-0000-0000-0000A51B0000}"/>
    <cellStyle name="Accent3 11 2 2" xfId="5719" xr:uid="{00000000-0005-0000-0000-0000A61B0000}"/>
    <cellStyle name="Accent3 11 2 2 2" xfId="15371" xr:uid="{00000000-0005-0000-0000-0000A71B0000}"/>
    <cellStyle name="Accent3 11 3" xfId="5720" xr:uid="{00000000-0005-0000-0000-0000A81B0000}"/>
    <cellStyle name="Accent3 11 3 2" xfId="5721" xr:uid="{00000000-0005-0000-0000-0000A91B0000}"/>
    <cellStyle name="Accent3 11 3 2 2" xfId="15372" xr:uid="{00000000-0005-0000-0000-0000AA1B0000}"/>
    <cellStyle name="Accent3 11 4" xfId="5722" xr:uid="{00000000-0005-0000-0000-0000AB1B0000}"/>
    <cellStyle name="Accent3 11 4 2" xfId="5723" xr:uid="{00000000-0005-0000-0000-0000AC1B0000}"/>
    <cellStyle name="Accent3 11 4 3" xfId="15373" xr:uid="{00000000-0005-0000-0000-0000AD1B0000}"/>
    <cellStyle name="Accent3 11 5" xfId="5724" xr:uid="{00000000-0005-0000-0000-0000AE1B0000}"/>
    <cellStyle name="Accent3 11 5 2" xfId="15374" xr:uid="{00000000-0005-0000-0000-0000AF1B0000}"/>
    <cellStyle name="Accent3 11 6" xfId="5725" xr:uid="{00000000-0005-0000-0000-0000B01B0000}"/>
    <cellStyle name="Accent3 11 6 2" xfId="15375" xr:uid="{00000000-0005-0000-0000-0000B11B0000}"/>
    <cellStyle name="Accent3 11 7" xfId="5726" xr:uid="{00000000-0005-0000-0000-0000B21B0000}"/>
    <cellStyle name="Accent3 11 7 2" xfId="15376" xr:uid="{00000000-0005-0000-0000-0000B31B0000}"/>
    <cellStyle name="Accent3 11 8" xfId="5727" xr:uid="{00000000-0005-0000-0000-0000B41B0000}"/>
    <cellStyle name="Accent3 11 8 2" xfId="15377" xr:uid="{00000000-0005-0000-0000-0000B51B0000}"/>
    <cellStyle name="Accent3 11 9" xfId="5728" xr:uid="{00000000-0005-0000-0000-0000B61B0000}"/>
    <cellStyle name="Accent3 11 9 2" xfId="15378" xr:uid="{00000000-0005-0000-0000-0000B71B0000}"/>
    <cellStyle name="Accent3 12" xfId="5729" xr:uid="{00000000-0005-0000-0000-0000B81B0000}"/>
    <cellStyle name="Accent3 12 10" xfId="5730" xr:uid="{00000000-0005-0000-0000-0000B91B0000}"/>
    <cellStyle name="Accent3 12 10 2" xfId="15379" xr:uid="{00000000-0005-0000-0000-0000BA1B0000}"/>
    <cellStyle name="Accent3 12 11" xfId="5731" xr:uid="{00000000-0005-0000-0000-0000BB1B0000}"/>
    <cellStyle name="Accent3 12 11 2" xfId="15380" xr:uid="{00000000-0005-0000-0000-0000BC1B0000}"/>
    <cellStyle name="Accent3 12 2" xfId="5732" xr:uid="{00000000-0005-0000-0000-0000BD1B0000}"/>
    <cellStyle name="Accent3 12 2 2" xfId="5733" xr:uid="{00000000-0005-0000-0000-0000BE1B0000}"/>
    <cellStyle name="Accent3 12 2 2 2" xfId="15381" xr:uid="{00000000-0005-0000-0000-0000BF1B0000}"/>
    <cellStyle name="Accent3 12 3" xfId="5734" xr:uid="{00000000-0005-0000-0000-0000C01B0000}"/>
    <cellStyle name="Accent3 12 3 2" xfId="5735" xr:uid="{00000000-0005-0000-0000-0000C11B0000}"/>
    <cellStyle name="Accent3 12 3 2 2" xfId="15382" xr:uid="{00000000-0005-0000-0000-0000C21B0000}"/>
    <cellStyle name="Accent3 12 4" xfId="5736" xr:uid="{00000000-0005-0000-0000-0000C31B0000}"/>
    <cellStyle name="Accent3 12 4 2" xfId="5737" xr:uid="{00000000-0005-0000-0000-0000C41B0000}"/>
    <cellStyle name="Accent3 12 4 3" xfId="15383" xr:uid="{00000000-0005-0000-0000-0000C51B0000}"/>
    <cellStyle name="Accent3 12 5" xfId="5738" xr:uid="{00000000-0005-0000-0000-0000C61B0000}"/>
    <cellStyle name="Accent3 12 5 2" xfId="15384" xr:uid="{00000000-0005-0000-0000-0000C71B0000}"/>
    <cellStyle name="Accent3 12 6" xfId="5739" xr:uid="{00000000-0005-0000-0000-0000C81B0000}"/>
    <cellStyle name="Accent3 12 6 2" xfId="15385" xr:uid="{00000000-0005-0000-0000-0000C91B0000}"/>
    <cellStyle name="Accent3 12 7" xfId="5740" xr:uid="{00000000-0005-0000-0000-0000CA1B0000}"/>
    <cellStyle name="Accent3 12 7 2" xfId="15386" xr:uid="{00000000-0005-0000-0000-0000CB1B0000}"/>
    <cellStyle name="Accent3 12 8" xfId="5741" xr:uid="{00000000-0005-0000-0000-0000CC1B0000}"/>
    <cellStyle name="Accent3 12 8 2" xfId="15387" xr:uid="{00000000-0005-0000-0000-0000CD1B0000}"/>
    <cellStyle name="Accent3 12 9" xfId="5742" xr:uid="{00000000-0005-0000-0000-0000CE1B0000}"/>
    <cellStyle name="Accent3 12 9 2" xfId="15388" xr:uid="{00000000-0005-0000-0000-0000CF1B0000}"/>
    <cellStyle name="Accent3 13" xfId="5743" xr:uid="{00000000-0005-0000-0000-0000D01B0000}"/>
    <cellStyle name="Accent3 13 10" xfId="5744" xr:uid="{00000000-0005-0000-0000-0000D11B0000}"/>
    <cellStyle name="Accent3 13 10 2" xfId="15389" xr:uid="{00000000-0005-0000-0000-0000D21B0000}"/>
    <cellStyle name="Accent3 13 11" xfId="5745" xr:uid="{00000000-0005-0000-0000-0000D31B0000}"/>
    <cellStyle name="Accent3 13 11 2" xfId="15390" xr:uid="{00000000-0005-0000-0000-0000D41B0000}"/>
    <cellStyle name="Accent3 13 2" xfId="5746" xr:uid="{00000000-0005-0000-0000-0000D51B0000}"/>
    <cellStyle name="Accent3 13 2 2" xfId="5747" xr:uid="{00000000-0005-0000-0000-0000D61B0000}"/>
    <cellStyle name="Accent3 13 2 2 2" xfId="15391" xr:uid="{00000000-0005-0000-0000-0000D71B0000}"/>
    <cellStyle name="Accent3 13 3" xfId="5748" xr:uid="{00000000-0005-0000-0000-0000D81B0000}"/>
    <cellStyle name="Accent3 13 3 2" xfId="5749" xr:uid="{00000000-0005-0000-0000-0000D91B0000}"/>
    <cellStyle name="Accent3 13 3 2 2" xfId="15392" xr:uid="{00000000-0005-0000-0000-0000DA1B0000}"/>
    <cellStyle name="Accent3 13 4" xfId="5750" xr:uid="{00000000-0005-0000-0000-0000DB1B0000}"/>
    <cellStyle name="Accent3 13 4 2" xfId="15393" xr:uid="{00000000-0005-0000-0000-0000DC1B0000}"/>
    <cellStyle name="Accent3 13 5" xfId="5751" xr:uid="{00000000-0005-0000-0000-0000DD1B0000}"/>
    <cellStyle name="Accent3 13 5 2" xfId="15394" xr:uid="{00000000-0005-0000-0000-0000DE1B0000}"/>
    <cellStyle name="Accent3 13 6" xfId="5752" xr:uid="{00000000-0005-0000-0000-0000DF1B0000}"/>
    <cellStyle name="Accent3 13 6 2" xfId="15395" xr:uid="{00000000-0005-0000-0000-0000E01B0000}"/>
    <cellStyle name="Accent3 13 7" xfId="5753" xr:uid="{00000000-0005-0000-0000-0000E11B0000}"/>
    <cellStyle name="Accent3 13 7 2" xfId="15396" xr:uid="{00000000-0005-0000-0000-0000E21B0000}"/>
    <cellStyle name="Accent3 13 8" xfId="5754" xr:uid="{00000000-0005-0000-0000-0000E31B0000}"/>
    <cellStyle name="Accent3 13 8 2" xfId="15397" xr:uid="{00000000-0005-0000-0000-0000E41B0000}"/>
    <cellStyle name="Accent3 13 9" xfId="5755" xr:uid="{00000000-0005-0000-0000-0000E51B0000}"/>
    <cellStyle name="Accent3 13 9 2" xfId="15398" xr:uid="{00000000-0005-0000-0000-0000E61B0000}"/>
    <cellStyle name="Accent3 14" xfId="5756" xr:uid="{00000000-0005-0000-0000-0000E71B0000}"/>
    <cellStyle name="Accent3 14 10" xfId="5757" xr:uid="{00000000-0005-0000-0000-0000E81B0000}"/>
    <cellStyle name="Accent3 14 10 2" xfId="15399" xr:uid="{00000000-0005-0000-0000-0000E91B0000}"/>
    <cellStyle name="Accent3 14 11" xfId="5758" xr:uid="{00000000-0005-0000-0000-0000EA1B0000}"/>
    <cellStyle name="Accent3 14 11 2" xfId="15400" xr:uid="{00000000-0005-0000-0000-0000EB1B0000}"/>
    <cellStyle name="Accent3 14 2" xfId="5759" xr:uid="{00000000-0005-0000-0000-0000EC1B0000}"/>
    <cellStyle name="Accent3 14 2 2" xfId="5760" xr:uid="{00000000-0005-0000-0000-0000ED1B0000}"/>
    <cellStyle name="Accent3 14 2 2 2" xfId="15401" xr:uid="{00000000-0005-0000-0000-0000EE1B0000}"/>
    <cellStyle name="Accent3 14 3" xfId="5761" xr:uid="{00000000-0005-0000-0000-0000EF1B0000}"/>
    <cellStyle name="Accent3 14 3 2" xfId="5762" xr:uid="{00000000-0005-0000-0000-0000F01B0000}"/>
    <cellStyle name="Accent3 14 3 2 2" xfId="15402" xr:uid="{00000000-0005-0000-0000-0000F11B0000}"/>
    <cellStyle name="Accent3 14 4" xfId="5763" xr:uid="{00000000-0005-0000-0000-0000F21B0000}"/>
    <cellStyle name="Accent3 14 4 2" xfId="15403" xr:uid="{00000000-0005-0000-0000-0000F31B0000}"/>
    <cellStyle name="Accent3 14 5" xfId="5764" xr:uid="{00000000-0005-0000-0000-0000F41B0000}"/>
    <cellStyle name="Accent3 14 5 2" xfId="15404" xr:uid="{00000000-0005-0000-0000-0000F51B0000}"/>
    <cellStyle name="Accent3 14 6" xfId="5765" xr:uid="{00000000-0005-0000-0000-0000F61B0000}"/>
    <cellStyle name="Accent3 14 6 2" xfId="15405" xr:uid="{00000000-0005-0000-0000-0000F71B0000}"/>
    <cellStyle name="Accent3 14 7" xfId="5766" xr:uid="{00000000-0005-0000-0000-0000F81B0000}"/>
    <cellStyle name="Accent3 14 7 2" xfId="15406" xr:uid="{00000000-0005-0000-0000-0000F91B0000}"/>
    <cellStyle name="Accent3 14 8" xfId="5767" xr:uid="{00000000-0005-0000-0000-0000FA1B0000}"/>
    <cellStyle name="Accent3 14 8 2" xfId="15407" xr:uid="{00000000-0005-0000-0000-0000FB1B0000}"/>
    <cellStyle name="Accent3 14 9" xfId="5768" xr:uid="{00000000-0005-0000-0000-0000FC1B0000}"/>
    <cellStyle name="Accent3 14 9 2" xfId="15408" xr:uid="{00000000-0005-0000-0000-0000FD1B0000}"/>
    <cellStyle name="Accent3 15" xfId="5769" xr:uid="{00000000-0005-0000-0000-0000FE1B0000}"/>
    <cellStyle name="Accent3 15 10" xfId="5770" xr:uid="{00000000-0005-0000-0000-0000FF1B0000}"/>
    <cellStyle name="Accent3 15 10 2" xfId="15409" xr:uid="{00000000-0005-0000-0000-0000001C0000}"/>
    <cellStyle name="Accent3 15 11" xfId="5771" xr:uid="{00000000-0005-0000-0000-0000011C0000}"/>
    <cellStyle name="Accent3 15 11 2" xfId="15410" xr:uid="{00000000-0005-0000-0000-0000021C0000}"/>
    <cellStyle name="Accent3 15 2" xfId="5772" xr:uid="{00000000-0005-0000-0000-0000031C0000}"/>
    <cellStyle name="Accent3 15 2 2" xfId="5773" xr:uid="{00000000-0005-0000-0000-0000041C0000}"/>
    <cellStyle name="Accent3 15 2 2 2" xfId="15411" xr:uid="{00000000-0005-0000-0000-0000051C0000}"/>
    <cellStyle name="Accent3 15 3" xfId="5774" xr:uid="{00000000-0005-0000-0000-0000061C0000}"/>
    <cellStyle name="Accent3 15 3 2" xfId="5775" xr:uid="{00000000-0005-0000-0000-0000071C0000}"/>
    <cellStyle name="Accent3 15 3 2 2" xfId="15412" xr:uid="{00000000-0005-0000-0000-0000081C0000}"/>
    <cellStyle name="Accent3 15 4" xfId="5776" xr:uid="{00000000-0005-0000-0000-0000091C0000}"/>
    <cellStyle name="Accent3 15 4 2" xfId="15413" xr:uid="{00000000-0005-0000-0000-00000A1C0000}"/>
    <cellStyle name="Accent3 15 5" xfId="5777" xr:uid="{00000000-0005-0000-0000-00000B1C0000}"/>
    <cellStyle name="Accent3 15 5 2" xfId="15414" xr:uid="{00000000-0005-0000-0000-00000C1C0000}"/>
    <cellStyle name="Accent3 15 6" xfId="5778" xr:uid="{00000000-0005-0000-0000-00000D1C0000}"/>
    <cellStyle name="Accent3 15 6 2" xfId="15415" xr:uid="{00000000-0005-0000-0000-00000E1C0000}"/>
    <cellStyle name="Accent3 15 7" xfId="5779" xr:uid="{00000000-0005-0000-0000-00000F1C0000}"/>
    <cellStyle name="Accent3 15 7 2" xfId="15416" xr:uid="{00000000-0005-0000-0000-0000101C0000}"/>
    <cellStyle name="Accent3 15 8" xfId="5780" xr:uid="{00000000-0005-0000-0000-0000111C0000}"/>
    <cellStyle name="Accent3 15 8 2" xfId="15417" xr:uid="{00000000-0005-0000-0000-0000121C0000}"/>
    <cellStyle name="Accent3 15 9" xfId="5781" xr:uid="{00000000-0005-0000-0000-0000131C0000}"/>
    <cellStyle name="Accent3 15 9 2" xfId="15418" xr:uid="{00000000-0005-0000-0000-0000141C0000}"/>
    <cellStyle name="Accent3 16" xfId="5782" xr:uid="{00000000-0005-0000-0000-0000151C0000}"/>
    <cellStyle name="Accent3 16 10" xfId="5783" xr:uid="{00000000-0005-0000-0000-0000161C0000}"/>
    <cellStyle name="Accent3 16 10 2" xfId="15419" xr:uid="{00000000-0005-0000-0000-0000171C0000}"/>
    <cellStyle name="Accent3 16 11" xfId="5784" xr:uid="{00000000-0005-0000-0000-0000181C0000}"/>
    <cellStyle name="Accent3 16 11 2" xfId="15420" xr:uid="{00000000-0005-0000-0000-0000191C0000}"/>
    <cellStyle name="Accent3 16 2" xfId="5785" xr:uid="{00000000-0005-0000-0000-00001A1C0000}"/>
    <cellStyle name="Accent3 16 2 2" xfId="5786" xr:uid="{00000000-0005-0000-0000-00001B1C0000}"/>
    <cellStyle name="Accent3 16 2 2 2" xfId="15421" xr:uid="{00000000-0005-0000-0000-00001C1C0000}"/>
    <cellStyle name="Accent3 16 3" xfId="5787" xr:uid="{00000000-0005-0000-0000-00001D1C0000}"/>
    <cellStyle name="Accent3 16 3 2" xfId="5788" xr:uid="{00000000-0005-0000-0000-00001E1C0000}"/>
    <cellStyle name="Accent3 16 3 2 2" xfId="15422" xr:uid="{00000000-0005-0000-0000-00001F1C0000}"/>
    <cellStyle name="Accent3 16 4" xfId="5789" xr:uid="{00000000-0005-0000-0000-0000201C0000}"/>
    <cellStyle name="Accent3 16 4 2" xfId="15423" xr:uid="{00000000-0005-0000-0000-0000211C0000}"/>
    <cellStyle name="Accent3 16 5" xfId="5790" xr:uid="{00000000-0005-0000-0000-0000221C0000}"/>
    <cellStyle name="Accent3 16 5 2" xfId="15424" xr:uid="{00000000-0005-0000-0000-0000231C0000}"/>
    <cellStyle name="Accent3 16 6" xfId="5791" xr:uid="{00000000-0005-0000-0000-0000241C0000}"/>
    <cellStyle name="Accent3 16 6 2" xfId="15425" xr:uid="{00000000-0005-0000-0000-0000251C0000}"/>
    <cellStyle name="Accent3 16 7" xfId="5792" xr:uid="{00000000-0005-0000-0000-0000261C0000}"/>
    <cellStyle name="Accent3 16 7 2" xfId="15426" xr:uid="{00000000-0005-0000-0000-0000271C0000}"/>
    <cellStyle name="Accent3 16 8" xfId="5793" xr:uid="{00000000-0005-0000-0000-0000281C0000}"/>
    <cellStyle name="Accent3 16 8 2" xfId="15427" xr:uid="{00000000-0005-0000-0000-0000291C0000}"/>
    <cellStyle name="Accent3 16 9" xfId="5794" xr:uid="{00000000-0005-0000-0000-00002A1C0000}"/>
    <cellStyle name="Accent3 16 9 2" xfId="15428" xr:uid="{00000000-0005-0000-0000-00002B1C0000}"/>
    <cellStyle name="Accent3 17" xfId="5795" xr:uid="{00000000-0005-0000-0000-00002C1C0000}"/>
    <cellStyle name="Accent3 17 10" xfId="5796" xr:uid="{00000000-0005-0000-0000-00002D1C0000}"/>
    <cellStyle name="Accent3 17 10 2" xfId="15429" xr:uid="{00000000-0005-0000-0000-00002E1C0000}"/>
    <cellStyle name="Accent3 17 11" xfId="5797" xr:uid="{00000000-0005-0000-0000-00002F1C0000}"/>
    <cellStyle name="Accent3 17 11 2" xfId="15430" xr:uid="{00000000-0005-0000-0000-0000301C0000}"/>
    <cellStyle name="Accent3 17 2" xfId="5798" xr:uid="{00000000-0005-0000-0000-0000311C0000}"/>
    <cellStyle name="Accent3 17 2 2" xfId="5799" xr:uid="{00000000-0005-0000-0000-0000321C0000}"/>
    <cellStyle name="Accent3 17 2 2 2" xfId="15431" xr:uid="{00000000-0005-0000-0000-0000331C0000}"/>
    <cellStyle name="Accent3 17 3" xfId="5800" xr:uid="{00000000-0005-0000-0000-0000341C0000}"/>
    <cellStyle name="Accent3 17 3 2" xfId="5801" xr:uid="{00000000-0005-0000-0000-0000351C0000}"/>
    <cellStyle name="Accent3 17 3 2 2" xfId="15432" xr:uid="{00000000-0005-0000-0000-0000361C0000}"/>
    <cellStyle name="Accent3 17 4" xfId="5802" xr:uid="{00000000-0005-0000-0000-0000371C0000}"/>
    <cellStyle name="Accent3 17 4 2" xfId="15433" xr:uid="{00000000-0005-0000-0000-0000381C0000}"/>
    <cellStyle name="Accent3 17 5" xfId="5803" xr:uid="{00000000-0005-0000-0000-0000391C0000}"/>
    <cellStyle name="Accent3 17 5 2" xfId="15434" xr:uid="{00000000-0005-0000-0000-00003A1C0000}"/>
    <cellStyle name="Accent3 17 6" xfId="5804" xr:uid="{00000000-0005-0000-0000-00003B1C0000}"/>
    <cellStyle name="Accent3 17 6 2" xfId="15435" xr:uid="{00000000-0005-0000-0000-00003C1C0000}"/>
    <cellStyle name="Accent3 17 7" xfId="5805" xr:uid="{00000000-0005-0000-0000-00003D1C0000}"/>
    <cellStyle name="Accent3 17 7 2" xfId="15436" xr:uid="{00000000-0005-0000-0000-00003E1C0000}"/>
    <cellStyle name="Accent3 17 8" xfId="5806" xr:uid="{00000000-0005-0000-0000-00003F1C0000}"/>
    <cellStyle name="Accent3 17 8 2" xfId="15437" xr:uid="{00000000-0005-0000-0000-0000401C0000}"/>
    <cellStyle name="Accent3 17 9" xfId="5807" xr:uid="{00000000-0005-0000-0000-0000411C0000}"/>
    <cellStyle name="Accent3 17 9 2" xfId="15438" xr:uid="{00000000-0005-0000-0000-0000421C0000}"/>
    <cellStyle name="Accent3 18" xfId="5808" xr:uid="{00000000-0005-0000-0000-0000431C0000}"/>
    <cellStyle name="Accent3 18 2" xfId="5809" xr:uid="{00000000-0005-0000-0000-0000441C0000}"/>
    <cellStyle name="Accent3 18 2 2" xfId="5810" xr:uid="{00000000-0005-0000-0000-0000451C0000}"/>
    <cellStyle name="Accent3 18 2 2 2" xfId="15439" xr:uid="{00000000-0005-0000-0000-0000461C0000}"/>
    <cellStyle name="Accent3 18 3" xfId="5811" xr:uid="{00000000-0005-0000-0000-0000471C0000}"/>
    <cellStyle name="Accent3 18 3 2" xfId="15440" xr:uid="{00000000-0005-0000-0000-0000481C0000}"/>
    <cellStyle name="Accent3 18 4" xfId="5812" xr:uid="{00000000-0005-0000-0000-0000491C0000}"/>
    <cellStyle name="Accent3 18 4 2" xfId="15441" xr:uid="{00000000-0005-0000-0000-00004A1C0000}"/>
    <cellStyle name="Accent3 18 5" xfId="5813" xr:uid="{00000000-0005-0000-0000-00004B1C0000}"/>
    <cellStyle name="Accent3 18 5 2" xfId="15442" xr:uid="{00000000-0005-0000-0000-00004C1C0000}"/>
    <cellStyle name="Accent3 18 6" xfId="5814" xr:uid="{00000000-0005-0000-0000-00004D1C0000}"/>
    <cellStyle name="Accent3 18 6 2" xfId="15443" xr:uid="{00000000-0005-0000-0000-00004E1C0000}"/>
    <cellStyle name="Accent3 18 7" xfId="5815" xr:uid="{00000000-0005-0000-0000-00004F1C0000}"/>
    <cellStyle name="Accent3 18 7 2" xfId="15444" xr:uid="{00000000-0005-0000-0000-0000501C0000}"/>
    <cellStyle name="Accent3 18 8" xfId="5816" xr:uid="{00000000-0005-0000-0000-0000511C0000}"/>
    <cellStyle name="Accent3 18 8 2" xfId="15445" xr:uid="{00000000-0005-0000-0000-0000521C0000}"/>
    <cellStyle name="Accent3 18 9" xfId="5817" xr:uid="{00000000-0005-0000-0000-0000531C0000}"/>
    <cellStyle name="Accent3 18 9 2" xfId="15446" xr:uid="{00000000-0005-0000-0000-0000541C0000}"/>
    <cellStyle name="Accent3 19" xfId="5818" xr:uid="{00000000-0005-0000-0000-0000551C0000}"/>
    <cellStyle name="Accent3 19 2" xfId="5819" xr:uid="{00000000-0005-0000-0000-0000561C0000}"/>
    <cellStyle name="Accent3 19 2 2" xfId="5820" xr:uid="{00000000-0005-0000-0000-0000571C0000}"/>
    <cellStyle name="Accent3 19 2 2 2" xfId="15447" xr:uid="{00000000-0005-0000-0000-0000581C0000}"/>
    <cellStyle name="Accent3 19 3" xfId="5821" xr:uid="{00000000-0005-0000-0000-0000591C0000}"/>
    <cellStyle name="Accent3 19 3 2" xfId="15448" xr:uid="{00000000-0005-0000-0000-00005A1C0000}"/>
    <cellStyle name="Accent3 19 4" xfId="5822" xr:uid="{00000000-0005-0000-0000-00005B1C0000}"/>
    <cellStyle name="Accent3 19 4 2" xfId="15449" xr:uid="{00000000-0005-0000-0000-00005C1C0000}"/>
    <cellStyle name="Accent3 19 5" xfId="5823" xr:uid="{00000000-0005-0000-0000-00005D1C0000}"/>
    <cellStyle name="Accent3 19 5 2" xfId="15450" xr:uid="{00000000-0005-0000-0000-00005E1C0000}"/>
    <cellStyle name="Accent3 19 6" xfId="5824" xr:uid="{00000000-0005-0000-0000-00005F1C0000}"/>
    <cellStyle name="Accent3 19 6 2" xfId="15451" xr:uid="{00000000-0005-0000-0000-0000601C0000}"/>
    <cellStyle name="Accent3 19 7" xfId="5825" xr:uid="{00000000-0005-0000-0000-0000611C0000}"/>
    <cellStyle name="Accent3 19 7 2" xfId="15452" xr:uid="{00000000-0005-0000-0000-0000621C0000}"/>
    <cellStyle name="Accent3 19 8" xfId="5826" xr:uid="{00000000-0005-0000-0000-0000631C0000}"/>
    <cellStyle name="Accent3 19 8 2" xfId="15453" xr:uid="{00000000-0005-0000-0000-0000641C0000}"/>
    <cellStyle name="Accent3 19 9" xfId="5827" xr:uid="{00000000-0005-0000-0000-0000651C0000}"/>
    <cellStyle name="Accent3 19 9 2" xfId="15454" xr:uid="{00000000-0005-0000-0000-0000661C0000}"/>
    <cellStyle name="Accent3 2" xfId="5828" xr:uid="{00000000-0005-0000-0000-0000671C0000}"/>
    <cellStyle name="Accent3 2 10" xfId="5829" xr:uid="{00000000-0005-0000-0000-0000681C0000}"/>
    <cellStyle name="Accent3 2 10 2" xfId="15455" xr:uid="{00000000-0005-0000-0000-0000691C0000}"/>
    <cellStyle name="Accent3 2 11" xfId="5830" xr:uid="{00000000-0005-0000-0000-00006A1C0000}"/>
    <cellStyle name="Accent3 2 11 2" xfId="15456" xr:uid="{00000000-0005-0000-0000-00006B1C0000}"/>
    <cellStyle name="Accent3 2 12" xfId="21709" xr:uid="{00000000-0005-0000-0000-00006C1C0000}"/>
    <cellStyle name="Accent3 2 2" xfId="5831" xr:uid="{00000000-0005-0000-0000-00006D1C0000}"/>
    <cellStyle name="Accent3 2 2 2" xfId="5832" xr:uid="{00000000-0005-0000-0000-00006E1C0000}"/>
    <cellStyle name="Accent3 2 2 2 2" xfId="15457" xr:uid="{00000000-0005-0000-0000-00006F1C0000}"/>
    <cellStyle name="Accent3 2 3" xfId="5833" xr:uid="{00000000-0005-0000-0000-0000701C0000}"/>
    <cellStyle name="Accent3 2 3 2" xfId="5834" xr:uid="{00000000-0005-0000-0000-0000711C0000}"/>
    <cellStyle name="Accent3 2 3 2 2" xfId="15458" xr:uid="{00000000-0005-0000-0000-0000721C0000}"/>
    <cellStyle name="Accent3 2 4" xfId="5835" xr:uid="{00000000-0005-0000-0000-0000731C0000}"/>
    <cellStyle name="Accent3 2 4 2" xfId="5836" xr:uid="{00000000-0005-0000-0000-0000741C0000}"/>
    <cellStyle name="Accent3 2 4 3" xfId="15459" xr:uid="{00000000-0005-0000-0000-0000751C0000}"/>
    <cellStyle name="Accent3 2 5" xfId="5837" xr:uid="{00000000-0005-0000-0000-0000761C0000}"/>
    <cellStyle name="Accent3 2 5 2" xfId="15460" xr:uid="{00000000-0005-0000-0000-0000771C0000}"/>
    <cellStyle name="Accent3 2 6" xfId="5838" xr:uid="{00000000-0005-0000-0000-0000781C0000}"/>
    <cellStyle name="Accent3 2 6 2" xfId="15461" xr:uid="{00000000-0005-0000-0000-0000791C0000}"/>
    <cellStyle name="Accent3 2 7" xfId="5839" xr:uid="{00000000-0005-0000-0000-00007A1C0000}"/>
    <cellStyle name="Accent3 2 7 2" xfId="15462" xr:uid="{00000000-0005-0000-0000-00007B1C0000}"/>
    <cellStyle name="Accent3 2 8" xfId="5840" xr:uid="{00000000-0005-0000-0000-00007C1C0000}"/>
    <cellStyle name="Accent3 2 8 2" xfId="15463" xr:uid="{00000000-0005-0000-0000-00007D1C0000}"/>
    <cellStyle name="Accent3 2 9" xfId="5841" xr:uid="{00000000-0005-0000-0000-00007E1C0000}"/>
    <cellStyle name="Accent3 2 9 2" xfId="15464" xr:uid="{00000000-0005-0000-0000-00007F1C0000}"/>
    <cellStyle name="Accent3 20" xfId="5842" xr:uid="{00000000-0005-0000-0000-0000801C0000}"/>
    <cellStyle name="Accent3 20 2" xfId="5843" xr:uid="{00000000-0005-0000-0000-0000811C0000}"/>
    <cellStyle name="Accent3 20 2 2" xfId="15465" xr:uid="{00000000-0005-0000-0000-0000821C0000}"/>
    <cellStyle name="Accent3 20 3" xfId="5844" xr:uid="{00000000-0005-0000-0000-0000831C0000}"/>
    <cellStyle name="Accent3 20 3 2" xfId="15466" xr:uid="{00000000-0005-0000-0000-0000841C0000}"/>
    <cellStyle name="Accent3 20 4" xfId="5845" xr:uid="{00000000-0005-0000-0000-0000851C0000}"/>
    <cellStyle name="Accent3 20 4 2" xfId="15467" xr:uid="{00000000-0005-0000-0000-0000861C0000}"/>
    <cellStyle name="Accent3 20 5" xfId="5846" xr:uid="{00000000-0005-0000-0000-0000871C0000}"/>
    <cellStyle name="Accent3 20 5 2" xfId="15468" xr:uid="{00000000-0005-0000-0000-0000881C0000}"/>
    <cellStyle name="Accent3 20 6" xfId="5847" xr:uid="{00000000-0005-0000-0000-0000891C0000}"/>
    <cellStyle name="Accent3 20 6 2" xfId="15469" xr:uid="{00000000-0005-0000-0000-00008A1C0000}"/>
    <cellStyle name="Accent3 20 7" xfId="5848" xr:uid="{00000000-0005-0000-0000-00008B1C0000}"/>
    <cellStyle name="Accent3 20 7 2" xfId="15470" xr:uid="{00000000-0005-0000-0000-00008C1C0000}"/>
    <cellStyle name="Accent3 20 8" xfId="5849" xr:uid="{00000000-0005-0000-0000-00008D1C0000}"/>
    <cellStyle name="Accent3 20 8 2" xfId="15471" xr:uid="{00000000-0005-0000-0000-00008E1C0000}"/>
    <cellStyle name="Accent3 20 9" xfId="5850" xr:uid="{00000000-0005-0000-0000-00008F1C0000}"/>
    <cellStyle name="Accent3 20 9 2" xfId="15472" xr:uid="{00000000-0005-0000-0000-0000901C0000}"/>
    <cellStyle name="Accent3 21" xfId="5851" xr:uid="{00000000-0005-0000-0000-0000911C0000}"/>
    <cellStyle name="Accent3 21 2" xfId="5852" xr:uid="{00000000-0005-0000-0000-0000921C0000}"/>
    <cellStyle name="Accent3 21 2 2" xfId="15473" xr:uid="{00000000-0005-0000-0000-0000931C0000}"/>
    <cellStyle name="Accent3 21 3" xfId="5853" xr:uid="{00000000-0005-0000-0000-0000941C0000}"/>
    <cellStyle name="Accent3 21 3 2" xfId="15474" xr:uid="{00000000-0005-0000-0000-0000951C0000}"/>
    <cellStyle name="Accent3 21 4" xfId="5854" xr:uid="{00000000-0005-0000-0000-0000961C0000}"/>
    <cellStyle name="Accent3 21 4 2" xfId="15475" xr:uid="{00000000-0005-0000-0000-0000971C0000}"/>
    <cellStyle name="Accent3 21 5" xfId="5855" xr:uid="{00000000-0005-0000-0000-0000981C0000}"/>
    <cellStyle name="Accent3 21 5 2" xfId="15476" xr:uid="{00000000-0005-0000-0000-0000991C0000}"/>
    <cellStyle name="Accent3 21 6" xfId="5856" xr:uid="{00000000-0005-0000-0000-00009A1C0000}"/>
    <cellStyle name="Accent3 21 6 2" xfId="15477" xr:uid="{00000000-0005-0000-0000-00009B1C0000}"/>
    <cellStyle name="Accent3 21 7" xfId="5857" xr:uid="{00000000-0005-0000-0000-00009C1C0000}"/>
    <cellStyle name="Accent3 21 7 2" xfId="15478" xr:uid="{00000000-0005-0000-0000-00009D1C0000}"/>
    <cellStyle name="Accent3 21 8" xfId="5858" xr:uid="{00000000-0005-0000-0000-00009E1C0000}"/>
    <cellStyle name="Accent3 21 8 2" xfId="15479" xr:uid="{00000000-0005-0000-0000-00009F1C0000}"/>
    <cellStyle name="Accent3 21 9" xfId="5859" xr:uid="{00000000-0005-0000-0000-0000A01C0000}"/>
    <cellStyle name="Accent3 21 9 2" xfId="15480" xr:uid="{00000000-0005-0000-0000-0000A11C0000}"/>
    <cellStyle name="Accent3 22" xfId="5860" xr:uid="{00000000-0005-0000-0000-0000A21C0000}"/>
    <cellStyle name="Accent3 22 2" xfId="5861" xr:uid="{00000000-0005-0000-0000-0000A31C0000}"/>
    <cellStyle name="Accent3 22 2 2" xfId="15481" xr:uid="{00000000-0005-0000-0000-0000A41C0000}"/>
    <cellStyle name="Accent3 22 3" xfId="5862" xr:uid="{00000000-0005-0000-0000-0000A51C0000}"/>
    <cellStyle name="Accent3 22 3 2" xfId="15482" xr:uid="{00000000-0005-0000-0000-0000A61C0000}"/>
    <cellStyle name="Accent3 22 4" xfId="5863" xr:uid="{00000000-0005-0000-0000-0000A71C0000}"/>
    <cellStyle name="Accent3 22 4 2" xfId="15483" xr:uid="{00000000-0005-0000-0000-0000A81C0000}"/>
    <cellStyle name="Accent3 22 5" xfId="5864" xr:uid="{00000000-0005-0000-0000-0000A91C0000}"/>
    <cellStyle name="Accent3 22 5 2" xfId="15484" xr:uid="{00000000-0005-0000-0000-0000AA1C0000}"/>
    <cellStyle name="Accent3 22 6" xfId="5865" xr:uid="{00000000-0005-0000-0000-0000AB1C0000}"/>
    <cellStyle name="Accent3 22 6 2" xfId="15485" xr:uid="{00000000-0005-0000-0000-0000AC1C0000}"/>
    <cellStyle name="Accent3 22 7" xfId="5866" xr:uid="{00000000-0005-0000-0000-0000AD1C0000}"/>
    <cellStyle name="Accent3 22 7 2" xfId="15486" xr:uid="{00000000-0005-0000-0000-0000AE1C0000}"/>
    <cellStyle name="Accent3 22 8" xfId="5867" xr:uid="{00000000-0005-0000-0000-0000AF1C0000}"/>
    <cellStyle name="Accent3 22 8 2" xfId="15487" xr:uid="{00000000-0005-0000-0000-0000B01C0000}"/>
    <cellStyle name="Accent3 22 9" xfId="5868" xr:uid="{00000000-0005-0000-0000-0000B11C0000}"/>
    <cellStyle name="Accent3 22 9 2" xfId="15488" xr:uid="{00000000-0005-0000-0000-0000B21C0000}"/>
    <cellStyle name="Accent3 23" xfId="5869" xr:uid="{00000000-0005-0000-0000-0000B31C0000}"/>
    <cellStyle name="Accent3 23 2" xfId="5870" xr:uid="{00000000-0005-0000-0000-0000B41C0000}"/>
    <cellStyle name="Accent3 23 2 2" xfId="15489" xr:uid="{00000000-0005-0000-0000-0000B51C0000}"/>
    <cellStyle name="Accent3 23 3" xfId="5871" xr:uid="{00000000-0005-0000-0000-0000B61C0000}"/>
    <cellStyle name="Accent3 23 3 2" xfId="15490" xr:uid="{00000000-0005-0000-0000-0000B71C0000}"/>
    <cellStyle name="Accent3 23 4" xfId="5872" xr:uid="{00000000-0005-0000-0000-0000B81C0000}"/>
    <cellStyle name="Accent3 23 4 2" xfId="15491" xr:uid="{00000000-0005-0000-0000-0000B91C0000}"/>
    <cellStyle name="Accent3 23 5" xfId="5873" xr:uid="{00000000-0005-0000-0000-0000BA1C0000}"/>
    <cellStyle name="Accent3 23 5 2" xfId="15492" xr:uid="{00000000-0005-0000-0000-0000BB1C0000}"/>
    <cellStyle name="Accent3 23 6" xfId="5874" xr:uid="{00000000-0005-0000-0000-0000BC1C0000}"/>
    <cellStyle name="Accent3 23 6 2" xfId="15493" xr:uid="{00000000-0005-0000-0000-0000BD1C0000}"/>
    <cellStyle name="Accent3 23 7" xfId="5875" xr:uid="{00000000-0005-0000-0000-0000BE1C0000}"/>
    <cellStyle name="Accent3 23 7 2" xfId="15494" xr:uid="{00000000-0005-0000-0000-0000BF1C0000}"/>
    <cellStyle name="Accent3 23 8" xfId="5876" xr:uid="{00000000-0005-0000-0000-0000C01C0000}"/>
    <cellStyle name="Accent3 23 8 2" xfId="15495" xr:uid="{00000000-0005-0000-0000-0000C11C0000}"/>
    <cellStyle name="Accent3 23 9" xfId="5877" xr:uid="{00000000-0005-0000-0000-0000C21C0000}"/>
    <cellStyle name="Accent3 23 9 2" xfId="15496" xr:uid="{00000000-0005-0000-0000-0000C31C0000}"/>
    <cellStyle name="Accent3 24" xfId="5878" xr:uid="{00000000-0005-0000-0000-0000C41C0000}"/>
    <cellStyle name="Accent3 24 2" xfId="5879" xr:uid="{00000000-0005-0000-0000-0000C51C0000}"/>
    <cellStyle name="Accent3 24 2 2" xfId="15497" xr:uid="{00000000-0005-0000-0000-0000C61C0000}"/>
    <cellStyle name="Accent3 24 3" xfId="5880" xr:uid="{00000000-0005-0000-0000-0000C71C0000}"/>
    <cellStyle name="Accent3 24 3 2" xfId="15498" xr:uid="{00000000-0005-0000-0000-0000C81C0000}"/>
    <cellStyle name="Accent3 24 4" xfId="5881" xr:uid="{00000000-0005-0000-0000-0000C91C0000}"/>
    <cellStyle name="Accent3 24 4 2" xfId="15499" xr:uid="{00000000-0005-0000-0000-0000CA1C0000}"/>
    <cellStyle name="Accent3 24 5" xfId="5882" xr:uid="{00000000-0005-0000-0000-0000CB1C0000}"/>
    <cellStyle name="Accent3 24 5 2" xfId="15500" xr:uid="{00000000-0005-0000-0000-0000CC1C0000}"/>
    <cellStyle name="Accent3 24 6" xfId="5883" xr:uid="{00000000-0005-0000-0000-0000CD1C0000}"/>
    <cellStyle name="Accent3 24 6 2" xfId="15501" xr:uid="{00000000-0005-0000-0000-0000CE1C0000}"/>
    <cellStyle name="Accent3 24 7" xfId="5884" xr:uid="{00000000-0005-0000-0000-0000CF1C0000}"/>
    <cellStyle name="Accent3 24 7 2" xfId="15502" xr:uid="{00000000-0005-0000-0000-0000D01C0000}"/>
    <cellStyle name="Accent3 24 8" xfId="5885" xr:uid="{00000000-0005-0000-0000-0000D11C0000}"/>
    <cellStyle name="Accent3 24 8 2" xfId="15503" xr:uid="{00000000-0005-0000-0000-0000D21C0000}"/>
    <cellStyle name="Accent3 24 9" xfId="5886" xr:uid="{00000000-0005-0000-0000-0000D31C0000}"/>
    <cellStyle name="Accent3 24 9 2" xfId="15504" xr:uid="{00000000-0005-0000-0000-0000D41C0000}"/>
    <cellStyle name="Accent3 25" xfId="5887" xr:uid="{00000000-0005-0000-0000-0000D51C0000}"/>
    <cellStyle name="Accent3 25 2" xfId="5888" xr:uid="{00000000-0005-0000-0000-0000D61C0000}"/>
    <cellStyle name="Accent3 25 2 2" xfId="15505" xr:uid="{00000000-0005-0000-0000-0000D71C0000}"/>
    <cellStyle name="Accent3 25 3" xfId="5889" xr:uid="{00000000-0005-0000-0000-0000D81C0000}"/>
    <cellStyle name="Accent3 25 3 2" xfId="15506" xr:uid="{00000000-0005-0000-0000-0000D91C0000}"/>
    <cellStyle name="Accent3 25 4" xfId="5890" xr:uid="{00000000-0005-0000-0000-0000DA1C0000}"/>
    <cellStyle name="Accent3 25 4 2" xfId="15507" xr:uid="{00000000-0005-0000-0000-0000DB1C0000}"/>
    <cellStyle name="Accent3 25 5" xfId="5891" xr:uid="{00000000-0005-0000-0000-0000DC1C0000}"/>
    <cellStyle name="Accent3 25 5 2" xfId="15508" xr:uid="{00000000-0005-0000-0000-0000DD1C0000}"/>
    <cellStyle name="Accent3 25 6" xfId="5892" xr:uid="{00000000-0005-0000-0000-0000DE1C0000}"/>
    <cellStyle name="Accent3 25 6 2" xfId="15509" xr:uid="{00000000-0005-0000-0000-0000DF1C0000}"/>
    <cellStyle name="Accent3 25 7" xfId="5893" xr:uid="{00000000-0005-0000-0000-0000E01C0000}"/>
    <cellStyle name="Accent3 25 7 2" xfId="15510" xr:uid="{00000000-0005-0000-0000-0000E11C0000}"/>
    <cellStyle name="Accent3 25 8" xfId="5894" xr:uid="{00000000-0005-0000-0000-0000E21C0000}"/>
    <cellStyle name="Accent3 25 8 2" xfId="15511" xr:uid="{00000000-0005-0000-0000-0000E31C0000}"/>
    <cellStyle name="Accent3 25 9" xfId="5895" xr:uid="{00000000-0005-0000-0000-0000E41C0000}"/>
    <cellStyle name="Accent3 25 9 2" xfId="15512" xr:uid="{00000000-0005-0000-0000-0000E51C0000}"/>
    <cellStyle name="Accent3 26" xfId="5896" xr:uid="{00000000-0005-0000-0000-0000E61C0000}"/>
    <cellStyle name="Accent3 26 2" xfId="5897" xr:uid="{00000000-0005-0000-0000-0000E71C0000}"/>
    <cellStyle name="Accent3 26 2 2" xfId="15513" xr:uid="{00000000-0005-0000-0000-0000E81C0000}"/>
    <cellStyle name="Accent3 26 3" xfId="5898" xr:uid="{00000000-0005-0000-0000-0000E91C0000}"/>
    <cellStyle name="Accent3 26 3 2" xfId="15514" xr:uid="{00000000-0005-0000-0000-0000EA1C0000}"/>
    <cellStyle name="Accent3 26 4" xfId="5899" xr:uid="{00000000-0005-0000-0000-0000EB1C0000}"/>
    <cellStyle name="Accent3 26 4 2" xfId="15515" xr:uid="{00000000-0005-0000-0000-0000EC1C0000}"/>
    <cellStyle name="Accent3 26 5" xfId="5900" xr:uid="{00000000-0005-0000-0000-0000ED1C0000}"/>
    <cellStyle name="Accent3 26 5 2" xfId="15516" xr:uid="{00000000-0005-0000-0000-0000EE1C0000}"/>
    <cellStyle name="Accent3 26 6" xfId="5901" xr:uid="{00000000-0005-0000-0000-0000EF1C0000}"/>
    <cellStyle name="Accent3 26 6 2" xfId="15517" xr:uid="{00000000-0005-0000-0000-0000F01C0000}"/>
    <cellStyle name="Accent3 26 7" xfId="5902" xr:uid="{00000000-0005-0000-0000-0000F11C0000}"/>
    <cellStyle name="Accent3 26 7 2" xfId="15518" xr:uid="{00000000-0005-0000-0000-0000F21C0000}"/>
    <cellStyle name="Accent3 26 8" xfId="5903" xr:uid="{00000000-0005-0000-0000-0000F31C0000}"/>
    <cellStyle name="Accent3 26 8 2" xfId="15519" xr:uid="{00000000-0005-0000-0000-0000F41C0000}"/>
    <cellStyle name="Accent3 26 9" xfId="5904" xr:uid="{00000000-0005-0000-0000-0000F51C0000}"/>
    <cellStyle name="Accent3 26 9 2" xfId="15520" xr:uid="{00000000-0005-0000-0000-0000F61C0000}"/>
    <cellStyle name="Accent3 27" xfId="5905" xr:uid="{00000000-0005-0000-0000-0000F71C0000}"/>
    <cellStyle name="Accent3 27 2" xfId="5906" xr:uid="{00000000-0005-0000-0000-0000F81C0000}"/>
    <cellStyle name="Accent3 27 2 2" xfId="15521" xr:uid="{00000000-0005-0000-0000-0000F91C0000}"/>
    <cellStyle name="Accent3 27 3" xfId="5907" xr:uid="{00000000-0005-0000-0000-0000FA1C0000}"/>
    <cellStyle name="Accent3 27 3 2" xfId="15522" xr:uid="{00000000-0005-0000-0000-0000FB1C0000}"/>
    <cellStyle name="Accent3 27 4" xfId="5908" xr:uid="{00000000-0005-0000-0000-0000FC1C0000}"/>
    <cellStyle name="Accent3 27 4 2" xfId="15523" xr:uid="{00000000-0005-0000-0000-0000FD1C0000}"/>
    <cellStyle name="Accent3 27 5" xfId="5909" xr:uid="{00000000-0005-0000-0000-0000FE1C0000}"/>
    <cellStyle name="Accent3 27 5 2" xfId="15524" xr:uid="{00000000-0005-0000-0000-0000FF1C0000}"/>
    <cellStyle name="Accent3 27 6" xfId="5910" xr:uid="{00000000-0005-0000-0000-0000001D0000}"/>
    <cellStyle name="Accent3 27 6 2" xfId="15525" xr:uid="{00000000-0005-0000-0000-0000011D0000}"/>
    <cellStyle name="Accent3 27 7" xfId="5911" xr:uid="{00000000-0005-0000-0000-0000021D0000}"/>
    <cellStyle name="Accent3 27 7 2" xfId="15526" xr:uid="{00000000-0005-0000-0000-0000031D0000}"/>
    <cellStyle name="Accent3 27 8" xfId="5912" xr:uid="{00000000-0005-0000-0000-0000041D0000}"/>
    <cellStyle name="Accent3 27 8 2" xfId="15527" xr:uid="{00000000-0005-0000-0000-0000051D0000}"/>
    <cellStyle name="Accent3 27 9" xfId="5913" xr:uid="{00000000-0005-0000-0000-0000061D0000}"/>
    <cellStyle name="Accent3 27 9 2" xfId="15528" xr:uid="{00000000-0005-0000-0000-0000071D0000}"/>
    <cellStyle name="Accent3 28" xfId="5914" xr:uid="{00000000-0005-0000-0000-0000081D0000}"/>
    <cellStyle name="Accent3 28 2" xfId="5915" xr:uid="{00000000-0005-0000-0000-0000091D0000}"/>
    <cellStyle name="Accent3 28 2 2" xfId="15529" xr:uid="{00000000-0005-0000-0000-00000A1D0000}"/>
    <cellStyle name="Accent3 28 3" xfId="5916" xr:uid="{00000000-0005-0000-0000-00000B1D0000}"/>
    <cellStyle name="Accent3 28 3 2" xfId="15530" xr:uid="{00000000-0005-0000-0000-00000C1D0000}"/>
    <cellStyle name="Accent3 28 4" xfId="5917" xr:uid="{00000000-0005-0000-0000-00000D1D0000}"/>
    <cellStyle name="Accent3 28 4 2" xfId="15531" xr:uid="{00000000-0005-0000-0000-00000E1D0000}"/>
    <cellStyle name="Accent3 28 5" xfId="5918" xr:uid="{00000000-0005-0000-0000-00000F1D0000}"/>
    <cellStyle name="Accent3 28 5 2" xfId="15532" xr:uid="{00000000-0005-0000-0000-0000101D0000}"/>
    <cellStyle name="Accent3 28 6" xfId="5919" xr:uid="{00000000-0005-0000-0000-0000111D0000}"/>
    <cellStyle name="Accent3 28 6 2" xfId="15533" xr:uid="{00000000-0005-0000-0000-0000121D0000}"/>
    <cellStyle name="Accent3 28 7" xfId="5920" xr:uid="{00000000-0005-0000-0000-0000131D0000}"/>
    <cellStyle name="Accent3 28 7 2" xfId="15534" xr:uid="{00000000-0005-0000-0000-0000141D0000}"/>
    <cellStyle name="Accent3 28 8" xfId="5921" xr:uid="{00000000-0005-0000-0000-0000151D0000}"/>
    <cellStyle name="Accent3 28 8 2" xfId="15535" xr:uid="{00000000-0005-0000-0000-0000161D0000}"/>
    <cellStyle name="Accent3 28 9" xfId="5922" xr:uid="{00000000-0005-0000-0000-0000171D0000}"/>
    <cellStyle name="Accent3 28 9 2" xfId="15536" xr:uid="{00000000-0005-0000-0000-0000181D0000}"/>
    <cellStyle name="Accent3 29" xfId="5923" xr:uid="{00000000-0005-0000-0000-0000191D0000}"/>
    <cellStyle name="Accent3 29 2" xfId="5924" xr:uid="{00000000-0005-0000-0000-00001A1D0000}"/>
    <cellStyle name="Accent3 29 2 2" xfId="15537" xr:uid="{00000000-0005-0000-0000-00001B1D0000}"/>
    <cellStyle name="Accent3 29 3" xfId="5925" xr:uid="{00000000-0005-0000-0000-00001C1D0000}"/>
    <cellStyle name="Accent3 29 3 2" xfId="15538" xr:uid="{00000000-0005-0000-0000-00001D1D0000}"/>
    <cellStyle name="Accent3 29 4" xfId="5926" xr:uid="{00000000-0005-0000-0000-00001E1D0000}"/>
    <cellStyle name="Accent3 29 4 2" xfId="15539" xr:uid="{00000000-0005-0000-0000-00001F1D0000}"/>
    <cellStyle name="Accent3 29 5" xfId="5927" xr:uid="{00000000-0005-0000-0000-0000201D0000}"/>
    <cellStyle name="Accent3 29 5 2" xfId="15540" xr:uid="{00000000-0005-0000-0000-0000211D0000}"/>
    <cellStyle name="Accent3 29 6" xfId="5928" xr:uid="{00000000-0005-0000-0000-0000221D0000}"/>
    <cellStyle name="Accent3 29 6 2" xfId="15541" xr:uid="{00000000-0005-0000-0000-0000231D0000}"/>
    <cellStyle name="Accent3 29 7" xfId="5929" xr:uid="{00000000-0005-0000-0000-0000241D0000}"/>
    <cellStyle name="Accent3 29 7 2" xfId="15542" xr:uid="{00000000-0005-0000-0000-0000251D0000}"/>
    <cellStyle name="Accent3 29 8" xfId="5930" xr:uid="{00000000-0005-0000-0000-0000261D0000}"/>
    <cellStyle name="Accent3 29 8 2" xfId="15543" xr:uid="{00000000-0005-0000-0000-0000271D0000}"/>
    <cellStyle name="Accent3 29 9" xfId="5931" xr:uid="{00000000-0005-0000-0000-0000281D0000}"/>
    <cellStyle name="Accent3 29 9 2" xfId="15544" xr:uid="{00000000-0005-0000-0000-0000291D0000}"/>
    <cellStyle name="Accent3 3" xfId="5932" xr:uid="{00000000-0005-0000-0000-00002A1D0000}"/>
    <cellStyle name="Accent3 3 10" xfId="5933" xr:uid="{00000000-0005-0000-0000-00002B1D0000}"/>
    <cellStyle name="Accent3 3 10 2" xfId="15545" xr:uid="{00000000-0005-0000-0000-00002C1D0000}"/>
    <cellStyle name="Accent3 3 11" xfId="5934" xr:uid="{00000000-0005-0000-0000-00002D1D0000}"/>
    <cellStyle name="Accent3 3 11 2" xfId="15546" xr:uid="{00000000-0005-0000-0000-00002E1D0000}"/>
    <cellStyle name="Accent3 3 12" xfId="22027" xr:uid="{00000000-0005-0000-0000-00002F1D0000}"/>
    <cellStyle name="Accent3 3 2" xfId="5935" xr:uid="{00000000-0005-0000-0000-0000301D0000}"/>
    <cellStyle name="Accent3 3 2 2" xfId="5936" xr:uid="{00000000-0005-0000-0000-0000311D0000}"/>
    <cellStyle name="Accent3 3 2 2 2" xfId="15547" xr:uid="{00000000-0005-0000-0000-0000321D0000}"/>
    <cellStyle name="Accent3 3 3" xfId="5937" xr:uid="{00000000-0005-0000-0000-0000331D0000}"/>
    <cellStyle name="Accent3 3 3 2" xfId="5938" xr:uid="{00000000-0005-0000-0000-0000341D0000}"/>
    <cellStyle name="Accent3 3 3 2 2" xfId="15548" xr:uid="{00000000-0005-0000-0000-0000351D0000}"/>
    <cellStyle name="Accent3 3 4" xfId="5939" xr:uid="{00000000-0005-0000-0000-0000361D0000}"/>
    <cellStyle name="Accent3 3 4 2" xfId="5940" xr:uid="{00000000-0005-0000-0000-0000371D0000}"/>
    <cellStyle name="Accent3 3 4 3" xfId="15549" xr:uid="{00000000-0005-0000-0000-0000381D0000}"/>
    <cellStyle name="Accent3 3 5" xfId="5941" xr:uid="{00000000-0005-0000-0000-0000391D0000}"/>
    <cellStyle name="Accent3 3 5 2" xfId="15550" xr:uid="{00000000-0005-0000-0000-00003A1D0000}"/>
    <cellStyle name="Accent3 3 6" xfId="5942" xr:uid="{00000000-0005-0000-0000-00003B1D0000}"/>
    <cellStyle name="Accent3 3 6 2" xfId="15551" xr:uid="{00000000-0005-0000-0000-00003C1D0000}"/>
    <cellStyle name="Accent3 3 7" xfId="5943" xr:uid="{00000000-0005-0000-0000-00003D1D0000}"/>
    <cellStyle name="Accent3 3 7 2" xfId="15552" xr:uid="{00000000-0005-0000-0000-00003E1D0000}"/>
    <cellStyle name="Accent3 3 8" xfId="5944" xr:uid="{00000000-0005-0000-0000-00003F1D0000}"/>
    <cellStyle name="Accent3 3 8 2" xfId="15553" xr:uid="{00000000-0005-0000-0000-0000401D0000}"/>
    <cellStyle name="Accent3 3 9" xfId="5945" xr:uid="{00000000-0005-0000-0000-0000411D0000}"/>
    <cellStyle name="Accent3 3 9 2" xfId="15554" xr:uid="{00000000-0005-0000-0000-0000421D0000}"/>
    <cellStyle name="Accent3 30" xfId="5946" xr:uid="{00000000-0005-0000-0000-0000431D0000}"/>
    <cellStyle name="Accent3 30 2" xfId="5947" xr:uid="{00000000-0005-0000-0000-0000441D0000}"/>
    <cellStyle name="Accent3 30 2 2" xfId="15555" xr:uid="{00000000-0005-0000-0000-0000451D0000}"/>
    <cellStyle name="Accent3 31" xfId="5948" xr:uid="{00000000-0005-0000-0000-0000461D0000}"/>
    <cellStyle name="Accent3 31 2" xfId="5949" xr:uid="{00000000-0005-0000-0000-0000471D0000}"/>
    <cellStyle name="Accent3 31 2 2" xfId="15556" xr:uid="{00000000-0005-0000-0000-0000481D0000}"/>
    <cellStyle name="Accent3 32" xfId="5950" xr:uid="{00000000-0005-0000-0000-0000491D0000}"/>
    <cellStyle name="Accent3 32 2" xfId="5951" xr:uid="{00000000-0005-0000-0000-00004A1D0000}"/>
    <cellStyle name="Accent3 32 2 2" xfId="15557" xr:uid="{00000000-0005-0000-0000-00004B1D0000}"/>
    <cellStyle name="Accent3 33" xfId="5952" xr:uid="{00000000-0005-0000-0000-00004C1D0000}"/>
    <cellStyle name="Accent3 33 2" xfId="5953" xr:uid="{00000000-0005-0000-0000-00004D1D0000}"/>
    <cellStyle name="Accent3 33 2 2" xfId="15558" xr:uid="{00000000-0005-0000-0000-00004E1D0000}"/>
    <cellStyle name="Accent3 34" xfId="5954" xr:uid="{00000000-0005-0000-0000-00004F1D0000}"/>
    <cellStyle name="Accent3 34 2" xfId="5955" xr:uid="{00000000-0005-0000-0000-0000501D0000}"/>
    <cellStyle name="Accent3 34 2 2" xfId="15559" xr:uid="{00000000-0005-0000-0000-0000511D0000}"/>
    <cellStyle name="Accent3 35" xfId="5956" xr:uid="{00000000-0005-0000-0000-0000521D0000}"/>
    <cellStyle name="Accent3 35 2" xfId="5957" xr:uid="{00000000-0005-0000-0000-0000531D0000}"/>
    <cellStyle name="Accent3 35 2 2" xfId="15560" xr:uid="{00000000-0005-0000-0000-0000541D0000}"/>
    <cellStyle name="Accent3 36" xfId="5958" xr:uid="{00000000-0005-0000-0000-0000551D0000}"/>
    <cellStyle name="Accent3 37" xfId="5959" xr:uid="{00000000-0005-0000-0000-0000561D0000}"/>
    <cellStyle name="Accent3 38" xfId="5960" xr:uid="{00000000-0005-0000-0000-0000571D0000}"/>
    <cellStyle name="Accent3 39" xfId="5961" xr:uid="{00000000-0005-0000-0000-0000581D0000}"/>
    <cellStyle name="Accent3 4" xfId="5962" xr:uid="{00000000-0005-0000-0000-0000591D0000}"/>
    <cellStyle name="Accent3 4 10" xfId="5963" xr:uid="{00000000-0005-0000-0000-00005A1D0000}"/>
    <cellStyle name="Accent3 4 10 2" xfId="15561" xr:uid="{00000000-0005-0000-0000-00005B1D0000}"/>
    <cellStyle name="Accent3 4 11" xfId="5964" xr:uid="{00000000-0005-0000-0000-00005C1D0000}"/>
    <cellStyle name="Accent3 4 11 2" xfId="15562" xr:uid="{00000000-0005-0000-0000-00005D1D0000}"/>
    <cellStyle name="Accent3 4 12" xfId="22028" xr:uid="{00000000-0005-0000-0000-00005E1D0000}"/>
    <cellStyle name="Accent3 4 2" xfId="5965" xr:uid="{00000000-0005-0000-0000-00005F1D0000}"/>
    <cellStyle name="Accent3 4 2 2" xfId="5966" xr:uid="{00000000-0005-0000-0000-0000601D0000}"/>
    <cellStyle name="Accent3 4 2 2 2" xfId="15563" xr:uid="{00000000-0005-0000-0000-0000611D0000}"/>
    <cellStyle name="Accent3 4 3" xfId="5967" xr:uid="{00000000-0005-0000-0000-0000621D0000}"/>
    <cellStyle name="Accent3 4 3 2" xfId="5968" xr:uid="{00000000-0005-0000-0000-0000631D0000}"/>
    <cellStyle name="Accent3 4 3 2 2" xfId="15564" xr:uid="{00000000-0005-0000-0000-0000641D0000}"/>
    <cellStyle name="Accent3 4 4" xfId="5969" xr:uid="{00000000-0005-0000-0000-0000651D0000}"/>
    <cellStyle name="Accent3 4 4 2" xfId="5970" xr:uid="{00000000-0005-0000-0000-0000661D0000}"/>
    <cellStyle name="Accent3 4 4 3" xfId="15565" xr:uid="{00000000-0005-0000-0000-0000671D0000}"/>
    <cellStyle name="Accent3 4 5" xfId="5971" xr:uid="{00000000-0005-0000-0000-0000681D0000}"/>
    <cellStyle name="Accent3 4 5 2" xfId="15566" xr:uid="{00000000-0005-0000-0000-0000691D0000}"/>
    <cellStyle name="Accent3 4 6" xfId="5972" xr:uid="{00000000-0005-0000-0000-00006A1D0000}"/>
    <cellStyle name="Accent3 4 6 2" xfId="15567" xr:uid="{00000000-0005-0000-0000-00006B1D0000}"/>
    <cellStyle name="Accent3 4 7" xfId="5973" xr:uid="{00000000-0005-0000-0000-00006C1D0000}"/>
    <cellStyle name="Accent3 4 7 2" xfId="15568" xr:uid="{00000000-0005-0000-0000-00006D1D0000}"/>
    <cellStyle name="Accent3 4 8" xfId="5974" xr:uid="{00000000-0005-0000-0000-00006E1D0000}"/>
    <cellStyle name="Accent3 4 8 2" xfId="15569" xr:uid="{00000000-0005-0000-0000-00006F1D0000}"/>
    <cellStyle name="Accent3 4 9" xfId="5975" xr:uid="{00000000-0005-0000-0000-0000701D0000}"/>
    <cellStyle name="Accent3 4 9 2" xfId="15570" xr:uid="{00000000-0005-0000-0000-0000711D0000}"/>
    <cellStyle name="Accent3 40" xfId="21710" xr:uid="{00000000-0005-0000-0000-0000721D0000}"/>
    <cellStyle name="Accent3 5" xfId="5976" xr:uid="{00000000-0005-0000-0000-0000731D0000}"/>
    <cellStyle name="Accent3 5 10" xfId="5977" xr:uid="{00000000-0005-0000-0000-0000741D0000}"/>
    <cellStyle name="Accent3 5 10 2" xfId="15571" xr:uid="{00000000-0005-0000-0000-0000751D0000}"/>
    <cellStyle name="Accent3 5 11" xfId="5978" xr:uid="{00000000-0005-0000-0000-0000761D0000}"/>
    <cellStyle name="Accent3 5 11 2" xfId="15572" xr:uid="{00000000-0005-0000-0000-0000771D0000}"/>
    <cellStyle name="Accent3 5 12" xfId="22029" xr:uid="{00000000-0005-0000-0000-0000781D0000}"/>
    <cellStyle name="Accent3 5 2" xfId="5979" xr:uid="{00000000-0005-0000-0000-0000791D0000}"/>
    <cellStyle name="Accent3 5 2 2" xfId="5980" xr:uid="{00000000-0005-0000-0000-00007A1D0000}"/>
    <cellStyle name="Accent3 5 2 2 2" xfId="15573" xr:uid="{00000000-0005-0000-0000-00007B1D0000}"/>
    <cellStyle name="Accent3 5 3" xfId="5981" xr:uid="{00000000-0005-0000-0000-00007C1D0000}"/>
    <cellStyle name="Accent3 5 3 2" xfId="5982" xr:uid="{00000000-0005-0000-0000-00007D1D0000}"/>
    <cellStyle name="Accent3 5 3 2 2" xfId="15574" xr:uid="{00000000-0005-0000-0000-00007E1D0000}"/>
    <cellStyle name="Accent3 5 4" xfId="5983" xr:uid="{00000000-0005-0000-0000-00007F1D0000}"/>
    <cellStyle name="Accent3 5 4 2" xfId="5984" xr:uid="{00000000-0005-0000-0000-0000801D0000}"/>
    <cellStyle name="Accent3 5 4 3" xfId="15575" xr:uid="{00000000-0005-0000-0000-0000811D0000}"/>
    <cellStyle name="Accent3 5 5" xfId="5985" xr:uid="{00000000-0005-0000-0000-0000821D0000}"/>
    <cellStyle name="Accent3 5 5 2" xfId="15576" xr:uid="{00000000-0005-0000-0000-0000831D0000}"/>
    <cellStyle name="Accent3 5 6" xfId="5986" xr:uid="{00000000-0005-0000-0000-0000841D0000}"/>
    <cellStyle name="Accent3 5 6 2" xfId="15577" xr:uid="{00000000-0005-0000-0000-0000851D0000}"/>
    <cellStyle name="Accent3 5 7" xfId="5987" xr:uid="{00000000-0005-0000-0000-0000861D0000}"/>
    <cellStyle name="Accent3 5 7 2" xfId="15578" xr:uid="{00000000-0005-0000-0000-0000871D0000}"/>
    <cellStyle name="Accent3 5 8" xfId="5988" xr:uid="{00000000-0005-0000-0000-0000881D0000}"/>
    <cellStyle name="Accent3 5 8 2" xfId="15579" xr:uid="{00000000-0005-0000-0000-0000891D0000}"/>
    <cellStyle name="Accent3 5 9" xfId="5989" xr:uid="{00000000-0005-0000-0000-00008A1D0000}"/>
    <cellStyle name="Accent3 5 9 2" xfId="15580" xr:uid="{00000000-0005-0000-0000-00008B1D0000}"/>
    <cellStyle name="Accent3 6" xfId="5990" xr:uid="{00000000-0005-0000-0000-00008C1D0000}"/>
    <cellStyle name="Accent3 6 10" xfId="5991" xr:uid="{00000000-0005-0000-0000-00008D1D0000}"/>
    <cellStyle name="Accent3 6 10 2" xfId="15581" xr:uid="{00000000-0005-0000-0000-00008E1D0000}"/>
    <cellStyle name="Accent3 6 11" xfId="5992" xr:uid="{00000000-0005-0000-0000-00008F1D0000}"/>
    <cellStyle name="Accent3 6 11 2" xfId="15582" xr:uid="{00000000-0005-0000-0000-0000901D0000}"/>
    <cellStyle name="Accent3 6 2" xfId="5993" xr:uid="{00000000-0005-0000-0000-0000911D0000}"/>
    <cellStyle name="Accent3 6 2 2" xfId="5994" xr:uid="{00000000-0005-0000-0000-0000921D0000}"/>
    <cellStyle name="Accent3 6 2 2 2" xfId="15583" xr:uid="{00000000-0005-0000-0000-0000931D0000}"/>
    <cellStyle name="Accent3 6 3" xfId="5995" xr:uid="{00000000-0005-0000-0000-0000941D0000}"/>
    <cellStyle name="Accent3 6 3 2" xfId="5996" xr:uid="{00000000-0005-0000-0000-0000951D0000}"/>
    <cellStyle name="Accent3 6 3 2 2" xfId="15584" xr:uid="{00000000-0005-0000-0000-0000961D0000}"/>
    <cellStyle name="Accent3 6 4" xfId="5997" xr:uid="{00000000-0005-0000-0000-0000971D0000}"/>
    <cellStyle name="Accent3 6 4 2" xfId="5998" xr:uid="{00000000-0005-0000-0000-0000981D0000}"/>
    <cellStyle name="Accent3 6 4 3" xfId="15585" xr:uid="{00000000-0005-0000-0000-0000991D0000}"/>
    <cellStyle name="Accent3 6 5" xfId="5999" xr:uid="{00000000-0005-0000-0000-00009A1D0000}"/>
    <cellStyle name="Accent3 6 5 2" xfId="15586" xr:uid="{00000000-0005-0000-0000-00009B1D0000}"/>
    <cellStyle name="Accent3 6 6" xfId="6000" xr:uid="{00000000-0005-0000-0000-00009C1D0000}"/>
    <cellStyle name="Accent3 6 6 2" xfId="15587" xr:uid="{00000000-0005-0000-0000-00009D1D0000}"/>
    <cellStyle name="Accent3 6 7" xfId="6001" xr:uid="{00000000-0005-0000-0000-00009E1D0000}"/>
    <cellStyle name="Accent3 6 7 2" xfId="15588" xr:uid="{00000000-0005-0000-0000-00009F1D0000}"/>
    <cellStyle name="Accent3 6 8" xfId="6002" xr:uid="{00000000-0005-0000-0000-0000A01D0000}"/>
    <cellStyle name="Accent3 6 8 2" xfId="15589" xr:uid="{00000000-0005-0000-0000-0000A11D0000}"/>
    <cellStyle name="Accent3 6 9" xfId="6003" xr:uid="{00000000-0005-0000-0000-0000A21D0000}"/>
    <cellStyle name="Accent3 6 9 2" xfId="15590" xr:uid="{00000000-0005-0000-0000-0000A31D0000}"/>
    <cellStyle name="Accent3 7" xfId="6004" xr:uid="{00000000-0005-0000-0000-0000A41D0000}"/>
    <cellStyle name="Accent3 7 10" xfId="6005" xr:uid="{00000000-0005-0000-0000-0000A51D0000}"/>
    <cellStyle name="Accent3 7 10 2" xfId="15591" xr:uid="{00000000-0005-0000-0000-0000A61D0000}"/>
    <cellStyle name="Accent3 7 11" xfId="6006" xr:uid="{00000000-0005-0000-0000-0000A71D0000}"/>
    <cellStyle name="Accent3 7 11 2" xfId="15592" xr:uid="{00000000-0005-0000-0000-0000A81D0000}"/>
    <cellStyle name="Accent3 7 2" xfId="6007" xr:uid="{00000000-0005-0000-0000-0000A91D0000}"/>
    <cellStyle name="Accent3 7 2 2" xfId="6008" xr:uid="{00000000-0005-0000-0000-0000AA1D0000}"/>
    <cellStyle name="Accent3 7 2 2 2" xfId="15593" xr:uid="{00000000-0005-0000-0000-0000AB1D0000}"/>
    <cellStyle name="Accent3 7 3" xfId="6009" xr:uid="{00000000-0005-0000-0000-0000AC1D0000}"/>
    <cellStyle name="Accent3 7 3 2" xfId="6010" xr:uid="{00000000-0005-0000-0000-0000AD1D0000}"/>
    <cellStyle name="Accent3 7 3 2 2" xfId="15594" xr:uid="{00000000-0005-0000-0000-0000AE1D0000}"/>
    <cellStyle name="Accent3 7 4" xfId="6011" xr:uid="{00000000-0005-0000-0000-0000AF1D0000}"/>
    <cellStyle name="Accent3 7 4 2" xfId="6012" xr:uid="{00000000-0005-0000-0000-0000B01D0000}"/>
    <cellStyle name="Accent3 7 4 3" xfId="15595" xr:uid="{00000000-0005-0000-0000-0000B11D0000}"/>
    <cellStyle name="Accent3 7 5" xfId="6013" xr:uid="{00000000-0005-0000-0000-0000B21D0000}"/>
    <cellStyle name="Accent3 7 5 2" xfId="15596" xr:uid="{00000000-0005-0000-0000-0000B31D0000}"/>
    <cellStyle name="Accent3 7 6" xfId="6014" xr:uid="{00000000-0005-0000-0000-0000B41D0000}"/>
    <cellStyle name="Accent3 7 6 2" xfId="15597" xr:uid="{00000000-0005-0000-0000-0000B51D0000}"/>
    <cellStyle name="Accent3 7 7" xfId="6015" xr:uid="{00000000-0005-0000-0000-0000B61D0000}"/>
    <cellStyle name="Accent3 7 7 2" xfId="15598" xr:uid="{00000000-0005-0000-0000-0000B71D0000}"/>
    <cellStyle name="Accent3 7 8" xfId="6016" xr:uid="{00000000-0005-0000-0000-0000B81D0000}"/>
    <cellStyle name="Accent3 7 8 2" xfId="15599" xr:uid="{00000000-0005-0000-0000-0000B91D0000}"/>
    <cellStyle name="Accent3 7 9" xfId="6017" xr:uid="{00000000-0005-0000-0000-0000BA1D0000}"/>
    <cellStyle name="Accent3 7 9 2" xfId="15600" xr:uid="{00000000-0005-0000-0000-0000BB1D0000}"/>
    <cellStyle name="Accent3 8" xfId="6018" xr:uid="{00000000-0005-0000-0000-0000BC1D0000}"/>
    <cellStyle name="Accent3 8 10" xfId="6019" xr:uid="{00000000-0005-0000-0000-0000BD1D0000}"/>
    <cellStyle name="Accent3 8 10 2" xfId="15601" xr:uid="{00000000-0005-0000-0000-0000BE1D0000}"/>
    <cellStyle name="Accent3 8 11" xfId="6020" xr:uid="{00000000-0005-0000-0000-0000BF1D0000}"/>
    <cellStyle name="Accent3 8 11 2" xfId="15602" xr:uid="{00000000-0005-0000-0000-0000C01D0000}"/>
    <cellStyle name="Accent3 8 2" xfId="6021" xr:uid="{00000000-0005-0000-0000-0000C11D0000}"/>
    <cellStyle name="Accent3 8 2 2" xfId="6022" xr:uid="{00000000-0005-0000-0000-0000C21D0000}"/>
    <cellStyle name="Accent3 8 2 2 2" xfId="15603" xr:uid="{00000000-0005-0000-0000-0000C31D0000}"/>
    <cellStyle name="Accent3 8 3" xfId="6023" xr:uid="{00000000-0005-0000-0000-0000C41D0000}"/>
    <cellStyle name="Accent3 8 3 2" xfId="6024" xr:uid="{00000000-0005-0000-0000-0000C51D0000}"/>
    <cellStyle name="Accent3 8 3 2 2" xfId="15604" xr:uid="{00000000-0005-0000-0000-0000C61D0000}"/>
    <cellStyle name="Accent3 8 4" xfId="6025" xr:uid="{00000000-0005-0000-0000-0000C71D0000}"/>
    <cellStyle name="Accent3 8 4 2" xfId="6026" xr:uid="{00000000-0005-0000-0000-0000C81D0000}"/>
    <cellStyle name="Accent3 8 4 3" xfId="15605" xr:uid="{00000000-0005-0000-0000-0000C91D0000}"/>
    <cellStyle name="Accent3 8 5" xfId="6027" xr:uid="{00000000-0005-0000-0000-0000CA1D0000}"/>
    <cellStyle name="Accent3 8 5 2" xfId="15606" xr:uid="{00000000-0005-0000-0000-0000CB1D0000}"/>
    <cellStyle name="Accent3 8 6" xfId="6028" xr:uid="{00000000-0005-0000-0000-0000CC1D0000}"/>
    <cellStyle name="Accent3 8 6 2" xfId="15607" xr:uid="{00000000-0005-0000-0000-0000CD1D0000}"/>
    <cellStyle name="Accent3 8 7" xfId="6029" xr:uid="{00000000-0005-0000-0000-0000CE1D0000}"/>
    <cellStyle name="Accent3 8 7 2" xfId="15608" xr:uid="{00000000-0005-0000-0000-0000CF1D0000}"/>
    <cellStyle name="Accent3 8 8" xfId="6030" xr:uid="{00000000-0005-0000-0000-0000D01D0000}"/>
    <cellStyle name="Accent3 8 8 2" xfId="15609" xr:uid="{00000000-0005-0000-0000-0000D11D0000}"/>
    <cellStyle name="Accent3 8 9" xfId="6031" xr:uid="{00000000-0005-0000-0000-0000D21D0000}"/>
    <cellStyle name="Accent3 8 9 2" xfId="15610" xr:uid="{00000000-0005-0000-0000-0000D31D0000}"/>
    <cellStyle name="Accent3 9" xfId="6032" xr:uid="{00000000-0005-0000-0000-0000D41D0000}"/>
    <cellStyle name="Accent3 9 10" xfId="6033" xr:uid="{00000000-0005-0000-0000-0000D51D0000}"/>
    <cellStyle name="Accent3 9 10 2" xfId="15611" xr:uid="{00000000-0005-0000-0000-0000D61D0000}"/>
    <cellStyle name="Accent3 9 11" xfId="6034" xr:uid="{00000000-0005-0000-0000-0000D71D0000}"/>
    <cellStyle name="Accent3 9 11 2" xfId="15612" xr:uid="{00000000-0005-0000-0000-0000D81D0000}"/>
    <cellStyle name="Accent3 9 2" xfId="6035" xr:uid="{00000000-0005-0000-0000-0000D91D0000}"/>
    <cellStyle name="Accent3 9 2 2" xfId="6036" xr:uid="{00000000-0005-0000-0000-0000DA1D0000}"/>
    <cellStyle name="Accent3 9 2 2 2" xfId="15613" xr:uid="{00000000-0005-0000-0000-0000DB1D0000}"/>
    <cellStyle name="Accent3 9 3" xfId="6037" xr:uid="{00000000-0005-0000-0000-0000DC1D0000}"/>
    <cellStyle name="Accent3 9 3 2" xfId="6038" xr:uid="{00000000-0005-0000-0000-0000DD1D0000}"/>
    <cellStyle name="Accent3 9 3 2 2" xfId="15614" xr:uid="{00000000-0005-0000-0000-0000DE1D0000}"/>
    <cellStyle name="Accent3 9 4" xfId="6039" xr:uid="{00000000-0005-0000-0000-0000DF1D0000}"/>
    <cellStyle name="Accent3 9 4 2" xfId="6040" xr:uid="{00000000-0005-0000-0000-0000E01D0000}"/>
    <cellStyle name="Accent3 9 4 3" xfId="15615" xr:uid="{00000000-0005-0000-0000-0000E11D0000}"/>
    <cellStyle name="Accent3 9 5" xfId="6041" xr:uid="{00000000-0005-0000-0000-0000E21D0000}"/>
    <cellStyle name="Accent3 9 5 2" xfId="15616" xr:uid="{00000000-0005-0000-0000-0000E31D0000}"/>
    <cellStyle name="Accent3 9 6" xfId="6042" xr:uid="{00000000-0005-0000-0000-0000E41D0000}"/>
    <cellStyle name="Accent3 9 6 2" xfId="15617" xr:uid="{00000000-0005-0000-0000-0000E51D0000}"/>
    <cellStyle name="Accent3 9 7" xfId="6043" xr:uid="{00000000-0005-0000-0000-0000E61D0000}"/>
    <cellStyle name="Accent3 9 7 2" xfId="15618" xr:uid="{00000000-0005-0000-0000-0000E71D0000}"/>
    <cellStyle name="Accent3 9 8" xfId="6044" xr:uid="{00000000-0005-0000-0000-0000E81D0000}"/>
    <cellStyle name="Accent3 9 8 2" xfId="15619" xr:uid="{00000000-0005-0000-0000-0000E91D0000}"/>
    <cellStyle name="Accent3 9 9" xfId="6045" xr:uid="{00000000-0005-0000-0000-0000EA1D0000}"/>
    <cellStyle name="Accent3 9 9 2" xfId="15620" xr:uid="{00000000-0005-0000-0000-0000EB1D0000}"/>
    <cellStyle name="Accent4 10" xfId="6046" xr:uid="{00000000-0005-0000-0000-0000EC1D0000}"/>
    <cellStyle name="Accent4 10 10" xfId="6047" xr:uid="{00000000-0005-0000-0000-0000ED1D0000}"/>
    <cellStyle name="Accent4 10 10 2" xfId="15621" xr:uid="{00000000-0005-0000-0000-0000EE1D0000}"/>
    <cellStyle name="Accent4 10 11" xfId="6048" xr:uid="{00000000-0005-0000-0000-0000EF1D0000}"/>
    <cellStyle name="Accent4 10 11 2" xfId="15622" xr:uid="{00000000-0005-0000-0000-0000F01D0000}"/>
    <cellStyle name="Accent4 10 2" xfId="6049" xr:uid="{00000000-0005-0000-0000-0000F11D0000}"/>
    <cellStyle name="Accent4 10 2 2" xfId="6050" xr:uid="{00000000-0005-0000-0000-0000F21D0000}"/>
    <cellStyle name="Accent4 10 2 2 2" xfId="15623" xr:uid="{00000000-0005-0000-0000-0000F31D0000}"/>
    <cellStyle name="Accent4 10 3" xfId="6051" xr:uid="{00000000-0005-0000-0000-0000F41D0000}"/>
    <cellStyle name="Accent4 10 3 2" xfId="6052" xr:uid="{00000000-0005-0000-0000-0000F51D0000}"/>
    <cellStyle name="Accent4 10 3 2 2" xfId="15624" xr:uid="{00000000-0005-0000-0000-0000F61D0000}"/>
    <cellStyle name="Accent4 10 4" xfId="6053" xr:uid="{00000000-0005-0000-0000-0000F71D0000}"/>
    <cellStyle name="Accent4 10 4 2" xfId="6054" xr:uid="{00000000-0005-0000-0000-0000F81D0000}"/>
    <cellStyle name="Accent4 10 4 3" xfId="15625" xr:uid="{00000000-0005-0000-0000-0000F91D0000}"/>
    <cellStyle name="Accent4 10 5" xfId="6055" xr:uid="{00000000-0005-0000-0000-0000FA1D0000}"/>
    <cellStyle name="Accent4 10 5 2" xfId="15626" xr:uid="{00000000-0005-0000-0000-0000FB1D0000}"/>
    <cellStyle name="Accent4 10 6" xfId="6056" xr:uid="{00000000-0005-0000-0000-0000FC1D0000}"/>
    <cellStyle name="Accent4 10 6 2" xfId="15627" xr:uid="{00000000-0005-0000-0000-0000FD1D0000}"/>
    <cellStyle name="Accent4 10 7" xfId="6057" xr:uid="{00000000-0005-0000-0000-0000FE1D0000}"/>
    <cellStyle name="Accent4 10 7 2" xfId="15628" xr:uid="{00000000-0005-0000-0000-0000FF1D0000}"/>
    <cellStyle name="Accent4 10 8" xfId="6058" xr:uid="{00000000-0005-0000-0000-0000001E0000}"/>
    <cellStyle name="Accent4 10 8 2" xfId="15629" xr:uid="{00000000-0005-0000-0000-0000011E0000}"/>
    <cellStyle name="Accent4 10 9" xfId="6059" xr:uid="{00000000-0005-0000-0000-0000021E0000}"/>
    <cellStyle name="Accent4 10 9 2" xfId="15630" xr:uid="{00000000-0005-0000-0000-0000031E0000}"/>
    <cellStyle name="Accent4 11" xfId="6060" xr:uid="{00000000-0005-0000-0000-0000041E0000}"/>
    <cellStyle name="Accent4 11 10" xfId="6061" xr:uid="{00000000-0005-0000-0000-0000051E0000}"/>
    <cellStyle name="Accent4 11 10 2" xfId="15631" xr:uid="{00000000-0005-0000-0000-0000061E0000}"/>
    <cellStyle name="Accent4 11 11" xfId="6062" xr:uid="{00000000-0005-0000-0000-0000071E0000}"/>
    <cellStyle name="Accent4 11 11 2" xfId="15632" xr:uid="{00000000-0005-0000-0000-0000081E0000}"/>
    <cellStyle name="Accent4 11 2" xfId="6063" xr:uid="{00000000-0005-0000-0000-0000091E0000}"/>
    <cellStyle name="Accent4 11 2 2" xfId="6064" xr:uid="{00000000-0005-0000-0000-00000A1E0000}"/>
    <cellStyle name="Accent4 11 2 2 2" xfId="15633" xr:uid="{00000000-0005-0000-0000-00000B1E0000}"/>
    <cellStyle name="Accent4 11 3" xfId="6065" xr:uid="{00000000-0005-0000-0000-00000C1E0000}"/>
    <cellStyle name="Accent4 11 3 2" xfId="6066" xr:uid="{00000000-0005-0000-0000-00000D1E0000}"/>
    <cellStyle name="Accent4 11 3 2 2" xfId="15634" xr:uid="{00000000-0005-0000-0000-00000E1E0000}"/>
    <cellStyle name="Accent4 11 4" xfId="6067" xr:uid="{00000000-0005-0000-0000-00000F1E0000}"/>
    <cellStyle name="Accent4 11 4 2" xfId="6068" xr:uid="{00000000-0005-0000-0000-0000101E0000}"/>
    <cellStyle name="Accent4 11 4 3" xfId="15635" xr:uid="{00000000-0005-0000-0000-0000111E0000}"/>
    <cellStyle name="Accent4 11 5" xfId="6069" xr:uid="{00000000-0005-0000-0000-0000121E0000}"/>
    <cellStyle name="Accent4 11 5 2" xfId="15636" xr:uid="{00000000-0005-0000-0000-0000131E0000}"/>
    <cellStyle name="Accent4 11 6" xfId="6070" xr:uid="{00000000-0005-0000-0000-0000141E0000}"/>
    <cellStyle name="Accent4 11 6 2" xfId="15637" xr:uid="{00000000-0005-0000-0000-0000151E0000}"/>
    <cellStyle name="Accent4 11 7" xfId="6071" xr:uid="{00000000-0005-0000-0000-0000161E0000}"/>
    <cellStyle name="Accent4 11 7 2" xfId="15638" xr:uid="{00000000-0005-0000-0000-0000171E0000}"/>
    <cellStyle name="Accent4 11 8" xfId="6072" xr:uid="{00000000-0005-0000-0000-0000181E0000}"/>
    <cellStyle name="Accent4 11 8 2" xfId="15639" xr:uid="{00000000-0005-0000-0000-0000191E0000}"/>
    <cellStyle name="Accent4 11 9" xfId="6073" xr:uid="{00000000-0005-0000-0000-00001A1E0000}"/>
    <cellStyle name="Accent4 11 9 2" xfId="15640" xr:uid="{00000000-0005-0000-0000-00001B1E0000}"/>
    <cellStyle name="Accent4 12" xfId="6074" xr:uid="{00000000-0005-0000-0000-00001C1E0000}"/>
    <cellStyle name="Accent4 12 10" xfId="6075" xr:uid="{00000000-0005-0000-0000-00001D1E0000}"/>
    <cellStyle name="Accent4 12 10 2" xfId="15641" xr:uid="{00000000-0005-0000-0000-00001E1E0000}"/>
    <cellStyle name="Accent4 12 11" xfId="6076" xr:uid="{00000000-0005-0000-0000-00001F1E0000}"/>
    <cellStyle name="Accent4 12 11 2" xfId="15642" xr:uid="{00000000-0005-0000-0000-0000201E0000}"/>
    <cellStyle name="Accent4 12 2" xfId="6077" xr:uid="{00000000-0005-0000-0000-0000211E0000}"/>
    <cellStyle name="Accent4 12 2 2" xfId="6078" xr:uid="{00000000-0005-0000-0000-0000221E0000}"/>
    <cellStyle name="Accent4 12 2 2 2" xfId="15643" xr:uid="{00000000-0005-0000-0000-0000231E0000}"/>
    <cellStyle name="Accent4 12 3" xfId="6079" xr:uid="{00000000-0005-0000-0000-0000241E0000}"/>
    <cellStyle name="Accent4 12 3 2" xfId="6080" xr:uid="{00000000-0005-0000-0000-0000251E0000}"/>
    <cellStyle name="Accent4 12 3 2 2" xfId="15644" xr:uid="{00000000-0005-0000-0000-0000261E0000}"/>
    <cellStyle name="Accent4 12 4" xfId="6081" xr:uid="{00000000-0005-0000-0000-0000271E0000}"/>
    <cellStyle name="Accent4 12 4 2" xfId="6082" xr:uid="{00000000-0005-0000-0000-0000281E0000}"/>
    <cellStyle name="Accent4 12 4 3" xfId="15645" xr:uid="{00000000-0005-0000-0000-0000291E0000}"/>
    <cellStyle name="Accent4 12 5" xfId="6083" xr:uid="{00000000-0005-0000-0000-00002A1E0000}"/>
    <cellStyle name="Accent4 12 5 2" xfId="15646" xr:uid="{00000000-0005-0000-0000-00002B1E0000}"/>
    <cellStyle name="Accent4 12 6" xfId="6084" xr:uid="{00000000-0005-0000-0000-00002C1E0000}"/>
    <cellStyle name="Accent4 12 6 2" xfId="15647" xr:uid="{00000000-0005-0000-0000-00002D1E0000}"/>
    <cellStyle name="Accent4 12 7" xfId="6085" xr:uid="{00000000-0005-0000-0000-00002E1E0000}"/>
    <cellStyle name="Accent4 12 7 2" xfId="15648" xr:uid="{00000000-0005-0000-0000-00002F1E0000}"/>
    <cellStyle name="Accent4 12 8" xfId="6086" xr:uid="{00000000-0005-0000-0000-0000301E0000}"/>
    <cellStyle name="Accent4 12 8 2" xfId="15649" xr:uid="{00000000-0005-0000-0000-0000311E0000}"/>
    <cellStyle name="Accent4 12 9" xfId="6087" xr:uid="{00000000-0005-0000-0000-0000321E0000}"/>
    <cellStyle name="Accent4 12 9 2" xfId="15650" xr:uid="{00000000-0005-0000-0000-0000331E0000}"/>
    <cellStyle name="Accent4 13" xfId="6088" xr:uid="{00000000-0005-0000-0000-0000341E0000}"/>
    <cellStyle name="Accent4 13 10" xfId="6089" xr:uid="{00000000-0005-0000-0000-0000351E0000}"/>
    <cellStyle name="Accent4 13 10 2" xfId="15651" xr:uid="{00000000-0005-0000-0000-0000361E0000}"/>
    <cellStyle name="Accent4 13 11" xfId="6090" xr:uid="{00000000-0005-0000-0000-0000371E0000}"/>
    <cellStyle name="Accent4 13 11 2" xfId="15652" xr:uid="{00000000-0005-0000-0000-0000381E0000}"/>
    <cellStyle name="Accent4 13 2" xfId="6091" xr:uid="{00000000-0005-0000-0000-0000391E0000}"/>
    <cellStyle name="Accent4 13 2 2" xfId="6092" xr:uid="{00000000-0005-0000-0000-00003A1E0000}"/>
    <cellStyle name="Accent4 13 2 2 2" xfId="15653" xr:uid="{00000000-0005-0000-0000-00003B1E0000}"/>
    <cellStyle name="Accent4 13 3" xfId="6093" xr:uid="{00000000-0005-0000-0000-00003C1E0000}"/>
    <cellStyle name="Accent4 13 3 2" xfId="6094" xr:uid="{00000000-0005-0000-0000-00003D1E0000}"/>
    <cellStyle name="Accent4 13 3 2 2" xfId="15654" xr:uid="{00000000-0005-0000-0000-00003E1E0000}"/>
    <cellStyle name="Accent4 13 4" xfId="6095" xr:uid="{00000000-0005-0000-0000-00003F1E0000}"/>
    <cellStyle name="Accent4 13 4 2" xfId="15655" xr:uid="{00000000-0005-0000-0000-0000401E0000}"/>
    <cellStyle name="Accent4 13 5" xfId="6096" xr:uid="{00000000-0005-0000-0000-0000411E0000}"/>
    <cellStyle name="Accent4 13 5 2" xfId="15656" xr:uid="{00000000-0005-0000-0000-0000421E0000}"/>
    <cellStyle name="Accent4 13 6" xfId="6097" xr:uid="{00000000-0005-0000-0000-0000431E0000}"/>
    <cellStyle name="Accent4 13 6 2" xfId="15657" xr:uid="{00000000-0005-0000-0000-0000441E0000}"/>
    <cellStyle name="Accent4 13 7" xfId="6098" xr:uid="{00000000-0005-0000-0000-0000451E0000}"/>
    <cellStyle name="Accent4 13 7 2" xfId="15658" xr:uid="{00000000-0005-0000-0000-0000461E0000}"/>
    <cellStyle name="Accent4 13 8" xfId="6099" xr:uid="{00000000-0005-0000-0000-0000471E0000}"/>
    <cellStyle name="Accent4 13 8 2" xfId="15659" xr:uid="{00000000-0005-0000-0000-0000481E0000}"/>
    <cellStyle name="Accent4 13 9" xfId="6100" xr:uid="{00000000-0005-0000-0000-0000491E0000}"/>
    <cellStyle name="Accent4 13 9 2" xfId="15660" xr:uid="{00000000-0005-0000-0000-00004A1E0000}"/>
    <cellStyle name="Accent4 14" xfId="6101" xr:uid="{00000000-0005-0000-0000-00004B1E0000}"/>
    <cellStyle name="Accent4 14 10" xfId="6102" xr:uid="{00000000-0005-0000-0000-00004C1E0000}"/>
    <cellStyle name="Accent4 14 10 2" xfId="15661" xr:uid="{00000000-0005-0000-0000-00004D1E0000}"/>
    <cellStyle name="Accent4 14 11" xfId="6103" xr:uid="{00000000-0005-0000-0000-00004E1E0000}"/>
    <cellStyle name="Accent4 14 11 2" xfId="15662" xr:uid="{00000000-0005-0000-0000-00004F1E0000}"/>
    <cellStyle name="Accent4 14 2" xfId="6104" xr:uid="{00000000-0005-0000-0000-0000501E0000}"/>
    <cellStyle name="Accent4 14 2 2" xfId="6105" xr:uid="{00000000-0005-0000-0000-0000511E0000}"/>
    <cellStyle name="Accent4 14 2 2 2" xfId="15663" xr:uid="{00000000-0005-0000-0000-0000521E0000}"/>
    <cellStyle name="Accent4 14 3" xfId="6106" xr:uid="{00000000-0005-0000-0000-0000531E0000}"/>
    <cellStyle name="Accent4 14 3 2" xfId="6107" xr:uid="{00000000-0005-0000-0000-0000541E0000}"/>
    <cellStyle name="Accent4 14 3 2 2" xfId="15664" xr:uid="{00000000-0005-0000-0000-0000551E0000}"/>
    <cellStyle name="Accent4 14 4" xfId="6108" xr:uid="{00000000-0005-0000-0000-0000561E0000}"/>
    <cellStyle name="Accent4 14 4 2" xfId="15665" xr:uid="{00000000-0005-0000-0000-0000571E0000}"/>
    <cellStyle name="Accent4 14 5" xfId="6109" xr:uid="{00000000-0005-0000-0000-0000581E0000}"/>
    <cellStyle name="Accent4 14 5 2" xfId="15666" xr:uid="{00000000-0005-0000-0000-0000591E0000}"/>
    <cellStyle name="Accent4 14 6" xfId="6110" xr:uid="{00000000-0005-0000-0000-00005A1E0000}"/>
    <cellStyle name="Accent4 14 6 2" xfId="15667" xr:uid="{00000000-0005-0000-0000-00005B1E0000}"/>
    <cellStyle name="Accent4 14 7" xfId="6111" xr:uid="{00000000-0005-0000-0000-00005C1E0000}"/>
    <cellStyle name="Accent4 14 7 2" xfId="15668" xr:uid="{00000000-0005-0000-0000-00005D1E0000}"/>
    <cellStyle name="Accent4 14 8" xfId="6112" xr:uid="{00000000-0005-0000-0000-00005E1E0000}"/>
    <cellStyle name="Accent4 14 8 2" xfId="15669" xr:uid="{00000000-0005-0000-0000-00005F1E0000}"/>
    <cellStyle name="Accent4 14 9" xfId="6113" xr:uid="{00000000-0005-0000-0000-0000601E0000}"/>
    <cellStyle name="Accent4 14 9 2" xfId="15670" xr:uid="{00000000-0005-0000-0000-0000611E0000}"/>
    <cellStyle name="Accent4 15" xfId="6114" xr:uid="{00000000-0005-0000-0000-0000621E0000}"/>
    <cellStyle name="Accent4 15 10" xfId="6115" xr:uid="{00000000-0005-0000-0000-0000631E0000}"/>
    <cellStyle name="Accent4 15 10 2" xfId="15671" xr:uid="{00000000-0005-0000-0000-0000641E0000}"/>
    <cellStyle name="Accent4 15 11" xfId="6116" xr:uid="{00000000-0005-0000-0000-0000651E0000}"/>
    <cellStyle name="Accent4 15 11 2" xfId="15672" xr:uid="{00000000-0005-0000-0000-0000661E0000}"/>
    <cellStyle name="Accent4 15 2" xfId="6117" xr:uid="{00000000-0005-0000-0000-0000671E0000}"/>
    <cellStyle name="Accent4 15 2 2" xfId="6118" xr:uid="{00000000-0005-0000-0000-0000681E0000}"/>
    <cellStyle name="Accent4 15 2 2 2" xfId="15673" xr:uid="{00000000-0005-0000-0000-0000691E0000}"/>
    <cellStyle name="Accent4 15 3" xfId="6119" xr:uid="{00000000-0005-0000-0000-00006A1E0000}"/>
    <cellStyle name="Accent4 15 3 2" xfId="6120" xr:uid="{00000000-0005-0000-0000-00006B1E0000}"/>
    <cellStyle name="Accent4 15 3 2 2" xfId="15674" xr:uid="{00000000-0005-0000-0000-00006C1E0000}"/>
    <cellStyle name="Accent4 15 4" xfId="6121" xr:uid="{00000000-0005-0000-0000-00006D1E0000}"/>
    <cellStyle name="Accent4 15 4 2" xfId="15675" xr:uid="{00000000-0005-0000-0000-00006E1E0000}"/>
    <cellStyle name="Accent4 15 5" xfId="6122" xr:uid="{00000000-0005-0000-0000-00006F1E0000}"/>
    <cellStyle name="Accent4 15 5 2" xfId="15676" xr:uid="{00000000-0005-0000-0000-0000701E0000}"/>
    <cellStyle name="Accent4 15 6" xfId="6123" xr:uid="{00000000-0005-0000-0000-0000711E0000}"/>
    <cellStyle name="Accent4 15 6 2" xfId="15677" xr:uid="{00000000-0005-0000-0000-0000721E0000}"/>
    <cellStyle name="Accent4 15 7" xfId="6124" xr:uid="{00000000-0005-0000-0000-0000731E0000}"/>
    <cellStyle name="Accent4 15 7 2" xfId="15678" xr:uid="{00000000-0005-0000-0000-0000741E0000}"/>
    <cellStyle name="Accent4 15 8" xfId="6125" xr:uid="{00000000-0005-0000-0000-0000751E0000}"/>
    <cellStyle name="Accent4 15 8 2" xfId="15679" xr:uid="{00000000-0005-0000-0000-0000761E0000}"/>
    <cellStyle name="Accent4 15 9" xfId="6126" xr:uid="{00000000-0005-0000-0000-0000771E0000}"/>
    <cellStyle name="Accent4 15 9 2" xfId="15680" xr:uid="{00000000-0005-0000-0000-0000781E0000}"/>
    <cellStyle name="Accent4 16" xfId="6127" xr:uid="{00000000-0005-0000-0000-0000791E0000}"/>
    <cellStyle name="Accent4 16 10" xfId="6128" xr:uid="{00000000-0005-0000-0000-00007A1E0000}"/>
    <cellStyle name="Accent4 16 10 2" xfId="15681" xr:uid="{00000000-0005-0000-0000-00007B1E0000}"/>
    <cellStyle name="Accent4 16 11" xfId="6129" xr:uid="{00000000-0005-0000-0000-00007C1E0000}"/>
    <cellStyle name="Accent4 16 11 2" xfId="15682" xr:uid="{00000000-0005-0000-0000-00007D1E0000}"/>
    <cellStyle name="Accent4 16 2" xfId="6130" xr:uid="{00000000-0005-0000-0000-00007E1E0000}"/>
    <cellStyle name="Accent4 16 2 2" xfId="6131" xr:uid="{00000000-0005-0000-0000-00007F1E0000}"/>
    <cellStyle name="Accent4 16 2 2 2" xfId="15683" xr:uid="{00000000-0005-0000-0000-0000801E0000}"/>
    <cellStyle name="Accent4 16 3" xfId="6132" xr:uid="{00000000-0005-0000-0000-0000811E0000}"/>
    <cellStyle name="Accent4 16 3 2" xfId="6133" xr:uid="{00000000-0005-0000-0000-0000821E0000}"/>
    <cellStyle name="Accent4 16 3 2 2" xfId="15684" xr:uid="{00000000-0005-0000-0000-0000831E0000}"/>
    <cellStyle name="Accent4 16 4" xfId="6134" xr:uid="{00000000-0005-0000-0000-0000841E0000}"/>
    <cellStyle name="Accent4 16 4 2" xfId="15685" xr:uid="{00000000-0005-0000-0000-0000851E0000}"/>
    <cellStyle name="Accent4 16 5" xfId="6135" xr:uid="{00000000-0005-0000-0000-0000861E0000}"/>
    <cellStyle name="Accent4 16 5 2" xfId="15686" xr:uid="{00000000-0005-0000-0000-0000871E0000}"/>
    <cellStyle name="Accent4 16 6" xfId="6136" xr:uid="{00000000-0005-0000-0000-0000881E0000}"/>
    <cellStyle name="Accent4 16 6 2" xfId="15687" xr:uid="{00000000-0005-0000-0000-0000891E0000}"/>
    <cellStyle name="Accent4 16 7" xfId="6137" xr:uid="{00000000-0005-0000-0000-00008A1E0000}"/>
    <cellStyle name="Accent4 16 7 2" xfId="15688" xr:uid="{00000000-0005-0000-0000-00008B1E0000}"/>
    <cellStyle name="Accent4 16 8" xfId="6138" xr:uid="{00000000-0005-0000-0000-00008C1E0000}"/>
    <cellStyle name="Accent4 16 8 2" xfId="15689" xr:uid="{00000000-0005-0000-0000-00008D1E0000}"/>
    <cellStyle name="Accent4 16 9" xfId="6139" xr:uid="{00000000-0005-0000-0000-00008E1E0000}"/>
    <cellStyle name="Accent4 16 9 2" xfId="15690" xr:uid="{00000000-0005-0000-0000-00008F1E0000}"/>
    <cellStyle name="Accent4 17" xfId="6140" xr:uid="{00000000-0005-0000-0000-0000901E0000}"/>
    <cellStyle name="Accent4 17 10" xfId="6141" xr:uid="{00000000-0005-0000-0000-0000911E0000}"/>
    <cellStyle name="Accent4 17 10 2" xfId="15691" xr:uid="{00000000-0005-0000-0000-0000921E0000}"/>
    <cellStyle name="Accent4 17 11" xfId="6142" xr:uid="{00000000-0005-0000-0000-0000931E0000}"/>
    <cellStyle name="Accent4 17 11 2" xfId="15692" xr:uid="{00000000-0005-0000-0000-0000941E0000}"/>
    <cellStyle name="Accent4 17 2" xfId="6143" xr:uid="{00000000-0005-0000-0000-0000951E0000}"/>
    <cellStyle name="Accent4 17 2 2" xfId="6144" xr:uid="{00000000-0005-0000-0000-0000961E0000}"/>
    <cellStyle name="Accent4 17 2 2 2" xfId="15693" xr:uid="{00000000-0005-0000-0000-0000971E0000}"/>
    <cellStyle name="Accent4 17 3" xfId="6145" xr:uid="{00000000-0005-0000-0000-0000981E0000}"/>
    <cellStyle name="Accent4 17 3 2" xfId="6146" xr:uid="{00000000-0005-0000-0000-0000991E0000}"/>
    <cellStyle name="Accent4 17 3 2 2" xfId="15694" xr:uid="{00000000-0005-0000-0000-00009A1E0000}"/>
    <cellStyle name="Accent4 17 4" xfId="6147" xr:uid="{00000000-0005-0000-0000-00009B1E0000}"/>
    <cellStyle name="Accent4 17 4 2" xfId="15695" xr:uid="{00000000-0005-0000-0000-00009C1E0000}"/>
    <cellStyle name="Accent4 17 5" xfId="6148" xr:uid="{00000000-0005-0000-0000-00009D1E0000}"/>
    <cellStyle name="Accent4 17 5 2" xfId="15696" xr:uid="{00000000-0005-0000-0000-00009E1E0000}"/>
    <cellStyle name="Accent4 17 6" xfId="6149" xr:uid="{00000000-0005-0000-0000-00009F1E0000}"/>
    <cellStyle name="Accent4 17 6 2" xfId="15697" xr:uid="{00000000-0005-0000-0000-0000A01E0000}"/>
    <cellStyle name="Accent4 17 7" xfId="6150" xr:uid="{00000000-0005-0000-0000-0000A11E0000}"/>
    <cellStyle name="Accent4 17 7 2" xfId="15698" xr:uid="{00000000-0005-0000-0000-0000A21E0000}"/>
    <cellStyle name="Accent4 17 8" xfId="6151" xr:uid="{00000000-0005-0000-0000-0000A31E0000}"/>
    <cellStyle name="Accent4 17 8 2" xfId="15699" xr:uid="{00000000-0005-0000-0000-0000A41E0000}"/>
    <cellStyle name="Accent4 17 9" xfId="6152" xr:uid="{00000000-0005-0000-0000-0000A51E0000}"/>
    <cellStyle name="Accent4 17 9 2" xfId="15700" xr:uid="{00000000-0005-0000-0000-0000A61E0000}"/>
    <cellStyle name="Accent4 18" xfId="6153" xr:uid="{00000000-0005-0000-0000-0000A71E0000}"/>
    <cellStyle name="Accent4 18 2" xfId="6154" xr:uid="{00000000-0005-0000-0000-0000A81E0000}"/>
    <cellStyle name="Accent4 18 2 2" xfId="6155" xr:uid="{00000000-0005-0000-0000-0000A91E0000}"/>
    <cellStyle name="Accent4 18 2 2 2" xfId="15701" xr:uid="{00000000-0005-0000-0000-0000AA1E0000}"/>
    <cellStyle name="Accent4 18 3" xfId="6156" xr:uid="{00000000-0005-0000-0000-0000AB1E0000}"/>
    <cellStyle name="Accent4 18 3 2" xfId="15702" xr:uid="{00000000-0005-0000-0000-0000AC1E0000}"/>
    <cellStyle name="Accent4 18 4" xfId="6157" xr:uid="{00000000-0005-0000-0000-0000AD1E0000}"/>
    <cellStyle name="Accent4 18 4 2" xfId="15703" xr:uid="{00000000-0005-0000-0000-0000AE1E0000}"/>
    <cellStyle name="Accent4 18 5" xfId="6158" xr:uid="{00000000-0005-0000-0000-0000AF1E0000}"/>
    <cellStyle name="Accent4 18 5 2" xfId="15704" xr:uid="{00000000-0005-0000-0000-0000B01E0000}"/>
    <cellStyle name="Accent4 18 6" xfId="6159" xr:uid="{00000000-0005-0000-0000-0000B11E0000}"/>
    <cellStyle name="Accent4 18 6 2" xfId="15705" xr:uid="{00000000-0005-0000-0000-0000B21E0000}"/>
    <cellStyle name="Accent4 18 7" xfId="6160" xr:uid="{00000000-0005-0000-0000-0000B31E0000}"/>
    <cellStyle name="Accent4 18 7 2" xfId="15706" xr:uid="{00000000-0005-0000-0000-0000B41E0000}"/>
    <cellStyle name="Accent4 18 8" xfId="6161" xr:uid="{00000000-0005-0000-0000-0000B51E0000}"/>
    <cellStyle name="Accent4 18 8 2" xfId="15707" xr:uid="{00000000-0005-0000-0000-0000B61E0000}"/>
    <cellStyle name="Accent4 18 9" xfId="6162" xr:uid="{00000000-0005-0000-0000-0000B71E0000}"/>
    <cellStyle name="Accent4 18 9 2" xfId="15708" xr:uid="{00000000-0005-0000-0000-0000B81E0000}"/>
    <cellStyle name="Accent4 19" xfId="6163" xr:uid="{00000000-0005-0000-0000-0000B91E0000}"/>
    <cellStyle name="Accent4 19 2" xfId="6164" xr:uid="{00000000-0005-0000-0000-0000BA1E0000}"/>
    <cellStyle name="Accent4 19 2 2" xfId="6165" xr:uid="{00000000-0005-0000-0000-0000BB1E0000}"/>
    <cellStyle name="Accent4 19 2 2 2" xfId="15709" xr:uid="{00000000-0005-0000-0000-0000BC1E0000}"/>
    <cellStyle name="Accent4 19 3" xfId="6166" xr:uid="{00000000-0005-0000-0000-0000BD1E0000}"/>
    <cellStyle name="Accent4 19 3 2" xfId="15710" xr:uid="{00000000-0005-0000-0000-0000BE1E0000}"/>
    <cellStyle name="Accent4 19 4" xfId="6167" xr:uid="{00000000-0005-0000-0000-0000BF1E0000}"/>
    <cellStyle name="Accent4 19 4 2" xfId="15711" xr:uid="{00000000-0005-0000-0000-0000C01E0000}"/>
    <cellStyle name="Accent4 19 5" xfId="6168" xr:uid="{00000000-0005-0000-0000-0000C11E0000}"/>
    <cellStyle name="Accent4 19 5 2" xfId="15712" xr:uid="{00000000-0005-0000-0000-0000C21E0000}"/>
    <cellStyle name="Accent4 19 6" xfId="6169" xr:uid="{00000000-0005-0000-0000-0000C31E0000}"/>
    <cellStyle name="Accent4 19 6 2" xfId="15713" xr:uid="{00000000-0005-0000-0000-0000C41E0000}"/>
    <cellStyle name="Accent4 19 7" xfId="6170" xr:uid="{00000000-0005-0000-0000-0000C51E0000}"/>
    <cellStyle name="Accent4 19 7 2" xfId="15714" xr:uid="{00000000-0005-0000-0000-0000C61E0000}"/>
    <cellStyle name="Accent4 19 8" xfId="6171" xr:uid="{00000000-0005-0000-0000-0000C71E0000}"/>
    <cellStyle name="Accent4 19 8 2" xfId="15715" xr:uid="{00000000-0005-0000-0000-0000C81E0000}"/>
    <cellStyle name="Accent4 19 9" xfId="6172" xr:uid="{00000000-0005-0000-0000-0000C91E0000}"/>
    <cellStyle name="Accent4 19 9 2" xfId="15716" xr:uid="{00000000-0005-0000-0000-0000CA1E0000}"/>
    <cellStyle name="Accent4 2" xfId="6173" xr:uid="{00000000-0005-0000-0000-0000CB1E0000}"/>
    <cellStyle name="Accent4 2 10" xfId="6174" xr:uid="{00000000-0005-0000-0000-0000CC1E0000}"/>
    <cellStyle name="Accent4 2 10 2" xfId="15717" xr:uid="{00000000-0005-0000-0000-0000CD1E0000}"/>
    <cellStyle name="Accent4 2 11" xfId="6175" xr:uid="{00000000-0005-0000-0000-0000CE1E0000}"/>
    <cellStyle name="Accent4 2 11 2" xfId="15718" xr:uid="{00000000-0005-0000-0000-0000CF1E0000}"/>
    <cellStyle name="Accent4 2 12" xfId="21711" xr:uid="{00000000-0005-0000-0000-0000D01E0000}"/>
    <cellStyle name="Accent4 2 2" xfId="6176" xr:uid="{00000000-0005-0000-0000-0000D11E0000}"/>
    <cellStyle name="Accent4 2 2 2" xfId="6177" xr:uid="{00000000-0005-0000-0000-0000D21E0000}"/>
    <cellStyle name="Accent4 2 2 2 2" xfId="15719" xr:uid="{00000000-0005-0000-0000-0000D31E0000}"/>
    <cellStyle name="Accent4 2 3" xfId="6178" xr:uid="{00000000-0005-0000-0000-0000D41E0000}"/>
    <cellStyle name="Accent4 2 3 2" xfId="6179" xr:uid="{00000000-0005-0000-0000-0000D51E0000}"/>
    <cellStyle name="Accent4 2 3 2 2" xfId="15720" xr:uid="{00000000-0005-0000-0000-0000D61E0000}"/>
    <cellStyle name="Accent4 2 4" xfId="6180" xr:uid="{00000000-0005-0000-0000-0000D71E0000}"/>
    <cellStyle name="Accent4 2 4 2" xfId="6181" xr:uid="{00000000-0005-0000-0000-0000D81E0000}"/>
    <cellStyle name="Accent4 2 4 3" xfId="15721" xr:uid="{00000000-0005-0000-0000-0000D91E0000}"/>
    <cellStyle name="Accent4 2 5" xfId="6182" xr:uid="{00000000-0005-0000-0000-0000DA1E0000}"/>
    <cellStyle name="Accent4 2 5 2" xfId="15722" xr:uid="{00000000-0005-0000-0000-0000DB1E0000}"/>
    <cellStyle name="Accent4 2 6" xfId="6183" xr:uid="{00000000-0005-0000-0000-0000DC1E0000}"/>
    <cellStyle name="Accent4 2 6 2" xfId="15723" xr:uid="{00000000-0005-0000-0000-0000DD1E0000}"/>
    <cellStyle name="Accent4 2 7" xfId="6184" xr:uid="{00000000-0005-0000-0000-0000DE1E0000}"/>
    <cellStyle name="Accent4 2 7 2" xfId="15724" xr:uid="{00000000-0005-0000-0000-0000DF1E0000}"/>
    <cellStyle name="Accent4 2 8" xfId="6185" xr:uid="{00000000-0005-0000-0000-0000E01E0000}"/>
    <cellStyle name="Accent4 2 8 2" xfId="15725" xr:uid="{00000000-0005-0000-0000-0000E11E0000}"/>
    <cellStyle name="Accent4 2 9" xfId="6186" xr:uid="{00000000-0005-0000-0000-0000E21E0000}"/>
    <cellStyle name="Accent4 2 9 2" xfId="15726" xr:uid="{00000000-0005-0000-0000-0000E31E0000}"/>
    <cellStyle name="Accent4 20" xfId="6187" xr:uid="{00000000-0005-0000-0000-0000E41E0000}"/>
    <cellStyle name="Accent4 20 2" xfId="6188" xr:uid="{00000000-0005-0000-0000-0000E51E0000}"/>
    <cellStyle name="Accent4 20 2 2" xfId="15727" xr:uid="{00000000-0005-0000-0000-0000E61E0000}"/>
    <cellStyle name="Accent4 20 3" xfId="6189" xr:uid="{00000000-0005-0000-0000-0000E71E0000}"/>
    <cellStyle name="Accent4 20 3 2" xfId="15728" xr:uid="{00000000-0005-0000-0000-0000E81E0000}"/>
    <cellStyle name="Accent4 20 4" xfId="6190" xr:uid="{00000000-0005-0000-0000-0000E91E0000}"/>
    <cellStyle name="Accent4 20 4 2" xfId="15729" xr:uid="{00000000-0005-0000-0000-0000EA1E0000}"/>
    <cellStyle name="Accent4 20 5" xfId="6191" xr:uid="{00000000-0005-0000-0000-0000EB1E0000}"/>
    <cellStyle name="Accent4 20 5 2" xfId="15730" xr:uid="{00000000-0005-0000-0000-0000EC1E0000}"/>
    <cellStyle name="Accent4 20 6" xfId="6192" xr:uid="{00000000-0005-0000-0000-0000ED1E0000}"/>
    <cellStyle name="Accent4 20 6 2" xfId="15731" xr:uid="{00000000-0005-0000-0000-0000EE1E0000}"/>
    <cellStyle name="Accent4 20 7" xfId="6193" xr:uid="{00000000-0005-0000-0000-0000EF1E0000}"/>
    <cellStyle name="Accent4 20 7 2" xfId="15732" xr:uid="{00000000-0005-0000-0000-0000F01E0000}"/>
    <cellStyle name="Accent4 20 8" xfId="6194" xr:uid="{00000000-0005-0000-0000-0000F11E0000}"/>
    <cellStyle name="Accent4 20 8 2" xfId="15733" xr:uid="{00000000-0005-0000-0000-0000F21E0000}"/>
    <cellStyle name="Accent4 20 9" xfId="6195" xr:uid="{00000000-0005-0000-0000-0000F31E0000}"/>
    <cellStyle name="Accent4 20 9 2" xfId="15734" xr:uid="{00000000-0005-0000-0000-0000F41E0000}"/>
    <cellStyle name="Accent4 21" xfId="6196" xr:uid="{00000000-0005-0000-0000-0000F51E0000}"/>
    <cellStyle name="Accent4 21 2" xfId="6197" xr:uid="{00000000-0005-0000-0000-0000F61E0000}"/>
    <cellStyle name="Accent4 21 2 2" xfId="15735" xr:uid="{00000000-0005-0000-0000-0000F71E0000}"/>
    <cellStyle name="Accent4 21 3" xfId="6198" xr:uid="{00000000-0005-0000-0000-0000F81E0000}"/>
    <cellStyle name="Accent4 21 3 2" xfId="15736" xr:uid="{00000000-0005-0000-0000-0000F91E0000}"/>
    <cellStyle name="Accent4 21 4" xfId="6199" xr:uid="{00000000-0005-0000-0000-0000FA1E0000}"/>
    <cellStyle name="Accent4 21 4 2" xfId="15737" xr:uid="{00000000-0005-0000-0000-0000FB1E0000}"/>
    <cellStyle name="Accent4 21 5" xfId="6200" xr:uid="{00000000-0005-0000-0000-0000FC1E0000}"/>
    <cellStyle name="Accent4 21 5 2" xfId="15738" xr:uid="{00000000-0005-0000-0000-0000FD1E0000}"/>
    <cellStyle name="Accent4 21 6" xfId="6201" xr:uid="{00000000-0005-0000-0000-0000FE1E0000}"/>
    <cellStyle name="Accent4 21 6 2" xfId="15739" xr:uid="{00000000-0005-0000-0000-0000FF1E0000}"/>
    <cellStyle name="Accent4 21 7" xfId="6202" xr:uid="{00000000-0005-0000-0000-0000001F0000}"/>
    <cellStyle name="Accent4 21 7 2" xfId="15740" xr:uid="{00000000-0005-0000-0000-0000011F0000}"/>
    <cellStyle name="Accent4 21 8" xfId="6203" xr:uid="{00000000-0005-0000-0000-0000021F0000}"/>
    <cellStyle name="Accent4 21 8 2" xfId="15741" xr:uid="{00000000-0005-0000-0000-0000031F0000}"/>
    <cellStyle name="Accent4 21 9" xfId="6204" xr:uid="{00000000-0005-0000-0000-0000041F0000}"/>
    <cellStyle name="Accent4 21 9 2" xfId="15742" xr:uid="{00000000-0005-0000-0000-0000051F0000}"/>
    <cellStyle name="Accent4 22" xfId="6205" xr:uid="{00000000-0005-0000-0000-0000061F0000}"/>
    <cellStyle name="Accent4 22 2" xfId="6206" xr:uid="{00000000-0005-0000-0000-0000071F0000}"/>
    <cellStyle name="Accent4 22 2 2" xfId="15743" xr:uid="{00000000-0005-0000-0000-0000081F0000}"/>
    <cellStyle name="Accent4 22 3" xfId="6207" xr:uid="{00000000-0005-0000-0000-0000091F0000}"/>
    <cellStyle name="Accent4 22 3 2" xfId="15744" xr:uid="{00000000-0005-0000-0000-00000A1F0000}"/>
    <cellStyle name="Accent4 22 4" xfId="6208" xr:uid="{00000000-0005-0000-0000-00000B1F0000}"/>
    <cellStyle name="Accent4 22 4 2" xfId="15745" xr:uid="{00000000-0005-0000-0000-00000C1F0000}"/>
    <cellStyle name="Accent4 22 5" xfId="6209" xr:uid="{00000000-0005-0000-0000-00000D1F0000}"/>
    <cellStyle name="Accent4 22 5 2" xfId="15746" xr:uid="{00000000-0005-0000-0000-00000E1F0000}"/>
    <cellStyle name="Accent4 22 6" xfId="6210" xr:uid="{00000000-0005-0000-0000-00000F1F0000}"/>
    <cellStyle name="Accent4 22 6 2" xfId="15747" xr:uid="{00000000-0005-0000-0000-0000101F0000}"/>
    <cellStyle name="Accent4 22 7" xfId="6211" xr:uid="{00000000-0005-0000-0000-0000111F0000}"/>
    <cellStyle name="Accent4 22 7 2" xfId="15748" xr:uid="{00000000-0005-0000-0000-0000121F0000}"/>
    <cellStyle name="Accent4 22 8" xfId="6212" xr:uid="{00000000-0005-0000-0000-0000131F0000}"/>
    <cellStyle name="Accent4 22 8 2" xfId="15749" xr:uid="{00000000-0005-0000-0000-0000141F0000}"/>
    <cellStyle name="Accent4 22 9" xfId="6213" xr:uid="{00000000-0005-0000-0000-0000151F0000}"/>
    <cellStyle name="Accent4 22 9 2" xfId="15750" xr:uid="{00000000-0005-0000-0000-0000161F0000}"/>
    <cellStyle name="Accent4 23" xfId="6214" xr:uid="{00000000-0005-0000-0000-0000171F0000}"/>
    <cellStyle name="Accent4 23 2" xfId="6215" xr:uid="{00000000-0005-0000-0000-0000181F0000}"/>
    <cellStyle name="Accent4 23 2 2" xfId="15751" xr:uid="{00000000-0005-0000-0000-0000191F0000}"/>
    <cellStyle name="Accent4 23 3" xfId="6216" xr:uid="{00000000-0005-0000-0000-00001A1F0000}"/>
    <cellStyle name="Accent4 23 3 2" xfId="15752" xr:uid="{00000000-0005-0000-0000-00001B1F0000}"/>
    <cellStyle name="Accent4 23 4" xfId="6217" xr:uid="{00000000-0005-0000-0000-00001C1F0000}"/>
    <cellStyle name="Accent4 23 4 2" xfId="15753" xr:uid="{00000000-0005-0000-0000-00001D1F0000}"/>
    <cellStyle name="Accent4 23 5" xfId="6218" xr:uid="{00000000-0005-0000-0000-00001E1F0000}"/>
    <cellStyle name="Accent4 23 5 2" xfId="15754" xr:uid="{00000000-0005-0000-0000-00001F1F0000}"/>
    <cellStyle name="Accent4 23 6" xfId="6219" xr:uid="{00000000-0005-0000-0000-0000201F0000}"/>
    <cellStyle name="Accent4 23 6 2" xfId="15755" xr:uid="{00000000-0005-0000-0000-0000211F0000}"/>
    <cellStyle name="Accent4 23 7" xfId="6220" xr:uid="{00000000-0005-0000-0000-0000221F0000}"/>
    <cellStyle name="Accent4 23 7 2" xfId="15756" xr:uid="{00000000-0005-0000-0000-0000231F0000}"/>
    <cellStyle name="Accent4 23 8" xfId="6221" xr:uid="{00000000-0005-0000-0000-0000241F0000}"/>
    <cellStyle name="Accent4 23 8 2" xfId="15757" xr:uid="{00000000-0005-0000-0000-0000251F0000}"/>
    <cellStyle name="Accent4 23 9" xfId="6222" xr:uid="{00000000-0005-0000-0000-0000261F0000}"/>
    <cellStyle name="Accent4 23 9 2" xfId="15758" xr:uid="{00000000-0005-0000-0000-0000271F0000}"/>
    <cellStyle name="Accent4 24" xfId="6223" xr:uid="{00000000-0005-0000-0000-0000281F0000}"/>
    <cellStyle name="Accent4 24 2" xfId="6224" xr:uid="{00000000-0005-0000-0000-0000291F0000}"/>
    <cellStyle name="Accent4 24 2 2" xfId="15759" xr:uid="{00000000-0005-0000-0000-00002A1F0000}"/>
    <cellStyle name="Accent4 24 3" xfId="6225" xr:uid="{00000000-0005-0000-0000-00002B1F0000}"/>
    <cellStyle name="Accent4 24 3 2" xfId="15760" xr:uid="{00000000-0005-0000-0000-00002C1F0000}"/>
    <cellStyle name="Accent4 24 4" xfId="6226" xr:uid="{00000000-0005-0000-0000-00002D1F0000}"/>
    <cellStyle name="Accent4 24 4 2" xfId="15761" xr:uid="{00000000-0005-0000-0000-00002E1F0000}"/>
    <cellStyle name="Accent4 24 5" xfId="6227" xr:uid="{00000000-0005-0000-0000-00002F1F0000}"/>
    <cellStyle name="Accent4 24 5 2" xfId="15762" xr:uid="{00000000-0005-0000-0000-0000301F0000}"/>
    <cellStyle name="Accent4 24 6" xfId="6228" xr:uid="{00000000-0005-0000-0000-0000311F0000}"/>
    <cellStyle name="Accent4 24 6 2" xfId="15763" xr:uid="{00000000-0005-0000-0000-0000321F0000}"/>
    <cellStyle name="Accent4 24 7" xfId="6229" xr:uid="{00000000-0005-0000-0000-0000331F0000}"/>
    <cellStyle name="Accent4 24 7 2" xfId="15764" xr:uid="{00000000-0005-0000-0000-0000341F0000}"/>
    <cellStyle name="Accent4 24 8" xfId="6230" xr:uid="{00000000-0005-0000-0000-0000351F0000}"/>
    <cellStyle name="Accent4 24 8 2" xfId="15765" xr:uid="{00000000-0005-0000-0000-0000361F0000}"/>
    <cellStyle name="Accent4 24 9" xfId="6231" xr:uid="{00000000-0005-0000-0000-0000371F0000}"/>
    <cellStyle name="Accent4 24 9 2" xfId="15766" xr:uid="{00000000-0005-0000-0000-0000381F0000}"/>
    <cellStyle name="Accent4 25" xfId="6232" xr:uid="{00000000-0005-0000-0000-0000391F0000}"/>
    <cellStyle name="Accent4 25 2" xfId="6233" xr:uid="{00000000-0005-0000-0000-00003A1F0000}"/>
    <cellStyle name="Accent4 25 2 2" xfId="15767" xr:uid="{00000000-0005-0000-0000-00003B1F0000}"/>
    <cellStyle name="Accent4 25 3" xfId="6234" xr:uid="{00000000-0005-0000-0000-00003C1F0000}"/>
    <cellStyle name="Accent4 25 3 2" xfId="15768" xr:uid="{00000000-0005-0000-0000-00003D1F0000}"/>
    <cellStyle name="Accent4 25 4" xfId="6235" xr:uid="{00000000-0005-0000-0000-00003E1F0000}"/>
    <cellStyle name="Accent4 25 4 2" xfId="15769" xr:uid="{00000000-0005-0000-0000-00003F1F0000}"/>
    <cellStyle name="Accent4 25 5" xfId="6236" xr:uid="{00000000-0005-0000-0000-0000401F0000}"/>
    <cellStyle name="Accent4 25 5 2" xfId="15770" xr:uid="{00000000-0005-0000-0000-0000411F0000}"/>
    <cellStyle name="Accent4 25 6" xfId="6237" xr:uid="{00000000-0005-0000-0000-0000421F0000}"/>
    <cellStyle name="Accent4 25 6 2" xfId="15771" xr:uid="{00000000-0005-0000-0000-0000431F0000}"/>
    <cellStyle name="Accent4 25 7" xfId="6238" xr:uid="{00000000-0005-0000-0000-0000441F0000}"/>
    <cellStyle name="Accent4 25 7 2" xfId="15772" xr:uid="{00000000-0005-0000-0000-0000451F0000}"/>
    <cellStyle name="Accent4 25 8" xfId="6239" xr:uid="{00000000-0005-0000-0000-0000461F0000}"/>
    <cellStyle name="Accent4 25 8 2" xfId="15773" xr:uid="{00000000-0005-0000-0000-0000471F0000}"/>
    <cellStyle name="Accent4 25 9" xfId="6240" xr:uid="{00000000-0005-0000-0000-0000481F0000}"/>
    <cellStyle name="Accent4 25 9 2" xfId="15774" xr:uid="{00000000-0005-0000-0000-0000491F0000}"/>
    <cellStyle name="Accent4 26" xfId="6241" xr:uid="{00000000-0005-0000-0000-00004A1F0000}"/>
    <cellStyle name="Accent4 26 2" xfId="6242" xr:uid="{00000000-0005-0000-0000-00004B1F0000}"/>
    <cellStyle name="Accent4 26 2 2" xfId="15775" xr:uid="{00000000-0005-0000-0000-00004C1F0000}"/>
    <cellStyle name="Accent4 26 3" xfId="6243" xr:uid="{00000000-0005-0000-0000-00004D1F0000}"/>
    <cellStyle name="Accent4 26 3 2" xfId="15776" xr:uid="{00000000-0005-0000-0000-00004E1F0000}"/>
    <cellStyle name="Accent4 26 4" xfId="6244" xr:uid="{00000000-0005-0000-0000-00004F1F0000}"/>
    <cellStyle name="Accent4 26 4 2" xfId="15777" xr:uid="{00000000-0005-0000-0000-0000501F0000}"/>
    <cellStyle name="Accent4 26 5" xfId="6245" xr:uid="{00000000-0005-0000-0000-0000511F0000}"/>
    <cellStyle name="Accent4 26 5 2" xfId="15778" xr:uid="{00000000-0005-0000-0000-0000521F0000}"/>
    <cellStyle name="Accent4 26 6" xfId="6246" xr:uid="{00000000-0005-0000-0000-0000531F0000}"/>
    <cellStyle name="Accent4 26 6 2" xfId="15779" xr:uid="{00000000-0005-0000-0000-0000541F0000}"/>
    <cellStyle name="Accent4 26 7" xfId="6247" xr:uid="{00000000-0005-0000-0000-0000551F0000}"/>
    <cellStyle name="Accent4 26 7 2" xfId="15780" xr:uid="{00000000-0005-0000-0000-0000561F0000}"/>
    <cellStyle name="Accent4 26 8" xfId="6248" xr:uid="{00000000-0005-0000-0000-0000571F0000}"/>
    <cellStyle name="Accent4 26 8 2" xfId="15781" xr:uid="{00000000-0005-0000-0000-0000581F0000}"/>
    <cellStyle name="Accent4 26 9" xfId="6249" xr:uid="{00000000-0005-0000-0000-0000591F0000}"/>
    <cellStyle name="Accent4 26 9 2" xfId="15782" xr:uid="{00000000-0005-0000-0000-00005A1F0000}"/>
    <cellStyle name="Accent4 27" xfId="6250" xr:uid="{00000000-0005-0000-0000-00005B1F0000}"/>
    <cellStyle name="Accent4 27 2" xfId="6251" xr:uid="{00000000-0005-0000-0000-00005C1F0000}"/>
    <cellStyle name="Accent4 27 2 2" xfId="15783" xr:uid="{00000000-0005-0000-0000-00005D1F0000}"/>
    <cellStyle name="Accent4 27 3" xfId="6252" xr:uid="{00000000-0005-0000-0000-00005E1F0000}"/>
    <cellStyle name="Accent4 27 3 2" xfId="15784" xr:uid="{00000000-0005-0000-0000-00005F1F0000}"/>
    <cellStyle name="Accent4 27 4" xfId="6253" xr:uid="{00000000-0005-0000-0000-0000601F0000}"/>
    <cellStyle name="Accent4 27 4 2" xfId="15785" xr:uid="{00000000-0005-0000-0000-0000611F0000}"/>
    <cellStyle name="Accent4 27 5" xfId="6254" xr:uid="{00000000-0005-0000-0000-0000621F0000}"/>
    <cellStyle name="Accent4 27 5 2" xfId="15786" xr:uid="{00000000-0005-0000-0000-0000631F0000}"/>
    <cellStyle name="Accent4 27 6" xfId="6255" xr:uid="{00000000-0005-0000-0000-0000641F0000}"/>
    <cellStyle name="Accent4 27 6 2" xfId="15787" xr:uid="{00000000-0005-0000-0000-0000651F0000}"/>
    <cellStyle name="Accent4 27 7" xfId="6256" xr:uid="{00000000-0005-0000-0000-0000661F0000}"/>
    <cellStyle name="Accent4 27 7 2" xfId="15788" xr:uid="{00000000-0005-0000-0000-0000671F0000}"/>
    <cellStyle name="Accent4 27 8" xfId="6257" xr:uid="{00000000-0005-0000-0000-0000681F0000}"/>
    <cellStyle name="Accent4 27 8 2" xfId="15789" xr:uid="{00000000-0005-0000-0000-0000691F0000}"/>
    <cellStyle name="Accent4 27 9" xfId="6258" xr:uid="{00000000-0005-0000-0000-00006A1F0000}"/>
    <cellStyle name="Accent4 27 9 2" xfId="15790" xr:uid="{00000000-0005-0000-0000-00006B1F0000}"/>
    <cellStyle name="Accent4 28" xfId="6259" xr:uid="{00000000-0005-0000-0000-00006C1F0000}"/>
    <cellStyle name="Accent4 28 2" xfId="6260" xr:uid="{00000000-0005-0000-0000-00006D1F0000}"/>
    <cellStyle name="Accent4 28 2 2" xfId="15791" xr:uid="{00000000-0005-0000-0000-00006E1F0000}"/>
    <cellStyle name="Accent4 28 3" xfId="6261" xr:uid="{00000000-0005-0000-0000-00006F1F0000}"/>
    <cellStyle name="Accent4 28 3 2" xfId="15792" xr:uid="{00000000-0005-0000-0000-0000701F0000}"/>
    <cellStyle name="Accent4 28 4" xfId="6262" xr:uid="{00000000-0005-0000-0000-0000711F0000}"/>
    <cellStyle name="Accent4 28 4 2" xfId="15793" xr:uid="{00000000-0005-0000-0000-0000721F0000}"/>
    <cellStyle name="Accent4 28 5" xfId="6263" xr:uid="{00000000-0005-0000-0000-0000731F0000}"/>
    <cellStyle name="Accent4 28 5 2" xfId="15794" xr:uid="{00000000-0005-0000-0000-0000741F0000}"/>
    <cellStyle name="Accent4 28 6" xfId="6264" xr:uid="{00000000-0005-0000-0000-0000751F0000}"/>
    <cellStyle name="Accent4 28 6 2" xfId="15795" xr:uid="{00000000-0005-0000-0000-0000761F0000}"/>
    <cellStyle name="Accent4 28 7" xfId="6265" xr:uid="{00000000-0005-0000-0000-0000771F0000}"/>
    <cellStyle name="Accent4 28 7 2" xfId="15796" xr:uid="{00000000-0005-0000-0000-0000781F0000}"/>
    <cellStyle name="Accent4 28 8" xfId="6266" xr:uid="{00000000-0005-0000-0000-0000791F0000}"/>
    <cellStyle name="Accent4 28 8 2" xfId="15797" xr:uid="{00000000-0005-0000-0000-00007A1F0000}"/>
    <cellStyle name="Accent4 28 9" xfId="6267" xr:uid="{00000000-0005-0000-0000-00007B1F0000}"/>
    <cellStyle name="Accent4 28 9 2" xfId="15798" xr:uid="{00000000-0005-0000-0000-00007C1F0000}"/>
    <cellStyle name="Accent4 29" xfId="6268" xr:uid="{00000000-0005-0000-0000-00007D1F0000}"/>
    <cellStyle name="Accent4 29 2" xfId="6269" xr:uid="{00000000-0005-0000-0000-00007E1F0000}"/>
    <cellStyle name="Accent4 29 2 2" xfId="15799" xr:uid="{00000000-0005-0000-0000-00007F1F0000}"/>
    <cellStyle name="Accent4 29 3" xfId="6270" xr:uid="{00000000-0005-0000-0000-0000801F0000}"/>
    <cellStyle name="Accent4 29 3 2" xfId="15800" xr:uid="{00000000-0005-0000-0000-0000811F0000}"/>
    <cellStyle name="Accent4 29 4" xfId="6271" xr:uid="{00000000-0005-0000-0000-0000821F0000}"/>
    <cellStyle name="Accent4 29 4 2" xfId="15801" xr:uid="{00000000-0005-0000-0000-0000831F0000}"/>
    <cellStyle name="Accent4 29 5" xfId="6272" xr:uid="{00000000-0005-0000-0000-0000841F0000}"/>
    <cellStyle name="Accent4 29 5 2" xfId="15802" xr:uid="{00000000-0005-0000-0000-0000851F0000}"/>
    <cellStyle name="Accent4 29 6" xfId="6273" xr:uid="{00000000-0005-0000-0000-0000861F0000}"/>
    <cellStyle name="Accent4 29 6 2" xfId="15803" xr:uid="{00000000-0005-0000-0000-0000871F0000}"/>
    <cellStyle name="Accent4 29 7" xfId="6274" xr:uid="{00000000-0005-0000-0000-0000881F0000}"/>
    <cellStyle name="Accent4 29 7 2" xfId="15804" xr:uid="{00000000-0005-0000-0000-0000891F0000}"/>
    <cellStyle name="Accent4 29 8" xfId="6275" xr:uid="{00000000-0005-0000-0000-00008A1F0000}"/>
    <cellStyle name="Accent4 29 8 2" xfId="15805" xr:uid="{00000000-0005-0000-0000-00008B1F0000}"/>
    <cellStyle name="Accent4 29 9" xfId="6276" xr:uid="{00000000-0005-0000-0000-00008C1F0000}"/>
    <cellStyle name="Accent4 29 9 2" xfId="15806" xr:uid="{00000000-0005-0000-0000-00008D1F0000}"/>
    <cellStyle name="Accent4 3" xfId="6277" xr:uid="{00000000-0005-0000-0000-00008E1F0000}"/>
    <cellStyle name="Accent4 3 10" xfId="6278" xr:uid="{00000000-0005-0000-0000-00008F1F0000}"/>
    <cellStyle name="Accent4 3 10 2" xfId="15807" xr:uid="{00000000-0005-0000-0000-0000901F0000}"/>
    <cellStyle name="Accent4 3 11" xfId="6279" xr:uid="{00000000-0005-0000-0000-0000911F0000}"/>
    <cellStyle name="Accent4 3 11 2" xfId="15808" xr:uid="{00000000-0005-0000-0000-0000921F0000}"/>
    <cellStyle name="Accent4 3 12" xfId="22030" xr:uid="{00000000-0005-0000-0000-0000931F0000}"/>
    <cellStyle name="Accent4 3 2" xfId="6280" xr:uid="{00000000-0005-0000-0000-0000941F0000}"/>
    <cellStyle name="Accent4 3 2 2" xfId="6281" xr:uid="{00000000-0005-0000-0000-0000951F0000}"/>
    <cellStyle name="Accent4 3 2 2 2" xfId="15809" xr:uid="{00000000-0005-0000-0000-0000961F0000}"/>
    <cellStyle name="Accent4 3 3" xfId="6282" xr:uid="{00000000-0005-0000-0000-0000971F0000}"/>
    <cellStyle name="Accent4 3 3 2" xfId="6283" xr:uid="{00000000-0005-0000-0000-0000981F0000}"/>
    <cellStyle name="Accent4 3 3 2 2" xfId="15810" xr:uid="{00000000-0005-0000-0000-0000991F0000}"/>
    <cellStyle name="Accent4 3 4" xfId="6284" xr:uid="{00000000-0005-0000-0000-00009A1F0000}"/>
    <cellStyle name="Accent4 3 4 2" xfId="6285" xr:uid="{00000000-0005-0000-0000-00009B1F0000}"/>
    <cellStyle name="Accent4 3 4 3" xfId="15811" xr:uid="{00000000-0005-0000-0000-00009C1F0000}"/>
    <cellStyle name="Accent4 3 5" xfId="6286" xr:uid="{00000000-0005-0000-0000-00009D1F0000}"/>
    <cellStyle name="Accent4 3 5 2" xfId="15812" xr:uid="{00000000-0005-0000-0000-00009E1F0000}"/>
    <cellStyle name="Accent4 3 6" xfId="6287" xr:uid="{00000000-0005-0000-0000-00009F1F0000}"/>
    <cellStyle name="Accent4 3 6 2" xfId="15813" xr:uid="{00000000-0005-0000-0000-0000A01F0000}"/>
    <cellStyle name="Accent4 3 7" xfId="6288" xr:uid="{00000000-0005-0000-0000-0000A11F0000}"/>
    <cellStyle name="Accent4 3 7 2" xfId="15814" xr:uid="{00000000-0005-0000-0000-0000A21F0000}"/>
    <cellStyle name="Accent4 3 8" xfId="6289" xr:uid="{00000000-0005-0000-0000-0000A31F0000}"/>
    <cellStyle name="Accent4 3 8 2" xfId="15815" xr:uid="{00000000-0005-0000-0000-0000A41F0000}"/>
    <cellStyle name="Accent4 3 9" xfId="6290" xr:uid="{00000000-0005-0000-0000-0000A51F0000}"/>
    <cellStyle name="Accent4 3 9 2" xfId="15816" xr:uid="{00000000-0005-0000-0000-0000A61F0000}"/>
    <cellStyle name="Accent4 30" xfId="6291" xr:uid="{00000000-0005-0000-0000-0000A71F0000}"/>
    <cellStyle name="Accent4 30 2" xfId="6292" xr:uid="{00000000-0005-0000-0000-0000A81F0000}"/>
    <cellStyle name="Accent4 30 2 2" xfId="15817" xr:uid="{00000000-0005-0000-0000-0000A91F0000}"/>
    <cellStyle name="Accent4 31" xfId="6293" xr:uid="{00000000-0005-0000-0000-0000AA1F0000}"/>
    <cellStyle name="Accent4 31 2" xfId="6294" xr:uid="{00000000-0005-0000-0000-0000AB1F0000}"/>
    <cellStyle name="Accent4 31 2 2" xfId="15818" xr:uid="{00000000-0005-0000-0000-0000AC1F0000}"/>
    <cellStyle name="Accent4 32" xfId="6295" xr:uid="{00000000-0005-0000-0000-0000AD1F0000}"/>
    <cellStyle name="Accent4 32 2" xfId="6296" xr:uid="{00000000-0005-0000-0000-0000AE1F0000}"/>
    <cellStyle name="Accent4 32 2 2" xfId="15819" xr:uid="{00000000-0005-0000-0000-0000AF1F0000}"/>
    <cellStyle name="Accent4 33" xfId="6297" xr:uid="{00000000-0005-0000-0000-0000B01F0000}"/>
    <cellStyle name="Accent4 33 2" xfId="6298" xr:uid="{00000000-0005-0000-0000-0000B11F0000}"/>
    <cellStyle name="Accent4 33 2 2" xfId="15820" xr:uid="{00000000-0005-0000-0000-0000B21F0000}"/>
    <cellStyle name="Accent4 34" xfId="6299" xr:uid="{00000000-0005-0000-0000-0000B31F0000}"/>
    <cellStyle name="Accent4 34 2" xfId="6300" xr:uid="{00000000-0005-0000-0000-0000B41F0000}"/>
    <cellStyle name="Accent4 34 2 2" xfId="15821" xr:uid="{00000000-0005-0000-0000-0000B51F0000}"/>
    <cellStyle name="Accent4 35" xfId="6301" xr:uid="{00000000-0005-0000-0000-0000B61F0000}"/>
    <cellStyle name="Accent4 35 2" xfId="6302" xr:uid="{00000000-0005-0000-0000-0000B71F0000}"/>
    <cellStyle name="Accent4 35 2 2" xfId="15822" xr:uid="{00000000-0005-0000-0000-0000B81F0000}"/>
    <cellStyle name="Accent4 36" xfId="6303" xr:uid="{00000000-0005-0000-0000-0000B91F0000}"/>
    <cellStyle name="Accent4 37" xfId="6304" xr:uid="{00000000-0005-0000-0000-0000BA1F0000}"/>
    <cellStyle name="Accent4 38" xfId="6305" xr:uid="{00000000-0005-0000-0000-0000BB1F0000}"/>
    <cellStyle name="Accent4 39" xfId="6306" xr:uid="{00000000-0005-0000-0000-0000BC1F0000}"/>
    <cellStyle name="Accent4 4" xfId="6307" xr:uid="{00000000-0005-0000-0000-0000BD1F0000}"/>
    <cellStyle name="Accent4 4 10" xfId="6308" xr:uid="{00000000-0005-0000-0000-0000BE1F0000}"/>
    <cellStyle name="Accent4 4 10 2" xfId="15823" xr:uid="{00000000-0005-0000-0000-0000BF1F0000}"/>
    <cellStyle name="Accent4 4 11" xfId="6309" xr:uid="{00000000-0005-0000-0000-0000C01F0000}"/>
    <cellStyle name="Accent4 4 11 2" xfId="15824" xr:uid="{00000000-0005-0000-0000-0000C11F0000}"/>
    <cellStyle name="Accent4 4 12" xfId="22031" xr:uid="{00000000-0005-0000-0000-0000C21F0000}"/>
    <cellStyle name="Accent4 4 2" xfId="6310" xr:uid="{00000000-0005-0000-0000-0000C31F0000}"/>
    <cellStyle name="Accent4 4 2 2" xfId="6311" xr:uid="{00000000-0005-0000-0000-0000C41F0000}"/>
    <cellStyle name="Accent4 4 2 2 2" xfId="15825" xr:uid="{00000000-0005-0000-0000-0000C51F0000}"/>
    <cellStyle name="Accent4 4 3" xfId="6312" xr:uid="{00000000-0005-0000-0000-0000C61F0000}"/>
    <cellStyle name="Accent4 4 3 2" xfId="6313" xr:uid="{00000000-0005-0000-0000-0000C71F0000}"/>
    <cellStyle name="Accent4 4 3 2 2" xfId="15826" xr:uid="{00000000-0005-0000-0000-0000C81F0000}"/>
    <cellStyle name="Accent4 4 4" xfId="6314" xr:uid="{00000000-0005-0000-0000-0000C91F0000}"/>
    <cellStyle name="Accent4 4 4 2" xfId="6315" xr:uid="{00000000-0005-0000-0000-0000CA1F0000}"/>
    <cellStyle name="Accent4 4 4 3" xfId="15827" xr:uid="{00000000-0005-0000-0000-0000CB1F0000}"/>
    <cellStyle name="Accent4 4 5" xfId="6316" xr:uid="{00000000-0005-0000-0000-0000CC1F0000}"/>
    <cellStyle name="Accent4 4 5 2" xfId="15828" xr:uid="{00000000-0005-0000-0000-0000CD1F0000}"/>
    <cellStyle name="Accent4 4 6" xfId="6317" xr:uid="{00000000-0005-0000-0000-0000CE1F0000}"/>
    <cellStyle name="Accent4 4 6 2" xfId="15829" xr:uid="{00000000-0005-0000-0000-0000CF1F0000}"/>
    <cellStyle name="Accent4 4 7" xfId="6318" xr:uid="{00000000-0005-0000-0000-0000D01F0000}"/>
    <cellStyle name="Accent4 4 7 2" xfId="15830" xr:uid="{00000000-0005-0000-0000-0000D11F0000}"/>
    <cellStyle name="Accent4 4 8" xfId="6319" xr:uid="{00000000-0005-0000-0000-0000D21F0000}"/>
    <cellStyle name="Accent4 4 8 2" xfId="15831" xr:uid="{00000000-0005-0000-0000-0000D31F0000}"/>
    <cellStyle name="Accent4 4 9" xfId="6320" xr:uid="{00000000-0005-0000-0000-0000D41F0000}"/>
    <cellStyle name="Accent4 4 9 2" xfId="15832" xr:uid="{00000000-0005-0000-0000-0000D51F0000}"/>
    <cellStyle name="Accent4 40" xfId="21712" xr:uid="{00000000-0005-0000-0000-0000D61F0000}"/>
    <cellStyle name="Accent4 5" xfId="6321" xr:uid="{00000000-0005-0000-0000-0000D71F0000}"/>
    <cellStyle name="Accent4 5 10" xfId="6322" xr:uid="{00000000-0005-0000-0000-0000D81F0000}"/>
    <cellStyle name="Accent4 5 10 2" xfId="15833" xr:uid="{00000000-0005-0000-0000-0000D91F0000}"/>
    <cellStyle name="Accent4 5 11" xfId="6323" xr:uid="{00000000-0005-0000-0000-0000DA1F0000}"/>
    <cellStyle name="Accent4 5 11 2" xfId="15834" xr:uid="{00000000-0005-0000-0000-0000DB1F0000}"/>
    <cellStyle name="Accent4 5 12" xfId="22032" xr:uid="{00000000-0005-0000-0000-0000DC1F0000}"/>
    <cellStyle name="Accent4 5 2" xfId="6324" xr:uid="{00000000-0005-0000-0000-0000DD1F0000}"/>
    <cellStyle name="Accent4 5 2 2" xfId="6325" xr:uid="{00000000-0005-0000-0000-0000DE1F0000}"/>
    <cellStyle name="Accent4 5 2 2 2" xfId="15835" xr:uid="{00000000-0005-0000-0000-0000DF1F0000}"/>
    <cellStyle name="Accent4 5 3" xfId="6326" xr:uid="{00000000-0005-0000-0000-0000E01F0000}"/>
    <cellStyle name="Accent4 5 3 2" xfId="6327" xr:uid="{00000000-0005-0000-0000-0000E11F0000}"/>
    <cellStyle name="Accent4 5 3 2 2" xfId="15836" xr:uid="{00000000-0005-0000-0000-0000E21F0000}"/>
    <cellStyle name="Accent4 5 4" xfId="6328" xr:uid="{00000000-0005-0000-0000-0000E31F0000}"/>
    <cellStyle name="Accent4 5 4 2" xfId="6329" xr:uid="{00000000-0005-0000-0000-0000E41F0000}"/>
    <cellStyle name="Accent4 5 4 3" xfId="15837" xr:uid="{00000000-0005-0000-0000-0000E51F0000}"/>
    <cellStyle name="Accent4 5 5" xfId="6330" xr:uid="{00000000-0005-0000-0000-0000E61F0000}"/>
    <cellStyle name="Accent4 5 5 2" xfId="15838" xr:uid="{00000000-0005-0000-0000-0000E71F0000}"/>
    <cellStyle name="Accent4 5 6" xfId="6331" xr:uid="{00000000-0005-0000-0000-0000E81F0000}"/>
    <cellStyle name="Accent4 5 6 2" xfId="15839" xr:uid="{00000000-0005-0000-0000-0000E91F0000}"/>
    <cellStyle name="Accent4 5 7" xfId="6332" xr:uid="{00000000-0005-0000-0000-0000EA1F0000}"/>
    <cellStyle name="Accent4 5 7 2" xfId="15840" xr:uid="{00000000-0005-0000-0000-0000EB1F0000}"/>
    <cellStyle name="Accent4 5 8" xfId="6333" xr:uid="{00000000-0005-0000-0000-0000EC1F0000}"/>
    <cellStyle name="Accent4 5 8 2" xfId="15841" xr:uid="{00000000-0005-0000-0000-0000ED1F0000}"/>
    <cellStyle name="Accent4 5 9" xfId="6334" xr:uid="{00000000-0005-0000-0000-0000EE1F0000}"/>
    <cellStyle name="Accent4 5 9 2" xfId="15842" xr:uid="{00000000-0005-0000-0000-0000EF1F0000}"/>
    <cellStyle name="Accent4 6" xfId="6335" xr:uid="{00000000-0005-0000-0000-0000F01F0000}"/>
    <cellStyle name="Accent4 6 10" xfId="6336" xr:uid="{00000000-0005-0000-0000-0000F11F0000}"/>
    <cellStyle name="Accent4 6 10 2" xfId="15843" xr:uid="{00000000-0005-0000-0000-0000F21F0000}"/>
    <cellStyle name="Accent4 6 11" xfId="6337" xr:uid="{00000000-0005-0000-0000-0000F31F0000}"/>
    <cellStyle name="Accent4 6 11 2" xfId="15844" xr:uid="{00000000-0005-0000-0000-0000F41F0000}"/>
    <cellStyle name="Accent4 6 2" xfId="6338" xr:uid="{00000000-0005-0000-0000-0000F51F0000}"/>
    <cellStyle name="Accent4 6 2 2" xfId="6339" xr:uid="{00000000-0005-0000-0000-0000F61F0000}"/>
    <cellStyle name="Accent4 6 2 2 2" xfId="15845" xr:uid="{00000000-0005-0000-0000-0000F71F0000}"/>
    <cellStyle name="Accent4 6 3" xfId="6340" xr:uid="{00000000-0005-0000-0000-0000F81F0000}"/>
    <cellStyle name="Accent4 6 3 2" xfId="6341" xr:uid="{00000000-0005-0000-0000-0000F91F0000}"/>
    <cellStyle name="Accent4 6 3 2 2" xfId="15846" xr:uid="{00000000-0005-0000-0000-0000FA1F0000}"/>
    <cellStyle name="Accent4 6 4" xfId="6342" xr:uid="{00000000-0005-0000-0000-0000FB1F0000}"/>
    <cellStyle name="Accent4 6 4 2" xfId="6343" xr:uid="{00000000-0005-0000-0000-0000FC1F0000}"/>
    <cellStyle name="Accent4 6 4 3" xfId="15847" xr:uid="{00000000-0005-0000-0000-0000FD1F0000}"/>
    <cellStyle name="Accent4 6 5" xfId="6344" xr:uid="{00000000-0005-0000-0000-0000FE1F0000}"/>
    <cellStyle name="Accent4 6 5 2" xfId="15848" xr:uid="{00000000-0005-0000-0000-0000FF1F0000}"/>
    <cellStyle name="Accent4 6 6" xfId="6345" xr:uid="{00000000-0005-0000-0000-000000200000}"/>
    <cellStyle name="Accent4 6 6 2" xfId="15849" xr:uid="{00000000-0005-0000-0000-000001200000}"/>
    <cellStyle name="Accent4 6 7" xfId="6346" xr:uid="{00000000-0005-0000-0000-000002200000}"/>
    <cellStyle name="Accent4 6 7 2" xfId="15850" xr:uid="{00000000-0005-0000-0000-000003200000}"/>
    <cellStyle name="Accent4 6 8" xfId="6347" xr:uid="{00000000-0005-0000-0000-000004200000}"/>
    <cellStyle name="Accent4 6 8 2" xfId="15851" xr:uid="{00000000-0005-0000-0000-000005200000}"/>
    <cellStyle name="Accent4 6 9" xfId="6348" xr:uid="{00000000-0005-0000-0000-000006200000}"/>
    <cellStyle name="Accent4 6 9 2" xfId="15852" xr:uid="{00000000-0005-0000-0000-000007200000}"/>
    <cellStyle name="Accent4 7" xfId="6349" xr:uid="{00000000-0005-0000-0000-000008200000}"/>
    <cellStyle name="Accent4 7 10" xfId="6350" xr:uid="{00000000-0005-0000-0000-000009200000}"/>
    <cellStyle name="Accent4 7 10 2" xfId="15853" xr:uid="{00000000-0005-0000-0000-00000A200000}"/>
    <cellStyle name="Accent4 7 11" xfId="6351" xr:uid="{00000000-0005-0000-0000-00000B200000}"/>
    <cellStyle name="Accent4 7 11 2" xfId="15854" xr:uid="{00000000-0005-0000-0000-00000C200000}"/>
    <cellStyle name="Accent4 7 2" xfId="6352" xr:uid="{00000000-0005-0000-0000-00000D200000}"/>
    <cellStyle name="Accent4 7 2 2" xfId="6353" xr:uid="{00000000-0005-0000-0000-00000E200000}"/>
    <cellStyle name="Accent4 7 2 2 2" xfId="15855" xr:uid="{00000000-0005-0000-0000-00000F200000}"/>
    <cellStyle name="Accent4 7 3" xfId="6354" xr:uid="{00000000-0005-0000-0000-000010200000}"/>
    <cellStyle name="Accent4 7 3 2" xfId="6355" xr:uid="{00000000-0005-0000-0000-000011200000}"/>
    <cellStyle name="Accent4 7 3 2 2" xfId="15856" xr:uid="{00000000-0005-0000-0000-000012200000}"/>
    <cellStyle name="Accent4 7 4" xfId="6356" xr:uid="{00000000-0005-0000-0000-000013200000}"/>
    <cellStyle name="Accent4 7 4 2" xfId="6357" xr:uid="{00000000-0005-0000-0000-000014200000}"/>
    <cellStyle name="Accent4 7 4 3" xfId="15857" xr:uid="{00000000-0005-0000-0000-000015200000}"/>
    <cellStyle name="Accent4 7 5" xfId="6358" xr:uid="{00000000-0005-0000-0000-000016200000}"/>
    <cellStyle name="Accent4 7 5 2" xfId="15858" xr:uid="{00000000-0005-0000-0000-000017200000}"/>
    <cellStyle name="Accent4 7 6" xfId="6359" xr:uid="{00000000-0005-0000-0000-000018200000}"/>
    <cellStyle name="Accent4 7 6 2" xfId="15859" xr:uid="{00000000-0005-0000-0000-000019200000}"/>
    <cellStyle name="Accent4 7 7" xfId="6360" xr:uid="{00000000-0005-0000-0000-00001A200000}"/>
    <cellStyle name="Accent4 7 7 2" xfId="15860" xr:uid="{00000000-0005-0000-0000-00001B200000}"/>
    <cellStyle name="Accent4 7 8" xfId="6361" xr:uid="{00000000-0005-0000-0000-00001C200000}"/>
    <cellStyle name="Accent4 7 8 2" xfId="15861" xr:uid="{00000000-0005-0000-0000-00001D200000}"/>
    <cellStyle name="Accent4 7 9" xfId="6362" xr:uid="{00000000-0005-0000-0000-00001E200000}"/>
    <cellStyle name="Accent4 7 9 2" xfId="15862" xr:uid="{00000000-0005-0000-0000-00001F200000}"/>
    <cellStyle name="Accent4 8" xfId="6363" xr:uid="{00000000-0005-0000-0000-000020200000}"/>
    <cellStyle name="Accent4 8 10" xfId="6364" xr:uid="{00000000-0005-0000-0000-000021200000}"/>
    <cellStyle name="Accent4 8 10 2" xfId="15863" xr:uid="{00000000-0005-0000-0000-000022200000}"/>
    <cellStyle name="Accent4 8 11" xfId="6365" xr:uid="{00000000-0005-0000-0000-000023200000}"/>
    <cellStyle name="Accent4 8 11 2" xfId="15864" xr:uid="{00000000-0005-0000-0000-000024200000}"/>
    <cellStyle name="Accent4 8 2" xfId="6366" xr:uid="{00000000-0005-0000-0000-000025200000}"/>
    <cellStyle name="Accent4 8 2 2" xfId="6367" xr:uid="{00000000-0005-0000-0000-000026200000}"/>
    <cellStyle name="Accent4 8 2 2 2" xfId="15865" xr:uid="{00000000-0005-0000-0000-000027200000}"/>
    <cellStyle name="Accent4 8 3" xfId="6368" xr:uid="{00000000-0005-0000-0000-000028200000}"/>
    <cellStyle name="Accent4 8 3 2" xfId="6369" xr:uid="{00000000-0005-0000-0000-000029200000}"/>
    <cellStyle name="Accent4 8 3 2 2" xfId="15866" xr:uid="{00000000-0005-0000-0000-00002A200000}"/>
    <cellStyle name="Accent4 8 4" xfId="6370" xr:uid="{00000000-0005-0000-0000-00002B200000}"/>
    <cellStyle name="Accent4 8 4 2" xfId="6371" xr:uid="{00000000-0005-0000-0000-00002C200000}"/>
    <cellStyle name="Accent4 8 4 3" xfId="15867" xr:uid="{00000000-0005-0000-0000-00002D200000}"/>
    <cellStyle name="Accent4 8 5" xfId="6372" xr:uid="{00000000-0005-0000-0000-00002E200000}"/>
    <cellStyle name="Accent4 8 5 2" xfId="15868" xr:uid="{00000000-0005-0000-0000-00002F200000}"/>
    <cellStyle name="Accent4 8 6" xfId="6373" xr:uid="{00000000-0005-0000-0000-000030200000}"/>
    <cellStyle name="Accent4 8 6 2" xfId="15869" xr:uid="{00000000-0005-0000-0000-000031200000}"/>
    <cellStyle name="Accent4 8 7" xfId="6374" xr:uid="{00000000-0005-0000-0000-000032200000}"/>
    <cellStyle name="Accent4 8 7 2" xfId="15870" xr:uid="{00000000-0005-0000-0000-000033200000}"/>
    <cellStyle name="Accent4 8 8" xfId="6375" xr:uid="{00000000-0005-0000-0000-000034200000}"/>
    <cellStyle name="Accent4 8 8 2" xfId="15871" xr:uid="{00000000-0005-0000-0000-000035200000}"/>
    <cellStyle name="Accent4 8 9" xfId="6376" xr:uid="{00000000-0005-0000-0000-000036200000}"/>
    <cellStyle name="Accent4 8 9 2" xfId="15872" xr:uid="{00000000-0005-0000-0000-000037200000}"/>
    <cellStyle name="Accent4 9" xfId="6377" xr:uid="{00000000-0005-0000-0000-000038200000}"/>
    <cellStyle name="Accent4 9 10" xfId="6378" xr:uid="{00000000-0005-0000-0000-000039200000}"/>
    <cellStyle name="Accent4 9 10 2" xfId="15873" xr:uid="{00000000-0005-0000-0000-00003A200000}"/>
    <cellStyle name="Accent4 9 11" xfId="6379" xr:uid="{00000000-0005-0000-0000-00003B200000}"/>
    <cellStyle name="Accent4 9 11 2" xfId="15874" xr:uid="{00000000-0005-0000-0000-00003C200000}"/>
    <cellStyle name="Accent4 9 2" xfId="6380" xr:uid="{00000000-0005-0000-0000-00003D200000}"/>
    <cellStyle name="Accent4 9 2 2" xfId="6381" xr:uid="{00000000-0005-0000-0000-00003E200000}"/>
    <cellStyle name="Accent4 9 2 2 2" xfId="15875" xr:uid="{00000000-0005-0000-0000-00003F200000}"/>
    <cellStyle name="Accent4 9 3" xfId="6382" xr:uid="{00000000-0005-0000-0000-000040200000}"/>
    <cellStyle name="Accent4 9 3 2" xfId="6383" xr:uid="{00000000-0005-0000-0000-000041200000}"/>
    <cellStyle name="Accent4 9 3 2 2" xfId="15876" xr:uid="{00000000-0005-0000-0000-000042200000}"/>
    <cellStyle name="Accent4 9 4" xfId="6384" xr:uid="{00000000-0005-0000-0000-000043200000}"/>
    <cellStyle name="Accent4 9 4 2" xfId="6385" xr:uid="{00000000-0005-0000-0000-000044200000}"/>
    <cellStyle name="Accent4 9 4 3" xfId="15877" xr:uid="{00000000-0005-0000-0000-000045200000}"/>
    <cellStyle name="Accent4 9 5" xfId="6386" xr:uid="{00000000-0005-0000-0000-000046200000}"/>
    <cellStyle name="Accent4 9 5 2" xfId="15878" xr:uid="{00000000-0005-0000-0000-000047200000}"/>
    <cellStyle name="Accent4 9 6" xfId="6387" xr:uid="{00000000-0005-0000-0000-000048200000}"/>
    <cellStyle name="Accent4 9 6 2" xfId="15879" xr:uid="{00000000-0005-0000-0000-000049200000}"/>
    <cellStyle name="Accent4 9 7" xfId="6388" xr:uid="{00000000-0005-0000-0000-00004A200000}"/>
    <cellStyle name="Accent4 9 7 2" xfId="15880" xr:uid="{00000000-0005-0000-0000-00004B200000}"/>
    <cellStyle name="Accent4 9 8" xfId="6389" xr:uid="{00000000-0005-0000-0000-00004C200000}"/>
    <cellStyle name="Accent4 9 8 2" xfId="15881" xr:uid="{00000000-0005-0000-0000-00004D200000}"/>
    <cellStyle name="Accent4 9 9" xfId="6390" xr:uid="{00000000-0005-0000-0000-00004E200000}"/>
    <cellStyle name="Accent4 9 9 2" xfId="15882" xr:uid="{00000000-0005-0000-0000-00004F200000}"/>
    <cellStyle name="Accent5 10" xfId="6391" xr:uid="{00000000-0005-0000-0000-000050200000}"/>
    <cellStyle name="Accent5 10 10" xfId="6392" xr:uid="{00000000-0005-0000-0000-000051200000}"/>
    <cellStyle name="Accent5 10 10 2" xfId="15883" xr:uid="{00000000-0005-0000-0000-000052200000}"/>
    <cellStyle name="Accent5 10 11" xfId="6393" xr:uid="{00000000-0005-0000-0000-000053200000}"/>
    <cellStyle name="Accent5 10 11 2" xfId="15884" xr:uid="{00000000-0005-0000-0000-000054200000}"/>
    <cellStyle name="Accent5 10 2" xfId="6394" xr:uid="{00000000-0005-0000-0000-000055200000}"/>
    <cellStyle name="Accent5 10 2 2" xfId="6395" xr:uid="{00000000-0005-0000-0000-000056200000}"/>
    <cellStyle name="Accent5 10 2 2 2" xfId="15885" xr:uid="{00000000-0005-0000-0000-000057200000}"/>
    <cellStyle name="Accent5 10 3" xfId="6396" xr:uid="{00000000-0005-0000-0000-000058200000}"/>
    <cellStyle name="Accent5 10 3 2" xfId="6397" xr:uid="{00000000-0005-0000-0000-000059200000}"/>
    <cellStyle name="Accent5 10 3 2 2" xfId="15886" xr:uid="{00000000-0005-0000-0000-00005A200000}"/>
    <cellStyle name="Accent5 10 4" xfId="6398" xr:uid="{00000000-0005-0000-0000-00005B200000}"/>
    <cellStyle name="Accent5 10 4 2" xfId="6399" xr:uid="{00000000-0005-0000-0000-00005C200000}"/>
    <cellStyle name="Accent5 10 4 3" xfId="15887" xr:uid="{00000000-0005-0000-0000-00005D200000}"/>
    <cellStyle name="Accent5 10 5" xfId="6400" xr:uid="{00000000-0005-0000-0000-00005E200000}"/>
    <cellStyle name="Accent5 10 5 2" xfId="15888" xr:uid="{00000000-0005-0000-0000-00005F200000}"/>
    <cellStyle name="Accent5 10 6" xfId="6401" xr:uid="{00000000-0005-0000-0000-000060200000}"/>
    <cellStyle name="Accent5 10 6 2" xfId="15889" xr:uid="{00000000-0005-0000-0000-000061200000}"/>
    <cellStyle name="Accent5 10 7" xfId="6402" xr:uid="{00000000-0005-0000-0000-000062200000}"/>
    <cellStyle name="Accent5 10 7 2" xfId="15890" xr:uid="{00000000-0005-0000-0000-000063200000}"/>
    <cellStyle name="Accent5 10 8" xfId="6403" xr:uid="{00000000-0005-0000-0000-000064200000}"/>
    <cellStyle name="Accent5 10 8 2" xfId="15891" xr:uid="{00000000-0005-0000-0000-000065200000}"/>
    <cellStyle name="Accent5 10 9" xfId="6404" xr:uid="{00000000-0005-0000-0000-000066200000}"/>
    <cellStyle name="Accent5 10 9 2" xfId="15892" xr:uid="{00000000-0005-0000-0000-000067200000}"/>
    <cellStyle name="Accent5 11" xfId="6405" xr:uid="{00000000-0005-0000-0000-000068200000}"/>
    <cellStyle name="Accent5 11 10" xfId="6406" xr:uid="{00000000-0005-0000-0000-000069200000}"/>
    <cellStyle name="Accent5 11 10 2" xfId="15893" xr:uid="{00000000-0005-0000-0000-00006A200000}"/>
    <cellStyle name="Accent5 11 11" xfId="6407" xr:uid="{00000000-0005-0000-0000-00006B200000}"/>
    <cellStyle name="Accent5 11 11 2" xfId="15894" xr:uid="{00000000-0005-0000-0000-00006C200000}"/>
    <cellStyle name="Accent5 11 2" xfId="6408" xr:uid="{00000000-0005-0000-0000-00006D200000}"/>
    <cellStyle name="Accent5 11 2 2" xfId="6409" xr:uid="{00000000-0005-0000-0000-00006E200000}"/>
    <cellStyle name="Accent5 11 2 2 2" xfId="15895" xr:uid="{00000000-0005-0000-0000-00006F200000}"/>
    <cellStyle name="Accent5 11 3" xfId="6410" xr:uid="{00000000-0005-0000-0000-000070200000}"/>
    <cellStyle name="Accent5 11 3 2" xfId="6411" xr:uid="{00000000-0005-0000-0000-000071200000}"/>
    <cellStyle name="Accent5 11 3 2 2" xfId="15896" xr:uid="{00000000-0005-0000-0000-000072200000}"/>
    <cellStyle name="Accent5 11 4" xfId="6412" xr:uid="{00000000-0005-0000-0000-000073200000}"/>
    <cellStyle name="Accent5 11 4 2" xfId="6413" xr:uid="{00000000-0005-0000-0000-000074200000}"/>
    <cellStyle name="Accent5 11 4 3" xfId="15897" xr:uid="{00000000-0005-0000-0000-000075200000}"/>
    <cellStyle name="Accent5 11 5" xfId="6414" xr:uid="{00000000-0005-0000-0000-000076200000}"/>
    <cellStyle name="Accent5 11 5 2" xfId="15898" xr:uid="{00000000-0005-0000-0000-000077200000}"/>
    <cellStyle name="Accent5 11 6" xfId="6415" xr:uid="{00000000-0005-0000-0000-000078200000}"/>
    <cellStyle name="Accent5 11 6 2" xfId="15899" xr:uid="{00000000-0005-0000-0000-000079200000}"/>
    <cellStyle name="Accent5 11 7" xfId="6416" xr:uid="{00000000-0005-0000-0000-00007A200000}"/>
    <cellStyle name="Accent5 11 7 2" xfId="15900" xr:uid="{00000000-0005-0000-0000-00007B200000}"/>
    <cellStyle name="Accent5 11 8" xfId="6417" xr:uid="{00000000-0005-0000-0000-00007C200000}"/>
    <cellStyle name="Accent5 11 8 2" xfId="15901" xr:uid="{00000000-0005-0000-0000-00007D200000}"/>
    <cellStyle name="Accent5 11 9" xfId="6418" xr:uid="{00000000-0005-0000-0000-00007E200000}"/>
    <cellStyle name="Accent5 11 9 2" xfId="15902" xr:uid="{00000000-0005-0000-0000-00007F200000}"/>
    <cellStyle name="Accent5 12" xfId="6419" xr:uid="{00000000-0005-0000-0000-000080200000}"/>
    <cellStyle name="Accent5 12 10" xfId="6420" xr:uid="{00000000-0005-0000-0000-000081200000}"/>
    <cellStyle name="Accent5 12 10 2" xfId="15903" xr:uid="{00000000-0005-0000-0000-000082200000}"/>
    <cellStyle name="Accent5 12 11" xfId="6421" xr:uid="{00000000-0005-0000-0000-000083200000}"/>
    <cellStyle name="Accent5 12 11 2" xfId="15904" xr:uid="{00000000-0005-0000-0000-000084200000}"/>
    <cellStyle name="Accent5 12 2" xfId="6422" xr:uid="{00000000-0005-0000-0000-000085200000}"/>
    <cellStyle name="Accent5 12 2 2" xfId="6423" xr:uid="{00000000-0005-0000-0000-000086200000}"/>
    <cellStyle name="Accent5 12 2 2 2" xfId="15905" xr:uid="{00000000-0005-0000-0000-000087200000}"/>
    <cellStyle name="Accent5 12 3" xfId="6424" xr:uid="{00000000-0005-0000-0000-000088200000}"/>
    <cellStyle name="Accent5 12 3 2" xfId="6425" xr:uid="{00000000-0005-0000-0000-000089200000}"/>
    <cellStyle name="Accent5 12 3 2 2" xfId="15906" xr:uid="{00000000-0005-0000-0000-00008A200000}"/>
    <cellStyle name="Accent5 12 4" xfId="6426" xr:uid="{00000000-0005-0000-0000-00008B200000}"/>
    <cellStyle name="Accent5 12 4 2" xfId="6427" xr:uid="{00000000-0005-0000-0000-00008C200000}"/>
    <cellStyle name="Accent5 12 4 3" xfId="15907" xr:uid="{00000000-0005-0000-0000-00008D200000}"/>
    <cellStyle name="Accent5 12 5" xfId="6428" xr:uid="{00000000-0005-0000-0000-00008E200000}"/>
    <cellStyle name="Accent5 12 5 2" xfId="15908" xr:uid="{00000000-0005-0000-0000-00008F200000}"/>
    <cellStyle name="Accent5 12 6" xfId="6429" xr:uid="{00000000-0005-0000-0000-000090200000}"/>
    <cellStyle name="Accent5 12 6 2" xfId="15909" xr:uid="{00000000-0005-0000-0000-000091200000}"/>
    <cellStyle name="Accent5 12 7" xfId="6430" xr:uid="{00000000-0005-0000-0000-000092200000}"/>
    <cellStyle name="Accent5 12 7 2" xfId="15910" xr:uid="{00000000-0005-0000-0000-000093200000}"/>
    <cellStyle name="Accent5 12 8" xfId="6431" xr:uid="{00000000-0005-0000-0000-000094200000}"/>
    <cellStyle name="Accent5 12 8 2" xfId="15911" xr:uid="{00000000-0005-0000-0000-000095200000}"/>
    <cellStyle name="Accent5 12 9" xfId="6432" xr:uid="{00000000-0005-0000-0000-000096200000}"/>
    <cellStyle name="Accent5 12 9 2" xfId="15912" xr:uid="{00000000-0005-0000-0000-000097200000}"/>
    <cellStyle name="Accent5 13" xfId="6433" xr:uid="{00000000-0005-0000-0000-000098200000}"/>
    <cellStyle name="Accent5 13 10" xfId="6434" xr:uid="{00000000-0005-0000-0000-000099200000}"/>
    <cellStyle name="Accent5 13 10 2" xfId="15913" xr:uid="{00000000-0005-0000-0000-00009A200000}"/>
    <cellStyle name="Accent5 13 11" xfId="6435" xr:uid="{00000000-0005-0000-0000-00009B200000}"/>
    <cellStyle name="Accent5 13 11 2" xfId="15914" xr:uid="{00000000-0005-0000-0000-00009C200000}"/>
    <cellStyle name="Accent5 13 2" xfId="6436" xr:uid="{00000000-0005-0000-0000-00009D200000}"/>
    <cellStyle name="Accent5 13 2 2" xfId="6437" xr:uid="{00000000-0005-0000-0000-00009E200000}"/>
    <cellStyle name="Accent5 13 2 2 2" xfId="15915" xr:uid="{00000000-0005-0000-0000-00009F200000}"/>
    <cellStyle name="Accent5 13 3" xfId="6438" xr:uid="{00000000-0005-0000-0000-0000A0200000}"/>
    <cellStyle name="Accent5 13 3 2" xfId="6439" xr:uid="{00000000-0005-0000-0000-0000A1200000}"/>
    <cellStyle name="Accent5 13 3 2 2" xfId="15916" xr:uid="{00000000-0005-0000-0000-0000A2200000}"/>
    <cellStyle name="Accent5 13 4" xfId="6440" xr:uid="{00000000-0005-0000-0000-0000A3200000}"/>
    <cellStyle name="Accent5 13 4 2" xfId="15917" xr:uid="{00000000-0005-0000-0000-0000A4200000}"/>
    <cellStyle name="Accent5 13 5" xfId="6441" xr:uid="{00000000-0005-0000-0000-0000A5200000}"/>
    <cellStyle name="Accent5 13 5 2" xfId="15918" xr:uid="{00000000-0005-0000-0000-0000A6200000}"/>
    <cellStyle name="Accent5 13 6" xfId="6442" xr:uid="{00000000-0005-0000-0000-0000A7200000}"/>
    <cellStyle name="Accent5 13 6 2" xfId="15919" xr:uid="{00000000-0005-0000-0000-0000A8200000}"/>
    <cellStyle name="Accent5 13 7" xfId="6443" xr:uid="{00000000-0005-0000-0000-0000A9200000}"/>
    <cellStyle name="Accent5 13 7 2" xfId="15920" xr:uid="{00000000-0005-0000-0000-0000AA200000}"/>
    <cellStyle name="Accent5 13 8" xfId="6444" xr:uid="{00000000-0005-0000-0000-0000AB200000}"/>
    <cellStyle name="Accent5 13 8 2" xfId="15921" xr:uid="{00000000-0005-0000-0000-0000AC200000}"/>
    <cellStyle name="Accent5 13 9" xfId="6445" xr:uid="{00000000-0005-0000-0000-0000AD200000}"/>
    <cellStyle name="Accent5 13 9 2" xfId="15922" xr:uid="{00000000-0005-0000-0000-0000AE200000}"/>
    <cellStyle name="Accent5 14" xfId="6446" xr:uid="{00000000-0005-0000-0000-0000AF200000}"/>
    <cellStyle name="Accent5 14 10" xfId="6447" xr:uid="{00000000-0005-0000-0000-0000B0200000}"/>
    <cellStyle name="Accent5 14 10 2" xfId="15923" xr:uid="{00000000-0005-0000-0000-0000B1200000}"/>
    <cellStyle name="Accent5 14 11" xfId="6448" xr:uid="{00000000-0005-0000-0000-0000B2200000}"/>
    <cellStyle name="Accent5 14 11 2" xfId="15924" xr:uid="{00000000-0005-0000-0000-0000B3200000}"/>
    <cellStyle name="Accent5 14 2" xfId="6449" xr:uid="{00000000-0005-0000-0000-0000B4200000}"/>
    <cellStyle name="Accent5 14 2 2" xfId="6450" xr:uid="{00000000-0005-0000-0000-0000B5200000}"/>
    <cellStyle name="Accent5 14 2 2 2" xfId="15925" xr:uid="{00000000-0005-0000-0000-0000B6200000}"/>
    <cellStyle name="Accent5 14 3" xfId="6451" xr:uid="{00000000-0005-0000-0000-0000B7200000}"/>
    <cellStyle name="Accent5 14 3 2" xfId="6452" xr:uid="{00000000-0005-0000-0000-0000B8200000}"/>
    <cellStyle name="Accent5 14 3 2 2" xfId="15926" xr:uid="{00000000-0005-0000-0000-0000B9200000}"/>
    <cellStyle name="Accent5 14 4" xfId="6453" xr:uid="{00000000-0005-0000-0000-0000BA200000}"/>
    <cellStyle name="Accent5 14 4 2" xfId="15927" xr:uid="{00000000-0005-0000-0000-0000BB200000}"/>
    <cellStyle name="Accent5 14 5" xfId="6454" xr:uid="{00000000-0005-0000-0000-0000BC200000}"/>
    <cellStyle name="Accent5 14 5 2" xfId="15928" xr:uid="{00000000-0005-0000-0000-0000BD200000}"/>
    <cellStyle name="Accent5 14 6" xfId="6455" xr:uid="{00000000-0005-0000-0000-0000BE200000}"/>
    <cellStyle name="Accent5 14 6 2" xfId="15929" xr:uid="{00000000-0005-0000-0000-0000BF200000}"/>
    <cellStyle name="Accent5 14 7" xfId="6456" xr:uid="{00000000-0005-0000-0000-0000C0200000}"/>
    <cellStyle name="Accent5 14 7 2" xfId="15930" xr:uid="{00000000-0005-0000-0000-0000C1200000}"/>
    <cellStyle name="Accent5 14 8" xfId="6457" xr:uid="{00000000-0005-0000-0000-0000C2200000}"/>
    <cellStyle name="Accent5 14 8 2" xfId="15931" xr:uid="{00000000-0005-0000-0000-0000C3200000}"/>
    <cellStyle name="Accent5 14 9" xfId="6458" xr:uid="{00000000-0005-0000-0000-0000C4200000}"/>
    <cellStyle name="Accent5 14 9 2" xfId="15932" xr:uid="{00000000-0005-0000-0000-0000C5200000}"/>
    <cellStyle name="Accent5 15" xfId="6459" xr:uid="{00000000-0005-0000-0000-0000C6200000}"/>
    <cellStyle name="Accent5 15 10" xfId="6460" xr:uid="{00000000-0005-0000-0000-0000C7200000}"/>
    <cellStyle name="Accent5 15 10 2" xfId="15933" xr:uid="{00000000-0005-0000-0000-0000C8200000}"/>
    <cellStyle name="Accent5 15 11" xfId="6461" xr:uid="{00000000-0005-0000-0000-0000C9200000}"/>
    <cellStyle name="Accent5 15 11 2" xfId="15934" xr:uid="{00000000-0005-0000-0000-0000CA200000}"/>
    <cellStyle name="Accent5 15 2" xfId="6462" xr:uid="{00000000-0005-0000-0000-0000CB200000}"/>
    <cellStyle name="Accent5 15 2 2" xfId="6463" xr:uid="{00000000-0005-0000-0000-0000CC200000}"/>
    <cellStyle name="Accent5 15 2 2 2" xfId="15935" xr:uid="{00000000-0005-0000-0000-0000CD200000}"/>
    <cellStyle name="Accent5 15 3" xfId="6464" xr:uid="{00000000-0005-0000-0000-0000CE200000}"/>
    <cellStyle name="Accent5 15 3 2" xfId="6465" xr:uid="{00000000-0005-0000-0000-0000CF200000}"/>
    <cellStyle name="Accent5 15 3 2 2" xfId="15936" xr:uid="{00000000-0005-0000-0000-0000D0200000}"/>
    <cellStyle name="Accent5 15 4" xfId="6466" xr:uid="{00000000-0005-0000-0000-0000D1200000}"/>
    <cellStyle name="Accent5 15 4 2" xfId="15937" xr:uid="{00000000-0005-0000-0000-0000D2200000}"/>
    <cellStyle name="Accent5 15 5" xfId="6467" xr:uid="{00000000-0005-0000-0000-0000D3200000}"/>
    <cellStyle name="Accent5 15 5 2" xfId="15938" xr:uid="{00000000-0005-0000-0000-0000D4200000}"/>
    <cellStyle name="Accent5 15 6" xfId="6468" xr:uid="{00000000-0005-0000-0000-0000D5200000}"/>
    <cellStyle name="Accent5 15 6 2" xfId="15939" xr:uid="{00000000-0005-0000-0000-0000D6200000}"/>
    <cellStyle name="Accent5 15 7" xfId="6469" xr:uid="{00000000-0005-0000-0000-0000D7200000}"/>
    <cellStyle name="Accent5 15 7 2" xfId="15940" xr:uid="{00000000-0005-0000-0000-0000D8200000}"/>
    <cellStyle name="Accent5 15 8" xfId="6470" xr:uid="{00000000-0005-0000-0000-0000D9200000}"/>
    <cellStyle name="Accent5 15 8 2" xfId="15941" xr:uid="{00000000-0005-0000-0000-0000DA200000}"/>
    <cellStyle name="Accent5 15 9" xfId="6471" xr:uid="{00000000-0005-0000-0000-0000DB200000}"/>
    <cellStyle name="Accent5 15 9 2" xfId="15942" xr:uid="{00000000-0005-0000-0000-0000DC200000}"/>
    <cellStyle name="Accent5 16" xfId="6472" xr:uid="{00000000-0005-0000-0000-0000DD200000}"/>
    <cellStyle name="Accent5 16 10" xfId="6473" xr:uid="{00000000-0005-0000-0000-0000DE200000}"/>
    <cellStyle name="Accent5 16 10 2" xfId="15943" xr:uid="{00000000-0005-0000-0000-0000DF200000}"/>
    <cellStyle name="Accent5 16 11" xfId="6474" xr:uid="{00000000-0005-0000-0000-0000E0200000}"/>
    <cellStyle name="Accent5 16 11 2" xfId="15944" xr:uid="{00000000-0005-0000-0000-0000E1200000}"/>
    <cellStyle name="Accent5 16 2" xfId="6475" xr:uid="{00000000-0005-0000-0000-0000E2200000}"/>
    <cellStyle name="Accent5 16 2 2" xfId="6476" xr:uid="{00000000-0005-0000-0000-0000E3200000}"/>
    <cellStyle name="Accent5 16 2 2 2" xfId="15945" xr:uid="{00000000-0005-0000-0000-0000E4200000}"/>
    <cellStyle name="Accent5 16 3" xfId="6477" xr:uid="{00000000-0005-0000-0000-0000E5200000}"/>
    <cellStyle name="Accent5 16 3 2" xfId="6478" xr:uid="{00000000-0005-0000-0000-0000E6200000}"/>
    <cellStyle name="Accent5 16 3 2 2" xfId="15946" xr:uid="{00000000-0005-0000-0000-0000E7200000}"/>
    <cellStyle name="Accent5 16 4" xfId="6479" xr:uid="{00000000-0005-0000-0000-0000E8200000}"/>
    <cellStyle name="Accent5 16 4 2" xfId="15947" xr:uid="{00000000-0005-0000-0000-0000E9200000}"/>
    <cellStyle name="Accent5 16 5" xfId="6480" xr:uid="{00000000-0005-0000-0000-0000EA200000}"/>
    <cellStyle name="Accent5 16 5 2" xfId="15948" xr:uid="{00000000-0005-0000-0000-0000EB200000}"/>
    <cellStyle name="Accent5 16 6" xfId="6481" xr:uid="{00000000-0005-0000-0000-0000EC200000}"/>
    <cellStyle name="Accent5 16 6 2" xfId="15949" xr:uid="{00000000-0005-0000-0000-0000ED200000}"/>
    <cellStyle name="Accent5 16 7" xfId="6482" xr:uid="{00000000-0005-0000-0000-0000EE200000}"/>
    <cellStyle name="Accent5 16 7 2" xfId="15950" xr:uid="{00000000-0005-0000-0000-0000EF200000}"/>
    <cellStyle name="Accent5 16 8" xfId="6483" xr:uid="{00000000-0005-0000-0000-0000F0200000}"/>
    <cellStyle name="Accent5 16 8 2" xfId="15951" xr:uid="{00000000-0005-0000-0000-0000F1200000}"/>
    <cellStyle name="Accent5 16 9" xfId="6484" xr:uid="{00000000-0005-0000-0000-0000F2200000}"/>
    <cellStyle name="Accent5 16 9 2" xfId="15952" xr:uid="{00000000-0005-0000-0000-0000F3200000}"/>
    <cellStyle name="Accent5 17" xfId="6485" xr:uid="{00000000-0005-0000-0000-0000F4200000}"/>
    <cellStyle name="Accent5 17 10" xfId="6486" xr:uid="{00000000-0005-0000-0000-0000F5200000}"/>
    <cellStyle name="Accent5 17 10 2" xfId="15953" xr:uid="{00000000-0005-0000-0000-0000F6200000}"/>
    <cellStyle name="Accent5 17 11" xfId="6487" xr:uid="{00000000-0005-0000-0000-0000F7200000}"/>
    <cellStyle name="Accent5 17 11 2" xfId="15954" xr:uid="{00000000-0005-0000-0000-0000F8200000}"/>
    <cellStyle name="Accent5 17 2" xfId="6488" xr:uid="{00000000-0005-0000-0000-0000F9200000}"/>
    <cellStyle name="Accent5 17 2 2" xfId="6489" xr:uid="{00000000-0005-0000-0000-0000FA200000}"/>
    <cellStyle name="Accent5 17 2 2 2" xfId="15955" xr:uid="{00000000-0005-0000-0000-0000FB200000}"/>
    <cellStyle name="Accent5 17 3" xfId="6490" xr:uid="{00000000-0005-0000-0000-0000FC200000}"/>
    <cellStyle name="Accent5 17 3 2" xfId="6491" xr:uid="{00000000-0005-0000-0000-0000FD200000}"/>
    <cellStyle name="Accent5 17 3 2 2" xfId="15956" xr:uid="{00000000-0005-0000-0000-0000FE200000}"/>
    <cellStyle name="Accent5 17 4" xfId="6492" xr:uid="{00000000-0005-0000-0000-0000FF200000}"/>
    <cellStyle name="Accent5 17 4 2" xfId="15957" xr:uid="{00000000-0005-0000-0000-000000210000}"/>
    <cellStyle name="Accent5 17 5" xfId="6493" xr:uid="{00000000-0005-0000-0000-000001210000}"/>
    <cellStyle name="Accent5 17 5 2" xfId="15958" xr:uid="{00000000-0005-0000-0000-000002210000}"/>
    <cellStyle name="Accent5 17 6" xfId="6494" xr:uid="{00000000-0005-0000-0000-000003210000}"/>
    <cellStyle name="Accent5 17 6 2" xfId="15959" xr:uid="{00000000-0005-0000-0000-000004210000}"/>
    <cellStyle name="Accent5 17 7" xfId="6495" xr:uid="{00000000-0005-0000-0000-000005210000}"/>
    <cellStyle name="Accent5 17 7 2" xfId="15960" xr:uid="{00000000-0005-0000-0000-000006210000}"/>
    <cellStyle name="Accent5 17 8" xfId="6496" xr:uid="{00000000-0005-0000-0000-000007210000}"/>
    <cellStyle name="Accent5 17 8 2" xfId="15961" xr:uid="{00000000-0005-0000-0000-000008210000}"/>
    <cellStyle name="Accent5 17 9" xfId="6497" xr:uid="{00000000-0005-0000-0000-000009210000}"/>
    <cellStyle name="Accent5 17 9 2" xfId="15962" xr:uid="{00000000-0005-0000-0000-00000A210000}"/>
    <cellStyle name="Accent5 18" xfId="6498" xr:uid="{00000000-0005-0000-0000-00000B210000}"/>
    <cellStyle name="Accent5 18 2" xfId="6499" xr:uid="{00000000-0005-0000-0000-00000C210000}"/>
    <cellStyle name="Accent5 18 2 2" xfId="6500" xr:uid="{00000000-0005-0000-0000-00000D210000}"/>
    <cellStyle name="Accent5 18 2 2 2" xfId="15963" xr:uid="{00000000-0005-0000-0000-00000E210000}"/>
    <cellStyle name="Accent5 18 3" xfId="6501" xr:uid="{00000000-0005-0000-0000-00000F210000}"/>
    <cellStyle name="Accent5 18 3 2" xfId="15964" xr:uid="{00000000-0005-0000-0000-000010210000}"/>
    <cellStyle name="Accent5 18 4" xfId="6502" xr:uid="{00000000-0005-0000-0000-000011210000}"/>
    <cellStyle name="Accent5 18 4 2" xfId="15965" xr:uid="{00000000-0005-0000-0000-000012210000}"/>
    <cellStyle name="Accent5 18 5" xfId="6503" xr:uid="{00000000-0005-0000-0000-000013210000}"/>
    <cellStyle name="Accent5 18 5 2" xfId="15966" xr:uid="{00000000-0005-0000-0000-000014210000}"/>
    <cellStyle name="Accent5 18 6" xfId="6504" xr:uid="{00000000-0005-0000-0000-000015210000}"/>
    <cellStyle name="Accent5 18 6 2" xfId="15967" xr:uid="{00000000-0005-0000-0000-000016210000}"/>
    <cellStyle name="Accent5 18 7" xfId="6505" xr:uid="{00000000-0005-0000-0000-000017210000}"/>
    <cellStyle name="Accent5 18 7 2" xfId="15968" xr:uid="{00000000-0005-0000-0000-000018210000}"/>
    <cellStyle name="Accent5 18 8" xfId="6506" xr:uid="{00000000-0005-0000-0000-000019210000}"/>
    <cellStyle name="Accent5 18 8 2" xfId="15969" xr:uid="{00000000-0005-0000-0000-00001A210000}"/>
    <cellStyle name="Accent5 18 9" xfId="6507" xr:uid="{00000000-0005-0000-0000-00001B210000}"/>
    <cellStyle name="Accent5 18 9 2" xfId="15970" xr:uid="{00000000-0005-0000-0000-00001C210000}"/>
    <cellStyle name="Accent5 19" xfId="6508" xr:uid="{00000000-0005-0000-0000-00001D210000}"/>
    <cellStyle name="Accent5 19 2" xfId="6509" xr:uid="{00000000-0005-0000-0000-00001E210000}"/>
    <cellStyle name="Accent5 19 2 2" xfId="6510" xr:uid="{00000000-0005-0000-0000-00001F210000}"/>
    <cellStyle name="Accent5 19 2 2 2" xfId="15971" xr:uid="{00000000-0005-0000-0000-000020210000}"/>
    <cellStyle name="Accent5 19 3" xfId="6511" xr:uid="{00000000-0005-0000-0000-000021210000}"/>
    <cellStyle name="Accent5 19 3 2" xfId="15972" xr:uid="{00000000-0005-0000-0000-000022210000}"/>
    <cellStyle name="Accent5 19 4" xfId="6512" xr:uid="{00000000-0005-0000-0000-000023210000}"/>
    <cellStyle name="Accent5 19 4 2" xfId="15973" xr:uid="{00000000-0005-0000-0000-000024210000}"/>
    <cellStyle name="Accent5 19 5" xfId="6513" xr:uid="{00000000-0005-0000-0000-000025210000}"/>
    <cellStyle name="Accent5 19 5 2" xfId="15974" xr:uid="{00000000-0005-0000-0000-000026210000}"/>
    <cellStyle name="Accent5 19 6" xfId="6514" xr:uid="{00000000-0005-0000-0000-000027210000}"/>
    <cellStyle name="Accent5 19 6 2" xfId="15975" xr:uid="{00000000-0005-0000-0000-000028210000}"/>
    <cellStyle name="Accent5 19 7" xfId="6515" xr:uid="{00000000-0005-0000-0000-000029210000}"/>
    <cellStyle name="Accent5 19 7 2" xfId="15976" xr:uid="{00000000-0005-0000-0000-00002A210000}"/>
    <cellStyle name="Accent5 19 8" xfId="6516" xr:uid="{00000000-0005-0000-0000-00002B210000}"/>
    <cellStyle name="Accent5 19 8 2" xfId="15977" xr:uid="{00000000-0005-0000-0000-00002C210000}"/>
    <cellStyle name="Accent5 19 9" xfId="6517" xr:uid="{00000000-0005-0000-0000-00002D210000}"/>
    <cellStyle name="Accent5 19 9 2" xfId="15978" xr:uid="{00000000-0005-0000-0000-00002E210000}"/>
    <cellStyle name="Accent5 2" xfId="6518" xr:uid="{00000000-0005-0000-0000-00002F210000}"/>
    <cellStyle name="Accent5 2 10" xfId="6519" xr:uid="{00000000-0005-0000-0000-000030210000}"/>
    <cellStyle name="Accent5 2 10 2" xfId="15979" xr:uid="{00000000-0005-0000-0000-000031210000}"/>
    <cellStyle name="Accent5 2 11" xfId="6520" xr:uid="{00000000-0005-0000-0000-000032210000}"/>
    <cellStyle name="Accent5 2 11 2" xfId="15980" xr:uid="{00000000-0005-0000-0000-000033210000}"/>
    <cellStyle name="Accent5 2 2" xfId="6521" xr:uid="{00000000-0005-0000-0000-000034210000}"/>
    <cellStyle name="Accent5 2 2 2" xfId="6522" xr:uid="{00000000-0005-0000-0000-000035210000}"/>
    <cellStyle name="Accent5 2 2 2 2" xfId="15981" xr:uid="{00000000-0005-0000-0000-000036210000}"/>
    <cellStyle name="Accent5 2 3" xfId="6523" xr:uid="{00000000-0005-0000-0000-000037210000}"/>
    <cellStyle name="Accent5 2 3 2" xfId="6524" xr:uid="{00000000-0005-0000-0000-000038210000}"/>
    <cellStyle name="Accent5 2 3 2 2" xfId="15982" xr:uid="{00000000-0005-0000-0000-000039210000}"/>
    <cellStyle name="Accent5 2 4" xfId="6525" xr:uid="{00000000-0005-0000-0000-00003A210000}"/>
    <cellStyle name="Accent5 2 4 2" xfId="6526" xr:uid="{00000000-0005-0000-0000-00003B210000}"/>
    <cellStyle name="Accent5 2 4 3" xfId="15983" xr:uid="{00000000-0005-0000-0000-00003C210000}"/>
    <cellStyle name="Accent5 2 5" xfId="6527" xr:uid="{00000000-0005-0000-0000-00003D210000}"/>
    <cellStyle name="Accent5 2 5 2" xfId="15984" xr:uid="{00000000-0005-0000-0000-00003E210000}"/>
    <cellStyle name="Accent5 2 6" xfId="6528" xr:uid="{00000000-0005-0000-0000-00003F210000}"/>
    <cellStyle name="Accent5 2 6 2" xfId="15985" xr:uid="{00000000-0005-0000-0000-000040210000}"/>
    <cellStyle name="Accent5 2 7" xfId="6529" xr:uid="{00000000-0005-0000-0000-000041210000}"/>
    <cellStyle name="Accent5 2 7 2" xfId="15986" xr:uid="{00000000-0005-0000-0000-000042210000}"/>
    <cellStyle name="Accent5 2 8" xfId="6530" xr:uid="{00000000-0005-0000-0000-000043210000}"/>
    <cellStyle name="Accent5 2 8 2" xfId="15987" xr:uid="{00000000-0005-0000-0000-000044210000}"/>
    <cellStyle name="Accent5 2 9" xfId="6531" xr:uid="{00000000-0005-0000-0000-000045210000}"/>
    <cellStyle name="Accent5 2 9 2" xfId="15988" xr:uid="{00000000-0005-0000-0000-000046210000}"/>
    <cellStyle name="Accent5 20" xfId="6532" xr:uid="{00000000-0005-0000-0000-000047210000}"/>
    <cellStyle name="Accent5 20 2" xfId="6533" xr:uid="{00000000-0005-0000-0000-000048210000}"/>
    <cellStyle name="Accent5 20 2 2" xfId="15989" xr:uid="{00000000-0005-0000-0000-000049210000}"/>
    <cellStyle name="Accent5 20 3" xfId="6534" xr:uid="{00000000-0005-0000-0000-00004A210000}"/>
    <cellStyle name="Accent5 20 3 2" xfId="15990" xr:uid="{00000000-0005-0000-0000-00004B210000}"/>
    <cellStyle name="Accent5 20 4" xfId="6535" xr:uid="{00000000-0005-0000-0000-00004C210000}"/>
    <cellStyle name="Accent5 20 4 2" xfId="15991" xr:uid="{00000000-0005-0000-0000-00004D210000}"/>
    <cellStyle name="Accent5 20 5" xfId="6536" xr:uid="{00000000-0005-0000-0000-00004E210000}"/>
    <cellStyle name="Accent5 20 5 2" xfId="15992" xr:uid="{00000000-0005-0000-0000-00004F210000}"/>
    <cellStyle name="Accent5 20 6" xfId="6537" xr:uid="{00000000-0005-0000-0000-000050210000}"/>
    <cellStyle name="Accent5 20 6 2" xfId="15993" xr:uid="{00000000-0005-0000-0000-000051210000}"/>
    <cellStyle name="Accent5 20 7" xfId="6538" xr:uid="{00000000-0005-0000-0000-000052210000}"/>
    <cellStyle name="Accent5 20 7 2" xfId="15994" xr:uid="{00000000-0005-0000-0000-000053210000}"/>
    <cellStyle name="Accent5 20 8" xfId="6539" xr:uid="{00000000-0005-0000-0000-000054210000}"/>
    <cellStyle name="Accent5 20 8 2" xfId="15995" xr:uid="{00000000-0005-0000-0000-000055210000}"/>
    <cellStyle name="Accent5 20 9" xfId="6540" xr:uid="{00000000-0005-0000-0000-000056210000}"/>
    <cellStyle name="Accent5 20 9 2" xfId="15996" xr:uid="{00000000-0005-0000-0000-000057210000}"/>
    <cellStyle name="Accent5 21" xfId="6541" xr:uid="{00000000-0005-0000-0000-000058210000}"/>
    <cellStyle name="Accent5 21 2" xfId="6542" xr:uid="{00000000-0005-0000-0000-000059210000}"/>
    <cellStyle name="Accent5 21 2 2" xfId="15997" xr:uid="{00000000-0005-0000-0000-00005A210000}"/>
    <cellStyle name="Accent5 21 3" xfId="6543" xr:uid="{00000000-0005-0000-0000-00005B210000}"/>
    <cellStyle name="Accent5 21 3 2" xfId="15998" xr:uid="{00000000-0005-0000-0000-00005C210000}"/>
    <cellStyle name="Accent5 21 4" xfId="6544" xr:uid="{00000000-0005-0000-0000-00005D210000}"/>
    <cellStyle name="Accent5 21 4 2" xfId="15999" xr:uid="{00000000-0005-0000-0000-00005E210000}"/>
    <cellStyle name="Accent5 21 5" xfId="6545" xr:uid="{00000000-0005-0000-0000-00005F210000}"/>
    <cellStyle name="Accent5 21 5 2" xfId="16000" xr:uid="{00000000-0005-0000-0000-000060210000}"/>
    <cellStyle name="Accent5 21 6" xfId="6546" xr:uid="{00000000-0005-0000-0000-000061210000}"/>
    <cellStyle name="Accent5 21 6 2" xfId="16001" xr:uid="{00000000-0005-0000-0000-000062210000}"/>
    <cellStyle name="Accent5 21 7" xfId="6547" xr:uid="{00000000-0005-0000-0000-000063210000}"/>
    <cellStyle name="Accent5 21 7 2" xfId="16002" xr:uid="{00000000-0005-0000-0000-000064210000}"/>
    <cellStyle name="Accent5 21 8" xfId="6548" xr:uid="{00000000-0005-0000-0000-000065210000}"/>
    <cellStyle name="Accent5 21 8 2" xfId="16003" xr:uid="{00000000-0005-0000-0000-000066210000}"/>
    <cellStyle name="Accent5 21 9" xfId="6549" xr:uid="{00000000-0005-0000-0000-000067210000}"/>
    <cellStyle name="Accent5 21 9 2" xfId="16004" xr:uid="{00000000-0005-0000-0000-000068210000}"/>
    <cellStyle name="Accent5 22" xfId="6550" xr:uid="{00000000-0005-0000-0000-000069210000}"/>
    <cellStyle name="Accent5 22 2" xfId="6551" xr:uid="{00000000-0005-0000-0000-00006A210000}"/>
    <cellStyle name="Accent5 22 2 2" xfId="16005" xr:uid="{00000000-0005-0000-0000-00006B210000}"/>
    <cellStyle name="Accent5 22 3" xfId="6552" xr:uid="{00000000-0005-0000-0000-00006C210000}"/>
    <cellStyle name="Accent5 22 3 2" xfId="16006" xr:uid="{00000000-0005-0000-0000-00006D210000}"/>
    <cellStyle name="Accent5 22 4" xfId="6553" xr:uid="{00000000-0005-0000-0000-00006E210000}"/>
    <cellStyle name="Accent5 22 4 2" xfId="16007" xr:uid="{00000000-0005-0000-0000-00006F210000}"/>
    <cellStyle name="Accent5 22 5" xfId="6554" xr:uid="{00000000-0005-0000-0000-000070210000}"/>
    <cellStyle name="Accent5 22 5 2" xfId="16008" xr:uid="{00000000-0005-0000-0000-000071210000}"/>
    <cellStyle name="Accent5 22 6" xfId="6555" xr:uid="{00000000-0005-0000-0000-000072210000}"/>
    <cellStyle name="Accent5 22 6 2" xfId="16009" xr:uid="{00000000-0005-0000-0000-000073210000}"/>
    <cellStyle name="Accent5 22 7" xfId="6556" xr:uid="{00000000-0005-0000-0000-000074210000}"/>
    <cellStyle name="Accent5 22 7 2" xfId="16010" xr:uid="{00000000-0005-0000-0000-000075210000}"/>
    <cellStyle name="Accent5 22 8" xfId="6557" xr:uid="{00000000-0005-0000-0000-000076210000}"/>
    <cellStyle name="Accent5 22 8 2" xfId="16011" xr:uid="{00000000-0005-0000-0000-000077210000}"/>
    <cellStyle name="Accent5 22 9" xfId="6558" xr:uid="{00000000-0005-0000-0000-000078210000}"/>
    <cellStyle name="Accent5 22 9 2" xfId="16012" xr:uid="{00000000-0005-0000-0000-000079210000}"/>
    <cellStyle name="Accent5 23" xfId="6559" xr:uid="{00000000-0005-0000-0000-00007A210000}"/>
    <cellStyle name="Accent5 23 2" xfId="6560" xr:uid="{00000000-0005-0000-0000-00007B210000}"/>
    <cellStyle name="Accent5 23 2 2" xfId="16013" xr:uid="{00000000-0005-0000-0000-00007C210000}"/>
    <cellStyle name="Accent5 23 3" xfId="6561" xr:uid="{00000000-0005-0000-0000-00007D210000}"/>
    <cellStyle name="Accent5 23 3 2" xfId="16014" xr:uid="{00000000-0005-0000-0000-00007E210000}"/>
    <cellStyle name="Accent5 23 4" xfId="6562" xr:uid="{00000000-0005-0000-0000-00007F210000}"/>
    <cellStyle name="Accent5 23 4 2" xfId="16015" xr:uid="{00000000-0005-0000-0000-000080210000}"/>
    <cellStyle name="Accent5 23 5" xfId="6563" xr:uid="{00000000-0005-0000-0000-000081210000}"/>
    <cellStyle name="Accent5 23 5 2" xfId="16016" xr:uid="{00000000-0005-0000-0000-000082210000}"/>
    <cellStyle name="Accent5 23 6" xfId="6564" xr:uid="{00000000-0005-0000-0000-000083210000}"/>
    <cellStyle name="Accent5 23 6 2" xfId="16017" xr:uid="{00000000-0005-0000-0000-000084210000}"/>
    <cellStyle name="Accent5 23 7" xfId="6565" xr:uid="{00000000-0005-0000-0000-000085210000}"/>
    <cellStyle name="Accent5 23 7 2" xfId="16018" xr:uid="{00000000-0005-0000-0000-000086210000}"/>
    <cellStyle name="Accent5 23 8" xfId="6566" xr:uid="{00000000-0005-0000-0000-000087210000}"/>
    <cellStyle name="Accent5 23 8 2" xfId="16019" xr:uid="{00000000-0005-0000-0000-000088210000}"/>
    <cellStyle name="Accent5 23 9" xfId="6567" xr:uid="{00000000-0005-0000-0000-000089210000}"/>
    <cellStyle name="Accent5 23 9 2" xfId="16020" xr:uid="{00000000-0005-0000-0000-00008A210000}"/>
    <cellStyle name="Accent5 24" xfId="6568" xr:uid="{00000000-0005-0000-0000-00008B210000}"/>
    <cellStyle name="Accent5 24 2" xfId="6569" xr:uid="{00000000-0005-0000-0000-00008C210000}"/>
    <cellStyle name="Accent5 24 2 2" xfId="16021" xr:uid="{00000000-0005-0000-0000-00008D210000}"/>
    <cellStyle name="Accent5 24 3" xfId="6570" xr:uid="{00000000-0005-0000-0000-00008E210000}"/>
    <cellStyle name="Accent5 24 3 2" xfId="16022" xr:uid="{00000000-0005-0000-0000-00008F210000}"/>
    <cellStyle name="Accent5 24 4" xfId="6571" xr:uid="{00000000-0005-0000-0000-000090210000}"/>
    <cellStyle name="Accent5 24 4 2" xfId="16023" xr:uid="{00000000-0005-0000-0000-000091210000}"/>
    <cellStyle name="Accent5 24 5" xfId="6572" xr:uid="{00000000-0005-0000-0000-000092210000}"/>
    <cellStyle name="Accent5 24 5 2" xfId="16024" xr:uid="{00000000-0005-0000-0000-000093210000}"/>
    <cellStyle name="Accent5 24 6" xfId="6573" xr:uid="{00000000-0005-0000-0000-000094210000}"/>
    <cellStyle name="Accent5 24 6 2" xfId="16025" xr:uid="{00000000-0005-0000-0000-000095210000}"/>
    <cellStyle name="Accent5 24 7" xfId="6574" xr:uid="{00000000-0005-0000-0000-000096210000}"/>
    <cellStyle name="Accent5 24 7 2" xfId="16026" xr:uid="{00000000-0005-0000-0000-000097210000}"/>
    <cellStyle name="Accent5 24 8" xfId="6575" xr:uid="{00000000-0005-0000-0000-000098210000}"/>
    <cellStyle name="Accent5 24 8 2" xfId="16027" xr:uid="{00000000-0005-0000-0000-000099210000}"/>
    <cellStyle name="Accent5 24 9" xfId="6576" xr:uid="{00000000-0005-0000-0000-00009A210000}"/>
    <cellStyle name="Accent5 24 9 2" xfId="16028" xr:uid="{00000000-0005-0000-0000-00009B210000}"/>
    <cellStyle name="Accent5 25" xfId="6577" xr:uid="{00000000-0005-0000-0000-00009C210000}"/>
    <cellStyle name="Accent5 25 2" xfId="6578" xr:uid="{00000000-0005-0000-0000-00009D210000}"/>
    <cellStyle name="Accent5 25 2 2" xfId="16029" xr:uid="{00000000-0005-0000-0000-00009E210000}"/>
    <cellStyle name="Accent5 25 3" xfId="6579" xr:uid="{00000000-0005-0000-0000-00009F210000}"/>
    <cellStyle name="Accent5 25 3 2" xfId="16030" xr:uid="{00000000-0005-0000-0000-0000A0210000}"/>
    <cellStyle name="Accent5 25 4" xfId="6580" xr:uid="{00000000-0005-0000-0000-0000A1210000}"/>
    <cellStyle name="Accent5 25 4 2" xfId="16031" xr:uid="{00000000-0005-0000-0000-0000A2210000}"/>
    <cellStyle name="Accent5 25 5" xfId="6581" xr:uid="{00000000-0005-0000-0000-0000A3210000}"/>
    <cellStyle name="Accent5 25 5 2" xfId="16032" xr:uid="{00000000-0005-0000-0000-0000A4210000}"/>
    <cellStyle name="Accent5 25 6" xfId="6582" xr:uid="{00000000-0005-0000-0000-0000A5210000}"/>
    <cellStyle name="Accent5 25 6 2" xfId="16033" xr:uid="{00000000-0005-0000-0000-0000A6210000}"/>
    <cellStyle name="Accent5 25 7" xfId="6583" xr:uid="{00000000-0005-0000-0000-0000A7210000}"/>
    <cellStyle name="Accent5 25 7 2" xfId="16034" xr:uid="{00000000-0005-0000-0000-0000A8210000}"/>
    <cellStyle name="Accent5 25 8" xfId="6584" xr:uid="{00000000-0005-0000-0000-0000A9210000}"/>
    <cellStyle name="Accent5 25 8 2" xfId="16035" xr:uid="{00000000-0005-0000-0000-0000AA210000}"/>
    <cellStyle name="Accent5 25 9" xfId="6585" xr:uid="{00000000-0005-0000-0000-0000AB210000}"/>
    <cellStyle name="Accent5 25 9 2" xfId="16036" xr:uid="{00000000-0005-0000-0000-0000AC210000}"/>
    <cellStyle name="Accent5 26" xfId="6586" xr:uid="{00000000-0005-0000-0000-0000AD210000}"/>
    <cellStyle name="Accent5 26 2" xfId="6587" xr:uid="{00000000-0005-0000-0000-0000AE210000}"/>
    <cellStyle name="Accent5 26 2 2" xfId="16037" xr:uid="{00000000-0005-0000-0000-0000AF210000}"/>
    <cellStyle name="Accent5 26 3" xfId="6588" xr:uid="{00000000-0005-0000-0000-0000B0210000}"/>
    <cellStyle name="Accent5 26 3 2" xfId="16038" xr:uid="{00000000-0005-0000-0000-0000B1210000}"/>
    <cellStyle name="Accent5 26 4" xfId="6589" xr:uid="{00000000-0005-0000-0000-0000B2210000}"/>
    <cellStyle name="Accent5 26 4 2" xfId="16039" xr:uid="{00000000-0005-0000-0000-0000B3210000}"/>
    <cellStyle name="Accent5 26 5" xfId="6590" xr:uid="{00000000-0005-0000-0000-0000B4210000}"/>
    <cellStyle name="Accent5 26 5 2" xfId="16040" xr:uid="{00000000-0005-0000-0000-0000B5210000}"/>
    <cellStyle name="Accent5 26 6" xfId="6591" xr:uid="{00000000-0005-0000-0000-0000B6210000}"/>
    <cellStyle name="Accent5 26 6 2" xfId="16041" xr:uid="{00000000-0005-0000-0000-0000B7210000}"/>
    <cellStyle name="Accent5 26 7" xfId="6592" xr:uid="{00000000-0005-0000-0000-0000B8210000}"/>
    <cellStyle name="Accent5 26 7 2" xfId="16042" xr:uid="{00000000-0005-0000-0000-0000B9210000}"/>
    <cellStyle name="Accent5 26 8" xfId="6593" xr:uid="{00000000-0005-0000-0000-0000BA210000}"/>
    <cellStyle name="Accent5 26 8 2" xfId="16043" xr:uid="{00000000-0005-0000-0000-0000BB210000}"/>
    <cellStyle name="Accent5 26 9" xfId="6594" xr:uid="{00000000-0005-0000-0000-0000BC210000}"/>
    <cellStyle name="Accent5 26 9 2" xfId="16044" xr:uid="{00000000-0005-0000-0000-0000BD210000}"/>
    <cellStyle name="Accent5 27" xfId="6595" xr:uid="{00000000-0005-0000-0000-0000BE210000}"/>
    <cellStyle name="Accent5 27 2" xfId="6596" xr:uid="{00000000-0005-0000-0000-0000BF210000}"/>
    <cellStyle name="Accent5 27 2 2" xfId="16045" xr:uid="{00000000-0005-0000-0000-0000C0210000}"/>
    <cellStyle name="Accent5 27 3" xfId="6597" xr:uid="{00000000-0005-0000-0000-0000C1210000}"/>
    <cellStyle name="Accent5 27 3 2" xfId="16046" xr:uid="{00000000-0005-0000-0000-0000C2210000}"/>
    <cellStyle name="Accent5 27 4" xfId="6598" xr:uid="{00000000-0005-0000-0000-0000C3210000}"/>
    <cellStyle name="Accent5 27 4 2" xfId="16047" xr:uid="{00000000-0005-0000-0000-0000C4210000}"/>
    <cellStyle name="Accent5 27 5" xfId="6599" xr:uid="{00000000-0005-0000-0000-0000C5210000}"/>
    <cellStyle name="Accent5 27 5 2" xfId="16048" xr:uid="{00000000-0005-0000-0000-0000C6210000}"/>
    <cellStyle name="Accent5 27 6" xfId="6600" xr:uid="{00000000-0005-0000-0000-0000C7210000}"/>
    <cellStyle name="Accent5 27 6 2" xfId="16049" xr:uid="{00000000-0005-0000-0000-0000C8210000}"/>
    <cellStyle name="Accent5 27 7" xfId="6601" xr:uid="{00000000-0005-0000-0000-0000C9210000}"/>
    <cellStyle name="Accent5 27 7 2" xfId="16050" xr:uid="{00000000-0005-0000-0000-0000CA210000}"/>
    <cellStyle name="Accent5 27 8" xfId="6602" xr:uid="{00000000-0005-0000-0000-0000CB210000}"/>
    <cellStyle name="Accent5 27 8 2" xfId="16051" xr:uid="{00000000-0005-0000-0000-0000CC210000}"/>
    <cellStyle name="Accent5 27 9" xfId="6603" xr:uid="{00000000-0005-0000-0000-0000CD210000}"/>
    <cellStyle name="Accent5 27 9 2" xfId="16052" xr:uid="{00000000-0005-0000-0000-0000CE210000}"/>
    <cellStyle name="Accent5 28" xfId="6604" xr:uid="{00000000-0005-0000-0000-0000CF210000}"/>
    <cellStyle name="Accent5 28 2" xfId="6605" xr:uid="{00000000-0005-0000-0000-0000D0210000}"/>
    <cellStyle name="Accent5 28 2 2" xfId="16053" xr:uid="{00000000-0005-0000-0000-0000D1210000}"/>
    <cellStyle name="Accent5 28 3" xfId="6606" xr:uid="{00000000-0005-0000-0000-0000D2210000}"/>
    <cellStyle name="Accent5 28 3 2" xfId="16054" xr:uid="{00000000-0005-0000-0000-0000D3210000}"/>
    <cellStyle name="Accent5 28 4" xfId="6607" xr:uid="{00000000-0005-0000-0000-0000D4210000}"/>
    <cellStyle name="Accent5 28 4 2" xfId="16055" xr:uid="{00000000-0005-0000-0000-0000D5210000}"/>
    <cellStyle name="Accent5 28 5" xfId="6608" xr:uid="{00000000-0005-0000-0000-0000D6210000}"/>
    <cellStyle name="Accent5 28 5 2" xfId="16056" xr:uid="{00000000-0005-0000-0000-0000D7210000}"/>
    <cellStyle name="Accent5 28 6" xfId="6609" xr:uid="{00000000-0005-0000-0000-0000D8210000}"/>
    <cellStyle name="Accent5 28 6 2" xfId="16057" xr:uid="{00000000-0005-0000-0000-0000D9210000}"/>
    <cellStyle name="Accent5 28 7" xfId="6610" xr:uid="{00000000-0005-0000-0000-0000DA210000}"/>
    <cellStyle name="Accent5 28 7 2" xfId="16058" xr:uid="{00000000-0005-0000-0000-0000DB210000}"/>
    <cellStyle name="Accent5 28 8" xfId="6611" xr:uid="{00000000-0005-0000-0000-0000DC210000}"/>
    <cellStyle name="Accent5 28 8 2" xfId="16059" xr:uid="{00000000-0005-0000-0000-0000DD210000}"/>
    <cellStyle name="Accent5 28 9" xfId="6612" xr:uid="{00000000-0005-0000-0000-0000DE210000}"/>
    <cellStyle name="Accent5 28 9 2" xfId="16060" xr:uid="{00000000-0005-0000-0000-0000DF210000}"/>
    <cellStyle name="Accent5 29" xfId="6613" xr:uid="{00000000-0005-0000-0000-0000E0210000}"/>
    <cellStyle name="Accent5 29 2" xfId="6614" xr:uid="{00000000-0005-0000-0000-0000E1210000}"/>
    <cellStyle name="Accent5 29 2 2" xfId="16061" xr:uid="{00000000-0005-0000-0000-0000E2210000}"/>
    <cellStyle name="Accent5 29 3" xfId="6615" xr:uid="{00000000-0005-0000-0000-0000E3210000}"/>
    <cellStyle name="Accent5 29 3 2" xfId="16062" xr:uid="{00000000-0005-0000-0000-0000E4210000}"/>
    <cellStyle name="Accent5 29 4" xfId="6616" xr:uid="{00000000-0005-0000-0000-0000E5210000}"/>
    <cellStyle name="Accent5 29 4 2" xfId="16063" xr:uid="{00000000-0005-0000-0000-0000E6210000}"/>
    <cellStyle name="Accent5 29 5" xfId="6617" xr:uid="{00000000-0005-0000-0000-0000E7210000}"/>
    <cellStyle name="Accent5 29 5 2" xfId="16064" xr:uid="{00000000-0005-0000-0000-0000E8210000}"/>
    <cellStyle name="Accent5 29 6" xfId="6618" xr:uid="{00000000-0005-0000-0000-0000E9210000}"/>
    <cellStyle name="Accent5 29 6 2" xfId="16065" xr:uid="{00000000-0005-0000-0000-0000EA210000}"/>
    <cellStyle name="Accent5 29 7" xfId="6619" xr:uid="{00000000-0005-0000-0000-0000EB210000}"/>
    <cellStyle name="Accent5 29 7 2" xfId="16066" xr:uid="{00000000-0005-0000-0000-0000EC210000}"/>
    <cellStyle name="Accent5 29 8" xfId="6620" xr:uid="{00000000-0005-0000-0000-0000ED210000}"/>
    <cellStyle name="Accent5 29 8 2" xfId="16067" xr:uid="{00000000-0005-0000-0000-0000EE210000}"/>
    <cellStyle name="Accent5 29 9" xfId="6621" xr:uid="{00000000-0005-0000-0000-0000EF210000}"/>
    <cellStyle name="Accent5 29 9 2" xfId="16068" xr:uid="{00000000-0005-0000-0000-0000F0210000}"/>
    <cellStyle name="Accent5 3" xfId="6622" xr:uid="{00000000-0005-0000-0000-0000F1210000}"/>
    <cellStyle name="Accent5 3 10" xfId="6623" xr:uid="{00000000-0005-0000-0000-0000F2210000}"/>
    <cellStyle name="Accent5 3 10 2" xfId="16069" xr:uid="{00000000-0005-0000-0000-0000F3210000}"/>
    <cellStyle name="Accent5 3 11" xfId="6624" xr:uid="{00000000-0005-0000-0000-0000F4210000}"/>
    <cellStyle name="Accent5 3 11 2" xfId="16070" xr:uid="{00000000-0005-0000-0000-0000F5210000}"/>
    <cellStyle name="Accent5 3 12" xfId="22033" xr:uid="{00000000-0005-0000-0000-0000F6210000}"/>
    <cellStyle name="Accent5 3 2" xfId="6625" xr:uid="{00000000-0005-0000-0000-0000F7210000}"/>
    <cellStyle name="Accent5 3 2 2" xfId="6626" xr:uid="{00000000-0005-0000-0000-0000F8210000}"/>
    <cellStyle name="Accent5 3 2 2 2" xfId="16071" xr:uid="{00000000-0005-0000-0000-0000F9210000}"/>
    <cellStyle name="Accent5 3 3" xfId="6627" xr:uid="{00000000-0005-0000-0000-0000FA210000}"/>
    <cellStyle name="Accent5 3 3 2" xfId="6628" xr:uid="{00000000-0005-0000-0000-0000FB210000}"/>
    <cellStyle name="Accent5 3 3 2 2" xfId="16072" xr:uid="{00000000-0005-0000-0000-0000FC210000}"/>
    <cellStyle name="Accent5 3 4" xfId="6629" xr:uid="{00000000-0005-0000-0000-0000FD210000}"/>
    <cellStyle name="Accent5 3 4 2" xfId="6630" xr:uid="{00000000-0005-0000-0000-0000FE210000}"/>
    <cellStyle name="Accent5 3 4 3" xfId="16073" xr:uid="{00000000-0005-0000-0000-0000FF210000}"/>
    <cellStyle name="Accent5 3 5" xfId="6631" xr:uid="{00000000-0005-0000-0000-000000220000}"/>
    <cellStyle name="Accent5 3 5 2" xfId="16074" xr:uid="{00000000-0005-0000-0000-000001220000}"/>
    <cellStyle name="Accent5 3 6" xfId="6632" xr:uid="{00000000-0005-0000-0000-000002220000}"/>
    <cellStyle name="Accent5 3 6 2" xfId="16075" xr:uid="{00000000-0005-0000-0000-000003220000}"/>
    <cellStyle name="Accent5 3 7" xfId="6633" xr:uid="{00000000-0005-0000-0000-000004220000}"/>
    <cellStyle name="Accent5 3 7 2" xfId="16076" xr:uid="{00000000-0005-0000-0000-000005220000}"/>
    <cellStyle name="Accent5 3 8" xfId="6634" xr:uid="{00000000-0005-0000-0000-000006220000}"/>
    <cellStyle name="Accent5 3 8 2" xfId="16077" xr:uid="{00000000-0005-0000-0000-000007220000}"/>
    <cellStyle name="Accent5 3 9" xfId="6635" xr:uid="{00000000-0005-0000-0000-000008220000}"/>
    <cellStyle name="Accent5 3 9 2" xfId="16078" xr:uid="{00000000-0005-0000-0000-000009220000}"/>
    <cellStyle name="Accent5 30" xfId="6636" xr:uid="{00000000-0005-0000-0000-00000A220000}"/>
    <cellStyle name="Accent5 30 2" xfId="6637" xr:uid="{00000000-0005-0000-0000-00000B220000}"/>
    <cellStyle name="Accent5 30 2 2" xfId="16079" xr:uid="{00000000-0005-0000-0000-00000C220000}"/>
    <cellStyle name="Accent5 31" xfId="6638" xr:uid="{00000000-0005-0000-0000-00000D220000}"/>
    <cellStyle name="Accent5 31 2" xfId="6639" xr:uid="{00000000-0005-0000-0000-00000E220000}"/>
    <cellStyle name="Accent5 31 2 2" xfId="16080" xr:uid="{00000000-0005-0000-0000-00000F220000}"/>
    <cellStyle name="Accent5 32" xfId="6640" xr:uid="{00000000-0005-0000-0000-000010220000}"/>
    <cellStyle name="Accent5 32 2" xfId="6641" xr:uid="{00000000-0005-0000-0000-000011220000}"/>
    <cellStyle name="Accent5 32 2 2" xfId="16081" xr:uid="{00000000-0005-0000-0000-000012220000}"/>
    <cellStyle name="Accent5 33" xfId="6642" xr:uid="{00000000-0005-0000-0000-000013220000}"/>
    <cellStyle name="Accent5 33 2" xfId="6643" xr:uid="{00000000-0005-0000-0000-000014220000}"/>
    <cellStyle name="Accent5 33 2 2" xfId="16082" xr:uid="{00000000-0005-0000-0000-000015220000}"/>
    <cellStyle name="Accent5 34" xfId="6644" xr:uid="{00000000-0005-0000-0000-000016220000}"/>
    <cellStyle name="Accent5 34 2" xfId="6645" xr:uid="{00000000-0005-0000-0000-000017220000}"/>
    <cellStyle name="Accent5 34 2 2" xfId="16083" xr:uid="{00000000-0005-0000-0000-000018220000}"/>
    <cellStyle name="Accent5 35" xfId="6646" xr:uid="{00000000-0005-0000-0000-000019220000}"/>
    <cellStyle name="Accent5 35 2" xfId="6647" xr:uid="{00000000-0005-0000-0000-00001A220000}"/>
    <cellStyle name="Accent5 35 2 2" xfId="16084" xr:uid="{00000000-0005-0000-0000-00001B220000}"/>
    <cellStyle name="Accent5 36" xfId="6648" xr:uid="{00000000-0005-0000-0000-00001C220000}"/>
    <cellStyle name="Accent5 37" xfId="6649" xr:uid="{00000000-0005-0000-0000-00001D220000}"/>
    <cellStyle name="Accent5 38" xfId="6650" xr:uid="{00000000-0005-0000-0000-00001E220000}"/>
    <cellStyle name="Accent5 39" xfId="6651" xr:uid="{00000000-0005-0000-0000-00001F220000}"/>
    <cellStyle name="Accent5 4" xfId="6652" xr:uid="{00000000-0005-0000-0000-000020220000}"/>
    <cellStyle name="Accent5 4 10" xfId="6653" xr:uid="{00000000-0005-0000-0000-000021220000}"/>
    <cellStyle name="Accent5 4 10 2" xfId="16085" xr:uid="{00000000-0005-0000-0000-000022220000}"/>
    <cellStyle name="Accent5 4 11" xfId="6654" xr:uid="{00000000-0005-0000-0000-000023220000}"/>
    <cellStyle name="Accent5 4 11 2" xfId="16086" xr:uid="{00000000-0005-0000-0000-000024220000}"/>
    <cellStyle name="Accent5 4 2" xfId="6655" xr:uid="{00000000-0005-0000-0000-000025220000}"/>
    <cellStyle name="Accent5 4 2 2" xfId="6656" xr:uid="{00000000-0005-0000-0000-000026220000}"/>
    <cellStyle name="Accent5 4 2 2 2" xfId="16087" xr:uid="{00000000-0005-0000-0000-000027220000}"/>
    <cellStyle name="Accent5 4 3" xfId="6657" xr:uid="{00000000-0005-0000-0000-000028220000}"/>
    <cellStyle name="Accent5 4 3 2" xfId="6658" xr:uid="{00000000-0005-0000-0000-000029220000}"/>
    <cellStyle name="Accent5 4 3 2 2" xfId="16088" xr:uid="{00000000-0005-0000-0000-00002A220000}"/>
    <cellStyle name="Accent5 4 4" xfId="6659" xr:uid="{00000000-0005-0000-0000-00002B220000}"/>
    <cellStyle name="Accent5 4 4 2" xfId="6660" xr:uid="{00000000-0005-0000-0000-00002C220000}"/>
    <cellStyle name="Accent5 4 4 3" xfId="16089" xr:uid="{00000000-0005-0000-0000-00002D220000}"/>
    <cellStyle name="Accent5 4 5" xfId="6661" xr:uid="{00000000-0005-0000-0000-00002E220000}"/>
    <cellStyle name="Accent5 4 5 2" xfId="16090" xr:uid="{00000000-0005-0000-0000-00002F220000}"/>
    <cellStyle name="Accent5 4 6" xfId="6662" xr:uid="{00000000-0005-0000-0000-000030220000}"/>
    <cellStyle name="Accent5 4 6 2" xfId="16091" xr:uid="{00000000-0005-0000-0000-000031220000}"/>
    <cellStyle name="Accent5 4 7" xfId="6663" xr:uid="{00000000-0005-0000-0000-000032220000}"/>
    <cellStyle name="Accent5 4 7 2" xfId="16092" xr:uid="{00000000-0005-0000-0000-000033220000}"/>
    <cellStyle name="Accent5 4 8" xfId="6664" xr:uid="{00000000-0005-0000-0000-000034220000}"/>
    <cellStyle name="Accent5 4 8 2" xfId="16093" xr:uid="{00000000-0005-0000-0000-000035220000}"/>
    <cellStyle name="Accent5 4 9" xfId="6665" xr:uid="{00000000-0005-0000-0000-000036220000}"/>
    <cellStyle name="Accent5 4 9 2" xfId="16094" xr:uid="{00000000-0005-0000-0000-000037220000}"/>
    <cellStyle name="Accent5 5" xfId="6666" xr:uid="{00000000-0005-0000-0000-000038220000}"/>
    <cellStyle name="Accent5 5 10" xfId="6667" xr:uid="{00000000-0005-0000-0000-000039220000}"/>
    <cellStyle name="Accent5 5 10 2" xfId="16095" xr:uid="{00000000-0005-0000-0000-00003A220000}"/>
    <cellStyle name="Accent5 5 11" xfId="6668" xr:uid="{00000000-0005-0000-0000-00003B220000}"/>
    <cellStyle name="Accent5 5 11 2" xfId="16096" xr:uid="{00000000-0005-0000-0000-00003C220000}"/>
    <cellStyle name="Accent5 5 2" xfId="6669" xr:uid="{00000000-0005-0000-0000-00003D220000}"/>
    <cellStyle name="Accent5 5 2 2" xfId="6670" xr:uid="{00000000-0005-0000-0000-00003E220000}"/>
    <cellStyle name="Accent5 5 2 2 2" xfId="16097" xr:uid="{00000000-0005-0000-0000-00003F220000}"/>
    <cellStyle name="Accent5 5 3" xfId="6671" xr:uid="{00000000-0005-0000-0000-000040220000}"/>
    <cellStyle name="Accent5 5 3 2" xfId="6672" xr:uid="{00000000-0005-0000-0000-000041220000}"/>
    <cellStyle name="Accent5 5 3 2 2" xfId="16098" xr:uid="{00000000-0005-0000-0000-000042220000}"/>
    <cellStyle name="Accent5 5 4" xfId="6673" xr:uid="{00000000-0005-0000-0000-000043220000}"/>
    <cellStyle name="Accent5 5 4 2" xfId="6674" xr:uid="{00000000-0005-0000-0000-000044220000}"/>
    <cellStyle name="Accent5 5 4 3" xfId="16099" xr:uid="{00000000-0005-0000-0000-000045220000}"/>
    <cellStyle name="Accent5 5 5" xfId="6675" xr:uid="{00000000-0005-0000-0000-000046220000}"/>
    <cellStyle name="Accent5 5 5 2" xfId="16100" xr:uid="{00000000-0005-0000-0000-000047220000}"/>
    <cellStyle name="Accent5 5 6" xfId="6676" xr:uid="{00000000-0005-0000-0000-000048220000}"/>
    <cellStyle name="Accent5 5 6 2" xfId="16101" xr:uid="{00000000-0005-0000-0000-000049220000}"/>
    <cellStyle name="Accent5 5 7" xfId="6677" xr:uid="{00000000-0005-0000-0000-00004A220000}"/>
    <cellStyle name="Accent5 5 7 2" xfId="16102" xr:uid="{00000000-0005-0000-0000-00004B220000}"/>
    <cellStyle name="Accent5 5 8" xfId="6678" xr:uid="{00000000-0005-0000-0000-00004C220000}"/>
    <cellStyle name="Accent5 5 8 2" xfId="16103" xr:uid="{00000000-0005-0000-0000-00004D220000}"/>
    <cellStyle name="Accent5 5 9" xfId="6679" xr:uid="{00000000-0005-0000-0000-00004E220000}"/>
    <cellStyle name="Accent5 5 9 2" xfId="16104" xr:uid="{00000000-0005-0000-0000-00004F220000}"/>
    <cellStyle name="Accent5 6" xfId="6680" xr:uid="{00000000-0005-0000-0000-000050220000}"/>
    <cellStyle name="Accent5 6 10" xfId="6681" xr:uid="{00000000-0005-0000-0000-000051220000}"/>
    <cellStyle name="Accent5 6 10 2" xfId="16105" xr:uid="{00000000-0005-0000-0000-000052220000}"/>
    <cellStyle name="Accent5 6 11" xfId="6682" xr:uid="{00000000-0005-0000-0000-000053220000}"/>
    <cellStyle name="Accent5 6 11 2" xfId="16106" xr:uid="{00000000-0005-0000-0000-000054220000}"/>
    <cellStyle name="Accent5 6 2" xfId="6683" xr:uid="{00000000-0005-0000-0000-000055220000}"/>
    <cellStyle name="Accent5 6 2 2" xfId="6684" xr:uid="{00000000-0005-0000-0000-000056220000}"/>
    <cellStyle name="Accent5 6 2 2 2" xfId="16107" xr:uid="{00000000-0005-0000-0000-000057220000}"/>
    <cellStyle name="Accent5 6 3" xfId="6685" xr:uid="{00000000-0005-0000-0000-000058220000}"/>
    <cellStyle name="Accent5 6 3 2" xfId="6686" xr:uid="{00000000-0005-0000-0000-000059220000}"/>
    <cellStyle name="Accent5 6 3 2 2" xfId="16108" xr:uid="{00000000-0005-0000-0000-00005A220000}"/>
    <cellStyle name="Accent5 6 4" xfId="6687" xr:uid="{00000000-0005-0000-0000-00005B220000}"/>
    <cellStyle name="Accent5 6 4 2" xfId="6688" xr:uid="{00000000-0005-0000-0000-00005C220000}"/>
    <cellStyle name="Accent5 6 4 3" xfId="16109" xr:uid="{00000000-0005-0000-0000-00005D220000}"/>
    <cellStyle name="Accent5 6 5" xfId="6689" xr:uid="{00000000-0005-0000-0000-00005E220000}"/>
    <cellStyle name="Accent5 6 5 2" xfId="16110" xr:uid="{00000000-0005-0000-0000-00005F220000}"/>
    <cellStyle name="Accent5 6 6" xfId="6690" xr:uid="{00000000-0005-0000-0000-000060220000}"/>
    <cellStyle name="Accent5 6 6 2" xfId="16111" xr:uid="{00000000-0005-0000-0000-000061220000}"/>
    <cellStyle name="Accent5 6 7" xfId="6691" xr:uid="{00000000-0005-0000-0000-000062220000}"/>
    <cellStyle name="Accent5 6 7 2" xfId="16112" xr:uid="{00000000-0005-0000-0000-000063220000}"/>
    <cellStyle name="Accent5 6 8" xfId="6692" xr:uid="{00000000-0005-0000-0000-000064220000}"/>
    <cellStyle name="Accent5 6 8 2" xfId="16113" xr:uid="{00000000-0005-0000-0000-000065220000}"/>
    <cellStyle name="Accent5 6 9" xfId="6693" xr:uid="{00000000-0005-0000-0000-000066220000}"/>
    <cellStyle name="Accent5 6 9 2" xfId="16114" xr:uid="{00000000-0005-0000-0000-000067220000}"/>
    <cellStyle name="Accent5 7" xfId="6694" xr:uid="{00000000-0005-0000-0000-000068220000}"/>
    <cellStyle name="Accent5 7 10" xfId="6695" xr:uid="{00000000-0005-0000-0000-000069220000}"/>
    <cellStyle name="Accent5 7 10 2" xfId="16115" xr:uid="{00000000-0005-0000-0000-00006A220000}"/>
    <cellStyle name="Accent5 7 11" xfId="6696" xr:uid="{00000000-0005-0000-0000-00006B220000}"/>
    <cellStyle name="Accent5 7 11 2" xfId="16116" xr:uid="{00000000-0005-0000-0000-00006C220000}"/>
    <cellStyle name="Accent5 7 2" xfId="6697" xr:uid="{00000000-0005-0000-0000-00006D220000}"/>
    <cellStyle name="Accent5 7 2 2" xfId="6698" xr:uid="{00000000-0005-0000-0000-00006E220000}"/>
    <cellStyle name="Accent5 7 2 2 2" xfId="16117" xr:uid="{00000000-0005-0000-0000-00006F220000}"/>
    <cellStyle name="Accent5 7 3" xfId="6699" xr:uid="{00000000-0005-0000-0000-000070220000}"/>
    <cellStyle name="Accent5 7 3 2" xfId="6700" xr:uid="{00000000-0005-0000-0000-000071220000}"/>
    <cellStyle name="Accent5 7 3 2 2" xfId="16118" xr:uid="{00000000-0005-0000-0000-000072220000}"/>
    <cellStyle name="Accent5 7 4" xfId="6701" xr:uid="{00000000-0005-0000-0000-000073220000}"/>
    <cellStyle name="Accent5 7 4 2" xfId="6702" xr:uid="{00000000-0005-0000-0000-000074220000}"/>
    <cellStyle name="Accent5 7 4 3" xfId="16119" xr:uid="{00000000-0005-0000-0000-000075220000}"/>
    <cellStyle name="Accent5 7 5" xfId="6703" xr:uid="{00000000-0005-0000-0000-000076220000}"/>
    <cellStyle name="Accent5 7 5 2" xfId="16120" xr:uid="{00000000-0005-0000-0000-000077220000}"/>
    <cellStyle name="Accent5 7 6" xfId="6704" xr:uid="{00000000-0005-0000-0000-000078220000}"/>
    <cellStyle name="Accent5 7 6 2" xfId="16121" xr:uid="{00000000-0005-0000-0000-000079220000}"/>
    <cellStyle name="Accent5 7 7" xfId="6705" xr:uid="{00000000-0005-0000-0000-00007A220000}"/>
    <cellStyle name="Accent5 7 7 2" xfId="16122" xr:uid="{00000000-0005-0000-0000-00007B220000}"/>
    <cellStyle name="Accent5 7 8" xfId="6706" xr:uid="{00000000-0005-0000-0000-00007C220000}"/>
    <cellStyle name="Accent5 7 8 2" xfId="16123" xr:uid="{00000000-0005-0000-0000-00007D220000}"/>
    <cellStyle name="Accent5 7 9" xfId="6707" xr:uid="{00000000-0005-0000-0000-00007E220000}"/>
    <cellStyle name="Accent5 7 9 2" xfId="16124" xr:uid="{00000000-0005-0000-0000-00007F220000}"/>
    <cellStyle name="Accent5 8" xfId="6708" xr:uid="{00000000-0005-0000-0000-000080220000}"/>
    <cellStyle name="Accent5 8 10" xfId="6709" xr:uid="{00000000-0005-0000-0000-000081220000}"/>
    <cellStyle name="Accent5 8 10 2" xfId="16125" xr:uid="{00000000-0005-0000-0000-000082220000}"/>
    <cellStyle name="Accent5 8 11" xfId="6710" xr:uid="{00000000-0005-0000-0000-000083220000}"/>
    <cellStyle name="Accent5 8 11 2" xfId="16126" xr:uid="{00000000-0005-0000-0000-000084220000}"/>
    <cellStyle name="Accent5 8 2" xfId="6711" xr:uid="{00000000-0005-0000-0000-000085220000}"/>
    <cellStyle name="Accent5 8 2 2" xfId="6712" xr:uid="{00000000-0005-0000-0000-000086220000}"/>
    <cellStyle name="Accent5 8 2 2 2" xfId="16127" xr:uid="{00000000-0005-0000-0000-000087220000}"/>
    <cellStyle name="Accent5 8 3" xfId="6713" xr:uid="{00000000-0005-0000-0000-000088220000}"/>
    <cellStyle name="Accent5 8 3 2" xfId="6714" xr:uid="{00000000-0005-0000-0000-000089220000}"/>
    <cellStyle name="Accent5 8 3 2 2" xfId="16128" xr:uid="{00000000-0005-0000-0000-00008A220000}"/>
    <cellStyle name="Accent5 8 4" xfId="6715" xr:uid="{00000000-0005-0000-0000-00008B220000}"/>
    <cellStyle name="Accent5 8 4 2" xfId="6716" xr:uid="{00000000-0005-0000-0000-00008C220000}"/>
    <cellStyle name="Accent5 8 4 3" xfId="16129" xr:uid="{00000000-0005-0000-0000-00008D220000}"/>
    <cellStyle name="Accent5 8 5" xfId="6717" xr:uid="{00000000-0005-0000-0000-00008E220000}"/>
    <cellStyle name="Accent5 8 5 2" xfId="16130" xr:uid="{00000000-0005-0000-0000-00008F220000}"/>
    <cellStyle name="Accent5 8 6" xfId="6718" xr:uid="{00000000-0005-0000-0000-000090220000}"/>
    <cellStyle name="Accent5 8 6 2" xfId="16131" xr:uid="{00000000-0005-0000-0000-000091220000}"/>
    <cellStyle name="Accent5 8 7" xfId="6719" xr:uid="{00000000-0005-0000-0000-000092220000}"/>
    <cellStyle name="Accent5 8 7 2" xfId="16132" xr:uid="{00000000-0005-0000-0000-000093220000}"/>
    <cellStyle name="Accent5 8 8" xfId="6720" xr:uid="{00000000-0005-0000-0000-000094220000}"/>
    <cellStyle name="Accent5 8 8 2" xfId="16133" xr:uid="{00000000-0005-0000-0000-000095220000}"/>
    <cellStyle name="Accent5 8 9" xfId="6721" xr:uid="{00000000-0005-0000-0000-000096220000}"/>
    <cellStyle name="Accent5 8 9 2" xfId="16134" xr:uid="{00000000-0005-0000-0000-000097220000}"/>
    <cellStyle name="Accent5 9" xfId="6722" xr:uid="{00000000-0005-0000-0000-000098220000}"/>
    <cellStyle name="Accent5 9 10" xfId="6723" xr:uid="{00000000-0005-0000-0000-000099220000}"/>
    <cellStyle name="Accent5 9 10 2" xfId="16135" xr:uid="{00000000-0005-0000-0000-00009A220000}"/>
    <cellStyle name="Accent5 9 11" xfId="6724" xr:uid="{00000000-0005-0000-0000-00009B220000}"/>
    <cellStyle name="Accent5 9 11 2" xfId="16136" xr:uid="{00000000-0005-0000-0000-00009C220000}"/>
    <cellStyle name="Accent5 9 2" xfId="6725" xr:uid="{00000000-0005-0000-0000-00009D220000}"/>
    <cellStyle name="Accent5 9 2 2" xfId="6726" xr:uid="{00000000-0005-0000-0000-00009E220000}"/>
    <cellStyle name="Accent5 9 2 2 2" xfId="16137" xr:uid="{00000000-0005-0000-0000-00009F220000}"/>
    <cellStyle name="Accent5 9 3" xfId="6727" xr:uid="{00000000-0005-0000-0000-0000A0220000}"/>
    <cellStyle name="Accent5 9 3 2" xfId="6728" xr:uid="{00000000-0005-0000-0000-0000A1220000}"/>
    <cellStyle name="Accent5 9 3 2 2" xfId="16138" xr:uid="{00000000-0005-0000-0000-0000A2220000}"/>
    <cellStyle name="Accent5 9 4" xfId="6729" xr:uid="{00000000-0005-0000-0000-0000A3220000}"/>
    <cellStyle name="Accent5 9 4 2" xfId="6730" xr:uid="{00000000-0005-0000-0000-0000A4220000}"/>
    <cellStyle name="Accent5 9 4 3" xfId="16139" xr:uid="{00000000-0005-0000-0000-0000A5220000}"/>
    <cellStyle name="Accent5 9 5" xfId="6731" xr:uid="{00000000-0005-0000-0000-0000A6220000}"/>
    <cellStyle name="Accent5 9 5 2" xfId="16140" xr:uid="{00000000-0005-0000-0000-0000A7220000}"/>
    <cellStyle name="Accent5 9 6" xfId="6732" xr:uid="{00000000-0005-0000-0000-0000A8220000}"/>
    <cellStyle name="Accent5 9 6 2" xfId="16141" xr:uid="{00000000-0005-0000-0000-0000A9220000}"/>
    <cellStyle name="Accent5 9 7" xfId="6733" xr:uid="{00000000-0005-0000-0000-0000AA220000}"/>
    <cellStyle name="Accent5 9 7 2" xfId="16142" xr:uid="{00000000-0005-0000-0000-0000AB220000}"/>
    <cellStyle name="Accent5 9 8" xfId="6734" xr:uid="{00000000-0005-0000-0000-0000AC220000}"/>
    <cellStyle name="Accent5 9 8 2" xfId="16143" xr:uid="{00000000-0005-0000-0000-0000AD220000}"/>
    <cellStyle name="Accent5 9 9" xfId="6735" xr:uid="{00000000-0005-0000-0000-0000AE220000}"/>
    <cellStyle name="Accent5 9 9 2" xfId="16144" xr:uid="{00000000-0005-0000-0000-0000AF220000}"/>
    <cellStyle name="Accent6 10" xfId="6736" xr:uid="{00000000-0005-0000-0000-0000B0220000}"/>
    <cellStyle name="Accent6 10 10" xfId="6737" xr:uid="{00000000-0005-0000-0000-0000B1220000}"/>
    <cellStyle name="Accent6 10 10 2" xfId="16145" xr:uid="{00000000-0005-0000-0000-0000B2220000}"/>
    <cellStyle name="Accent6 10 11" xfId="6738" xr:uid="{00000000-0005-0000-0000-0000B3220000}"/>
    <cellStyle name="Accent6 10 11 2" xfId="16146" xr:uid="{00000000-0005-0000-0000-0000B4220000}"/>
    <cellStyle name="Accent6 10 2" xfId="6739" xr:uid="{00000000-0005-0000-0000-0000B5220000}"/>
    <cellStyle name="Accent6 10 2 2" xfId="6740" xr:uid="{00000000-0005-0000-0000-0000B6220000}"/>
    <cellStyle name="Accent6 10 2 2 2" xfId="16147" xr:uid="{00000000-0005-0000-0000-0000B7220000}"/>
    <cellStyle name="Accent6 10 3" xfId="6741" xr:uid="{00000000-0005-0000-0000-0000B8220000}"/>
    <cellStyle name="Accent6 10 3 2" xfId="6742" xr:uid="{00000000-0005-0000-0000-0000B9220000}"/>
    <cellStyle name="Accent6 10 3 2 2" xfId="16148" xr:uid="{00000000-0005-0000-0000-0000BA220000}"/>
    <cellStyle name="Accent6 10 4" xfId="6743" xr:uid="{00000000-0005-0000-0000-0000BB220000}"/>
    <cellStyle name="Accent6 10 4 2" xfId="6744" xr:uid="{00000000-0005-0000-0000-0000BC220000}"/>
    <cellStyle name="Accent6 10 4 3" xfId="16149" xr:uid="{00000000-0005-0000-0000-0000BD220000}"/>
    <cellStyle name="Accent6 10 5" xfId="6745" xr:uid="{00000000-0005-0000-0000-0000BE220000}"/>
    <cellStyle name="Accent6 10 5 2" xfId="16150" xr:uid="{00000000-0005-0000-0000-0000BF220000}"/>
    <cellStyle name="Accent6 10 6" xfId="6746" xr:uid="{00000000-0005-0000-0000-0000C0220000}"/>
    <cellStyle name="Accent6 10 6 2" xfId="16151" xr:uid="{00000000-0005-0000-0000-0000C1220000}"/>
    <cellStyle name="Accent6 10 7" xfId="6747" xr:uid="{00000000-0005-0000-0000-0000C2220000}"/>
    <cellStyle name="Accent6 10 7 2" xfId="16152" xr:uid="{00000000-0005-0000-0000-0000C3220000}"/>
    <cellStyle name="Accent6 10 8" xfId="6748" xr:uid="{00000000-0005-0000-0000-0000C4220000}"/>
    <cellStyle name="Accent6 10 8 2" xfId="16153" xr:uid="{00000000-0005-0000-0000-0000C5220000}"/>
    <cellStyle name="Accent6 10 9" xfId="6749" xr:uid="{00000000-0005-0000-0000-0000C6220000}"/>
    <cellStyle name="Accent6 10 9 2" xfId="16154" xr:uid="{00000000-0005-0000-0000-0000C7220000}"/>
    <cellStyle name="Accent6 11" xfId="6750" xr:uid="{00000000-0005-0000-0000-0000C8220000}"/>
    <cellStyle name="Accent6 11 10" xfId="6751" xr:uid="{00000000-0005-0000-0000-0000C9220000}"/>
    <cellStyle name="Accent6 11 10 2" xfId="16155" xr:uid="{00000000-0005-0000-0000-0000CA220000}"/>
    <cellStyle name="Accent6 11 11" xfId="6752" xr:uid="{00000000-0005-0000-0000-0000CB220000}"/>
    <cellStyle name="Accent6 11 11 2" xfId="16156" xr:uid="{00000000-0005-0000-0000-0000CC220000}"/>
    <cellStyle name="Accent6 11 2" xfId="6753" xr:uid="{00000000-0005-0000-0000-0000CD220000}"/>
    <cellStyle name="Accent6 11 2 2" xfId="6754" xr:uid="{00000000-0005-0000-0000-0000CE220000}"/>
    <cellStyle name="Accent6 11 2 2 2" xfId="16157" xr:uid="{00000000-0005-0000-0000-0000CF220000}"/>
    <cellStyle name="Accent6 11 3" xfId="6755" xr:uid="{00000000-0005-0000-0000-0000D0220000}"/>
    <cellStyle name="Accent6 11 3 2" xfId="6756" xr:uid="{00000000-0005-0000-0000-0000D1220000}"/>
    <cellStyle name="Accent6 11 3 2 2" xfId="16158" xr:uid="{00000000-0005-0000-0000-0000D2220000}"/>
    <cellStyle name="Accent6 11 4" xfId="6757" xr:uid="{00000000-0005-0000-0000-0000D3220000}"/>
    <cellStyle name="Accent6 11 4 2" xfId="6758" xr:uid="{00000000-0005-0000-0000-0000D4220000}"/>
    <cellStyle name="Accent6 11 4 3" xfId="16159" xr:uid="{00000000-0005-0000-0000-0000D5220000}"/>
    <cellStyle name="Accent6 11 5" xfId="6759" xr:uid="{00000000-0005-0000-0000-0000D6220000}"/>
    <cellStyle name="Accent6 11 5 2" xfId="16160" xr:uid="{00000000-0005-0000-0000-0000D7220000}"/>
    <cellStyle name="Accent6 11 6" xfId="6760" xr:uid="{00000000-0005-0000-0000-0000D8220000}"/>
    <cellStyle name="Accent6 11 6 2" xfId="16161" xr:uid="{00000000-0005-0000-0000-0000D9220000}"/>
    <cellStyle name="Accent6 11 7" xfId="6761" xr:uid="{00000000-0005-0000-0000-0000DA220000}"/>
    <cellStyle name="Accent6 11 7 2" xfId="16162" xr:uid="{00000000-0005-0000-0000-0000DB220000}"/>
    <cellStyle name="Accent6 11 8" xfId="6762" xr:uid="{00000000-0005-0000-0000-0000DC220000}"/>
    <cellStyle name="Accent6 11 8 2" xfId="16163" xr:uid="{00000000-0005-0000-0000-0000DD220000}"/>
    <cellStyle name="Accent6 11 9" xfId="6763" xr:uid="{00000000-0005-0000-0000-0000DE220000}"/>
    <cellStyle name="Accent6 11 9 2" xfId="16164" xr:uid="{00000000-0005-0000-0000-0000DF220000}"/>
    <cellStyle name="Accent6 12" xfId="6764" xr:uid="{00000000-0005-0000-0000-0000E0220000}"/>
    <cellStyle name="Accent6 12 10" xfId="6765" xr:uid="{00000000-0005-0000-0000-0000E1220000}"/>
    <cellStyle name="Accent6 12 10 2" xfId="16165" xr:uid="{00000000-0005-0000-0000-0000E2220000}"/>
    <cellStyle name="Accent6 12 11" xfId="6766" xr:uid="{00000000-0005-0000-0000-0000E3220000}"/>
    <cellStyle name="Accent6 12 11 2" xfId="16166" xr:uid="{00000000-0005-0000-0000-0000E4220000}"/>
    <cellStyle name="Accent6 12 2" xfId="6767" xr:uid="{00000000-0005-0000-0000-0000E5220000}"/>
    <cellStyle name="Accent6 12 2 2" xfId="6768" xr:uid="{00000000-0005-0000-0000-0000E6220000}"/>
    <cellStyle name="Accent6 12 2 2 2" xfId="16167" xr:uid="{00000000-0005-0000-0000-0000E7220000}"/>
    <cellStyle name="Accent6 12 3" xfId="6769" xr:uid="{00000000-0005-0000-0000-0000E8220000}"/>
    <cellStyle name="Accent6 12 3 2" xfId="6770" xr:uid="{00000000-0005-0000-0000-0000E9220000}"/>
    <cellStyle name="Accent6 12 3 2 2" xfId="16168" xr:uid="{00000000-0005-0000-0000-0000EA220000}"/>
    <cellStyle name="Accent6 12 4" xfId="6771" xr:uid="{00000000-0005-0000-0000-0000EB220000}"/>
    <cellStyle name="Accent6 12 4 2" xfId="6772" xr:uid="{00000000-0005-0000-0000-0000EC220000}"/>
    <cellStyle name="Accent6 12 4 3" xfId="16169" xr:uid="{00000000-0005-0000-0000-0000ED220000}"/>
    <cellStyle name="Accent6 12 5" xfId="6773" xr:uid="{00000000-0005-0000-0000-0000EE220000}"/>
    <cellStyle name="Accent6 12 5 2" xfId="16170" xr:uid="{00000000-0005-0000-0000-0000EF220000}"/>
    <cellStyle name="Accent6 12 6" xfId="6774" xr:uid="{00000000-0005-0000-0000-0000F0220000}"/>
    <cellStyle name="Accent6 12 6 2" xfId="16171" xr:uid="{00000000-0005-0000-0000-0000F1220000}"/>
    <cellStyle name="Accent6 12 7" xfId="6775" xr:uid="{00000000-0005-0000-0000-0000F2220000}"/>
    <cellStyle name="Accent6 12 7 2" xfId="16172" xr:uid="{00000000-0005-0000-0000-0000F3220000}"/>
    <cellStyle name="Accent6 12 8" xfId="6776" xr:uid="{00000000-0005-0000-0000-0000F4220000}"/>
    <cellStyle name="Accent6 12 8 2" xfId="16173" xr:uid="{00000000-0005-0000-0000-0000F5220000}"/>
    <cellStyle name="Accent6 12 9" xfId="6777" xr:uid="{00000000-0005-0000-0000-0000F6220000}"/>
    <cellStyle name="Accent6 12 9 2" xfId="16174" xr:uid="{00000000-0005-0000-0000-0000F7220000}"/>
    <cellStyle name="Accent6 13" xfId="6778" xr:uid="{00000000-0005-0000-0000-0000F8220000}"/>
    <cellStyle name="Accent6 13 10" xfId="6779" xr:uid="{00000000-0005-0000-0000-0000F9220000}"/>
    <cellStyle name="Accent6 13 10 2" xfId="16175" xr:uid="{00000000-0005-0000-0000-0000FA220000}"/>
    <cellStyle name="Accent6 13 11" xfId="6780" xr:uid="{00000000-0005-0000-0000-0000FB220000}"/>
    <cellStyle name="Accent6 13 11 2" xfId="16176" xr:uid="{00000000-0005-0000-0000-0000FC220000}"/>
    <cellStyle name="Accent6 13 2" xfId="6781" xr:uid="{00000000-0005-0000-0000-0000FD220000}"/>
    <cellStyle name="Accent6 13 2 2" xfId="6782" xr:uid="{00000000-0005-0000-0000-0000FE220000}"/>
    <cellStyle name="Accent6 13 2 2 2" xfId="16177" xr:uid="{00000000-0005-0000-0000-0000FF220000}"/>
    <cellStyle name="Accent6 13 3" xfId="6783" xr:uid="{00000000-0005-0000-0000-000000230000}"/>
    <cellStyle name="Accent6 13 3 2" xfId="6784" xr:uid="{00000000-0005-0000-0000-000001230000}"/>
    <cellStyle name="Accent6 13 3 2 2" xfId="16178" xr:uid="{00000000-0005-0000-0000-000002230000}"/>
    <cellStyle name="Accent6 13 4" xfId="6785" xr:uid="{00000000-0005-0000-0000-000003230000}"/>
    <cellStyle name="Accent6 13 4 2" xfId="16179" xr:uid="{00000000-0005-0000-0000-000004230000}"/>
    <cellStyle name="Accent6 13 5" xfId="6786" xr:uid="{00000000-0005-0000-0000-000005230000}"/>
    <cellStyle name="Accent6 13 5 2" xfId="16180" xr:uid="{00000000-0005-0000-0000-000006230000}"/>
    <cellStyle name="Accent6 13 6" xfId="6787" xr:uid="{00000000-0005-0000-0000-000007230000}"/>
    <cellStyle name="Accent6 13 6 2" xfId="16181" xr:uid="{00000000-0005-0000-0000-000008230000}"/>
    <cellStyle name="Accent6 13 7" xfId="6788" xr:uid="{00000000-0005-0000-0000-000009230000}"/>
    <cellStyle name="Accent6 13 7 2" xfId="16182" xr:uid="{00000000-0005-0000-0000-00000A230000}"/>
    <cellStyle name="Accent6 13 8" xfId="6789" xr:uid="{00000000-0005-0000-0000-00000B230000}"/>
    <cellStyle name="Accent6 13 8 2" xfId="16183" xr:uid="{00000000-0005-0000-0000-00000C230000}"/>
    <cellStyle name="Accent6 13 9" xfId="6790" xr:uid="{00000000-0005-0000-0000-00000D230000}"/>
    <cellStyle name="Accent6 13 9 2" xfId="16184" xr:uid="{00000000-0005-0000-0000-00000E230000}"/>
    <cellStyle name="Accent6 14" xfId="6791" xr:uid="{00000000-0005-0000-0000-00000F230000}"/>
    <cellStyle name="Accent6 14 10" xfId="6792" xr:uid="{00000000-0005-0000-0000-000010230000}"/>
    <cellStyle name="Accent6 14 10 2" xfId="16185" xr:uid="{00000000-0005-0000-0000-000011230000}"/>
    <cellStyle name="Accent6 14 11" xfId="6793" xr:uid="{00000000-0005-0000-0000-000012230000}"/>
    <cellStyle name="Accent6 14 11 2" xfId="16186" xr:uid="{00000000-0005-0000-0000-000013230000}"/>
    <cellStyle name="Accent6 14 2" xfId="6794" xr:uid="{00000000-0005-0000-0000-000014230000}"/>
    <cellStyle name="Accent6 14 2 2" xfId="6795" xr:uid="{00000000-0005-0000-0000-000015230000}"/>
    <cellStyle name="Accent6 14 2 2 2" xfId="16187" xr:uid="{00000000-0005-0000-0000-000016230000}"/>
    <cellStyle name="Accent6 14 3" xfId="6796" xr:uid="{00000000-0005-0000-0000-000017230000}"/>
    <cellStyle name="Accent6 14 3 2" xfId="6797" xr:uid="{00000000-0005-0000-0000-000018230000}"/>
    <cellStyle name="Accent6 14 3 2 2" xfId="16188" xr:uid="{00000000-0005-0000-0000-000019230000}"/>
    <cellStyle name="Accent6 14 4" xfId="6798" xr:uid="{00000000-0005-0000-0000-00001A230000}"/>
    <cellStyle name="Accent6 14 4 2" xfId="16189" xr:uid="{00000000-0005-0000-0000-00001B230000}"/>
    <cellStyle name="Accent6 14 5" xfId="6799" xr:uid="{00000000-0005-0000-0000-00001C230000}"/>
    <cellStyle name="Accent6 14 5 2" xfId="16190" xr:uid="{00000000-0005-0000-0000-00001D230000}"/>
    <cellStyle name="Accent6 14 6" xfId="6800" xr:uid="{00000000-0005-0000-0000-00001E230000}"/>
    <cellStyle name="Accent6 14 6 2" xfId="16191" xr:uid="{00000000-0005-0000-0000-00001F230000}"/>
    <cellStyle name="Accent6 14 7" xfId="6801" xr:uid="{00000000-0005-0000-0000-000020230000}"/>
    <cellStyle name="Accent6 14 7 2" xfId="16192" xr:uid="{00000000-0005-0000-0000-000021230000}"/>
    <cellStyle name="Accent6 14 8" xfId="6802" xr:uid="{00000000-0005-0000-0000-000022230000}"/>
    <cellStyle name="Accent6 14 8 2" xfId="16193" xr:uid="{00000000-0005-0000-0000-000023230000}"/>
    <cellStyle name="Accent6 14 9" xfId="6803" xr:uid="{00000000-0005-0000-0000-000024230000}"/>
    <cellStyle name="Accent6 14 9 2" xfId="16194" xr:uid="{00000000-0005-0000-0000-000025230000}"/>
    <cellStyle name="Accent6 15" xfId="6804" xr:uid="{00000000-0005-0000-0000-000026230000}"/>
    <cellStyle name="Accent6 15 10" xfId="6805" xr:uid="{00000000-0005-0000-0000-000027230000}"/>
    <cellStyle name="Accent6 15 10 2" xfId="16195" xr:uid="{00000000-0005-0000-0000-000028230000}"/>
    <cellStyle name="Accent6 15 11" xfId="6806" xr:uid="{00000000-0005-0000-0000-000029230000}"/>
    <cellStyle name="Accent6 15 11 2" xfId="16196" xr:uid="{00000000-0005-0000-0000-00002A230000}"/>
    <cellStyle name="Accent6 15 2" xfId="6807" xr:uid="{00000000-0005-0000-0000-00002B230000}"/>
    <cellStyle name="Accent6 15 2 2" xfId="6808" xr:uid="{00000000-0005-0000-0000-00002C230000}"/>
    <cellStyle name="Accent6 15 2 2 2" xfId="16197" xr:uid="{00000000-0005-0000-0000-00002D230000}"/>
    <cellStyle name="Accent6 15 3" xfId="6809" xr:uid="{00000000-0005-0000-0000-00002E230000}"/>
    <cellStyle name="Accent6 15 3 2" xfId="6810" xr:uid="{00000000-0005-0000-0000-00002F230000}"/>
    <cellStyle name="Accent6 15 3 2 2" xfId="16198" xr:uid="{00000000-0005-0000-0000-000030230000}"/>
    <cellStyle name="Accent6 15 4" xfId="6811" xr:uid="{00000000-0005-0000-0000-000031230000}"/>
    <cellStyle name="Accent6 15 4 2" xfId="16199" xr:uid="{00000000-0005-0000-0000-000032230000}"/>
    <cellStyle name="Accent6 15 5" xfId="6812" xr:uid="{00000000-0005-0000-0000-000033230000}"/>
    <cellStyle name="Accent6 15 5 2" xfId="16200" xr:uid="{00000000-0005-0000-0000-000034230000}"/>
    <cellStyle name="Accent6 15 6" xfId="6813" xr:uid="{00000000-0005-0000-0000-000035230000}"/>
    <cellStyle name="Accent6 15 6 2" xfId="16201" xr:uid="{00000000-0005-0000-0000-000036230000}"/>
    <cellStyle name="Accent6 15 7" xfId="6814" xr:uid="{00000000-0005-0000-0000-000037230000}"/>
    <cellStyle name="Accent6 15 7 2" xfId="16202" xr:uid="{00000000-0005-0000-0000-000038230000}"/>
    <cellStyle name="Accent6 15 8" xfId="6815" xr:uid="{00000000-0005-0000-0000-000039230000}"/>
    <cellStyle name="Accent6 15 8 2" xfId="16203" xr:uid="{00000000-0005-0000-0000-00003A230000}"/>
    <cellStyle name="Accent6 15 9" xfId="6816" xr:uid="{00000000-0005-0000-0000-00003B230000}"/>
    <cellStyle name="Accent6 15 9 2" xfId="16204" xr:uid="{00000000-0005-0000-0000-00003C230000}"/>
    <cellStyle name="Accent6 16" xfId="6817" xr:uid="{00000000-0005-0000-0000-00003D230000}"/>
    <cellStyle name="Accent6 16 10" xfId="6818" xr:uid="{00000000-0005-0000-0000-00003E230000}"/>
    <cellStyle name="Accent6 16 10 2" xfId="16205" xr:uid="{00000000-0005-0000-0000-00003F230000}"/>
    <cellStyle name="Accent6 16 11" xfId="6819" xr:uid="{00000000-0005-0000-0000-000040230000}"/>
    <cellStyle name="Accent6 16 11 2" xfId="16206" xr:uid="{00000000-0005-0000-0000-000041230000}"/>
    <cellStyle name="Accent6 16 2" xfId="6820" xr:uid="{00000000-0005-0000-0000-000042230000}"/>
    <cellStyle name="Accent6 16 2 2" xfId="6821" xr:uid="{00000000-0005-0000-0000-000043230000}"/>
    <cellStyle name="Accent6 16 2 2 2" xfId="16207" xr:uid="{00000000-0005-0000-0000-000044230000}"/>
    <cellStyle name="Accent6 16 3" xfId="6822" xr:uid="{00000000-0005-0000-0000-000045230000}"/>
    <cellStyle name="Accent6 16 3 2" xfId="6823" xr:uid="{00000000-0005-0000-0000-000046230000}"/>
    <cellStyle name="Accent6 16 3 2 2" xfId="16208" xr:uid="{00000000-0005-0000-0000-000047230000}"/>
    <cellStyle name="Accent6 16 4" xfId="6824" xr:uid="{00000000-0005-0000-0000-000048230000}"/>
    <cellStyle name="Accent6 16 4 2" xfId="16209" xr:uid="{00000000-0005-0000-0000-000049230000}"/>
    <cellStyle name="Accent6 16 5" xfId="6825" xr:uid="{00000000-0005-0000-0000-00004A230000}"/>
    <cellStyle name="Accent6 16 5 2" xfId="16210" xr:uid="{00000000-0005-0000-0000-00004B230000}"/>
    <cellStyle name="Accent6 16 6" xfId="6826" xr:uid="{00000000-0005-0000-0000-00004C230000}"/>
    <cellStyle name="Accent6 16 6 2" xfId="16211" xr:uid="{00000000-0005-0000-0000-00004D230000}"/>
    <cellStyle name="Accent6 16 7" xfId="6827" xr:uid="{00000000-0005-0000-0000-00004E230000}"/>
    <cellStyle name="Accent6 16 7 2" xfId="16212" xr:uid="{00000000-0005-0000-0000-00004F230000}"/>
    <cellStyle name="Accent6 16 8" xfId="6828" xr:uid="{00000000-0005-0000-0000-000050230000}"/>
    <cellStyle name="Accent6 16 8 2" xfId="16213" xr:uid="{00000000-0005-0000-0000-000051230000}"/>
    <cellStyle name="Accent6 16 9" xfId="6829" xr:uid="{00000000-0005-0000-0000-000052230000}"/>
    <cellStyle name="Accent6 16 9 2" xfId="16214" xr:uid="{00000000-0005-0000-0000-000053230000}"/>
    <cellStyle name="Accent6 17" xfId="6830" xr:uid="{00000000-0005-0000-0000-000054230000}"/>
    <cellStyle name="Accent6 17 10" xfId="6831" xr:uid="{00000000-0005-0000-0000-000055230000}"/>
    <cellStyle name="Accent6 17 10 2" xfId="16215" xr:uid="{00000000-0005-0000-0000-000056230000}"/>
    <cellStyle name="Accent6 17 11" xfId="6832" xr:uid="{00000000-0005-0000-0000-000057230000}"/>
    <cellStyle name="Accent6 17 11 2" xfId="16216" xr:uid="{00000000-0005-0000-0000-000058230000}"/>
    <cellStyle name="Accent6 17 2" xfId="6833" xr:uid="{00000000-0005-0000-0000-000059230000}"/>
    <cellStyle name="Accent6 17 2 2" xfId="6834" xr:uid="{00000000-0005-0000-0000-00005A230000}"/>
    <cellStyle name="Accent6 17 2 2 2" xfId="16217" xr:uid="{00000000-0005-0000-0000-00005B230000}"/>
    <cellStyle name="Accent6 17 3" xfId="6835" xr:uid="{00000000-0005-0000-0000-00005C230000}"/>
    <cellStyle name="Accent6 17 3 2" xfId="6836" xr:uid="{00000000-0005-0000-0000-00005D230000}"/>
    <cellStyle name="Accent6 17 3 2 2" xfId="16218" xr:uid="{00000000-0005-0000-0000-00005E230000}"/>
    <cellStyle name="Accent6 17 4" xfId="6837" xr:uid="{00000000-0005-0000-0000-00005F230000}"/>
    <cellStyle name="Accent6 17 4 2" xfId="16219" xr:uid="{00000000-0005-0000-0000-000060230000}"/>
    <cellStyle name="Accent6 17 5" xfId="6838" xr:uid="{00000000-0005-0000-0000-000061230000}"/>
    <cellStyle name="Accent6 17 5 2" xfId="16220" xr:uid="{00000000-0005-0000-0000-000062230000}"/>
    <cellStyle name="Accent6 17 6" xfId="6839" xr:uid="{00000000-0005-0000-0000-000063230000}"/>
    <cellStyle name="Accent6 17 6 2" xfId="16221" xr:uid="{00000000-0005-0000-0000-000064230000}"/>
    <cellStyle name="Accent6 17 7" xfId="6840" xr:uid="{00000000-0005-0000-0000-000065230000}"/>
    <cellStyle name="Accent6 17 7 2" xfId="16222" xr:uid="{00000000-0005-0000-0000-000066230000}"/>
    <cellStyle name="Accent6 17 8" xfId="6841" xr:uid="{00000000-0005-0000-0000-000067230000}"/>
    <cellStyle name="Accent6 17 8 2" xfId="16223" xr:uid="{00000000-0005-0000-0000-000068230000}"/>
    <cellStyle name="Accent6 17 9" xfId="6842" xr:uid="{00000000-0005-0000-0000-000069230000}"/>
    <cellStyle name="Accent6 17 9 2" xfId="16224" xr:uid="{00000000-0005-0000-0000-00006A230000}"/>
    <cellStyle name="Accent6 18" xfId="6843" xr:uid="{00000000-0005-0000-0000-00006B230000}"/>
    <cellStyle name="Accent6 18 2" xfId="6844" xr:uid="{00000000-0005-0000-0000-00006C230000}"/>
    <cellStyle name="Accent6 18 2 2" xfId="6845" xr:uid="{00000000-0005-0000-0000-00006D230000}"/>
    <cellStyle name="Accent6 18 2 2 2" xfId="16225" xr:uid="{00000000-0005-0000-0000-00006E230000}"/>
    <cellStyle name="Accent6 18 3" xfId="6846" xr:uid="{00000000-0005-0000-0000-00006F230000}"/>
    <cellStyle name="Accent6 18 3 2" xfId="16226" xr:uid="{00000000-0005-0000-0000-000070230000}"/>
    <cellStyle name="Accent6 18 4" xfId="6847" xr:uid="{00000000-0005-0000-0000-000071230000}"/>
    <cellStyle name="Accent6 18 4 2" xfId="16227" xr:uid="{00000000-0005-0000-0000-000072230000}"/>
    <cellStyle name="Accent6 18 5" xfId="6848" xr:uid="{00000000-0005-0000-0000-000073230000}"/>
    <cellStyle name="Accent6 18 5 2" xfId="16228" xr:uid="{00000000-0005-0000-0000-000074230000}"/>
    <cellStyle name="Accent6 18 6" xfId="6849" xr:uid="{00000000-0005-0000-0000-000075230000}"/>
    <cellStyle name="Accent6 18 6 2" xfId="16229" xr:uid="{00000000-0005-0000-0000-000076230000}"/>
    <cellStyle name="Accent6 18 7" xfId="6850" xr:uid="{00000000-0005-0000-0000-000077230000}"/>
    <cellStyle name="Accent6 18 7 2" xfId="16230" xr:uid="{00000000-0005-0000-0000-000078230000}"/>
    <cellStyle name="Accent6 18 8" xfId="6851" xr:uid="{00000000-0005-0000-0000-000079230000}"/>
    <cellStyle name="Accent6 18 8 2" xfId="16231" xr:uid="{00000000-0005-0000-0000-00007A230000}"/>
    <cellStyle name="Accent6 18 9" xfId="6852" xr:uid="{00000000-0005-0000-0000-00007B230000}"/>
    <cellStyle name="Accent6 18 9 2" xfId="16232" xr:uid="{00000000-0005-0000-0000-00007C230000}"/>
    <cellStyle name="Accent6 19" xfId="6853" xr:uid="{00000000-0005-0000-0000-00007D230000}"/>
    <cellStyle name="Accent6 19 2" xfId="6854" xr:uid="{00000000-0005-0000-0000-00007E230000}"/>
    <cellStyle name="Accent6 19 2 2" xfId="6855" xr:uid="{00000000-0005-0000-0000-00007F230000}"/>
    <cellStyle name="Accent6 19 2 2 2" xfId="16233" xr:uid="{00000000-0005-0000-0000-000080230000}"/>
    <cellStyle name="Accent6 19 3" xfId="6856" xr:uid="{00000000-0005-0000-0000-000081230000}"/>
    <cellStyle name="Accent6 19 3 2" xfId="16234" xr:uid="{00000000-0005-0000-0000-000082230000}"/>
    <cellStyle name="Accent6 19 4" xfId="6857" xr:uid="{00000000-0005-0000-0000-000083230000}"/>
    <cellStyle name="Accent6 19 4 2" xfId="16235" xr:uid="{00000000-0005-0000-0000-000084230000}"/>
    <cellStyle name="Accent6 19 5" xfId="6858" xr:uid="{00000000-0005-0000-0000-000085230000}"/>
    <cellStyle name="Accent6 19 5 2" xfId="16236" xr:uid="{00000000-0005-0000-0000-000086230000}"/>
    <cellStyle name="Accent6 19 6" xfId="6859" xr:uid="{00000000-0005-0000-0000-000087230000}"/>
    <cellStyle name="Accent6 19 6 2" xfId="16237" xr:uid="{00000000-0005-0000-0000-000088230000}"/>
    <cellStyle name="Accent6 19 7" xfId="6860" xr:uid="{00000000-0005-0000-0000-000089230000}"/>
    <cellStyle name="Accent6 19 7 2" xfId="16238" xr:uid="{00000000-0005-0000-0000-00008A230000}"/>
    <cellStyle name="Accent6 19 8" xfId="6861" xr:uid="{00000000-0005-0000-0000-00008B230000}"/>
    <cellStyle name="Accent6 19 8 2" xfId="16239" xr:uid="{00000000-0005-0000-0000-00008C230000}"/>
    <cellStyle name="Accent6 19 9" xfId="6862" xr:uid="{00000000-0005-0000-0000-00008D230000}"/>
    <cellStyle name="Accent6 19 9 2" xfId="16240" xr:uid="{00000000-0005-0000-0000-00008E230000}"/>
    <cellStyle name="Accent6 2" xfId="6863" xr:uid="{00000000-0005-0000-0000-00008F230000}"/>
    <cellStyle name="Accent6 2 10" xfId="6864" xr:uid="{00000000-0005-0000-0000-000090230000}"/>
    <cellStyle name="Accent6 2 10 2" xfId="16241" xr:uid="{00000000-0005-0000-0000-000091230000}"/>
    <cellStyle name="Accent6 2 11" xfId="6865" xr:uid="{00000000-0005-0000-0000-000092230000}"/>
    <cellStyle name="Accent6 2 11 2" xfId="16242" xr:uid="{00000000-0005-0000-0000-000093230000}"/>
    <cellStyle name="Accent6 2 2" xfId="6866" xr:uid="{00000000-0005-0000-0000-000094230000}"/>
    <cellStyle name="Accent6 2 2 2" xfId="6867" xr:uid="{00000000-0005-0000-0000-000095230000}"/>
    <cellStyle name="Accent6 2 2 2 2" xfId="16243" xr:uid="{00000000-0005-0000-0000-000096230000}"/>
    <cellStyle name="Accent6 2 3" xfId="6868" xr:uid="{00000000-0005-0000-0000-000097230000}"/>
    <cellStyle name="Accent6 2 3 2" xfId="6869" xr:uid="{00000000-0005-0000-0000-000098230000}"/>
    <cellStyle name="Accent6 2 3 2 2" xfId="16244" xr:uid="{00000000-0005-0000-0000-000099230000}"/>
    <cellStyle name="Accent6 2 4" xfId="6870" xr:uid="{00000000-0005-0000-0000-00009A230000}"/>
    <cellStyle name="Accent6 2 4 2" xfId="6871" xr:uid="{00000000-0005-0000-0000-00009B230000}"/>
    <cellStyle name="Accent6 2 4 3" xfId="16245" xr:uid="{00000000-0005-0000-0000-00009C230000}"/>
    <cellStyle name="Accent6 2 5" xfId="6872" xr:uid="{00000000-0005-0000-0000-00009D230000}"/>
    <cellStyle name="Accent6 2 5 2" xfId="16246" xr:uid="{00000000-0005-0000-0000-00009E230000}"/>
    <cellStyle name="Accent6 2 6" xfId="6873" xr:uid="{00000000-0005-0000-0000-00009F230000}"/>
    <cellStyle name="Accent6 2 6 2" xfId="16247" xr:uid="{00000000-0005-0000-0000-0000A0230000}"/>
    <cellStyle name="Accent6 2 7" xfId="6874" xr:uid="{00000000-0005-0000-0000-0000A1230000}"/>
    <cellStyle name="Accent6 2 7 2" xfId="16248" xr:uid="{00000000-0005-0000-0000-0000A2230000}"/>
    <cellStyle name="Accent6 2 8" xfId="6875" xr:uid="{00000000-0005-0000-0000-0000A3230000}"/>
    <cellStyle name="Accent6 2 8 2" xfId="16249" xr:uid="{00000000-0005-0000-0000-0000A4230000}"/>
    <cellStyle name="Accent6 2 9" xfId="6876" xr:uid="{00000000-0005-0000-0000-0000A5230000}"/>
    <cellStyle name="Accent6 2 9 2" xfId="16250" xr:uid="{00000000-0005-0000-0000-0000A6230000}"/>
    <cellStyle name="Accent6 20" xfId="6877" xr:uid="{00000000-0005-0000-0000-0000A7230000}"/>
    <cellStyle name="Accent6 20 2" xfId="6878" xr:uid="{00000000-0005-0000-0000-0000A8230000}"/>
    <cellStyle name="Accent6 20 2 2" xfId="16251" xr:uid="{00000000-0005-0000-0000-0000A9230000}"/>
    <cellStyle name="Accent6 20 3" xfId="6879" xr:uid="{00000000-0005-0000-0000-0000AA230000}"/>
    <cellStyle name="Accent6 20 3 2" xfId="16252" xr:uid="{00000000-0005-0000-0000-0000AB230000}"/>
    <cellStyle name="Accent6 20 4" xfId="6880" xr:uid="{00000000-0005-0000-0000-0000AC230000}"/>
    <cellStyle name="Accent6 20 4 2" xfId="16253" xr:uid="{00000000-0005-0000-0000-0000AD230000}"/>
    <cellStyle name="Accent6 20 5" xfId="6881" xr:uid="{00000000-0005-0000-0000-0000AE230000}"/>
    <cellStyle name="Accent6 20 5 2" xfId="16254" xr:uid="{00000000-0005-0000-0000-0000AF230000}"/>
    <cellStyle name="Accent6 20 6" xfId="6882" xr:uid="{00000000-0005-0000-0000-0000B0230000}"/>
    <cellStyle name="Accent6 20 6 2" xfId="16255" xr:uid="{00000000-0005-0000-0000-0000B1230000}"/>
    <cellStyle name="Accent6 20 7" xfId="6883" xr:uid="{00000000-0005-0000-0000-0000B2230000}"/>
    <cellStyle name="Accent6 20 7 2" xfId="16256" xr:uid="{00000000-0005-0000-0000-0000B3230000}"/>
    <cellStyle name="Accent6 20 8" xfId="6884" xr:uid="{00000000-0005-0000-0000-0000B4230000}"/>
    <cellStyle name="Accent6 20 8 2" xfId="16257" xr:uid="{00000000-0005-0000-0000-0000B5230000}"/>
    <cellStyle name="Accent6 20 9" xfId="6885" xr:uid="{00000000-0005-0000-0000-0000B6230000}"/>
    <cellStyle name="Accent6 20 9 2" xfId="16258" xr:uid="{00000000-0005-0000-0000-0000B7230000}"/>
    <cellStyle name="Accent6 21" xfId="6886" xr:uid="{00000000-0005-0000-0000-0000B8230000}"/>
    <cellStyle name="Accent6 21 2" xfId="6887" xr:uid="{00000000-0005-0000-0000-0000B9230000}"/>
    <cellStyle name="Accent6 21 2 2" xfId="16259" xr:uid="{00000000-0005-0000-0000-0000BA230000}"/>
    <cellStyle name="Accent6 21 3" xfId="6888" xr:uid="{00000000-0005-0000-0000-0000BB230000}"/>
    <cellStyle name="Accent6 21 3 2" xfId="16260" xr:uid="{00000000-0005-0000-0000-0000BC230000}"/>
    <cellStyle name="Accent6 21 4" xfId="6889" xr:uid="{00000000-0005-0000-0000-0000BD230000}"/>
    <cellStyle name="Accent6 21 4 2" xfId="16261" xr:uid="{00000000-0005-0000-0000-0000BE230000}"/>
    <cellStyle name="Accent6 21 5" xfId="6890" xr:uid="{00000000-0005-0000-0000-0000BF230000}"/>
    <cellStyle name="Accent6 21 5 2" xfId="16262" xr:uid="{00000000-0005-0000-0000-0000C0230000}"/>
    <cellStyle name="Accent6 21 6" xfId="6891" xr:uid="{00000000-0005-0000-0000-0000C1230000}"/>
    <cellStyle name="Accent6 21 6 2" xfId="16263" xr:uid="{00000000-0005-0000-0000-0000C2230000}"/>
    <cellStyle name="Accent6 21 7" xfId="6892" xr:uid="{00000000-0005-0000-0000-0000C3230000}"/>
    <cellStyle name="Accent6 21 7 2" xfId="16264" xr:uid="{00000000-0005-0000-0000-0000C4230000}"/>
    <cellStyle name="Accent6 21 8" xfId="6893" xr:uid="{00000000-0005-0000-0000-0000C5230000}"/>
    <cellStyle name="Accent6 21 8 2" xfId="16265" xr:uid="{00000000-0005-0000-0000-0000C6230000}"/>
    <cellStyle name="Accent6 21 9" xfId="6894" xr:uid="{00000000-0005-0000-0000-0000C7230000}"/>
    <cellStyle name="Accent6 21 9 2" xfId="16266" xr:uid="{00000000-0005-0000-0000-0000C8230000}"/>
    <cellStyle name="Accent6 22" xfId="6895" xr:uid="{00000000-0005-0000-0000-0000C9230000}"/>
    <cellStyle name="Accent6 22 2" xfId="6896" xr:uid="{00000000-0005-0000-0000-0000CA230000}"/>
    <cellStyle name="Accent6 22 2 2" xfId="16267" xr:uid="{00000000-0005-0000-0000-0000CB230000}"/>
    <cellStyle name="Accent6 22 3" xfId="6897" xr:uid="{00000000-0005-0000-0000-0000CC230000}"/>
    <cellStyle name="Accent6 22 3 2" xfId="16268" xr:uid="{00000000-0005-0000-0000-0000CD230000}"/>
    <cellStyle name="Accent6 22 4" xfId="6898" xr:uid="{00000000-0005-0000-0000-0000CE230000}"/>
    <cellStyle name="Accent6 22 4 2" xfId="16269" xr:uid="{00000000-0005-0000-0000-0000CF230000}"/>
    <cellStyle name="Accent6 22 5" xfId="6899" xr:uid="{00000000-0005-0000-0000-0000D0230000}"/>
    <cellStyle name="Accent6 22 5 2" xfId="16270" xr:uid="{00000000-0005-0000-0000-0000D1230000}"/>
    <cellStyle name="Accent6 22 6" xfId="6900" xr:uid="{00000000-0005-0000-0000-0000D2230000}"/>
    <cellStyle name="Accent6 22 6 2" xfId="16271" xr:uid="{00000000-0005-0000-0000-0000D3230000}"/>
    <cellStyle name="Accent6 22 7" xfId="6901" xr:uid="{00000000-0005-0000-0000-0000D4230000}"/>
    <cellStyle name="Accent6 22 7 2" xfId="16272" xr:uid="{00000000-0005-0000-0000-0000D5230000}"/>
    <cellStyle name="Accent6 22 8" xfId="6902" xr:uid="{00000000-0005-0000-0000-0000D6230000}"/>
    <cellStyle name="Accent6 22 8 2" xfId="16273" xr:uid="{00000000-0005-0000-0000-0000D7230000}"/>
    <cellStyle name="Accent6 22 9" xfId="6903" xr:uid="{00000000-0005-0000-0000-0000D8230000}"/>
    <cellStyle name="Accent6 22 9 2" xfId="16274" xr:uid="{00000000-0005-0000-0000-0000D9230000}"/>
    <cellStyle name="Accent6 23" xfId="6904" xr:uid="{00000000-0005-0000-0000-0000DA230000}"/>
    <cellStyle name="Accent6 23 2" xfId="6905" xr:uid="{00000000-0005-0000-0000-0000DB230000}"/>
    <cellStyle name="Accent6 23 2 2" xfId="16275" xr:uid="{00000000-0005-0000-0000-0000DC230000}"/>
    <cellStyle name="Accent6 23 3" xfId="6906" xr:uid="{00000000-0005-0000-0000-0000DD230000}"/>
    <cellStyle name="Accent6 23 3 2" xfId="16276" xr:uid="{00000000-0005-0000-0000-0000DE230000}"/>
    <cellStyle name="Accent6 23 4" xfId="6907" xr:uid="{00000000-0005-0000-0000-0000DF230000}"/>
    <cellStyle name="Accent6 23 4 2" xfId="16277" xr:uid="{00000000-0005-0000-0000-0000E0230000}"/>
    <cellStyle name="Accent6 23 5" xfId="6908" xr:uid="{00000000-0005-0000-0000-0000E1230000}"/>
    <cellStyle name="Accent6 23 5 2" xfId="16278" xr:uid="{00000000-0005-0000-0000-0000E2230000}"/>
    <cellStyle name="Accent6 23 6" xfId="6909" xr:uid="{00000000-0005-0000-0000-0000E3230000}"/>
    <cellStyle name="Accent6 23 6 2" xfId="16279" xr:uid="{00000000-0005-0000-0000-0000E4230000}"/>
    <cellStyle name="Accent6 23 7" xfId="6910" xr:uid="{00000000-0005-0000-0000-0000E5230000}"/>
    <cellStyle name="Accent6 23 7 2" xfId="16280" xr:uid="{00000000-0005-0000-0000-0000E6230000}"/>
    <cellStyle name="Accent6 23 8" xfId="6911" xr:uid="{00000000-0005-0000-0000-0000E7230000}"/>
    <cellStyle name="Accent6 23 8 2" xfId="16281" xr:uid="{00000000-0005-0000-0000-0000E8230000}"/>
    <cellStyle name="Accent6 23 9" xfId="6912" xr:uid="{00000000-0005-0000-0000-0000E9230000}"/>
    <cellStyle name="Accent6 23 9 2" xfId="16282" xr:uid="{00000000-0005-0000-0000-0000EA230000}"/>
    <cellStyle name="Accent6 24" xfId="6913" xr:uid="{00000000-0005-0000-0000-0000EB230000}"/>
    <cellStyle name="Accent6 24 2" xfId="6914" xr:uid="{00000000-0005-0000-0000-0000EC230000}"/>
    <cellStyle name="Accent6 24 2 2" xfId="16283" xr:uid="{00000000-0005-0000-0000-0000ED230000}"/>
    <cellStyle name="Accent6 24 3" xfId="6915" xr:uid="{00000000-0005-0000-0000-0000EE230000}"/>
    <cellStyle name="Accent6 24 3 2" xfId="16284" xr:uid="{00000000-0005-0000-0000-0000EF230000}"/>
    <cellStyle name="Accent6 24 4" xfId="6916" xr:uid="{00000000-0005-0000-0000-0000F0230000}"/>
    <cellStyle name="Accent6 24 4 2" xfId="16285" xr:uid="{00000000-0005-0000-0000-0000F1230000}"/>
    <cellStyle name="Accent6 24 5" xfId="6917" xr:uid="{00000000-0005-0000-0000-0000F2230000}"/>
    <cellStyle name="Accent6 24 5 2" xfId="16286" xr:uid="{00000000-0005-0000-0000-0000F3230000}"/>
    <cellStyle name="Accent6 24 6" xfId="6918" xr:uid="{00000000-0005-0000-0000-0000F4230000}"/>
    <cellStyle name="Accent6 24 6 2" xfId="16287" xr:uid="{00000000-0005-0000-0000-0000F5230000}"/>
    <cellStyle name="Accent6 24 7" xfId="6919" xr:uid="{00000000-0005-0000-0000-0000F6230000}"/>
    <cellStyle name="Accent6 24 7 2" xfId="16288" xr:uid="{00000000-0005-0000-0000-0000F7230000}"/>
    <cellStyle name="Accent6 24 8" xfId="6920" xr:uid="{00000000-0005-0000-0000-0000F8230000}"/>
    <cellStyle name="Accent6 24 8 2" xfId="16289" xr:uid="{00000000-0005-0000-0000-0000F9230000}"/>
    <cellStyle name="Accent6 24 9" xfId="6921" xr:uid="{00000000-0005-0000-0000-0000FA230000}"/>
    <cellStyle name="Accent6 24 9 2" xfId="16290" xr:uid="{00000000-0005-0000-0000-0000FB230000}"/>
    <cellStyle name="Accent6 25" xfId="6922" xr:uid="{00000000-0005-0000-0000-0000FC230000}"/>
    <cellStyle name="Accent6 25 2" xfId="6923" xr:uid="{00000000-0005-0000-0000-0000FD230000}"/>
    <cellStyle name="Accent6 25 2 2" xfId="16291" xr:uid="{00000000-0005-0000-0000-0000FE230000}"/>
    <cellStyle name="Accent6 25 3" xfId="6924" xr:uid="{00000000-0005-0000-0000-0000FF230000}"/>
    <cellStyle name="Accent6 25 3 2" xfId="16292" xr:uid="{00000000-0005-0000-0000-000000240000}"/>
    <cellStyle name="Accent6 25 4" xfId="6925" xr:uid="{00000000-0005-0000-0000-000001240000}"/>
    <cellStyle name="Accent6 25 4 2" xfId="16293" xr:uid="{00000000-0005-0000-0000-000002240000}"/>
    <cellStyle name="Accent6 25 5" xfId="6926" xr:uid="{00000000-0005-0000-0000-000003240000}"/>
    <cellStyle name="Accent6 25 5 2" xfId="16294" xr:uid="{00000000-0005-0000-0000-000004240000}"/>
    <cellStyle name="Accent6 25 6" xfId="6927" xr:uid="{00000000-0005-0000-0000-000005240000}"/>
    <cellStyle name="Accent6 25 6 2" xfId="16295" xr:uid="{00000000-0005-0000-0000-000006240000}"/>
    <cellStyle name="Accent6 25 7" xfId="6928" xr:uid="{00000000-0005-0000-0000-000007240000}"/>
    <cellStyle name="Accent6 25 7 2" xfId="16296" xr:uid="{00000000-0005-0000-0000-000008240000}"/>
    <cellStyle name="Accent6 25 8" xfId="6929" xr:uid="{00000000-0005-0000-0000-000009240000}"/>
    <cellStyle name="Accent6 25 8 2" xfId="16297" xr:uid="{00000000-0005-0000-0000-00000A240000}"/>
    <cellStyle name="Accent6 25 9" xfId="6930" xr:uid="{00000000-0005-0000-0000-00000B240000}"/>
    <cellStyle name="Accent6 25 9 2" xfId="16298" xr:uid="{00000000-0005-0000-0000-00000C240000}"/>
    <cellStyle name="Accent6 26" xfId="6931" xr:uid="{00000000-0005-0000-0000-00000D240000}"/>
    <cellStyle name="Accent6 26 2" xfId="6932" xr:uid="{00000000-0005-0000-0000-00000E240000}"/>
    <cellStyle name="Accent6 26 2 2" xfId="16299" xr:uid="{00000000-0005-0000-0000-00000F240000}"/>
    <cellStyle name="Accent6 26 3" xfId="6933" xr:uid="{00000000-0005-0000-0000-000010240000}"/>
    <cellStyle name="Accent6 26 3 2" xfId="16300" xr:uid="{00000000-0005-0000-0000-000011240000}"/>
    <cellStyle name="Accent6 26 4" xfId="6934" xr:uid="{00000000-0005-0000-0000-000012240000}"/>
    <cellStyle name="Accent6 26 4 2" xfId="16301" xr:uid="{00000000-0005-0000-0000-000013240000}"/>
    <cellStyle name="Accent6 26 5" xfId="6935" xr:uid="{00000000-0005-0000-0000-000014240000}"/>
    <cellStyle name="Accent6 26 5 2" xfId="16302" xr:uid="{00000000-0005-0000-0000-000015240000}"/>
    <cellStyle name="Accent6 26 6" xfId="6936" xr:uid="{00000000-0005-0000-0000-000016240000}"/>
    <cellStyle name="Accent6 26 6 2" xfId="16303" xr:uid="{00000000-0005-0000-0000-000017240000}"/>
    <cellStyle name="Accent6 26 7" xfId="6937" xr:uid="{00000000-0005-0000-0000-000018240000}"/>
    <cellStyle name="Accent6 26 7 2" xfId="16304" xr:uid="{00000000-0005-0000-0000-000019240000}"/>
    <cellStyle name="Accent6 26 8" xfId="6938" xr:uid="{00000000-0005-0000-0000-00001A240000}"/>
    <cellStyle name="Accent6 26 8 2" xfId="16305" xr:uid="{00000000-0005-0000-0000-00001B240000}"/>
    <cellStyle name="Accent6 26 9" xfId="6939" xr:uid="{00000000-0005-0000-0000-00001C240000}"/>
    <cellStyle name="Accent6 26 9 2" xfId="16306" xr:uid="{00000000-0005-0000-0000-00001D240000}"/>
    <cellStyle name="Accent6 27" xfId="6940" xr:uid="{00000000-0005-0000-0000-00001E240000}"/>
    <cellStyle name="Accent6 27 2" xfId="6941" xr:uid="{00000000-0005-0000-0000-00001F240000}"/>
    <cellStyle name="Accent6 27 2 2" xfId="16307" xr:uid="{00000000-0005-0000-0000-000020240000}"/>
    <cellStyle name="Accent6 27 3" xfId="6942" xr:uid="{00000000-0005-0000-0000-000021240000}"/>
    <cellStyle name="Accent6 27 3 2" xfId="16308" xr:uid="{00000000-0005-0000-0000-000022240000}"/>
    <cellStyle name="Accent6 27 4" xfId="6943" xr:uid="{00000000-0005-0000-0000-000023240000}"/>
    <cellStyle name="Accent6 27 4 2" xfId="16309" xr:uid="{00000000-0005-0000-0000-000024240000}"/>
    <cellStyle name="Accent6 27 5" xfId="6944" xr:uid="{00000000-0005-0000-0000-000025240000}"/>
    <cellStyle name="Accent6 27 5 2" xfId="16310" xr:uid="{00000000-0005-0000-0000-000026240000}"/>
    <cellStyle name="Accent6 27 6" xfId="6945" xr:uid="{00000000-0005-0000-0000-000027240000}"/>
    <cellStyle name="Accent6 27 6 2" xfId="16311" xr:uid="{00000000-0005-0000-0000-000028240000}"/>
    <cellStyle name="Accent6 27 7" xfId="6946" xr:uid="{00000000-0005-0000-0000-000029240000}"/>
    <cellStyle name="Accent6 27 7 2" xfId="16312" xr:uid="{00000000-0005-0000-0000-00002A240000}"/>
    <cellStyle name="Accent6 27 8" xfId="6947" xr:uid="{00000000-0005-0000-0000-00002B240000}"/>
    <cellStyle name="Accent6 27 8 2" xfId="16313" xr:uid="{00000000-0005-0000-0000-00002C240000}"/>
    <cellStyle name="Accent6 27 9" xfId="6948" xr:uid="{00000000-0005-0000-0000-00002D240000}"/>
    <cellStyle name="Accent6 27 9 2" xfId="16314" xr:uid="{00000000-0005-0000-0000-00002E240000}"/>
    <cellStyle name="Accent6 28" xfId="6949" xr:uid="{00000000-0005-0000-0000-00002F240000}"/>
    <cellStyle name="Accent6 28 2" xfId="6950" xr:uid="{00000000-0005-0000-0000-000030240000}"/>
    <cellStyle name="Accent6 28 2 2" xfId="16315" xr:uid="{00000000-0005-0000-0000-000031240000}"/>
    <cellStyle name="Accent6 28 3" xfId="6951" xr:uid="{00000000-0005-0000-0000-000032240000}"/>
    <cellStyle name="Accent6 28 3 2" xfId="16316" xr:uid="{00000000-0005-0000-0000-000033240000}"/>
    <cellStyle name="Accent6 28 4" xfId="6952" xr:uid="{00000000-0005-0000-0000-000034240000}"/>
    <cellStyle name="Accent6 28 4 2" xfId="16317" xr:uid="{00000000-0005-0000-0000-000035240000}"/>
    <cellStyle name="Accent6 28 5" xfId="6953" xr:uid="{00000000-0005-0000-0000-000036240000}"/>
    <cellStyle name="Accent6 28 5 2" xfId="16318" xr:uid="{00000000-0005-0000-0000-000037240000}"/>
    <cellStyle name="Accent6 28 6" xfId="6954" xr:uid="{00000000-0005-0000-0000-000038240000}"/>
    <cellStyle name="Accent6 28 6 2" xfId="16319" xr:uid="{00000000-0005-0000-0000-000039240000}"/>
    <cellStyle name="Accent6 28 7" xfId="6955" xr:uid="{00000000-0005-0000-0000-00003A240000}"/>
    <cellStyle name="Accent6 28 7 2" xfId="16320" xr:uid="{00000000-0005-0000-0000-00003B240000}"/>
    <cellStyle name="Accent6 28 8" xfId="6956" xr:uid="{00000000-0005-0000-0000-00003C240000}"/>
    <cellStyle name="Accent6 28 8 2" xfId="16321" xr:uid="{00000000-0005-0000-0000-00003D240000}"/>
    <cellStyle name="Accent6 28 9" xfId="6957" xr:uid="{00000000-0005-0000-0000-00003E240000}"/>
    <cellStyle name="Accent6 28 9 2" xfId="16322" xr:uid="{00000000-0005-0000-0000-00003F240000}"/>
    <cellStyle name="Accent6 29" xfId="6958" xr:uid="{00000000-0005-0000-0000-000040240000}"/>
    <cellStyle name="Accent6 29 2" xfId="6959" xr:uid="{00000000-0005-0000-0000-000041240000}"/>
    <cellStyle name="Accent6 29 2 2" xfId="16323" xr:uid="{00000000-0005-0000-0000-000042240000}"/>
    <cellStyle name="Accent6 29 3" xfId="6960" xr:uid="{00000000-0005-0000-0000-000043240000}"/>
    <cellStyle name="Accent6 29 3 2" xfId="16324" xr:uid="{00000000-0005-0000-0000-000044240000}"/>
    <cellStyle name="Accent6 29 4" xfId="6961" xr:uid="{00000000-0005-0000-0000-000045240000}"/>
    <cellStyle name="Accent6 29 4 2" xfId="16325" xr:uid="{00000000-0005-0000-0000-000046240000}"/>
    <cellStyle name="Accent6 29 5" xfId="6962" xr:uid="{00000000-0005-0000-0000-000047240000}"/>
    <cellStyle name="Accent6 29 5 2" xfId="16326" xr:uid="{00000000-0005-0000-0000-000048240000}"/>
    <cellStyle name="Accent6 29 6" xfId="6963" xr:uid="{00000000-0005-0000-0000-000049240000}"/>
    <cellStyle name="Accent6 29 6 2" xfId="16327" xr:uid="{00000000-0005-0000-0000-00004A240000}"/>
    <cellStyle name="Accent6 29 7" xfId="6964" xr:uid="{00000000-0005-0000-0000-00004B240000}"/>
    <cellStyle name="Accent6 29 7 2" xfId="16328" xr:uid="{00000000-0005-0000-0000-00004C240000}"/>
    <cellStyle name="Accent6 29 8" xfId="6965" xr:uid="{00000000-0005-0000-0000-00004D240000}"/>
    <cellStyle name="Accent6 29 8 2" xfId="16329" xr:uid="{00000000-0005-0000-0000-00004E240000}"/>
    <cellStyle name="Accent6 29 9" xfId="6966" xr:uid="{00000000-0005-0000-0000-00004F240000}"/>
    <cellStyle name="Accent6 29 9 2" xfId="16330" xr:uid="{00000000-0005-0000-0000-000050240000}"/>
    <cellStyle name="Accent6 3" xfId="6967" xr:uid="{00000000-0005-0000-0000-000051240000}"/>
    <cellStyle name="Accent6 3 10" xfId="6968" xr:uid="{00000000-0005-0000-0000-000052240000}"/>
    <cellStyle name="Accent6 3 10 2" xfId="16331" xr:uid="{00000000-0005-0000-0000-000053240000}"/>
    <cellStyle name="Accent6 3 11" xfId="6969" xr:uid="{00000000-0005-0000-0000-000054240000}"/>
    <cellStyle name="Accent6 3 11 2" xfId="16332" xr:uid="{00000000-0005-0000-0000-000055240000}"/>
    <cellStyle name="Accent6 3 12" xfId="22034" xr:uid="{00000000-0005-0000-0000-000056240000}"/>
    <cellStyle name="Accent6 3 2" xfId="6970" xr:uid="{00000000-0005-0000-0000-000057240000}"/>
    <cellStyle name="Accent6 3 2 2" xfId="6971" xr:uid="{00000000-0005-0000-0000-000058240000}"/>
    <cellStyle name="Accent6 3 2 2 2" xfId="16333" xr:uid="{00000000-0005-0000-0000-000059240000}"/>
    <cellStyle name="Accent6 3 3" xfId="6972" xr:uid="{00000000-0005-0000-0000-00005A240000}"/>
    <cellStyle name="Accent6 3 3 2" xfId="6973" xr:uid="{00000000-0005-0000-0000-00005B240000}"/>
    <cellStyle name="Accent6 3 3 2 2" xfId="16334" xr:uid="{00000000-0005-0000-0000-00005C240000}"/>
    <cellStyle name="Accent6 3 4" xfId="6974" xr:uid="{00000000-0005-0000-0000-00005D240000}"/>
    <cellStyle name="Accent6 3 4 2" xfId="6975" xr:uid="{00000000-0005-0000-0000-00005E240000}"/>
    <cellStyle name="Accent6 3 4 3" xfId="16335" xr:uid="{00000000-0005-0000-0000-00005F240000}"/>
    <cellStyle name="Accent6 3 5" xfId="6976" xr:uid="{00000000-0005-0000-0000-000060240000}"/>
    <cellStyle name="Accent6 3 5 2" xfId="16336" xr:uid="{00000000-0005-0000-0000-000061240000}"/>
    <cellStyle name="Accent6 3 6" xfId="6977" xr:uid="{00000000-0005-0000-0000-000062240000}"/>
    <cellStyle name="Accent6 3 6 2" xfId="16337" xr:uid="{00000000-0005-0000-0000-000063240000}"/>
    <cellStyle name="Accent6 3 7" xfId="6978" xr:uid="{00000000-0005-0000-0000-000064240000}"/>
    <cellStyle name="Accent6 3 7 2" xfId="16338" xr:uid="{00000000-0005-0000-0000-000065240000}"/>
    <cellStyle name="Accent6 3 8" xfId="6979" xr:uid="{00000000-0005-0000-0000-000066240000}"/>
    <cellStyle name="Accent6 3 8 2" xfId="16339" xr:uid="{00000000-0005-0000-0000-000067240000}"/>
    <cellStyle name="Accent6 3 9" xfId="6980" xr:uid="{00000000-0005-0000-0000-000068240000}"/>
    <cellStyle name="Accent6 3 9 2" xfId="16340" xr:uid="{00000000-0005-0000-0000-000069240000}"/>
    <cellStyle name="Accent6 30" xfId="6981" xr:uid="{00000000-0005-0000-0000-00006A240000}"/>
    <cellStyle name="Accent6 30 2" xfId="6982" xr:uid="{00000000-0005-0000-0000-00006B240000}"/>
    <cellStyle name="Accent6 30 2 2" xfId="16341" xr:uid="{00000000-0005-0000-0000-00006C240000}"/>
    <cellStyle name="Accent6 31" xfId="6983" xr:uid="{00000000-0005-0000-0000-00006D240000}"/>
    <cellStyle name="Accent6 31 2" xfId="6984" xr:uid="{00000000-0005-0000-0000-00006E240000}"/>
    <cellStyle name="Accent6 31 2 2" xfId="16342" xr:uid="{00000000-0005-0000-0000-00006F240000}"/>
    <cellStyle name="Accent6 32" xfId="6985" xr:uid="{00000000-0005-0000-0000-000070240000}"/>
    <cellStyle name="Accent6 32 2" xfId="6986" xr:uid="{00000000-0005-0000-0000-000071240000}"/>
    <cellStyle name="Accent6 32 2 2" xfId="16343" xr:uid="{00000000-0005-0000-0000-000072240000}"/>
    <cellStyle name="Accent6 33" xfId="6987" xr:uid="{00000000-0005-0000-0000-000073240000}"/>
    <cellStyle name="Accent6 33 2" xfId="6988" xr:uid="{00000000-0005-0000-0000-000074240000}"/>
    <cellStyle name="Accent6 33 2 2" xfId="16344" xr:uid="{00000000-0005-0000-0000-000075240000}"/>
    <cellStyle name="Accent6 34" xfId="6989" xr:uid="{00000000-0005-0000-0000-000076240000}"/>
    <cellStyle name="Accent6 34 2" xfId="6990" xr:uid="{00000000-0005-0000-0000-000077240000}"/>
    <cellStyle name="Accent6 34 2 2" xfId="16345" xr:uid="{00000000-0005-0000-0000-000078240000}"/>
    <cellStyle name="Accent6 35" xfId="6991" xr:uid="{00000000-0005-0000-0000-000079240000}"/>
    <cellStyle name="Accent6 35 2" xfId="6992" xr:uid="{00000000-0005-0000-0000-00007A240000}"/>
    <cellStyle name="Accent6 35 2 2" xfId="16346" xr:uid="{00000000-0005-0000-0000-00007B240000}"/>
    <cellStyle name="Accent6 36" xfId="6993" xr:uid="{00000000-0005-0000-0000-00007C240000}"/>
    <cellStyle name="Accent6 37" xfId="6994" xr:uid="{00000000-0005-0000-0000-00007D240000}"/>
    <cellStyle name="Accent6 38" xfId="6995" xr:uid="{00000000-0005-0000-0000-00007E240000}"/>
    <cellStyle name="Accent6 39" xfId="6996" xr:uid="{00000000-0005-0000-0000-00007F240000}"/>
    <cellStyle name="Accent6 4" xfId="6997" xr:uid="{00000000-0005-0000-0000-000080240000}"/>
    <cellStyle name="Accent6 4 10" xfId="6998" xr:uid="{00000000-0005-0000-0000-000081240000}"/>
    <cellStyle name="Accent6 4 10 2" xfId="16347" xr:uid="{00000000-0005-0000-0000-000082240000}"/>
    <cellStyle name="Accent6 4 11" xfId="6999" xr:uid="{00000000-0005-0000-0000-000083240000}"/>
    <cellStyle name="Accent6 4 11 2" xfId="16348" xr:uid="{00000000-0005-0000-0000-000084240000}"/>
    <cellStyle name="Accent6 4 2" xfId="7000" xr:uid="{00000000-0005-0000-0000-000085240000}"/>
    <cellStyle name="Accent6 4 2 2" xfId="7001" xr:uid="{00000000-0005-0000-0000-000086240000}"/>
    <cellStyle name="Accent6 4 2 2 2" xfId="16349" xr:uid="{00000000-0005-0000-0000-000087240000}"/>
    <cellStyle name="Accent6 4 3" xfId="7002" xr:uid="{00000000-0005-0000-0000-000088240000}"/>
    <cellStyle name="Accent6 4 3 2" xfId="7003" xr:uid="{00000000-0005-0000-0000-000089240000}"/>
    <cellStyle name="Accent6 4 3 2 2" xfId="16350" xr:uid="{00000000-0005-0000-0000-00008A240000}"/>
    <cellStyle name="Accent6 4 4" xfId="7004" xr:uid="{00000000-0005-0000-0000-00008B240000}"/>
    <cellStyle name="Accent6 4 4 2" xfId="7005" xr:uid="{00000000-0005-0000-0000-00008C240000}"/>
    <cellStyle name="Accent6 4 4 3" xfId="16351" xr:uid="{00000000-0005-0000-0000-00008D240000}"/>
    <cellStyle name="Accent6 4 5" xfId="7006" xr:uid="{00000000-0005-0000-0000-00008E240000}"/>
    <cellStyle name="Accent6 4 5 2" xfId="16352" xr:uid="{00000000-0005-0000-0000-00008F240000}"/>
    <cellStyle name="Accent6 4 6" xfId="7007" xr:uid="{00000000-0005-0000-0000-000090240000}"/>
    <cellStyle name="Accent6 4 6 2" xfId="16353" xr:uid="{00000000-0005-0000-0000-000091240000}"/>
    <cellStyle name="Accent6 4 7" xfId="7008" xr:uid="{00000000-0005-0000-0000-000092240000}"/>
    <cellStyle name="Accent6 4 7 2" xfId="16354" xr:uid="{00000000-0005-0000-0000-000093240000}"/>
    <cellStyle name="Accent6 4 8" xfId="7009" xr:uid="{00000000-0005-0000-0000-000094240000}"/>
    <cellStyle name="Accent6 4 8 2" xfId="16355" xr:uid="{00000000-0005-0000-0000-000095240000}"/>
    <cellStyle name="Accent6 4 9" xfId="7010" xr:uid="{00000000-0005-0000-0000-000096240000}"/>
    <cellStyle name="Accent6 4 9 2" xfId="16356" xr:uid="{00000000-0005-0000-0000-000097240000}"/>
    <cellStyle name="Accent6 5" xfId="7011" xr:uid="{00000000-0005-0000-0000-000098240000}"/>
    <cellStyle name="Accent6 5 10" xfId="7012" xr:uid="{00000000-0005-0000-0000-000099240000}"/>
    <cellStyle name="Accent6 5 10 2" xfId="16357" xr:uid="{00000000-0005-0000-0000-00009A240000}"/>
    <cellStyle name="Accent6 5 11" xfId="7013" xr:uid="{00000000-0005-0000-0000-00009B240000}"/>
    <cellStyle name="Accent6 5 11 2" xfId="16358" xr:uid="{00000000-0005-0000-0000-00009C240000}"/>
    <cellStyle name="Accent6 5 2" xfId="7014" xr:uid="{00000000-0005-0000-0000-00009D240000}"/>
    <cellStyle name="Accent6 5 2 2" xfId="7015" xr:uid="{00000000-0005-0000-0000-00009E240000}"/>
    <cellStyle name="Accent6 5 2 2 2" xfId="16359" xr:uid="{00000000-0005-0000-0000-00009F240000}"/>
    <cellStyle name="Accent6 5 3" xfId="7016" xr:uid="{00000000-0005-0000-0000-0000A0240000}"/>
    <cellStyle name="Accent6 5 3 2" xfId="7017" xr:uid="{00000000-0005-0000-0000-0000A1240000}"/>
    <cellStyle name="Accent6 5 3 2 2" xfId="16360" xr:uid="{00000000-0005-0000-0000-0000A2240000}"/>
    <cellStyle name="Accent6 5 4" xfId="7018" xr:uid="{00000000-0005-0000-0000-0000A3240000}"/>
    <cellStyle name="Accent6 5 4 2" xfId="7019" xr:uid="{00000000-0005-0000-0000-0000A4240000}"/>
    <cellStyle name="Accent6 5 4 3" xfId="16361" xr:uid="{00000000-0005-0000-0000-0000A5240000}"/>
    <cellStyle name="Accent6 5 5" xfId="7020" xr:uid="{00000000-0005-0000-0000-0000A6240000}"/>
    <cellStyle name="Accent6 5 5 2" xfId="16362" xr:uid="{00000000-0005-0000-0000-0000A7240000}"/>
    <cellStyle name="Accent6 5 6" xfId="7021" xr:uid="{00000000-0005-0000-0000-0000A8240000}"/>
    <cellStyle name="Accent6 5 6 2" xfId="16363" xr:uid="{00000000-0005-0000-0000-0000A9240000}"/>
    <cellStyle name="Accent6 5 7" xfId="7022" xr:uid="{00000000-0005-0000-0000-0000AA240000}"/>
    <cellStyle name="Accent6 5 7 2" xfId="16364" xr:uid="{00000000-0005-0000-0000-0000AB240000}"/>
    <cellStyle name="Accent6 5 8" xfId="7023" xr:uid="{00000000-0005-0000-0000-0000AC240000}"/>
    <cellStyle name="Accent6 5 8 2" xfId="16365" xr:uid="{00000000-0005-0000-0000-0000AD240000}"/>
    <cellStyle name="Accent6 5 9" xfId="7024" xr:uid="{00000000-0005-0000-0000-0000AE240000}"/>
    <cellStyle name="Accent6 5 9 2" xfId="16366" xr:uid="{00000000-0005-0000-0000-0000AF240000}"/>
    <cellStyle name="Accent6 6" xfId="7025" xr:uid="{00000000-0005-0000-0000-0000B0240000}"/>
    <cellStyle name="Accent6 6 10" xfId="7026" xr:uid="{00000000-0005-0000-0000-0000B1240000}"/>
    <cellStyle name="Accent6 6 10 2" xfId="16367" xr:uid="{00000000-0005-0000-0000-0000B2240000}"/>
    <cellStyle name="Accent6 6 11" xfId="7027" xr:uid="{00000000-0005-0000-0000-0000B3240000}"/>
    <cellStyle name="Accent6 6 11 2" xfId="16368" xr:uid="{00000000-0005-0000-0000-0000B4240000}"/>
    <cellStyle name="Accent6 6 2" xfId="7028" xr:uid="{00000000-0005-0000-0000-0000B5240000}"/>
    <cellStyle name="Accent6 6 2 2" xfId="7029" xr:uid="{00000000-0005-0000-0000-0000B6240000}"/>
    <cellStyle name="Accent6 6 2 2 2" xfId="16369" xr:uid="{00000000-0005-0000-0000-0000B7240000}"/>
    <cellStyle name="Accent6 6 3" xfId="7030" xr:uid="{00000000-0005-0000-0000-0000B8240000}"/>
    <cellStyle name="Accent6 6 3 2" xfId="7031" xr:uid="{00000000-0005-0000-0000-0000B9240000}"/>
    <cellStyle name="Accent6 6 3 2 2" xfId="16370" xr:uid="{00000000-0005-0000-0000-0000BA240000}"/>
    <cellStyle name="Accent6 6 4" xfId="7032" xr:uid="{00000000-0005-0000-0000-0000BB240000}"/>
    <cellStyle name="Accent6 6 4 2" xfId="7033" xr:uid="{00000000-0005-0000-0000-0000BC240000}"/>
    <cellStyle name="Accent6 6 4 3" xfId="16371" xr:uid="{00000000-0005-0000-0000-0000BD240000}"/>
    <cellStyle name="Accent6 6 5" xfId="7034" xr:uid="{00000000-0005-0000-0000-0000BE240000}"/>
    <cellStyle name="Accent6 6 5 2" xfId="16372" xr:uid="{00000000-0005-0000-0000-0000BF240000}"/>
    <cellStyle name="Accent6 6 6" xfId="7035" xr:uid="{00000000-0005-0000-0000-0000C0240000}"/>
    <cellStyle name="Accent6 6 6 2" xfId="16373" xr:uid="{00000000-0005-0000-0000-0000C1240000}"/>
    <cellStyle name="Accent6 6 7" xfId="7036" xr:uid="{00000000-0005-0000-0000-0000C2240000}"/>
    <cellStyle name="Accent6 6 7 2" xfId="16374" xr:uid="{00000000-0005-0000-0000-0000C3240000}"/>
    <cellStyle name="Accent6 6 8" xfId="7037" xr:uid="{00000000-0005-0000-0000-0000C4240000}"/>
    <cellStyle name="Accent6 6 8 2" xfId="16375" xr:uid="{00000000-0005-0000-0000-0000C5240000}"/>
    <cellStyle name="Accent6 6 9" xfId="7038" xr:uid="{00000000-0005-0000-0000-0000C6240000}"/>
    <cellStyle name="Accent6 6 9 2" xfId="16376" xr:uid="{00000000-0005-0000-0000-0000C7240000}"/>
    <cellStyle name="Accent6 7" xfId="7039" xr:uid="{00000000-0005-0000-0000-0000C8240000}"/>
    <cellStyle name="Accent6 7 10" xfId="7040" xr:uid="{00000000-0005-0000-0000-0000C9240000}"/>
    <cellStyle name="Accent6 7 10 2" xfId="16377" xr:uid="{00000000-0005-0000-0000-0000CA240000}"/>
    <cellStyle name="Accent6 7 11" xfId="7041" xr:uid="{00000000-0005-0000-0000-0000CB240000}"/>
    <cellStyle name="Accent6 7 11 2" xfId="16378" xr:uid="{00000000-0005-0000-0000-0000CC240000}"/>
    <cellStyle name="Accent6 7 2" xfId="7042" xr:uid="{00000000-0005-0000-0000-0000CD240000}"/>
    <cellStyle name="Accent6 7 2 2" xfId="7043" xr:uid="{00000000-0005-0000-0000-0000CE240000}"/>
    <cellStyle name="Accent6 7 2 2 2" xfId="16379" xr:uid="{00000000-0005-0000-0000-0000CF240000}"/>
    <cellStyle name="Accent6 7 3" xfId="7044" xr:uid="{00000000-0005-0000-0000-0000D0240000}"/>
    <cellStyle name="Accent6 7 3 2" xfId="7045" xr:uid="{00000000-0005-0000-0000-0000D1240000}"/>
    <cellStyle name="Accent6 7 3 2 2" xfId="16380" xr:uid="{00000000-0005-0000-0000-0000D2240000}"/>
    <cellStyle name="Accent6 7 4" xfId="7046" xr:uid="{00000000-0005-0000-0000-0000D3240000}"/>
    <cellStyle name="Accent6 7 4 2" xfId="7047" xr:uid="{00000000-0005-0000-0000-0000D4240000}"/>
    <cellStyle name="Accent6 7 4 3" xfId="16381" xr:uid="{00000000-0005-0000-0000-0000D5240000}"/>
    <cellStyle name="Accent6 7 5" xfId="7048" xr:uid="{00000000-0005-0000-0000-0000D6240000}"/>
    <cellStyle name="Accent6 7 5 2" xfId="16382" xr:uid="{00000000-0005-0000-0000-0000D7240000}"/>
    <cellStyle name="Accent6 7 6" xfId="7049" xr:uid="{00000000-0005-0000-0000-0000D8240000}"/>
    <cellStyle name="Accent6 7 6 2" xfId="16383" xr:uid="{00000000-0005-0000-0000-0000D9240000}"/>
    <cellStyle name="Accent6 7 7" xfId="7050" xr:uid="{00000000-0005-0000-0000-0000DA240000}"/>
    <cellStyle name="Accent6 7 7 2" xfId="16384" xr:uid="{00000000-0005-0000-0000-0000DB240000}"/>
    <cellStyle name="Accent6 7 8" xfId="7051" xr:uid="{00000000-0005-0000-0000-0000DC240000}"/>
    <cellStyle name="Accent6 7 8 2" xfId="16385" xr:uid="{00000000-0005-0000-0000-0000DD240000}"/>
    <cellStyle name="Accent6 7 9" xfId="7052" xr:uid="{00000000-0005-0000-0000-0000DE240000}"/>
    <cellStyle name="Accent6 7 9 2" xfId="16386" xr:uid="{00000000-0005-0000-0000-0000DF240000}"/>
    <cellStyle name="Accent6 8" xfId="7053" xr:uid="{00000000-0005-0000-0000-0000E0240000}"/>
    <cellStyle name="Accent6 8 10" xfId="7054" xr:uid="{00000000-0005-0000-0000-0000E1240000}"/>
    <cellStyle name="Accent6 8 10 2" xfId="16387" xr:uid="{00000000-0005-0000-0000-0000E2240000}"/>
    <cellStyle name="Accent6 8 11" xfId="7055" xr:uid="{00000000-0005-0000-0000-0000E3240000}"/>
    <cellStyle name="Accent6 8 11 2" xfId="16388" xr:uid="{00000000-0005-0000-0000-0000E4240000}"/>
    <cellStyle name="Accent6 8 2" xfId="7056" xr:uid="{00000000-0005-0000-0000-0000E5240000}"/>
    <cellStyle name="Accent6 8 2 2" xfId="7057" xr:uid="{00000000-0005-0000-0000-0000E6240000}"/>
    <cellStyle name="Accent6 8 2 2 2" xfId="16389" xr:uid="{00000000-0005-0000-0000-0000E7240000}"/>
    <cellStyle name="Accent6 8 3" xfId="7058" xr:uid="{00000000-0005-0000-0000-0000E8240000}"/>
    <cellStyle name="Accent6 8 3 2" xfId="7059" xr:uid="{00000000-0005-0000-0000-0000E9240000}"/>
    <cellStyle name="Accent6 8 3 2 2" xfId="16390" xr:uid="{00000000-0005-0000-0000-0000EA240000}"/>
    <cellStyle name="Accent6 8 4" xfId="7060" xr:uid="{00000000-0005-0000-0000-0000EB240000}"/>
    <cellStyle name="Accent6 8 4 2" xfId="7061" xr:uid="{00000000-0005-0000-0000-0000EC240000}"/>
    <cellStyle name="Accent6 8 4 3" xfId="16391" xr:uid="{00000000-0005-0000-0000-0000ED240000}"/>
    <cellStyle name="Accent6 8 5" xfId="7062" xr:uid="{00000000-0005-0000-0000-0000EE240000}"/>
    <cellStyle name="Accent6 8 5 2" xfId="16392" xr:uid="{00000000-0005-0000-0000-0000EF240000}"/>
    <cellStyle name="Accent6 8 6" xfId="7063" xr:uid="{00000000-0005-0000-0000-0000F0240000}"/>
    <cellStyle name="Accent6 8 6 2" xfId="16393" xr:uid="{00000000-0005-0000-0000-0000F1240000}"/>
    <cellStyle name="Accent6 8 7" xfId="7064" xr:uid="{00000000-0005-0000-0000-0000F2240000}"/>
    <cellStyle name="Accent6 8 7 2" xfId="16394" xr:uid="{00000000-0005-0000-0000-0000F3240000}"/>
    <cellStyle name="Accent6 8 8" xfId="7065" xr:uid="{00000000-0005-0000-0000-0000F4240000}"/>
    <cellStyle name="Accent6 8 8 2" xfId="16395" xr:uid="{00000000-0005-0000-0000-0000F5240000}"/>
    <cellStyle name="Accent6 8 9" xfId="7066" xr:uid="{00000000-0005-0000-0000-0000F6240000}"/>
    <cellStyle name="Accent6 8 9 2" xfId="16396" xr:uid="{00000000-0005-0000-0000-0000F7240000}"/>
    <cellStyle name="Accent6 9" xfId="7067" xr:uid="{00000000-0005-0000-0000-0000F8240000}"/>
    <cellStyle name="Accent6 9 10" xfId="7068" xr:uid="{00000000-0005-0000-0000-0000F9240000}"/>
    <cellStyle name="Accent6 9 10 2" xfId="16397" xr:uid="{00000000-0005-0000-0000-0000FA240000}"/>
    <cellStyle name="Accent6 9 11" xfId="7069" xr:uid="{00000000-0005-0000-0000-0000FB240000}"/>
    <cellStyle name="Accent6 9 11 2" xfId="16398" xr:uid="{00000000-0005-0000-0000-0000FC240000}"/>
    <cellStyle name="Accent6 9 2" xfId="7070" xr:uid="{00000000-0005-0000-0000-0000FD240000}"/>
    <cellStyle name="Accent6 9 2 2" xfId="7071" xr:uid="{00000000-0005-0000-0000-0000FE240000}"/>
    <cellStyle name="Accent6 9 2 2 2" xfId="16399" xr:uid="{00000000-0005-0000-0000-0000FF240000}"/>
    <cellStyle name="Accent6 9 3" xfId="7072" xr:uid="{00000000-0005-0000-0000-000000250000}"/>
    <cellStyle name="Accent6 9 3 2" xfId="7073" xr:uid="{00000000-0005-0000-0000-000001250000}"/>
    <cellStyle name="Accent6 9 3 2 2" xfId="16400" xr:uid="{00000000-0005-0000-0000-000002250000}"/>
    <cellStyle name="Accent6 9 4" xfId="7074" xr:uid="{00000000-0005-0000-0000-000003250000}"/>
    <cellStyle name="Accent6 9 4 2" xfId="7075" xr:uid="{00000000-0005-0000-0000-000004250000}"/>
    <cellStyle name="Accent6 9 4 3" xfId="16401" xr:uid="{00000000-0005-0000-0000-000005250000}"/>
    <cellStyle name="Accent6 9 5" xfId="7076" xr:uid="{00000000-0005-0000-0000-000006250000}"/>
    <cellStyle name="Accent6 9 5 2" xfId="16402" xr:uid="{00000000-0005-0000-0000-000007250000}"/>
    <cellStyle name="Accent6 9 6" xfId="7077" xr:uid="{00000000-0005-0000-0000-000008250000}"/>
    <cellStyle name="Accent6 9 6 2" xfId="16403" xr:uid="{00000000-0005-0000-0000-000009250000}"/>
    <cellStyle name="Accent6 9 7" xfId="7078" xr:uid="{00000000-0005-0000-0000-00000A250000}"/>
    <cellStyle name="Accent6 9 7 2" xfId="16404" xr:uid="{00000000-0005-0000-0000-00000B250000}"/>
    <cellStyle name="Accent6 9 8" xfId="7079" xr:uid="{00000000-0005-0000-0000-00000C250000}"/>
    <cellStyle name="Accent6 9 8 2" xfId="16405" xr:uid="{00000000-0005-0000-0000-00000D250000}"/>
    <cellStyle name="Accent6 9 9" xfId="7080" xr:uid="{00000000-0005-0000-0000-00000E250000}"/>
    <cellStyle name="Accent6 9 9 2" xfId="16406" xr:uid="{00000000-0005-0000-0000-00000F250000}"/>
    <cellStyle name="Bad 10" xfId="7081" xr:uid="{00000000-0005-0000-0000-000010250000}"/>
    <cellStyle name="Bad 10 10" xfId="7082" xr:uid="{00000000-0005-0000-0000-000011250000}"/>
    <cellStyle name="Bad 10 10 2" xfId="16407" xr:uid="{00000000-0005-0000-0000-000012250000}"/>
    <cellStyle name="Bad 10 11" xfId="7083" xr:uid="{00000000-0005-0000-0000-000013250000}"/>
    <cellStyle name="Bad 10 11 2" xfId="16408" xr:uid="{00000000-0005-0000-0000-000014250000}"/>
    <cellStyle name="Bad 10 2" xfId="7084" xr:uid="{00000000-0005-0000-0000-000015250000}"/>
    <cellStyle name="Bad 10 2 2" xfId="7085" xr:uid="{00000000-0005-0000-0000-000016250000}"/>
    <cellStyle name="Bad 10 2 2 2" xfId="16409" xr:uid="{00000000-0005-0000-0000-000017250000}"/>
    <cellStyle name="Bad 10 3" xfId="7086" xr:uid="{00000000-0005-0000-0000-000018250000}"/>
    <cellStyle name="Bad 10 3 2" xfId="7087" xr:uid="{00000000-0005-0000-0000-000019250000}"/>
    <cellStyle name="Bad 10 3 2 2" xfId="16410" xr:uid="{00000000-0005-0000-0000-00001A250000}"/>
    <cellStyle name="Bad 10 4" xfId="7088" xr:uid="{00000000-0005-0000-0000-00001B250000}"/>
    <cellStyle name="Bad 10 4 2" xfId="7089" xr:uid="{00000000-0005-0000-0000-00001C250000}"/>
    <cellStyle name="Bad 10 4 3" xfId="16411" xr:uid="{00000000-0005-0000-0000-00001D250000}"/>
    <cellStyle name="Bad 10 5" xfId="7090" xr:uid="{00000000-0005-0000-0000-00001E250000}"/>
    <cellStyle name="Bad 10 5 2" xfId="16412" xr:uid="{00000000-0005-0000-0000-00001F250000}"/>
    <cellStyle name="Bad 10 6" xfId="7091" xr:uid="{00000000-0005-0000-0000-000020250000}"/>
    <cellStyle name="Bad 10 6 2" xfId="16413" xr:uid="{00000000-0005-0000-0000-000021250000}"/>
    <cellStyle name="Bad 10 7" xfId="7092" xr:uid="{00000000-0005-0000-0000-000022250000}"/>
    <cellStyle name="Bad 10 7 2" xfId="16414" xr:uid="{00000000-0005-0000-0000-000023250000}"/>
    <cellStyle name="Bad 10 8" xfId="7093" xr:uid="{00000000-0005-0000-0000-000024250000}"/>
    <cellStyle name="Bad 10 8 2" xfId="16415" xr:uid="{00000000-0005-0000-0000-000025250000}"/>
    <cellStyle name="Bad 10 9" xfId="7094" xr:uid="{00000000-0005-0000-0000-000026250000}"/>
    <cellStyle name="Bad 10 9 2" xfId="16416" xr:uid="{00000000-0005-0000-0000-000027250000}"/>
    <cellStyle name="Bad 11" xfId="7095" xr:uid="{00000000-0005-0000-0000-000028250000}"/>
    <cellStyle name="Bad 11 10" xfId="7096" xr:uid="{00000000-0005-0000-0000-000029250000}"/>
    <cellStyle name="Bad 11 10 2" xfId="16417" xr:uid="{00000000-0005-0000-0000-00002A250000}"/>
    <cellStyle name="Bad 11 11" xfId="7097" xr:uid="{00000000-0005-0000-0000-00002B250000}"/>
    <cellStyle name="Bad 11 11 2" xfId="16418" xr:uid="{00000000-0005-0000-0000-00002C250000}"/>
    <cellStyle name="Bad 11 2" xfId="7098" xr:uid="{00000000-0005-0000-0000-00002D250000}"/>
    <cellStyle name="Bad 11 2 2" xfId="7099" xr:uid="{00000000-0005-0000-0000-00002E250000}"/>
    <cellStyle name="Bad 11 2 2 2" xfId="16419" xr:uid="{00000000-0005-0000-0000-00002F250000}"/>
    <cellStyle name="Bad 11 3" xfId="7100" xr:uid="{00000000-0005-0000-0000-000030250000}"/>
    <cellStyle name="Bad 11 3 2" xfId="7101" xr:uid="{00000000-0005-0000-0000-000031250000}"/>
    <cellStyle name="Bad 11 3 2 2" xfId="16420" xr:uid="{00000000-0005-0000-0000-000032250000}"/>
    <cellStyle name="Bad 11 4" xfId="7102" xr:uid="{00000000-0005-0000-0000-000033250000}"/>
    <cellStyle name="Bad 11 4 2" xfId="7103" xr:uid="{00000000-0005-0000-0000-000034250000}"/>
    <cellStyle name="Bad 11 4 3" xfId="16421" xr:uid="{00000000-0005-0000-0000-000035250000}"/>
    <cellStyle name="Bad 11 5" xfId="7104" xr:uid="{00000000-0005-0000-0000-000036250000}"/>
    <cellStyle name="Bad 11 5 2" xfId="16422" xr:uid="{00000000-0005-0000-0000-000037250000}"/>
    <cellStyle name="Bad 11 6" xfId="7105" xr:uid="{00000000-0005-0000-0000-000038250000}"/>
    <cellStyle name="Bad 11 6 2" xfId="16423" xr:uid="{00000000-0005-0000-0000-000039250000}"/>
    <cellStyle name="Bad 11 7" xfId="7106" xr:uid="{00000000-0005-0000-0000-00003A250000}"/>
    <cellStyle name="Bad 11 7 2" xfId="16424" xr:uid="{00000000-0005-0000-0000-00003B250000}"/>
    <cellStyle name="Bad 11 8" xfId="7107" xr:uid="{00000000-0005-0000-0000-00003C250000}"/>
    <cellStyle name="Bad 11 8 2" xfId="16425" xr:uid="{00000000-0005-0000-0000-00003D250000}"/>
    <cellStyle name="Bad 11 9" xfId="7108" xr:uid="{00000000-0005-0000-0000-00003E250000}"/>
    <cellStyle name="Bad 11 9 2" xfId="16426" xr:uid="{00000000-0005-0000-0000-00003F250000}"/>
    <cellStyle name="Bad 12" xfId="7109" xr:uid="{00000000-0005-0000-0000-000040250000}"/>
    <cellStyle name="Bad 12 10" xfId="7110" xr:uid="{00000000-0005-0000-0000-000041250000}"/>
    <cellStyle name="Bad 12 10 2" xfId="16427" xr:uid="{00000000-0005-0000-0000-000042250000}"/>
    <cellStyle name="Bad 12 11" xfId="7111" xr:uid="{00000000-0005-0000-0000-000043250000}"/>
    <cellStyle name="Bad 12 11 2" xfId="16428" xr:uid="{00000000-0005-0000-0000-000044250000}"/>
    <cellStyle name="Bad 12 2" xfId="7112" xr:uid="{00000000-0005-0000-0000-000045250000}"/>
    <cellStyle name="Bad 12 2 2" xfId="7113" xr:uid="{00000000-0005-0000-0000-000046250000}"/>
    <cellStyle name="Bad 12 2 2 2" xfId="16429" xr:uid="{00000000-0005-0000-0000-000047250000}"/>
    <cellStyle name="Bad 12 3" xfId="7114" xr:uid="{00000000-0005-0000-0000-000048250000}"/>
    <cellStyle name="Bad 12 3 2" xfId="7115" xr:uid="{00000000-0005-0000-0000-000049250000}"/>
    <cellStyle name="Bad 12 3 2 2" xfId="16430" xr:uid="{00000000-0005-0000-0000-00004A250000}"/>
    <cellStyle name="Bad 12 4" xfId="7116" xr:uid="{00000000-0005-0000-0000-00004B250000}"/>
    <cellStyle name="Bad 12 4 2" xfId="7117" xr:uid="{00000000-0005-0000-0000-00004C250000}"/>
    <cellStyle name="Bad 12 4 3" xfId="16431" xr:uid="{00000000-0005-0000-0000-00004D250000}"/>
    <cellStyle name="Bad 12 5" xfId="7118" xr:uid="{00000000-0005-0000-0000-00004E250000}"/>
    <cellStyle name="Bad 12 5 2" xfId="16432" xr:uid="{00000000-0005-0000-0000-00004F250000}"/>
    <cellStyle name="Bad 12 6" xfId="7119" xr:uid="{00000000-0005-0000-0000-000050250000}"/>
    <cellStyle name="Bad 12 6 2" xfId="16433" xr:uid="{00000000-0005-0000-0000-000051250000}"/>
    <cellStyle name="Bad 12 7" xfId="7120" xr:uid="{00000000-0005-0000-0000-000052250000}"/>
    <cellStyle name="Bad 12 7 2" xfId="16434" xr:uid="{00000000-0005-0000-0000-000053250000}"/>
    <cellStyle name="Bad 12 8" xfId="7121" xr:uid="{00000000-0005-0000-0000-000054250000}"/>
    <cellStyle name="Bad 12 8 2" xfId="16435" xr:uid="{00000000-0005-0000-0000-000055250000}"/>
    <cellStyle name="Bad 12 9" xfId="7122" xr:uid="{00000000-0005-0000-0000-000056250000}"/>
    <cellStyle name="Bad 12 9 2" xfId="16436" xr:uid="{00000000-0005-0000-0000-000057250000}"/>
    <cellStyle name="Bad 13" xfId="7123" xr:uid="{00000000-0005-0000-0000-000058250000}"/>
    <cellStyle name="Bad 13 10" xfId="7124" xr:uid="{00000000-0005-0000-0000-000059250000}"/>
    <cellStyle name="Bad 13 10 2" xfId="16437" xr:uid="{00000000-0005-0000-0000-00005A250000}"/>
    <cellStyle name="Bad 13 11" xfId="7125" xr:uid="{00000000-0005-0000-0000-00005B250000}"/>
    <cellStyle name="Bad 13 11 2" xfId="16438" xr:uid="{00000000-0005-0000-0000-00005C250000}"/>
    <cellStyle name="Bad 13 2" xfId="7126" xr:uid="{00000000-0005-0000-0000-00005D250000}"/>
    <cellStyle name="Bad 13 2 2" xfId="7127" xr:uid="{00000000-0005-0000-0000-00005E250000}"/>
    <cellStyle name="Bad 13 2 2 2" xfId="16439" xr:uid="{00000000-0005-0000-0000-00005F250000}"/>
    <cellStyle name="Bad 13 3" xfId="7128" xr:uid="{00000000-0005-0000-0000-000060250000}"/>
    <cellStyle name="Bad 13 3 2" xfId="7129" xr:uid="{00000000-0005-0000-0000-000061250000}"/>
    <cellStyle name="Bad 13 3 2 2" xfId="16440" xr:uid="{00000000-0005-0000-0000-000062250000}"/>
    <cellStyle name="Bad 13 4" xfId="7130" xr:uid="{00000000-0005-0000-0000-000063250000}"/>
    <cellStyle name="Bad 13 4 2" xfId="16441" xr:uid="{00000000-0005-0000-0000-000064250000}"/>
    <cellStyle name="Bad 13 5" xfId="7131" xr:uid="{00000000-0005-0000-0000-000065250000}"/>
    <cellStyle name="Bad 13 5 2" xfId="16442" xr:uid="{00000000-0005-0000-0000-000066250000}"/>
    <cellStyle name="Bad 13 6" xfId="7132" xr:uid="{00000000-0005-0000-0000-000067250000}"/>
    <cellStyle name="Bad 13 6 2" xfId="16443" xr:uid="{00000000-0005-0000-0000-000068250000}"/>
    <cellStyle name="Bad 13 7" xfId="7133" xr:uid="{00000000-0005-0000-0000-000069250000}"/>
    <cellStyle name="Bad 13 7 2" xfId="16444" xr:uid="{00000000-0005-0000-0000-00006A250000}"/>
    <cellStyle name="Bad 13 8" xfId="7134" xr:uid="{00000000-0005-0000-0000-00006B250000}"/>
    <cellStyle name="Bad 13 8 2" xfId="16445" xr:uid="{00000000-0005-0000-0000-00006C250000}"/>
    <cellStyle name="Bad 13 9" xfId="7135" xr:uid="{00000000-0005-0000-0000-00006D250000}"/>
    <cellStyle name="Bad 13 9 2" xfId="16446" xr:uid="{00000000-0005-0000-0000-00006E250000}"/>
    <cellStyle name="Bad 14" xfId="7136" xr:uid="{00000000-0005-0000-0000-00006F250000}"/>
    <cellStyle name="Bad 14 10" xfId="7137" xr:uid="{00000000-0005-0000-0000-000070250000}"/>
    <cellStyle name="Bad 14 10 2" xfId="16447" xr:uid="{00000000-0005-0000-0000-000071250000}"/>
    <cellStyle name="Bad 14 11" xfId="7138" xr:uid="{00000000-0005-0000-0000-000072250000}"/>
    <cellStyle name="Bad 14 11 2" xfId="16448" xr:uid="{00000000-0005-0000-0000-000073250000}"/>
    <cellStyle name="Bad 14 2" xfId="7139" xr:uid="{00000000-0005-0000-0000-000074250000}"/>
    <cellStyle name="Bad 14 2 2" xfId="7140" xr:uid="{00000000-0005-0000-0000-000075250000}"/>
    <cellStyle name="Bad 14 2 2 2" xfId="16449" xr:uid="{00000000-0005-0000-0000-000076250000}"/>
    <cellStyle name="Bad 14 3" xfId="7141" xr:uid="{00000000-0005-0000-0000-000077250000}"/>
    <cellStyle name="Bad 14 3 2" xfId="7142" xr:uid="{00000000-0005-0000-0000-000078250000}"/>
    <cellStyle name="Bad 14 3 2 2" xfId="16450" xr:uid="{00000000-0005-0000-0000-000079250000}"/>
    <cellStyle name="Bad 14 4" xfId="7143" xr:uid="{00000000-0005-0000-0000-00007A250000}"/>
    <cellStyle name="Bad 14 4 2" xfId="16451" xr:uid="{00000000-0005-0000-0000-00007B250000}"/>
    <cellStyle name="Bad 14 5" xfId="7144" xr:uid="{00000000-0005-0000-0000-00007C250000}"/>
    <cellStyle name="Bad 14 5 2" xfId="16452" xr:uid="{00000000-0005-0000-0000-00007D250000}"/>
    <cellStyle name="Bad 14 6" xfId="7145" xr:uid="{00000000-0005-0000-0000-00007E250000}"/>
    <cellStyle name="Bad 14 6 2" xfId="16453" xr:uid="{00000000-0005-0000-0000-00007F250000}"/>
    <cellStyle name="Bad 14 7" xfId="7146" xr:uid="{00000000-0005-0000-0000-000080250000}"/>
    <cellStyle name="Bad 14 7 2" xfId="16454" xr:uid="{00000000-0005-0000-0000-000081250000}"/>
    <cellStyle name="Bad 14 8" xfId="7147" xr:uid="{00000000-0005-0000-0000-000082250000}"/>
    <cellStyle name="Bad 14 8 2" xfId="16455" xr:uid="{00000000-0005-0000-0000-000083250000}"/>
    <cellStyle name="Bad 14 9" xfId="7148" xr:uid="{00000000-0005-0000-0000-000084250000}"/>
    <cellStyle name="Bad 14 9 2" xfId="16456" xr:uid="{00000000-0005-0000-0000-000085250000}"/>
    <cellStyle name="Bad 15" xfId="7149" xr:uid="{00000000-0005-0000-0000-000086250000}"/>
    <cellStyle name="Bad 15 10" xfId="7150" xr:uid="{00000000-0005-0000-0000-000087250000}"/>
    <cellStyle name="Bad 15 10 2" xfId="16457" xr:uid="{00000000-0005-0000-0000-000088250000}"/>
    <cellStyle name="Bad 15 11" xfId="7151" xr:uid="{00000000-0005-0000-0000-000089250000}"/>
    <cellStyle name="Bad 15 11 2" xfId="16458" xr:uid="{00000000-0005-0000-0000-00008A250000}"/>
    <cellStyle name="Bad 15 2" xfId="7152" xr:uid="{00000000-0005-0000-0000-00008B250000}"/>
    <cellStyle name="Bad 15 2 2" xfId="7153" xr:uid="{00000000-0005-0000-0000-00008C250000}"/>
    <cellStyle name="Bad 15 2 2 2" xfId="16459" xr:uid="{00000000-0005-0000-0000-00008D250000}"/>
    <cellStyle name="Bad 15 3" xfId="7154" xr:uid="{00000000-0005-0000-0000-00008E250000}"/>
    <cellStyle name="Bad 15 3 2" xfId="7155" xr:uid="{00000000-0005-0000-0000-00008F250000}"/>
    <cellStyle name="Bad 15 3 2 2" xfId="16460" xr:uid="{00000000-0005-0000-0000-000090250000}"/>
    <cellStyle name="Bad 15 4" xfId="7156" xr:uid="{00000000-0005-0000-0000-000091250000}"/>
    <cellStyle name="Bad 15 4 2" xfId="16461" xr:uid="{00000000-0005-0000-0000-000092250000}"/>
    <cellStyle name="Bad 15 5" xfId="7157" xr:uid="{00000000-0005-0000-0000-000093250000}"/>
    <cellStyle name="Bad 15 5 2" xfId="16462" xr:uid="{00000000-0005-0000-0000-000094250000}"/>
    <cellStyle name="Bad 15 6" xfId="7158" xr:uid="{00000000-0005-0000-0000-000095250000}"/>
    <cellStyle name="Bad 15 6 2" xfId="16463" xr:uid="{00000000-0005-0000-0000-000096250000}"/>
    <cellStyle name="Bad 15 7" xfId="7159" xr:uid="{00000000-0005-0000-0000-000097250000}"/>
    <cellStyle name="Bad 15 7 2" xfId="16464" xr:uid="{00000000-0005-0000-0000-000098250000}"/>
    <cellStyle name="Bad 15 8" xfId="7160" xr:uid="{00000000-0005-0000-0000-000099250000}"/>
    <cellStyle name="Bad 15 8 2" xfId="16465" xr:uid="{00000000-0005-0000-0000-00009A250000}"/>
    <cellStyle name="Bad 15 9" xfId="7161" xr:uid="{00000000-0005-0000-0000-00009B250000}"/>
    <cellStyle name="Bad 15 9 2" xfId="16466" xr:uid="{00000000-0005-0000-0000-00009C250000}"/>
    <cellStyle name="Bad 16" xfId="7162" xr:uid="{00000000-0005-0000-0000-00009D250000}"/>
    <cellStyle name="Bad 16 10" xfId="7163" xr:uid="{00000000-0005-0000-0000-00009E250000}"/>
    <cellStyle name="Bad 16 10 2" xfId="16467" xr:uid="{00000000-0005-0000-0000-00009F250000}"/>
    <cellStyle name="Bad 16 11" xfId="7164" xr:uid="{00000000-0005-0000-0000-0000A0250000}"/>
    <cellStyle name="Bad 16 11 2" xfId="16468" xr:uid="{00000000-0005-0000-0000-0000A1250000}"/>
    <cellStyle name="Bad 16 2" xfId="7165" xr:uid="{00000000-0005-0000-0000-0000A2250000}"/>
    <cellStyle name="Bad 16 2 2" xfId="7166" xr:uid="{00000000-0005-0000-0000-0000A3250000}"/>
    <cellStyle name="Bad 16 2 2 2" xfId="16469" xr:uid="{00000000-0005-0000-0000-0000A4250000}"/>
    <cellStyle name="Bad 16 3" xfId="7167" xr:uid="{00000000-0005-0000-0000-0000A5250000}"/>
    <cellStyle name="Bad 16 3 2" xfId="7168" xr:uid="{00000000-0005-0000-0000-0000A6250000}"/>
    <cellStyle name="Bad 16 3 2 2" xfId="16470" xr:uid="{00000000-0005-0000-0000-0000A7250000}"/>
    <cellStyle name="Bad 16 4" xfId="7169" xr:uid="{00000000-0005-0000-0000-0000A8250000}"/>
    <cellStyle name="Bad 16 4 2" xfId="16471" xr:uid="{00000000-0005-0000-0000-0000A9250000}"/>
    <cellStyle name="Bad 16 5" xfId="7170" xr:uid="{00000000-0005-0000-0000-0000AA250000}"/>
    <cellStyle name="Bad 16 5 2" xfId="16472" xr:uid="{00000000-0005-0000-0000-0000AB250000}"/>
    <cellStyle name="Bad 16 6" xfId="7171" xr:uid="{00000000-0005-0000-0000-0000AC250000}"/>
    <cellStyle name="Bad 16 6 2" xfId="16473" xr:uid="{00000000-0005-0000-0000-0000AD250000}"/>
    <cellStyle name="Bad 16 7" xfId="7172" xr:uid="{00000000-0005-0000-0000-0000AE250000}"/>
    <cellStyle name="Bad 16 7 2" xfId="16474" xr:uid="{00000000-0005-0000-0000-0000AF250000}"/>
    <cellStyle name="Bad 16 8" xfId="7173" xr:uid="{00000000-0005-0000-0000-0000B0250000}"/>
    <cellStyle name="Bad 16 8 2" xfId="16475" xr:uid="{00000000-0005-0000-0000-0000B1250000}"/>
    <cellStyle name="Bad 16 9" xfId="7174" xr:uid="{00000000-0005-0000-0000-0000B2250000}"/>
    <cellStyle name="Bad 16 9 2" xfId="16476" xr:uid="{00000000-0005-0000-0000-0000B3250000}"/>
    <cellStyle name="Bad 17" xfId="7175" xr:uid="{00000000-0005-0000-0000-0000B4250000}"/>
    <cellStyle name="Bad 17 10" xfId="7176" xr:uid="{00000000-0005-0000-0000-0000B5250000}"/>
    <cellStyle name="Bad 17 10 2" xfId="16477" xr:uid="{00000000-0005-0000-0000-0000B6250000}"/>
    <cellStyle name="Bad 17 11" xfId="7177" xr:uid="{00000000-0005-0000-0000-0000B7250000}"/>
    <cellStyle name="Bad 17 11 2" xfId="16478" xr:uid="{00000000-0005-0000-0000-0000B8250000}"/>
    <cellStyle name="Bad 17 2" xfId="7178" xr:uid="{00000000-0005-0000-0000-0000B9250000}"/>
    <cellStyle name="Bad 17 2 2" xfId="7179" xr:uid="{00000000-0005-0000-0000-0000BA250000}"/>
    <cellStyle name="Bad 17 2 2 2" xfId="16479" xr:uid="{00000000-0005-0000-0000-0000BB250000}"/>
    <cellStyle name="Bad 17 3" xfId="7180" xr:uid="{00000000-0005-0000-0000-0000BC250000}"/>
    <cellStyle name="Bad 17 3 2" xfId="7181" xr:uid="{00000000-0005-0000-0000-0000BD250000}"/>
    <cellStyle name="Bad 17 3 2 2" xfId="16480" xr:uid="{00000000-0005-0000-0000-0000BE250000}"/>
    <cellStyle name="Bad 17 4" xfId="7182" xr:uid="{00000000-0005-0000-0000-0000BF250000}"/>
    <cellStyle name="Bad 17 4 2" xfId="16481" xr:uid="{00000000-0005-0000-0000-0000C0250000}"/>
    <cellStyle name="Bad 17 5" xfId="7183" xr:uid="{00000000-0005-0000-0000-0000C1250000}"/>
    <cellStyle name="Bad 17 5 2" xfId="16482" xr:uid="{00000000-0005-0000-0000-0000C2250000}"/>
    <cellStyle name="Bad 17 6" xfId="7184" xr:uid="{00000000-0005-0000-0000-0000C3250000}"/>
    <cellStyle name="Bad 17 6 2" xfId="16483" xr:uid="{00000000-0005-0000-0000-0000C4250000}"/>
    <cellStyle name="Bad 17 7" xfId="7185" xr:uid="{00000000-0005-0000-0000-0000C5250000}"/>
    <cellStyle name="Bad 17 7 2" xfId="16484" xr:uid="{00000000-0005-0000-0000-0000C6250000}"/>
    <cellStyle name="Bad 17 8" xfId="7186" xr:uid="{00000000-0005-0000-0000-0000C7250000}"/>
    <cellStyle name="Bad 17 8 2" xfId="16485" xr:uid="{00000000-0005-0000-0000-0000C8250000}"/>
    <cellStyle name="Bad 17 9" xfId="7187" xr:uid="{00000000-0005-0000-0000-0000C9250000}"/>
    <cellStyle name="Bad 17 9 2" xfId="16486" xr:uid="{00000000-0005-0000-0000-0000CA250000}"/>
    <cellStyle name="Bad 18" xfId="7188" xr:uid="{00000000-0005-0000-0000-0000CB250000}"/>
    <cellStyle name="Bad 18 2" xfId="7189" xr:uid="{00000000-0005-0000-0000-0000CC250000}"/>
    <cellStyle name="Bad 18 2 2" xfId="7190" xr:uid="{00000000-0005-0000-0000-0000CD250000}"/>
    <cellStyle name="Bad 18 2 2 2" xfId="16487" xr:uid="{00000000-0005-0000-0000-0000CE250000}"/>
    <cellStyle name="Bad 18 3" xfId="7191" xr:uid="{00000000-0005-0000-0000-0000CF250000}"/>
    <cellStyle name="Bad 18 3 2" xfId="16488" xr:uid="{00000000-0005-0000-0000-0000D0250000}"/>
    <cellStyle name="Bad 18 4" xfId="7192" xr:uid="{00000000-0005-0000-0000-0000D1250000}"/>
    <cellStyle name="Bad 18 4 2" xfId="16489" xr:uid="{00000000-0005-0000-0000-0000D2250000}"/>
    <cellStyle name="Bad 18 5" xfId="7193" xr:uid="{00000000-0005-0000-0000-0000D3250000}"/>
    <cellStyle name="Bad 18 5 2" xfId="16490" xr:uid="{00000000-0005-0000-0000-0000D4250000}"/>
    <cellStyle name="Bad 18 6" xfId="7194" xr:uid="{00000000-0005-0000-0000-0000D5250000}"/>
    <cellStyle name="Bad 18 6 2" xfId="16491" xr:uid="{00000000-0005-0000-0000-0000D6250000}"/>
    <cellStyle name="Bad 18 7" xfId="7195" xr:uid="{00000000-0005-0000-0000-0000D7250000}"/>
    <cellStyle name="Bad 18 7 2" xfId="16492" xr:uid="{00000000-0005-0000-0000-0000D8250000}"/>
    <cellStyle name="Bad 18 8" xfId="7196" xr:uid="{00000000-0005-0000-0000-0000D9250000}"/>
    <cellStyle name="Bad 18 8 2" xfId="16493" xr:uid="{00000000-0005-0000-0000-0000DA250000}"/>
    <cellStyle name="Bad 18 9" xfId="7197" xr:uid="{00000000-0005-0000-0000-0000DB250000}"/>
    <cellStyle name="Bad 18 9 2" xfId="16494" xr:uid="{00000000-0005-0000-0000-0000DC250000}"/>
    <cellStyle name="Bad 19" xfId="7198" xr:uid="{00000000-0005-0000-0000-0000DD250000}"/>
    <cellStyle name="Bad 19 2" xfId="7199" xr:uid="{00000000-0005-0000-0000-0000DE250000}"/>
    <cellStyle name="Bad 19 2 2" xfId="7200" xr:uid="{00000000-0005-0000-0000-0000DF250000}"/>
    <cellStyle name="Bad 19 2 2 2" xfId="16495" xr:uid="{00000000-0005-0000-0000-0000E0250000}"/>
    <cellStyle name="Bad 19 3" xfId="7201" xr:uid="{00000000-0005-0000-0000-0000E1250000}"/>
    <cellStyle name="Bad 19 3 2" xfId="16496" xr:uid="{00000000-0005-0000-0000-0000E2250000}"/>
    <cellStyle name="Bad 19 4" xfId="7202" xr:uid="{00000000-0005-0000-0000-0000E3250000}"/>
    <cellStyle name="Bad 19 4 2" xfId="16497" xr:uid="{00000000-0005-0000-0000-0000E4250000}"/>
    <cellStyle name="Bad 19 5" xfId="7203" xr:uid="{00000000-0005-0000-0000-0000E5250000}"/>
    <cellStyle name="Bad 19 5 2" xfId="16498" xr:uid="{00000000-0005-0000-0000-0000E6250000}"/>
    <cellStyle name="Bad 19 6" xfId="7204" xr:uid="{00000000-0005-0000-0000-0000E7250000}"/>
    <cellStyle name="Bad 19 6 2" xfId="16499" xr:uid="{00000000-0005-0000-0000-0000E8250000}"/>
    <cellStyle name="Bad 19 7" xfId="7205" xr:uid="{00000000-0005-0000-0000-0000E9250000}"/>
    <cellStyle name="Bad 19 7 2" xfId="16500" xr:uid="{00000000-0005-0000-0000-0000EA250000}"/>
    <cellStyle name="Bad 19 8" xfId="7206" xr:uid="{00000000-0005-0000-0000-0000EB250000}"/>
    <cellStyle name="Bad 19 8 2" xfId="16501" xr:uid="{00000000-0005-0000-0000-0000EC250000}"/>
    <cellStyle name="Bad 19 9" xfId="7207" xr:uid="{00000000-0005-0000-0000-0000ED250000}"/>
    <cellStyle name="Bad 19 9 2" xfId="16502" xr:uid="{00000000-0005-0000-0000-0000EE250000}"/>
    <cellStyle name="Bad 2" xfId="7208" xr:uid="{00000000-0005-0000-0000-0000EF250000}"/>
    <cellStyle name="Bad 2 10" xfId="7209" xr:uid="{00000000-0005-0000-0000-0000F0250000}"/>
    <cellStyle name="Bad 2 10 2" xfId="16503" xr:uid="{00000000-0005-0000-0000-0000F1250000}"/>
    <cellStyle name="Bad 2 11" xfId="7210" xr:uid="{00000000-0005-0000-0000-0000F2250000}"/>
    <cellStyle name="Bad 2 11 2" xfId="16504" xr:uid="{00000000-0005-0000-0000-0000F3250000}"/>
    <cellStyle name="Bad 2 12" xfId="21713" xr:uid="{00000000-0005-0000-0000-0000F4250000}"/>
    <cellStyle name="Bad 2 2" xfId="7211" xr:uid="{00000000-0005-0000-0000-0000F5250000}"/>
    <cellStyle name="Bad 2 2 2" xfId="7212" xr:uid="{00000000-0005-0000-0000-0000F6250000}"/>
    <cellStyle name="Bad 2 2 2 2" xfId="16505" xr:uid="{00000000-0005-0000-0000-0000F7250000}"/>
    <cellStyle name="Bad 2 3" xfId="7213" xr:uid="{00000000-0005-0000-0000-0000F8250000}"/>
    <cellStyle name="Bad 2 3 2" xfId="7214" xr:uid="{00000000-0005-0000-0000-0000F9250000}"/>
    <cellStyle name="Bad 2 3 2 2" xfId="16506" xr:uid="{00000000-0005-0000-0000-0000FA250000}"/>
    <cellStyle name="Bad 2 4" xfId="7215" xr:uid="{00000000-0005-0000-0000-0000FB250000}"/>
    <cellStyle name="Bad 2 4 2" xfId="7216" xr:uid="{00000000-0005-0000-0000-0000FC250000}"/>
    <cellStyle name="Bad 2 4 3" xfId="16507" xr:uid="{00000000-0005-0000-0000-0000FD250000}"/>
    <cellStyle name="Bad 2 5" xfId="7217" xr:uid="{00000000-0005-0000-0000-0000FE250000}"/>
    <cellStyle name="Bad 2 5 2" xfId="16508" xr:uid="{00000000-0005-0000-0000-0000FF250000}"/>
    <cellStyle name="Bad 2 6" xfId="7218" xr:uid="{00000000-0005-0000-0000-000000260000}"/>
    <cellStyle name="Bad 2 6 2" xfId="16509" xr:uid="{00000000-0005-0000-0000-000001260000}"/>
    <cellStyle name="Bad 2 7" xfId="7219" xr:uid="{00000000-0005-0000-0000-000002260000}"/>
    <cellStyle name="Bad 2 7 2" xfId="16510" xr:uid="{00000000-0005-0000-0000-000003260000}"/>
    <cellStyle name="Bad 2 8" xfId="7220" xr:uid="{00000000-0005-0000-0000-000004260000}"/>
    <cellStyle name="Bad 2 8 2" xfId="16511" xr:uid="{00000000-0005-0000-0000-000005260000}"/>
    <cellStyle name="Bad 2 9" xfId="7221" xr:uid="{00000000-0005-0000-0000-000006260000}"/>
    <cellStyle name="Bad 2 9 2" xfId="16512" xr:uid="{00000000-0005-0000-0000-000007260000}"/>
    <cellStyle name="Bad 20" xfId="7222" xr:uid="{00000000-0005-0000-0000-000008260000}"/>
    <cellStyle name="Bad 20 2" xfId="7223" xr:uid="{00000000-0005-0000-0000-000009260000}"/>
    <cellStyle name="Bad 20 2 2" xfId="16513" xr:uid="{00000000-0005-0000-0000-00000A260000}"/>
    <cellStyle name="Bad 20 3" xfId="7224" xr:uid="{00000000-0005-0000-0000-00000B260000}"/>
    <cellStyle name="Bad 20 3 2" xfId="16514" xr:uid="{00000000-0005-0000-0000-00000C260000}"/>
    <cellStyle name="Bad 20 4" xfId="7225" xr:uid="{00000000-0005-0000-0000-00000D260000}"/>
    <cellStyle name="Bad 20 4 2" xfId="16515" xr:uid="{00000000-0005-0000-0000-00000E260000}"/>
    <cellStyle name="Bad 20 5" xfId="7226" xr:uid="{00000000-0005-0000-0000-00000F260000}"/>
    <cellStyle name="Bad 20 5 2" xfId="16516" xr:uid="{00000000-0005-0000-0000-000010260000}"/>
    <cellStyle name="Bad 20 6" xfId="7227" xr:uid="{00000000-0005-0000-0000-000011260000}"/>
    <cellStyle name="Bad 20 6 2" xfId="16517" xr:uid="{00000000-0005-0000-0000-000012260000}"/>
    <cellStyle name="Bad 20 7" xfId="7228" xr:uid="{00000000-0005-0000-0000-000013260000}"/>
    <cellStyle name="Bad 20 7 2" xfId="16518" xr:uid="{00000000-0005-0000-0000-000014260000}"/>
    <cellStyle name="Bad 20 8" xfId="7229" xr:uid="{00000000-0005-0000-0000-000015260000}"/>
    <cellStyle name="Bad 20 8 2" xfId="16519" xr:uid="{00000000-0005-0000-0000-000016260000}"/>
    <cellStyle name="Bad 20 9" xfId="7230" xr:uid="{00000000-0005-0000-0000-000017260000}"/>
    <cellStyle name="Bad 20 9 2" xfId="16520" xr:uid="{00000000-0005-0000-0000-000018260000}"/>
    <cellStyle name="Bad 21" xfId="7231" xr:uid="{00000000-0005-0000-0000-000019260000}"/>
    <cellStyle name="Bad 21 2" xfId="7232" xr:uid="{00000000-0005-0000-0000-00001A260000}"/>
    <cellStyle name="Bad 21 2 2" xfId="16521" xr:uid="{00000000-0005-0000-0000-00001B260000}"/>
    <cellStyle name="Bad 21 3" xfId="7233" xr:uid="{00000000-0005-0000-0000-00001C260000}"/>
    <cellStyle name="Bad 21 3 2" xfId="16522" xr:uid="{00000000-0005-0000-0000-00001D260000}"/>
    <cellStyle name="Bad 21 4" xfId="7234" xr:uid="{00000000-0005-0000-0000-00001E260000}"/>
    <cellStyle name="Bad 21 4 2" xfId="16523" xr:uid="{00000000-0005-0000-0000-00001F260000}"/>
    <cellStyle name="Bad 21 5" xfId="7235" xr:uid="{00000000-0005-0000-0000-000020260000}"/>
    <cellStyle name="Bad 21 5 2" xfId="16524" xr:uid="{00000000-0005-0000-0000-000021260000}"/>
    <cellStyle name="Bad 21 6" xfId="7236" xr:uid="{00000000-0005-0000-0000-000022260000}"/>
    <cellStyle name="Bad 21 6 2" xfId="16525" xr:uid="{00000000-0005-0000-0000-000023260000}"/>
    <cellStyle name="Bad 21 7" xfId="7237" xr:uid="{00000000-0005-0000-0000-000024260000}"/>
    <cellStyle name="Bad 21 7 2" xfId="16526" xr:uid="{00000000-0005-0000-0000-000025260000}"/>
    <cellStyle name="Bad 21 8" xfId="7238" xr:uid="{00000000-0005-0000-0000-000026260000}"/>
    <cellStyle name="Bad 21 8 2" xfId="16527" xr:uid="{00000000-0005-0000-0000-000027260000}"/>
    <cellStyle name="Bad 21 9" xfId="7239" xr:uid="{00000000-0005-0000-0000-000028260000}"/>
    <cellStyle name="Bad 21 9 2" xfId="16528" xr:uid="{00000000-0005-0000-0000-000029260000}"/>
    <cellStyle name="Bad 22" xfId="7240" xr:uid="{00000000-0005-0000-0000-00002A260000}"/>
    <cellStyle name="Bad 22 2" xfId="7241" xr:uid="{00000000-0005-0000-0000-00002B260000}"/>
    <cellStyle name="Bad 22 2 2" xfId="16529" xr:uid="{00000000-0005-0000-0000-00002C260000}"/>
    <cellStyle name="Bad 22 3" xfId="7242" xr:uid="{00000000-0005-0000-0000-00002D260000}"/>
    <cellStyle name="Bad 22 3 2" xfId="16530" xr:uid="{00000000-0005-0000-0000-00002E260000}"/>
    <cellStyle name="Bad 22 4" xfId="7243" xr:uid="{00000000-0005-0000-0000-00002F260000}"/>
    <cellStyle name="Bad 22 4 2" xfId="16531" xr:uid="{00000000-0005-0000-0000-000030260000}"/>
    <cellStyle name="Bad 22 5" xfId="7244" xr:uid="{00000000-0005-0000-0000-000031260000}"/>
    <cellStyle name="Bad 22 5 2" xfId="16532" xr:uid="{00000000-0005-0000-0000-000032260000}"/>
    <cellStyle name="Bad 22 6" xfId="7245" xr:uid="{00000000-0005-0000-0000-000033260000}"/>
    <cellStyle name="Bad 22 6 2" xfId="16533" xr:uid="{00000000-0005-0000-0000-000034260000}"/>
    <cellStyle name="Bad 22 7" xfId="7246" xr:uid="{00000000-0005-0000-0000-000035260000}"/>
    <cellStyle name="Bad 22 7 2" xfId="16534" xr:uid="{00000000-0005-0000-0000-000036260000}"/>
    <cellStyle name="Bad 22 8" xfId="7247" xr:uid="{00000000-0005-0000-0000-000037260000}"/>
    <cellStyle name="Bad 22 8 2" xfId="16535" xr:uid="{00000000-0005-0000-0000-000038260000}"/>
    <cellStyle name="Bad 22 9" xfId="7248" xr:uid="{00000000-0005-0000-0000-000039260000}"/>
    <cellStyle name="Bad 22 9 2" xfId="16536" xr:uid="{00000000-0005-0000-0000-00003A260000}"/>
    <cellStyle name="Bad 23" xfId="7249" xr:uid="{00000000-0005-0000-0000-00003B260000}"/>
    <cellStyle name="Bad 23 2" xfId="7250" xr:uid="{00000000-0005-0000-0000-00003C260000}"/>
    <cellStyle name="Bad 23 2 2" xfId="16537" xr:uid="{00000000-0005-0000-0000-00003D260000}"/>
    <cellStyle name="Bad 23 3" xfId="7251" xr:uid="{00000000-0005-0000-0000-00003E260000}"/>
    <cellStyle name="Bad 23 3 2" xfId="16538" xr:uid="{00000000-0005-0000-0000-00003F260000}"/>
    <cellStyle name="Bad 23 4" xfId="7252" xr:uid="{00000000-0005-0000-0000-000040260000}"/>
    <cellStyle name="Bad 23 4 2" xfId="16539" xr:uid="{00000000-0005-0000-0000-000041260000}"/>
    <cellStyle name="Bad 23 5" xfId="7253" xr:uid="{00000000-0005-0000-0000-000042260000}"/>
    <cellStyle name="Bad 23 5 2" xfId="16540" xr:uid="{00000000-0005-0000-0000-000043260000}"/>
    <cellStyle name="Bad 23 6" xfId="7254" xr:uid="{00000000-0005-0000-0000-000044260000}"/>
    <cellStyle name="Bad 23 6 2" xfId="16541" xr:uid="{00000000-0005-0000-0000-000045260000}"/>
    <cellStyle name="Bad 23 7" xfId="7255" xr:uid="{00000000-0005-0000-0000-000046260000}"/>
    <cellStyle name="Bad 23 7 2" xfId="16542" xr:uid="{00000000-0005-0000-0000-000047260000}"/>
    <cellStyle name="Bad 23 8" xfId="7256" xr:uid="{00000000-0005-0000-0000-000048260000}"/>
    <cellStyle name="Bad 23 8 2" xfId="16543" xr:uid="{00000000-0005-0000-0000-000049260000}"/>
    <cellStyle name="Bad 23 9" xfId="7257" xr:uid="{00000000-0005-0000-0000-00004A260000}"/>
    <cellStyle name="Bad 23 9 2" xfId="16544" xr:uid="{00000000-0005-0000-0000-00004B260000}"/>
    <cellStyle name="Bad 24" xfId="7258" xr:uid="{00000000-0005-0000-0000-00004C260000}"/>
    <cellStyle name="Bad 24 2" xfId="7259" xr:uid="{00000000-0005-0000-0000-00004D260000}"/>
    <cellStyle name="Bad 24 2 2" xfId="16545" xr:uid="{00000000-0005-0000-0000-00004E260000}"/>
    <cellStyle name="Bad 24 3" xfId="7260" xr:uid="{00000000-0005-0000-0000-00004F260000}"/>
    <cellStyle name="Bad 24 3 2" xfId="16546" xr:uid="{00000000-0005-0000-0000-000050260000}"/>
    <cellStyle name="Bad 24 4" xfId="7261" xr:uid="{00000000-0005-0000-0000-000051260000}"/>
    <cellStyle name="Bad 24 4 2" xfId="16547" xr:uid="{00000000-0005-0000-0000-000052260000}"/>
    <cellStyle name="Bad 24 5" xfId="7262" xr:uid="{00000000-0005-0000-0000-000053260000}"/>
    <cellStyle name="Bad 24 5 2" xfId="16548" xr:uid="{00000000-0005-0000-0000-000054260000}"/>
    <cellStyle name="Bad 24 6" xfId="7263" xr:uid="{00000000-0005-0000-0000-000055260000}"/>
    <cellStyle name="Bad 24 6 2" xfId="16549" xr:uid="{00000000-0005-0000-0000-000056260000}"/>
    <cellStyle name="Bad 24 7" xfId="7264" xr:uid="{00000000-0005-0000-0000-000057260000}"/>
    <cellStyle name="Bad 24 7 2" xfId="16550" xr:uid="{00000000-0005-0000-0000-000058260000}"/>
    <cellStyle name="Bad 24 8" xfId="7265" xr:uid="{00000000-0005-0000-0000-000059260000}"/>
    <cellStyle name="Bad 24 8 2" xfId="16551" xr:uid="{00000000-0005-0000-0000-00005A260000}"/>
    <cellStyle name="Bad 24 9" xfId="7266" xr:uid="{00000000-0005-0000-0000-00005B260000}"/>
    <cellStyle name="Bad 24 9 2" xfId="16552" xr:uid="{00000000-0005-0000-0000-00005C260000}"/>
    <cellStyle name="Bad 25" xfId="7267" xr:uid="{00000000-0005-0000-0000-00005D260000}"/>
    <cellStyle name="Bad 25 2" xfId="7268" xr:uid="{00000000-0005-0000-0000-00005E260000}"/>
    <cellStyle name="Bad 25 2 2" xfId="16553" xr:uid="{00000000-0005-0000-0000-00005F260000}"/>
    <cellStyle name="Bad 25 3" xfId="7269" xr:uid="{00000000-0005-0000-0000-000060260000}"/>
    <cellStyle name="Bad 25 3 2" xfId="16554" xr:uid="{00000000-0005-0000-0000-000061260000}"/>
    <cellStyle name="Bad 25 4" xfId="7270" xr:uid="{00000000-0005-0000-0000-000062260000}"/>
    <cellStyle name="Bad 25 4 2" xfId="16555" xr:uid="{00000000-0005-0000-0000-000063260000}"/>
    <cellStyle name="Bad 25 5" xfId="7271" xr:uid="{00000000-0005-0000-0000-000064260000}"/>
    <cellStyle name="Bad 25 5 2" xfId="16556" xr:uid="{00000000-0005-0000-0000-000065260000}"/>
    <cellStyle name="Bad 25 6" xfId="7272" xr:uid="{00000000-0005-0000-0000-000066260000}"/>
    <cellStyle name="Bad 25 6 2" xfId="16557" xr:uid="{00000000-0005-0000-0000-000067260000}"/>
    <cellStyle name="Bad 25 7" xfId="7273" xr:uid="{00000000-0005-0000-0000-000068260000}"/>
    <cellStyle name="Bad 25 7 2" xfId="16558" xr:uid="{00000000-0005-0000-0000-000069260000}"/>
    <cellStyle name="Bad 25 8" xfId="7274" xr:uid="{00000000-0005-0000-0000-00006A260000}"/>
    <cellStyle name="Bad 25 8 2" xfId="16559" xr:uid="{00000000-0005-0000-0000-00006B260000}"/>
    <cellStyle name="Bad 25 9" xfId="7275" xr:uid="{00000000-0005-0000-0000-00006C260000}"/>
    <cellStyle name="Bad 25 9 2" xfId="16560" xr:uid="{00000000-0005-0000-0000-00006D260000}"/>
    <cellStyle name="Bad 26" xfId="7276" xr:uid="{00000000-0005-0000-0000-00006E260000}"/>
    <cellStyle name="Bad 26 2" xfId="7277" xr:uid="{00000000-0005-0000-0000-00006F260000}"/>
    <cellStyle name="Bad 26 2 2" xfId="16561" xr:uid="{00000000-0005-0000-0000-000070260000}"/>
    <cellStyle name="Bad 26 3" xfId="7278" xr:uid="{00000000-0005-0000-0000-000071260000}"/>
    <cellStyle name="Bad 26 3 2" xfId="16562" xr:uid="{00000000-0005-0000-0000-000072260000}"/>
    <cellStyle name="Bad 26 4" xfId="7279" xr:uid="{00000000-0005-0000-0000-000073260000}"/>
    <cellStyle name="Bad 26 4 2" xfId="16563" xr:uid="{00000000-0005-0000-0000-000074260000}"/>
    <cellStyle name="Bad 26 5" xfId="7280" xr:uid="{00000000-0005-0000-0000-000075260000}"/>
    <cellStyle name="Bad 26 5 2" xfId="16564" xr:uid="{00000000-0005-0000-0000-000076260000}"/>
    <cellStyle name="Bad 26 6" xfId="7281" xr:uid="{00000000-0005-0000-0000-000077260000}"/>
    <cellStyle name="Bad 26 6 2" xfId="16565" xr:uid="{00000000-0005-0000-0000-000078260000}"/>
    <cellStyle name="Bad 26 7" xfId="7282" xr:uid="{00000000-0005-0000-0000-000079260000}"/>
    <cellStyle name="Bad 26 7 2" xfId="16566" xr:uid="{00000000-0005-0000-0000-00007A260000}"/>
    <cellStyle name="Bad 26 8" xfId="7283" xr:uid="{00000000-0005-0000-0000-00007B260000}"/>
    <cellStyle name="Bad 26 8 2" xfId="16567" xr:uid="{00000000-0005-0000-0000-00007C260000}"/>
    <cellStyle name="Bad 26 9" xfId="7284" xr:uid="{00000000-0005-0000-0000-00007D260000}"/>
    <cellStyle name="Bad 26 9 2" xfId="16568" xr:uid="{00000000-0005-0000-0000-00007E260000}"/>
    <cellStyle name="Bad 27" xfId="7285" xr:uid="{00000000-0005-0000-0000-00007F260000}"/>
    <cellStyle name="Bad 27 2" xfId="7286" xr:uid="{00000000-0005-0000-0000-000080260000}"/>
    <cellStyle name="Bad 27 2 2" xfId="16569" xr:uid="{00000000-0005-0000-0000-000081260000}"/>
    <cellStyle name="Bad 27 3" xfId="7287" xr:uid="{00000000-0005-0000-0000-000082260000}"/>
    <cellStyle name="Bad 27 3 2" xfId="16570" xr:uid="{00000000-0005-0000-0000-000083260000}"/>
    <cellStyle name="Bad 27 4" xfId="7288" xr:uid="{00000000-0005-0000-0000-000084260000}"/>
    <cellStyle name="Bad 27 4 2" xfId="16571" xr:uid="{00000000-0005-0000-0000-000085260000}"/>
    <cellStyle name="Bad 27 5" xfId="7289" xr:uid="{00000000-0005-0000-0000-000086260000}"/>
    <cellStyle name="Bad 27 5 2" xfId="16572" xr:uid="{00000000-0005-0000-0000-000087260000}"/>
    <cellStyle name="Bad 27 6" xfId="7290" xr:uid="{00000000-0005-0000-0000-000088260000}"/>
    <cellStyle name="Bad 27 6 2" xfId="16573" xr:uid="{00000000-0005-0000-0000-000089260000}"/>
    <cellStyle name="Bad 27 7" xfId="7291" xr:uid="{00000000-0005-0000-0000-00008A260000}"/>
    <cellStyle name="Bad 27 7 2" xfId="16574" xr:uid="{00000000-0005-0000-0000-00008B260000}"/>
    <cellStyle name="Bad 27 8" xfId="7292" xr:uid="{00000000-0005-0000-0000-00008C260000}"/>
    <cellStyle name="Bad 27 8 2" xfId="16575" xr:uid="{00000000-0005-0000-0000-00008D260000}"/>
    <cellStyle name="Bad 27 9" xfId="7293" xr:uid="{00000000-0005-0000-0000-00008E260000}"/>
    <cellStyle name="Bad 27 9 2" xfId="16576" xr:uid="{00000000-0005-0000-0000-00008F260000}"/>
    <cellStyle name="Bad 28" xfId="7294" xr:uid="{00000000-0005-0000-0000-000090260000}"/>
    <cellStyle name="Bad 28 2" xfId="7295" xr:uid="{00000000-0005-0000-0000-000091260000}"/>
    <cellStyle name="Bad 28 2 2" xfId="16577" xr:uid="{00000000-0005-0000-0000-000092260000}"/>
    <cellStyle name="Bad 28 3" xfId="7296" xr:uid="{00000000-0005-0000-0000-000093260000}"/>
    <cellStyle name="Bad 28 3 2" xfId="16578" xr:uid="{00000000-0005-0000-0000-000094260000}"/>
    <cellStyle name="Bad 28 4" xfId="7297" xr:uid="{00000000-0005-0000-0000-000095260000}"/>
    <cellStyle name="Bad 28 4 2" xfId="16579" xr:uid="{00000000-0005-0000-0000-000096260000}"/>
    <cellStyle name="Bad 28 5" xfId="7298" xr:uid="{00000000-0005-0000-0000-000097260000}"/>
    <cellStyle name="Bad 28 5 2" xfId="16580" xr:uid="{00000000-0005-0000-0000-000098260000}"/>
    <cellStyle name="Bad 28 6" xfId="7299" xr:uid="{00000000-0005-0000-0000-000099260000}"/>
    <cellStyle name="Bad 28 6 2" xfId="16581" xr:uid="{00000000-0005-0000-0000-00009A260000}"/>
    <cellStyle name="Bad 28 7" xfId="7300" xr:uid="{00000000-0005-0000-0000-00009B260000}"/>
    <cellStyle name="Bad 28 7 2" xfId="16582" xr:uid="{00000000-0005-0000-0000-00009C260000}"/>
    <cellStyle name="Bad 28 8" xfId="7301" xr:uid="{00000000-0005-0000-0000-00009D260000}"/>
    <cellStyle name="Bad 28 8 2" xfId="16583" xr:uid="{00000000-0005-0000-0000-00009E260000}"/>
    <cellStyle name="Bad 28 9" xfId="7302" xr:uid="{00000000-0005-0000-0000-00009F260000}"/>
    <cellStyle name="Bad 28 9 2" xfId="16584" xr:uid="{00000000-0005-0000-0000-0000A0260000}"/>
    <cellStyle name="Bad 29" xfId="7303" xr:uid="{00000000-0005-0000-0000-0000A1260000}"/>
    <cellStyle name="Bad 29 2" xfId="7304" xr:uid="{00000000-0005-0000-0000-0000A2260000}"/>
    <cellStyle name="Bad 29 2 2" xfId="16585" xr:uid="{00000000-0005-0000-0000-0000A3260000}"/>
    <cellStyle name="Bad 29 3" xfId="7305" xr:uid="{00000000-0005-0000-0000-0000A4260000}"/>
    <cellStyle name="Bad 29 3 2" xfId="16586" xr:uid="{00000000-0005-0000-0000-0000A5260000}"/>
    <cellStyle name="Bad 29 4" xfId="7306" xr:uid="{00000000-0005-0000-0000-0000A6260000}"/>
    <cellStyle name="Bad 29 4 2" xfId="16587" xr:uid="{00000000-0005-0000-0000-0000A7260000}"/>
    <cellStyle name="Bad 29 5" xfId="7307" xr:uid="{00000000-0005-0000-0000-0000A8260000}"/>
    <cellStyle name="Bad 29 5 2" xfId="16588" xr:uid="{00000000-0005-0000-0000-0000A9260000}"/>
    <cellStyle name="Bad 29 6" xfId="7308" xr:uid="{00000000-0005-0000-0000-0000AA260000}"/>
    <cellStyle name="Bad 29 6 2" xfId="16589" xr:uid="{00000000-0005-0000-0000-0000AB260000}"/>
    <cellStyle name="Bad 29 7" xfId="7309" xr:uid="{00000000-0005-0000-0000-0000AC260000}"/>
    <cellStyle name="Bad 29 7 2" xfId="16590" xr:uid="{00000000-0005-0000-0000-0000AD260000}"/>
    <cellStyle name="Bad 29 8" xfId="7310" xr:uid="{00000000-0005-0000-0000-0000AE260000}"/>
    <cellStyle name="Bad 29 8 2" xfId="16591" xr:uid="{00000000-0005-0000-0000-0000AF260000}"/>
    <cellStyle name="Bad 29 9" xfId="7311" xr:uid="{00000000-0005-0000-0000-0000B0260000}"/>
    <cellStyle name="Bad 29 9 2" xfId="16592" xr:uid="{00000000-0005-0000-0000-0000B1260000}"/>
    <cellStyle name="Bad 3" xfId="7312" xr:uid="{00000000-0005-0000-0000-0000B2260000}"/>
    <cellStyle name="Bad 3 10" xfId="7313" xr:uid="{00000000-0005-0000-0000-0000B3260000}"/>
    <cellStyle name="Bad 3 10 2" xfId="16593" xr:uid="{00000000-0005-0000-0000-0000B4260000}"/>
    <cellStyle name="Bad 3 11" xfId="7314" xr:uid="{00000000-0005-0000-0000-0000B5260000}"/>
    <cellStyle name="Bad 3 11 2" xfId="16594" xr:uid="{00000000-0005-0000-0000-0000B6260000}"/>
    <cellStyle name="Bad 3 12" xfId="22035" xr:uid="{00000000-0005-0000-0000-0000B7260000}"/>
    <cellStyle name="Bad 3 2" xfId="7315" xr:uid="{00000000-0005-0000-0000-0000B8260000}"/>
    <cellStyle name="Bad 3 2 2" xfId="7316" xr:uid="{00000000-0005-0000-0000-0000B9260000}"/>
    <cellStyle name="Bad 3 2 2 2" xfId="16595" xr:uid="{00000000-0005-0000-0000-0000BA260000}"/>
    <cellStyle name="Bad 3 3" xfId="7317" xr:uid="{00000000-0005-0000-0000-0000BB260000}"/>
    <cellStyle name="Bad 3 3 2" xfId="7318" xr:uid="{00000000-0005-0000-0000-0000BC260000}"/>
    <cellStyle name="Bad 3 3 2 2" xfId="16596" xr:uid="{00000000-0005-0000-0000-0000BD260000}"/>
    <cellStyle name="Bad 3 4" xfId="7319" xr:uid="{00000000-0005-0000-0000-0000BE260000}"/>
    <cellStyle name="Bad 3 4 2" xfId="7320" xr:uid="{00000000-0005-0000-0000-0000BF260000}"/>
    <cellStyle name="Bad 3 4 3" xfId="16597" xr:uid="{00000000-0005-0000-0000-0000C0260000}"/>
    <cellStyle name="Bad 3 5" xfId="7321" xr:uid="{00000000-0005-0000-0000-0000C1260000}"/>
    <cellStyle name="Bad 3 5 2" xfId="16598" xr:uid="{00000000-0005-0000-0000-0000C2260000}"/>
    <cellStyle name="Bad 3 6" xfId="7322" xr:uid="{00000000-0005-0000-0000-0000C3260000}"/>
    <cellStyle name="Bad 3 6 2" xfId="16599" xr:uid="{00000000-0005-0000-0000-0000C4260000}"/>
    <cellStyle name="Bad 3 7" xfId="7323" xr:uid="{00000000-0005-0000-0000-0000C5260000}"/>
    <cellStyle name="Bad 3 7 2" xfId="16600" xr:uid="{00000000-0005-0000-0000-0000C6260000}"/>
    <cellStyle name="Bad 3 8" xfId="7324" xr:uid="{00000000-0005-0000-0000-0000C7260000}"/>
    <cellStyle name="Bad 3 8 2" xfId="16601" xr:uid="{00000000-0005-0000-0000-0000C8260000}"/>
    <cellStyle name="Bad 3 9" xfId="7325" xr:uid="{00000000-0005-0000-0000-0000C9260000}"/>
    <cellStyle name="Bad 3 9 2" xfId="16602" xr:uid="{00000000-0005-0000-0000-0000CA260000}"/>
    <cellStyle name="Bad 30" xfId="7326" xr:uid="{00000000-0005-0000-0000-0000CB260000}"/>
    <cellStyle name="Bad 30 2" xfId="7327" xr:uid="{00000000-0005-0000-0000-0000CC260000}"/>
    <cellStyle name="Bad 30 2 2" xfId="16603" xr:uid="{00000000-0005-0000-0000-0000CD260000}"/>
    <cellStyle name="Bad 31" xfId="7328" xr:uid="{00000000-0005-0000-0000-0000CE260000}"/>
    <cellStyle name="Bad 31 2" xfId="7329" xr:uid="{00000000-0005-0000-0000-0000CF260000}"/>
    <cellStyle name="Bad 31 2 2" xfId="16604" xr:uid="{00000000-0005-0000-0000-0000D0260000}"/>
    <cellStyle name="Bad 32" xfId="7330" xr:uid="{00000000-0005-0000-0000-0000D1260000}"/>
    <cellStyle name="Bad 32 2" xfId="7331" xr:uid="{00000000-0005-0000-0000-0000D2260000}"/>
    <cellStyle name="Bad 32 2 2" xfId="16605" xr:uid="{00000000-0005-0000-0000-0000D3260000}"/>
    <cellStyle name="Bad 33" xfId="7332" xr:uid="{00000000-0005-0000-0000-0000D4260000}"/>
    <cellStyle name="Bad 33 2" xfId="7333" xr:uid="{00000000-0005-0000-0000-0000D5260000}"/>
    <cellStyle name="Bad 33 2 2" xfId="16606" xr:uid="{00000000-0005-0000-0000-0000D6260000}"/>
    <cellStyle name="Bad 34" xfId="7334" xr:uid="{00000000-0005-0000-0000-0000D7260000}"/>
    <cellStyle name="Bad 34 2" xfId="7335" xr:uid="{00000000-0005-0000-0000-0000D8260000}"/>
    <cellStyle name="Bad 34 2 2" xfId="16607" xr:uid="{00000000-0005-0000-0000-0000D9260000}"/>
    <cellStyle name="Bad 35" xfId="7336" xr:uid="{00000000-0005-0000-0000-0000DA260000}"/>
    <cellStyle name="Bad 35 2" xfId="7337" xr:uid="{00000000-0005-0000-0000-0000DB260000}"/>
    <cellStyle name="Bad 35 2 2" xfId="16608" xr:uid="{00000000-0005-0000-0000-0000DC260000}"/>
    <cellStyle name="Bad 36" xfId="7338" xr:uid="{00000000-0005-0000-0000-0000DD260000}"/>
    <cellStyle name="Bad 37" xfId="7339" xr:uid="{00000000-0005-0000-0000-0000DE260000}"/>
    <cellStyle name="Bad 38" xfId="7340" xr:uid="{00000000-0005-0000-0000-0000DF260000}"/>
    <cellStyle name="Bad 39" xfId="7341" xr:uid="{00000000-0005-0000-0000-0000E0260000}"/>
    <cellStyle name="Bad 4" xfId="7342" xr:uid="{00000000-0005-0000-0000-0000E1260000}"/>
    <cellStyle name="Bad 4 10" xfId="7343" xr:uid="{00000000-0005-0000-0000-0000E2260000}"/>
    <cellStyle name="Bad 4 10 2" xfId="16609" xr:uid="{00000000-0005-0000-0000-0000E3260000}"/>
    <cellStyle name="Bad 4 11" xfId="7344" xr:uid="{00000000-0005-0000-0000-0000E4260000}"/>
    <cellStyle name="Bad 4 11 2" xfId="16610" xr:uid="{00000000-0005-0000-0000-0000E5260000}"/>
    <cellStyle name="Bad 4 12" xfId="22036" xr:uid="{00000000-0005-0000-0000-0000E6260000}"/>
    <cellStyle name="Bad 4 2" xfId="7345" xr:uid="{00000000-0005-0000-0000-0000E7260000}"/>
    <cellStyle name="Bad 4 2 2" xfId="7346" xr:uid="{00000000-0005-0000-0000-0000E8260000}"/>
    <cellStyle name="Bad 4 2 2 2" xfId="16611" xr:uid="{00000000-0005-0000-0000-0000E9260000}"/>
    <cellStyle name="Bad 4 3" xfId="7347" xr:uid="{00000000-0005-0000-0000-0000EA260000}"/>
    <cellStyle name="Bad 4 3 2" xfId="7348" xr:uid="{00000000-0005-0000-0000-0000EB260000}"/>
    <cellStyle name="Bad 4 3 2 2" xfId="16612" xr:uid="{00000000-0005-0000-0000-0000EC260000}"/>
    <cellStyle name="Bad 4 4" xfId="7349" xr:uid="{00000000-0005-0000-0000-0000ED260000}"/>
    <cellStyle name="Bad 4 4 2" xfId="7350" xr:uid="{00000000-0005-0000-0000-0000EE260000}"/>
    <cellStyle name="Bad 4 4 3" xfId="16613" xr:uid="{00000000-0005-0000-0000-0000EF260000}"/>
    <cellStyle name="Bad 4 5" xfId="7351" xr:uid="{00000000-0005-0000-0000-0000F0260000}"/>
    <cellStyle name="Bad 4 5 2" xfId="16614" xr:uid="{00000000-0005-0000-0000-0000F1260000}"/>
    <cellStyle name="Bad 4 6" xfId="7352" xr:uid="{00000000-0005-0000-0000-0000F2260000}"/>
    <cellStyle name="Bad 4 6 2" xfId="16615" xr:uid="{00000000-0005-0000-0000-0000F3260000}"/>
    <cellStyle name="Bad 4 7" xfId="7353" xr:uid="{00000000-0005-0000-0000-0000F4260000}"/>
    <cellStyle name="Bad 4 7 2" xfId="16616" xr:uid="{00000000-0005-0000-0000-0000F5260000}"/>
    <cellStyle name="Bad 4 8" xfId="7354" xr:uid="{00000000-0005-0000-0000-0000F6260000}"/>
    <cellStyle name="Bad 4 8 2" xfId="16617" xr:uid="{00000000-0005-0000-0000-0000F7260000}"/>
    <cellStyle name="Bad 4 9" xfId="7355" xr:uid="{00000000-0005-0000-0000-0000F8260000}"/>
    <cellStyle name="Bad 4 9 2" xfId="16618" xr:uid="{00000000-0005-0000-0000-0000F9260000}"/>
    <cellStyle name="Bad 40" xfId="21714" xr:uid="{00000000-0005-0000-0000-0000FA260000}"/>
    <cellStyle name="Bad 5" xfId="7356" xr:uid="{00000000-0005-0000-0000-0000FB260000}"/>
    <cellStyle name="Bad 5 10" xfId="7357" xr:uid="{00000000-0005-0000-0000-0000FC260000}"/>
    <cellStyle name="Bad 5 10 2" xfId="16619" xr:uid="{00000000-0005-0000-0000-0000FD260000}"/>
    <cellStyle name="Bad 5 11" xfId="7358" xr:uid="{00000000-0005-0000-0000-0000FE260000}"/>
    <cellStyle name="Bad 5 11 2" xfId="16620" xr:uid="{00000000-0005-0000-0000-0000FF260000}"/>
    <cellStyle name="Bad 5 12" xfId="22037" xr:uid="{00000000-0005-0000-0000-000000270000}"/>
    <cellStyle name="Bad 5 2" xfId="7359" xr:uid="{00000000-0005-0000-0000-000001270000}"/>
    <cellStyle name="Bad 5 2 2" xfId="7360" xr:uid="{00000000-0005-0000-0000-000002270000}"/>
    <cellStyle name="Bad 5 2 2 2" xfId="16621" xr:uid="{00000000-0005-0000-0000-000003270000}"/>
    <cellStyle name="Bad 5 3" xfId="7361" xr:uid="{00000000-0005-0000-0000-000004270000}"/>
    <cellStyle name="Bad 5 3 2" xfId="7362" xr:uid="{00000000-0005-0000-0000-000005270000}"/>
    <cellStyle name="Bad 5 3 2 2" xfId="16622" xr:uid="{00000000-0005-0000-0000-000006270000}"/>
    <cellStyle name="Bad 5 4" xfId="7363" xr:uid="{00000000-0005-0000-0000-000007270000}"/>
    <cellStyle name="Bad 5 4 2" xfId="7364" xr:uid="{00000000-0005-0000-0000-000008270000}"/>
    <cellStyle name="Bad 5 4 3" xfId="16623" xr:uid="{00000000-0005-0000-0000-000009270000}"/>
    <cellStyle name="Bad 5 5" xfId="7365" xr:uid="{00000000-0005-0000-0000-00000A270000}"/>
    <cellStyle name="Bad 5 5 2" xfId="16624" xr:uid="{00000000-0005-0000-0000-00000B270000}"/>
    <cellStyle name="Bad 5 6" xfId="7366" xr:uid="{00000000-0005-0000-0000-00000C270000}"/>
    <cellStyle name="Bad 5 6 2" xfId="16625" xr:uid="{00000000-0005-0000-0000-00000D270000}"/>
    <cellStyle name="Bad 5 7" xfId="7367" xr:uid="{00000000-0005-0000-0000-00000E270000}"/>
    <cellStyle name="Bad 5 7 2" xfId="16626" xr:uid="{00000000-0005-0000-0000-00000F270000}"/>
    <cellStyle name="Bad 5 8" xfId="7368" xr:uid="{00000000-0005-0000-0000-000010270000}"/>
    <cellStyle name="Bad 5 8 2" xfId="16627" xr:uid="{00000000-0005-0000-0000-000011270000}"/>
    <cellStyle name="Bad 5 9" xfId="7369" xr:uid="{00000000-0005-0000-0000-000012270000}"/>
    <cellStyle name="Bad 5 9 2" xfId="16628" xr:uid="{00000000-0005-0000-0000-000013270000}"/>
    <cellStyle name="Bad 6" xfId="7370" xr:uid="{00000000-0005-0000-0000-000014270000}"/>
    <cellStyle name="Bad 6 10" xfId="7371" xr:uid="{00000000-0005-0000-0000-000015270000}"/>
    <cellStyle name="Bad 6 10 2" xfId="16629" xr:uid="{00000000-0005-0000-0000-000016270000}"/>
    <cellStyle name="Bad 6 11" xfId="7372" xr:uid="{00000000-0005-0000-0000-000017270000}"/>
    <cellStyle name="Bad 6 11 2" xfId="16630" xr:uid="{00000000-0005-0000-0000-000018270000}"/>
    <cellStyle name="Bad 6 2" xfId="7373" xr:uid="{00000000-0005-0000-0000-000019270000}"/>
    <cellStyle name="Bad 6 2 2" xfId="7374" xr:uid="{00000000-0005-0000-0000-00001A270000}"/>
    <cellStyle name="Bad 6 2 2 2" xfId="16631" xr:uid="{00000000-0005-0000-0000-00001B270000}"/>
    <cellStyle name="Bad 6 3" xfId="7375" xr:uid="{00000000-0005-0000-0000-00001C270000}"/>
    <cellStyle name="Bad 6 3 2" xfId="7376" xr:uid="{00000000-0005-0000-0000-00001D270000}"/>
    <cellStyle name="Bad 6 3 2 2" xfId="16632" xr:uid="{00000000-0005-0000-0000-00001E270000}"/>
    <cellStyle name="Bad 6 4" xfId="7377" xr:uid="{00000000-0005-0000-0000-00001F270000}"/>
    <cellStyle name="Bad 6 4 2" xfId="7378" xr:uid="{00000000-0005-0000-0000-000020270000}"/>
    <cellStyle name="Bad 6 4 3" xfId="16633" xr:uid="{00000000-0005-0000-0000-000021270000}"/>
    <cellStyle name="Bad 6 5" xfId="7379" xr:uid="{00000000-0005-0000-0000-000022270000}"/>
    <cellStyle name="Bad 6 5 2" xfId="16634" xr:uid="{00000000-0005-0000-0000-000023270000}"/>
    <cellStyle name="Bad 6 6" xfId="7380" xr:uid="{00000000-0005-0000-0000-000024270000}"/>
    <cellStyle name="Bad 6 6 2" xfId="16635" xr:uid="{00000000-0005-0000-0000-000025270000}"/>
    <cellStyle name="Bad 6 7" xfId="7381" xr:uid="{00000000-0005-0000-0000-000026270000}"/>
    <cellStyle name="Bad 6 7 2" xfId="16636" xr:uid="{00000000-0005-0000-0000-000027270000}"/>
    <cellStyle name="Bad 6 8" xfId="7382" xr:uid="{00000000-0005-0000-0000-000028270000}"/>
    <cellStyle name="Bad 6 8 2" xfId="16637" xr:uid="{00000000-0005-0000-0000-000029270000}"/>
    <cellStyle name="Bad 6 9" xfId="7383" xr:uid="{00000000-0005-0000-0000-00002A270000}"/>
    <cellStyle name="Bad 6 9 2" xfId="16638" xr:uid="{00000000-0005-0000-0000-00002B270000}"/>
    <cellStyle name="Bad 7" xfId="7384" xr:uid="{00000000-0005-0000-0000-00002C270000}"/>
    <cellStyle name="Bad 7 10" xfId="7385" xr:uid="{00000000-0005-0000-0000-00002D270000}"/>
    <cellStyle name="Bad 7 10 2" xfId="16639" xr:uid="{00000000-0005-0000-0000-00002E270000}"/>
    <cellStyle name="Bad 7 11" xfId="7386" xr:uid="{00000000-0005-0000-0000-00002F270000}"/>
    <cellStyle name="Bad 7 11 2" xfId="16640" xr:uid="{00000000-0005-0000-0000-000030270000}"/>
    <cellStyle name="Bad 7 2" xfId="7387" xr:uid="{00000000-0005-0000-0000-000031270000}"/>
    <cellStyle name="Bad 7 2 2" xfId="7388" xr:uid="{00000000-0005-0000-0000-000032270000}"/>
    <cellStyle name="Bad 7 2 2 2" xfId="16641" xr:uid="{00000000-0005-0000-0000-000033270000}"/>
    <cellStyle name="Bad 7 3" xfId="7389" xr:uid="{00000000-0005-0000-0000-000034270000}"/>
    <cellStyle name="Bad 7 3 2" xfId="7390" xr:uid="{00000000-0005-0000-0000-000035270000}"/>
    <cellStyle name="Bad 7 3 2 2" xfId="16642" xr:uid="{00000000-0005-0000-0000-000036270000}"/>
    <cellStyle name="Bad 7 4" xfId="7391" xr:uid="{00000000-0005-0000-0000-000037270000}"/>
    <cellStyle name="Bad 7 4 2" xfId="7392" xr:uid="{00000000-0005-0000-0000-000038270000}"/>
    <cellStyle name="Bad 7 4 3" xfId="16643" xr:uid="{00000000-0005-0000-0000-000039270000}"/>
    <cellStyle name="Bad 7 5" xfId="7393" xr:uid="{00000000-0005-0000-0000-00003A270000}"/>
    <cellStyle name="Bad 7 5 2" xfId="16644" xr:uid="{00000000-0005-0000-0000-00003B270000}"/>
    <cellStyle name="Bad 7 6" xfId="7394" xr:uid="{00000000-0005-0000-0000-00003C270000}"/>
    <cellStyle name="Bad 7 6 2" xfId="16645" xr:uid="{00000000-0005-0000-0000-00003D270000}"/>
    <cellStyle name="Bad 7 7" xfId="7395" xr:uid="{00000000-0005-0000-0000-00003E270000}"/>
    <cellStyle name="Bad 7 7 2" xfId="16646" xr:uid="{00000000-0005-0000-0000-00003F270000}"/>
    <cellStyle name="Bad 7 8" xfId="7396" xr:uid="{00000000-0005-0000-0000-000040270000}"/>
    <cellStyle name="Bad 7 8 2" xfId="16647" xr:uid="{00000000-0005-0000-0000-000041270000}"/>
    <cellStyle name="Bad 7 9" xfId="7397" xr:uid="{00000000-0005-0000-0000-000042270000}"/>
    <cellStyle name="Bad 7 9 2" xfId="16648" xr:uid="{00000000-0005-0000-0000-000043270000}"/>
    <cellStyle name="Bad 8" xfId="7398" xr:uid="{00000000-0005-0000-0000-000044270000}"/>
    <cellStyle name="Bad 8 10" xfId="7399" xr:uid="{00000000-0005-0000-0000-000045270000}"/>
    <cellStyle name="Bad 8 10 2" xfId="16649" xr:uid="{00000000-0005-0000-0000-000046270000}"/>
    <cellStyle name="Bad 8 11" xfId="7400" xr:uid="{00000000-0005-0000-0000-000047270000}"/>
    <cellStyle name="Bad 8 11 2" xfId="16650" xr:uid="{00000000-0005-0000-0000-000048270000}"/>
    <cellStyle name="Bad 8 2" xfId="7401" xr:uid="{00000000-0005-0000-0000-000049270000}"/>
    <cellStyle name="Bad 8 2 2" xfId="7402" xr:uid="{00000000-0005-0000-0000-00004A270000}"/>
    <cellStyle name="Bad 8 2 2 2" xfId="16651" xr:uid="{00000000-0005-0000-0000-00004B270000}"/>
    <cellStyle name="Bad 8 3" xfId="7403" xr:uid="{00000000-0005-0000-0000-00004C270000}"/>
    <cellStyle name="Bad 8 3 2" xfId="7404" xr:uid="{00000000-0005-0000-0000-00004D270000}"/>
    <cellStyle name="Bad 8 3 2 2" xfId="16652" xr:uid="{00000000-0005-0000-0000-00004E270000}"/>
    <cellStyle name="Bad 8 4" xfId="7405" xr:uid="{00000000-0005-0000-0000-00004F270000}"/>
    <cellStyle name="Bad 8 4 2" xfId="7406" xr:uid="{00000000-0005-0000-0000-000050270000}"/>
    <cellStyle name="Bad 8 4 3" xfId="16653" xr:uid="{00000000-0005-0000-0000-000051270000}"/>
    <cellStyle name="Bad 8 5" xfId="7407" xr:uid="{00000000-0005-0000-0000-000052270000}"/>
    <cellStyle name="Bad 8 5 2" xfId="16654" xr:uid="{00000000-0005-0000-0000-000053270000}"/>
    <cellStyle name="Bad 8 6" xfId="7408" xr:uid="{00000000-0005-0000-0000-000054270000}"/>
    <cellStyle name="Bad 8 6 2" xfId="16655" xr:uid="{00000000-0005-0000-0000-000055270000}"/>
    <cellStyle name="Bad 8 7" xfId="7409" xr:uid="{00000000-0005-0000-0000-000056270000}"/>
    <cellStyle name="Bad 8 7 2" xfId="16656" xr:uid="{00000000-0005-0000-0000-000057270000}"/>
    <cellStyle name="Bad 8 8" xfId="7410" xr:uid="{00000000-0005-0000-0000-000058270000}"/>
    <cellStyle name="Bad 8 8 2" xfId="16657" xr:uid="{00000000-0005-0000-0000-000059270000}"/>
    <cellStyle name="Bad 8 9" xfId="7411" xr:uid="{00000000-0005-0000-0000-00005A270000}"/>
    <cellStyle name="Bad 8 9 2" xfId="16658" xr:uid="{00000000-0005-0000-0000-00005B270000}"/>
    <cellStyle name="Bad 9" xfId="7412" xr:uid="{00000000-0005-0000-0000-00005C270000}"/>
    <cellStyle name="Bad 9 10" xfId="7413" xr:uid="{00000000-0005-0000-0000-00005D270000}"/>
    <cellStyle name="Bad 9 10 2" xfId="16659" xr:uid="{00000000-0005-0000-0000-00005E270000}"/>
    <cellStyle name="Bad 9 11" xfId="7414" xr:uid="{00000000-0005-0000-0000-00005F270000}"/>
    <cellStyle name="Bad 9 11 2" xfId="16660" xr:uid="{00000000-0005-0000-0000-000060270000}"/>
    <cellStyle name="Bad 9 2" xfId="7415" xr:uid="{00000000-0005-0000-0000-000061270000}"/>
    <cellStyle name="Bad 9 2 2" xfId="7416" xr:uid="{00000000-0005-0000-0000-000062270000}"/>
    <cellStyle name="Bad 9 2 2 2" xfId="16661" xr:uid="{00000000-0005-0000-0000-000063270000}"/>
    <cellStyle name="Bad 9 3" xfId="7417" xr:uid="{00000000-0005-0000-0000-000064270000}"/>
    <cellStyle name="Bad 9 3 2" xfId="7418" xr:uid="{00000000-0005-0000-0000-000065270000}"/>
    <cellStyle name="Bad 9 3 2 2" xfId="16662" xr:uid="{00000000-0005-0000-0000-000066270000}"/>
    <cellStyle name="Bad 9 4" xfId="7419" xr:uid="{00000000-0005-0000-0000-000067270000}"/>
    <cellStyle name="Bad 9 4 2" xfId="7420" xr:uid="{00000000-0005-0000-0000-000068270000}"/>
    <cellStyle name="Bad 9 4 3" xfId="16663" xr:uid="{00000000-0005-0000-0000-000069270000}"/>
    <cellStyle name="Bad 9 5" xfId="7421" xr:uid="{00000000-0005-0000-0000-00006A270000}"/>
    <cellStyle name="Bad 9 5 2" xfId="16664" xr:uid="{00000000-0005-0000-0000-00006B270000}"/>
    <cellStyle name="Bad 9 6" xfId="7422" xr:uid="{00000000-0005-0000-0000-00006C270000}"/>
    <cellStyle name="Bad 9 6 2" xfId="16665" xr:uid="{00000000-0005-0000-0000-00006D270000}"/>
    <cellStyle name="Bad 9 7" xfId="7423" xr:uid="{00000000-0005-0000-0000-00006E270000}"/>
    <cellStyle name="Bad 9 7 2" xfId="16666" xr:uid="{00000000-0005-0000-0000-00006F270000}"/>
    <cellStyle name="Bad 9 8" xfId="7424" xr:uid="{00000000-0005-0000-0000-000070270000}"/>
    <cellStyle name="Bad 9 8 2" xfId="16667" xr:uid="{00000000-0005-0000-0000-000071270000}"/>
    <cellStyle name="Bad 9 9" xfId="7425" xr:uid="{00000000-0005-0000-0000-000072270000}"/>
    <cellStyle name="Bad 9 9 2" xfId="16668" xr:uid="{00000000-0005-0000-0000-000073270000}"/>
    <cellStyle name="Calculation 10" xfId="7426" xr:uid="{00000000-0005-0000-0000-000074270000}"/>
    <cellStyle name="Calculation 10 10" xfId="7427" xr:uid="{00000000-0005-0000-0000-000075270000}"/>
    <cellStyle name="Calculation 10 10 2" xfId="16669" xr:uid="{00000000-0005-0000-0000-000076270000}"/>
    <cellStyle name="Calculation 10 11" xfId="7428" xr:uid="{00000000-0005-0000-0000-000077270000}"/>
    <cellStyle name="Calculation 10 11 2" xfId="16670" xr:uid="{00000000-0005-0000-0000-000078270000}"/>
    <cellStyle name="Calculation 10 2" xfId="7429" xr:uid="{00000000-0005-0000-0000-000079270000}"/>
    <cellStyle name="Calculation 10 2 2" xfId="7430" xr:uid="{00000000-0005-0000-0000-00007A270000}"/>
    <cellStyle name="Calculation 10 2 2 2" xfId="16671" xr:uid="{00000000-0005-0000-0000-00007B270000}"/>
    <cellStyle name="Calculation 10 3" xfId="7431" xr:uid="{00000000-0005-0000-0000-00007C270000}"/>
    <cellStyle name="Calculation 10 3 2" xfId="7432" xr:uid="{00000000-0005-0000-0000-00007D270000}"/>
    <cellStyle name="Calculation 10 3 2 2" xfId="16672" xr:uid="{00000000-0005-0000-0000-00007E270000}"/>
    <cellStyle name="Calculation 10 4" xfId="7433" xr:uid="{00000000-0005-0000-0000-00007F270000}"/>
    <cellStyle name="Calculation 10 4 2" xfId="7434" xr:uid="{00000000-0005-0000-0000-000080270000}"/>
    <cellStyle name="Calculation 10 4 3" xfId="16673" xr:uid="{00000000-0005-0000-0000-000081270000}"/>
    <cellStyle name="Calculation 10 5" xfId="7435" xr:uid="{00000000-0005-0000-0000-000082270000}"/>
    <cellStyle name="Calculation 10 5 2" xfId="16674" xr:uid="{00000000-0005-0000-0000-000083270000}"/>
    <cellStyle name="Calculation 10 6" xfId="7436" xr:uid="{00000000-0005-0000-0000-000084270000}"/>
    <cellStyle name="Calculation 10 6 2" xfId="16675" xr:uid="{00000000-0005-0000-0000-000085270000}"/>
    <cellStyle name="Calculation 10 7" xfId="7437" xr:uid="{00000000-0005-0000-0000-000086270000}"/>
    <cellStyle name="Calculation 10 7 2" xfId="16676" xr:uid="{00000000-0005-0000-0000-000087270000}"/>
    <cellStyle name="Calculation 10 8" xfId="7438" xr:uid="{00000000-0005-0000-0000-000088270000}"/>
    <cellStyle name="Calculation 10 8 2" xfId="16677" xr:uid="{00000000-0005-0000-0000-000089270000}"/>
    <cellStyle name="Calculation 10 9" xfId="7439" xr:uid="{00000000-0005-0000-0000-00008A270000}"/>
    <cellStyle name="Calculation 10 9 2" xfId="16678" xr:uid="{00000000-0005-0000-0000-00008B270000}"/>
    <cellStyle name="Calculation 11" xfId="7440" xr:uid="{00000000-0005-0000-0000-00008C270000}"/>
    <cellStyle name="Calculation 11 10" xfId="7441" xr:uid="{00000000-0005-0000-0000-00008D270000}"/>
    <cellStyle name="Calculation 11 10 2" xfId="16679" xr:uid="{00000000-0005-0000-0000-00008E270000}"/>
    <cellStyle name="Calculation 11 11" xfId="7442" xr:uid="{00000000-0005-0000-0000-00008F270000}"/>
    <cellStyle name="Calculation 11 11 2" xfId="16680" xr:uid="{00000000-0005-0000-0000-000090270000}"/>
    <cellStyle name="Calculation 11 2" xfId="7443" xr:uid="{00000000-0005-0000-0000-000091270000}"/>
    <cellStyle name="Calculation 11 2 2" xfId="7444" xr:uid="{00000000-0005-0000-0000-000092270000}"/>
    <cellStyle name="Calculation 11 2 2 2" xfId="16681" xr:uid="{00000000-0005-0000-0000-000093270000}"/>
    <cellStyle name="Calculation 11 3" xfId="7445" xr:uid="{00000000-0005-0000-0000-000094270000}"/>
    <cellStyle name="Calculation 11 3 2" xfId="7446" xr:uid="{00000000-0005-0000-0000-000095270000}"/>
    <cellStyle name="Calculation 11 3 2 2" xfId="16682" xr:uid="{00000000-0005-0000-0000-000096270000}"/>
    <cellStyle name="Calculation 11 4" xfId="7447" xr:uid="{00000000-0005-0000-0000-000097270000}"/>
    <cellStyle name="Calculation 11 4 2" xfId="7448" xr:uid="{00000000-0005-0000-0000-000098270000}"/>
    <cellStyle name="Calculation 11 4 3" xfId="16683" xr:uid="{00000000-0005-0000-0000-000099270000}"/>
    <cellStyle name="Calculation 11 5" xfId="7449" xr:uid="{00000000-0005-0000-0000-00009A270000}"/>
    <cellStyle name="Calculation 11 5 2" xfId="16684" xr:uid="{00000000-0005-0000-0000-00009B270000}"/>
    <cellStyle name="Calculation 11 6" xfId="7450" xr:uid="{00000000-0005-0000-0000-00009C270000}"/>
    <cellStyle name="Calculation 11 6 2" xfId="16685" xr:uid="{00000000-0005-0000-0000-00009D270000}"/>
    <cellStyle name="Calculation 11 7" xfId="7451" xr:uid="{00000000-0005-0000-0000-00009E270000}"/>
    <cellStyle name="Calculation 11 7 2" xfId="16686" xr:uid="{00000000-0005-0000-0000-00009F270000}"/>
    <cellStyle name="Calculation 11 8" xfId="7452" xr:uid="{00000000-0005-0000-0000-0000A0270000}"/>
    <cellStyle name="Calculation 11 8 2" xfId="16687" xr:uid="{00000000-0005-0000-0000-0000A1270000}"/>
    <cellStyle name="Calculation 11 9" xfId="7453" xr:uid="{00000000-0005-0000-0000-0000A2270000}"/>
    <cellStyle name="Calculation 11 9 2" xfId="16688" xr:uid="{00000000-0005-0000-0000-0000A3270000}"/>
    <cellStyle name="Calculation 12" xfId="7454" xr:uid="{00000000-0005-0000-0000-0000A4270000}"/>
    <cellStyle name="Calculation 12 10" xfId="7455" xr:uid="{00000000-0005-0000-0000-0000A5270000}"/>
    <cellStyle name="Calculation 12 10 2" xfId="16689" xr:uid="{00000000-0005-0000-0000-0000A6270000}"/>
    <cellStyle name="Calculation 12 11" xfId="7456" xr:uid="{00000000-0005-0000-0000-0000A7270000}"/>
    <cellStyle name="Calculation 12 11 2" xfId="16690" xr:uid="{00000000-0005-0000-0000-0000A8270000}"/>
    <cellStyle name="Calculation 12 2" xfId="7457" xr:uid="{00000000-0005-0000-0000-0000A9270000}"/>
    <cellStyle name="Calculation 12 2 2" xfId="7458" xr:uid="{00000000-0005-0000-0000-0000AA270000}"/>
    <cellStyle name="Calculation 12 2 2 2" xfId="16691" xr:uid="{00000000-0005-0000-0000-0000AB270000}"/>
    <cellStyle name="Calculation 12 3" xfId="7459" xr:uid="{00000000-0005-0000-0000-0000AC270000}"/>
    <cellStyle name="Calculation 12 3 2" xfId="7460" xr:uid="{00000000-0005-0000-0000-0000AD270000}"/>
    <cellStyle name="Calculation 12 3 2 2" xfId="16692" xr:uid="{00000000-0005-0000-0000-0000AE270000}"/>
    <cellStyle name="Calculation 12 4" xfId="7461" xr:uid="{00000000-0005-0000-0000-0000AF270000}"/>
    <cellStyle name="Calculation 12 4 2" xfId="7462" xr:uid="{00000000-0005-0000-0000-0000B0270000}"/>
    <cellStyle name="Calculation 12 4 3" xfId="16693" xr:uid="{00000000-0005-0000-0000-0000B1270000}"/>
    <cellStyle name="Calculation 12 5" xfId="7463" xr:uid="{00000000-0005-0000-0000-0000B2270000}"/>
    <cellStyle name="Calculation 12 5 2" xfId="16694" xr:uid="{00000000-0005-0000-0000-0000B3270000}"/>
    <cellStyle name="Calculation 12 6" xfId="7464" xr:uid="{00000000-0005-0000-0000-0000B4270000}"/>
    <cellStyle name="Calculation 12 6 2" xfId="16695" xr:uid="{00000000-0005-0000-0000-0000B5270000}"/>
    <cellStyle name="Calculation 12 7" xfId="7465" xr:uid="{00000000-0005-0000-0000-0000B6270000}"/>
    <cellStyle name="Calculation 12 7 2" xfId="16696" xr:uid="{00000000-0005-0000-0000-0000B7270000}"/>
    <cellStyle name="Calculation 12 8" xfId="7466" xr:uid="{00000000-0005-0000-0000-0000B8270000}"/>
    <cellStyle name="Calculation 12 8 2" xfId="16697" xr:uid="{00000000-0005-0000-0000-0000B9270000}"/>
    <cellStyle name="Calculation 12 9" xfId="7467" xr:uid="{00000000-0005-0000-0000-0000BA270000}"/>
    <cellStyle name="Calculation 12 9 2" xfId="16698" xr:uid="{00000000-0005-0000-0000-0000BB270000}"/>
    <cellStyle name="Calculation 13" xfId="7468" xr:uid="{00000000-0005-0000-0000-0000BC270000}"/>
    <cellStyle name="Calculation 13 10" xfId="7469" xr:uid="{00000000-0005-0000-0000-0000BD270000}"/>
    <cellStyle name="Calculation 13 10 2" xfId="16699" xr:uid="{00000000-0005-0000-0000-0000BE270000}"/>
    <cellStyle name="Calculation 13 11" xfId="7470" xr:uid="{00000000-0005-0000-0000-0000BF270000}"/>
    <cellStyle name="Calculation 13 11 2" xfId="16700" xr:uid="{00000000-0005-0000-0000-0000C0270000}"/>
    <cellStyle name="Calculation 13 2" xfId="7471" xr:uid="{00000000-0005-0000-0000-0000C1270000}"/>
    <cellStyle name="Calculation 13 2 2" xfId="7472" xr:uid="{00000000-0005-0000-0000-0000C2270000}"/>
    <cellStyle name="Calculation 13 2 2 2" xfId="16701" xr:uid="{00000000-0005-0000-0000-0000C3270000}"/>
    <cellStyle name="Calculation 13 3" xfId="7473" xr:uid="{00000000-0005-0000-0000-0000C4270000}"/>
    <cellStyle name="Calculation 13 3 2" xfId="7474" xr:uid="{00000000-0005-0000-0000-0000C5270000}"/>
    <cellStyle name="Calculation 13 3 2 2" xfId="16702" xr:uid="{00000000-0005-0000-0000-0000C6270000}"/>
    <cellStyle name="Calculation 13 4" xfId="7475" xr:uid="{00000000-0005-0000-0000-0000C7270000}"/>
    <cellStyle name="Calculation 13 4 2" xfId="16703" xr:uid="{00000000-0005-0000-0000-0000C8270000}"/>
    <cellStyle name="Calculation 13 5" xfId="7476" xr:uid="{00000000-0005-0000-0000-0000C9270000}"/>
    <cellStyle name="Calculation 13 5 2" xfId="16704" xr:uid="{00000000-0005-0000-0000-0000CA270000}"/>
    <cellStyle name="Calculation 13 6" xfId="7477" xr:uid="{00000000-0005-0000-0000-0000CB270000}"/>
    <cellStyle name="Calculation 13 6 2" xfId="16705" xr:uid="{00000000-0005-0000-0000-0000CC270000}"/>
    <cellStyle name="Calculation 13 7" xfId="7478" xr:uid="{00000000-0005-0000-0000-0000CD270000}"/>
    <cellStyle name="Calculation 13 7 2" xfId="16706" xr:uid="{00000000-0005-0000-0000-0000CE270000}"/>
    <cellStyle name="Calculation 13 8" xfId="7479" xr:uid="{00000000-0005-0000-0000-0000CF270000}"/>
    <cellStyle name="Calculation 13 8 2" xfId="16707" xr:uid="{00000000-0005-0000-0000-0000D0270000}"/>
    <cellStyle name="Calculation 13 9" xfId="7480" xr:uid="{00000000-0005-0000-0000-0000D1270000}"/>
    <cellStyle name="Calculation 13 9 2" xfId="16708" xr:uid="{00000000-0005-0000-0000-0000D2270000}"/>
    <cellStyle name="Calculation 14" xfId="7481" xr:uid="{00000000-0005-0000-0000-0000D3270000}"/>
    <cellStyle name="Calculation 14 10" xfId="7482" xr:uid="{00000000-0005-0000-0000-0000D4270000}"/>
    <cellStyle name="Calculation 14 10 2" xfId="16709" xr:uid="{00000000-0005-0000-0000-0000D5270000}"/>
    <cellStyle name="Calculation 14 11" xfId="7483" xr:uid="{00000000-0005-0000-0000-0000D6270000}"/>
    <cellStyle name="Calculation 14 11 2" xfId="16710" xr:uid="{00000000-0005-0000-0000-0000D7270000}"/>
    <cellStyle name="Calculation 14 2" xfId="7484" xr:uid="{00000000-0005-0000-0000-0000D8270000}"/>
    <cellStyle name="Calculation 14 2 2" xfId="7485" xr:uid="{00000000-0005-0000-0000-0000D9270000}"/>
    <cellStyle name="Calculation 14 2 2 2" xfId="16711" xr:uid="{00000000-0005-0000-0000-0000DA270000}"/>
    <cellStyle name="Calculation 14 3" xfId="7486" xr:uid="{00000000-0005-0000-0000-0000DB270000}"/>
    <cellStyle name="Calculation 14 3 2" xfId="7487" xr:uid="{00000000-0005-0000-0000-0000DC270000}"/>
    <cellStyle name="Calculation 14 3 2 2" xfId="16712" xr:uid="{00000000-0005-0000-0000-0000DD270000}"/>
    <cellStyle name="Calculation 14 4" xfId="7488" xr:uid="{00000000-0005-0000-0000-0000DE270000}"/>
    <cellStyle name="Calculation 14 4 2" xfId="16713" xr:uid="{00000000-0005-0000-0000-0000DF270000}"/>
    <cellStyle name="Calculation 14 5" xfId="7489" xr:uid="{00000000-0005-0000-0000-0000E0270000}"/>
    <cellStyle name="Calculation 14 5 2" xfId="16714" xr:uid="{00000000-0005-0000-0000-0000E1270000}"/>
    <cellStyle name="Calculation 14 6" xfId="7490" xr:uid="{00000000-0005-0000-0000-0000E2270000}"/>
    <cellStyle name="Calculation 14 6 2" xfId="16715" xr:uid="{00000000-0005-0000-0000-0000E3270000}"/>
    <cellStyle name="Calculation 14 7" xfId="7491" xr:uid="{00000000-0005-0000-0000-0000E4270000}"/>
    <cellStyle name="Calculation 14 7 2" xfId="16716" xr:uid="{00000000-0005-0000-0000-0000E5270000}"/>
    <cellStyle name="Calculation 14 8" xfId="7492" xr:uid="{00000000-0005-0000-0000-0000E6270000}"/>
    <cellStyle name="Calculation 14 8 2" xfId="16717" xr:uid="{00000000-0005-0000-0000-0000E7270000}"/>
    <cellStyle name="Calculation 14 9" xfId="7493" xr:uid="{00000000-0005-0000-0000-0000E8270000}"/>
    <cellStyle name="Calculation 14 9 2" xfId="16718" xr:uid="{00000000-0005-0000-0000-0000E9270000}"/>
    <cellStyle name="Calculation 15" xfId="7494" xr:uid="{00000000-0005-0000-0000-0000EA270000}"/>
    <cellStyle name="Calculation 15 10" xfId="7495" xr:uid="{00000000-0005-0000-0000-0000EB270000}"/>
    <cellStyle name="Calculation 15 10 2" xfId="16719" xr:uid="{00000000-0005-0000-0000-0000EC270000}"/>
    <cellStyle name="Calculation 15 11" xfId="7496" xr:uid="{00000000-0005-0000-0000-0000ED270000}"/>
    <cellStyle name="Calculation 15 11 2" xfId="16720" xr:uid="{00000000-0005-0000-0000-0000EE270000}"/>
    <cellStyle name="Calculation 15 2" xfId="7497" xr:uid="{00000000-0005-0000-0000-0000EF270000}"/>
    <cellStyle name="Calculation 15 2 2" xfId="7498" xr:uid="{00000000-0005-0000-0000-0000F0270000}"/>
    <cellStyle name="Calculation 15 2 2 2" xfId="16721" xr:uid="{00000000-0005-0000-0000-0000F1270000}"/>
    <cellStyle name="Calculation 15 3" xfId="7499" xr:uid="{00000000-0005-0000-0000-0000F2270000}"/>
    <cellStyle name="Calculation 15 3 2" xfId="7500" xr:uid="{00000000-0005-0000-0000-0000F3270000}"/>
    <cellStyle name="Calculation 15 3 2 2" xfId="16722" xr:uid="{00000000-0005-0000-0000-0000F4270000}"/>
    <cellStyle name="Calculation 15 4" xfId="7501" xr:uid="{00000000-0005-0000-0000-0000F5270000}"/>
    <cellStyle name="Calculation 15 4 2" xfId="16723" xr:uid="{00000000-0005-0000-0000-0000F6270000}"/>
    <cellStyle name="Calculation 15 5" xfId="7502" xr:uid="{00000000-0005-0000-0000-0000F7270000}"/>
    <cellStyle name="Calculation 15 5 2" xfId="16724" xr:uid="{00000000-0005-0000-0000-0000F8270000}"/>
    <cellStyle name="Calculation 15 6" xfId="7503" xr:uid="{00000000-0005-0000-0000-0000F9270000}"/>
    <cellStyle name="Calculation 15 6 2" xfId="16725" xr:uid="{00000000-0005-0000-0000-0000FA270000}"/>
    <cellStyle name="Calculation 15 7" xfId="7504" xr:uid="{00000000-0005-0000-0000-0000FB270000}"/>
    <cellStyle name="Calculation 15 7 2" xfId="16726" xr:uid="{00000000-0005-0000-0000-0000FC270000}"/>
    <cellStyle name="Calculation 15 8" xfId="7505" xr:uid="{00000000-0005-0000-0000-0000FD270000}"/>
    <cellStyle name="Calculation 15 8 2" xfId="16727" xr:uid="{00000000-0005-0000-0000-0000FE270000}"/>
    <cellStyle name="Calculation 15 9" xfId="7506" xr:uid="{00000000-0005-0000-0000-0000FF270000}"/>
    <cellStyle name="Calculation 15 9 2" xfId="16728" xr:uid="{00000000-0005-0000-0000-000000280000}"/>
    <cellStyle name="Calculation 16" xfId="7507" xr:uid="{00000000-0005-0000-0000-000001280000}"/>
    <cellStyle name="Calculation 16 10" xfId="7508" xr:uid="{00000000-0005-0000-0000-000002280000}"/>
    <cellStyle name="Calculation 16 10 2" xfId="16729" xr:uid="{00000000-0005-0000-0000-000003280000}"/>
    <cellStyle name="Calculation 16 11" xfId="7509" xr:uid="{00000000-0005-0000-0000-000004280000}"/>
    <cellStyle name="Calculation 16 11 2" xfId="16730" xr:uid="{00000000-0005-0000-0000-000005280000}"/>
    <cellStyle name="Calculation 16 2" xfId="7510" xr:uid="{00000000-0005-0000-0000-000006280000}"/>
    <cellStyle name="Calculation 16 2 2" xfId="7511" xr:uid="{00000000-0005-0000-0000-000007280000}"/>
    <cellStyle name="Calculation 16 2 2 2" xfId="16731" xr:uid="{00000000-0005-0000-0000-000008280000}"/>
    <cellStyle name="Calculation 16 3" xfId="7512" xr:uid="{00000000-0005-0000-0000-000009280000}"/>
    <cellStyle name="Calculation 16 3 2" xfId="7513" xr:uid="{00000000-0005-0000-0000-00000A280000}"/>
    <cellStyle name="Calculation 16 3 2 2" xfId="16732" xr:uid="{00000000-0005-0000-0000-00000B280000}"/>
    <cellStyle name="Calculation 16 4" xfId="7514" xr:uid="{00000000-0005-0000-0000-00000C280000}"/>
    <cellStyle name="Calculation 16 4 2" xfId="16733" xr:uid="{00000000-0005-0000-0000-00000D280000}"/>
    <cellStyle name="Calculation 16 5" xfId="7515" xr:uid="{00000000-0005-0000-0000-00000E280000}"/>
    <cellStyle name="Calculation 16 5 2" xfId="16734" xr:uid="{00000000-0005-0000-0000-00000F280000}"/>
    <cellStyle name="Calculation 16 6" xfId="7516" xr:uid="{00000000-0005-0000-0000-000010280000}"/>
    <cellStyle name="Calculation 16 6 2" xfId="16735" xr:uid="{00000000-0005-0000-0000-000011280000}"/>
    <cellStyle name="Calculation 16 7" xfId="7517" xr:uid="{00000000-0005-0000-0000-000012280000}"/>
    <cellStyle name="Calculation 16 7 2" xfId="16736" xr:uid="{00000000-0005-0000-0000-000013280000}"/>
    <cellStyle name="Calculation 16 8" xfId="7518" xr:uid="{00000000-0005-0000-0000-000014280000}"/>
    <cellStyle name="Calculation 16 8 2" xfId="16737" xr:uid="{00000000-0005-0000-0000-000015280000}"/>
    <cellStyle name="Calculation 16 9" xfId="7519" xr:uid="{00000000-0005-0000-0000-000016280000}"/>
    <cellStyle name="Calculation 16 9 2" xfId="16738" xr:uid="{00000000-0005-0000-0000-000017280000}"/>
    <cellStyle name="Calculation 17" xfId="7520" xr:uid="{00000000-0005-0000-0000-000018280000}"/>
    <cellStyle name="Calculation 17 10" xfId="7521" xr:uid="{00000000-0005-0000-0000-000019280000}"/>
    <cellStyle name="Calculation 17 10 2" xfId="16739" xr:uid="{00000000-0005-0000-0000-00001A280000}"/>
    <cellStyle name="Calculation 17 11" xfId="7522" xr:uid="{00000000-0005-0000-0000-00001B280000}"/>
    <cellStyle name="Calculation 17 11 2" xfId="16740" xr:uid="{00000000-0005-0000-0000-00001C280000}"/>
    <cellStyle name="Calculation 17 2" xfId="7523" xr:uid="{00000000-0005-0000-0000-00001D280000}"/>
    <cellStyle name="Calculation 17 2 2" xfId="7524" xr:uid="{00000000-0005-0000-0000-00001E280000}"/>
    <cellStyle name="Calculation 17 2 2 2" xfId="16741" xr:uid="{00000000-0005-0000-0000-00001F280000}"/>
    <cellStyle name="Calculation 17 3" xfId="7525" xr:uid="{00000000-0005-0000-0000-000020280000}"/>
    <cellStyle name="Calculation 17 3 2" xfId="7526" xr:uid="{00000000-0005-0000-0000-000021280000}"/>
    <cellStyle name="Calculation 17 3 2 2" xfId="16742" xr:uid="{00000000-0005-0000-0000-000022280000}"/>
    <cellStyle name="Calculation 17 4" xfId="7527" xr:uid="{00000000-0005-0000-0000-000023280000}"/>
    <cellStyle name="Calculation 17 4 2" xfId="16743" xr:uid="{00000000-0005-0000-0000-000024280000}"/>
    <cellStyle name="Calculation 17 5" xfId="7528" xr:uid="{00000000-0005-0000-0000-000025280000}"/>
    <cellStyle name="Calculation 17 5 2" xfId="16744" xr:uid="{00000000-0005-0000-0000-000026280000}"/>
    <cellStyle name="Calculation 17 6" xfId="7529" xr:uid="{00000000-0005-0000-0000-000027280000}"/>
    <cellStyle name="Calculation 17 6 2" xfId="16745" xr:uid="{00000000-0005-0000-0000-000028280000}"/>
    <cellStyle name="Calculation 17 7" xfId="7530" xr:uid="{00000000-0005-0000-0000-000029280000}"/>
    <cellStyle name="Calculation 17 7 2" xfId="16746" xr:uid="{00000000-0005-0000-0000-00002A280000}"/>
    <cellStyle name="Calculation 17 8" xfId="7531" xr:uid="{00000000-0005-0000-0000-00002B280000}"/>
    <cellStyle name="Calculation 17 8 2" xfId="16747" xr:uid="{00000000-0005-0000-0000-00002C280000}"/>
    <cellStyle name="Calculation 17 9" xfId="7532" xr:uid="{00000000-0005-0000-0000-00002D280000}"/>
    <cellStyle name="Calculation 17 9 2" xfId="16748" xr:uid="{00000000-0005-0000-0000-00002E280000}"/>
    <cellStyle name="Calculation 18" xfId="7533" xr:uid="{00000000-0005-0000-0000-00002F280000}"/>
    <cellStyle name="Calculation 18 2" xfId="7534" xr:uid="{00000000-0005-0000-0000-000030280000}"/>
    <cellStyle name="Calculation 18 2 2" xfId="7535" xr:uid="{00000000-0005-0000-0000-000031280000}"/>
    <cellStyle name="Calculation 18 2 2 2" xfId="16749" xr:uid="{00000000-0005-0000-0000-000032280000}"/>
    <cellStyle name="Calculation 18 3" xfId="7536" xr:uid="{00000000-0005-0000-0000-000033280000}"/>
    <cellStyle name="Calculation 18 3 2" xfId="16750" xr:uid="{00000000-0005-0000-0000-000034280000}"/>
    <cellStyle name="Calculation 18 4" xfId="7537" xr:uid="{00000000-0005-0000-0000-000035280000}"/>
    <cellStyle name="Calculation 18 4 2" xfId="16751" xr:uid="{00000000-0005-0000-0000-000036280000}"/>
    <cellStyle name="Calculation 18 5" xfId="7538" xr:uid="{00000000-0005-0000-0000-000037280000}"/>
    <cellStyle name="Calculation 18 5 2" xfId="16752" xr:uid="{00000000-0005-0000-0000-000038280000}"/>
    <cellStyle name="Calculation 18 6" xfId="7539" xr:uid="{00000000-0005-0000-0000-000039280000}"/>
    <cellStyle name="Calculation 18 6 2" xfId="16753" xr:uid="{00000000-0005-0000-0000-00003A280000}"/>
    <cellStyle name="Calculation 18 7" xfId="7540" xr:uid="{00000000-0005-0000-0000-00003B280000}"/>
    <cellStyle name="Calculation 18 7 2" xfId="16754" xr:uid="{00000000-0005-0000-0000-00003C280000}"/>
    <cellStyle name="Calculation 18 8" xfId="7541" xr:uid="{00000000-0005-0000-0000-00003D280000}"/>
    <cellStyle name="Calculation 18 8 2" xfId="16755" xr:uid="{00000000-0005-0000-0000-00003E280000}"/>
    <cellStyle name="Calculation 18 9" xfId="7542" xr:uid="{00000000-0005-0000-0000-00003F280000}"/>
    <cellStyle name="Calculation 18 9 2" xfId="16756" xr:uid="{00000000-0005-0000-0000-000040280000}"/>
    <cellStyle name="Calculation 19" xfId="7543" xr:uid="{00000000-0005-0000-0000-000041280000}"/>
    <cellStyle name="Calculation 19 2" xfId="7544" xr:uid="{00000000-0005-0000-0000-000042280000}"/>
    <cellStyle name="Calculation 19 2 2" xfId="7545" xr:uid="{00000000-0005-0000-0000-000043280000}"/>
    <cellStyle name="Calculation 19 2 2 2" xfId="16757" xr:uid="{00000000-0005-0000-0000-000044280000}"/>
    <cellStyle name="Calculation 19 3" xfId="7546" xr:uid="{00000000-0005-0000-0000-000045280000}"/>
    <cellStyle name="Calculation 19 3 2" xfId="16758" xr:uid="{00000000-0005-0000-0000-000046280000}"/>
    <cellStyle name="Calculation 19 4" xfId="7547" xr:uid="{00000000-0005-0000-0000-000047280000}"/>
    <cellStyle name="Calculation 19 4 2" xfId="16759" xr:uid="{00000000-0005-0000-0000-000048280000}"/>
    <cellStyle name="Calculation 19 5" xfId="7548" xr:uid="{00000000-0005-0000-0000-000049280000}"/>
    <cellStyle name="Calculation 19 5 2" xfId="16760" xr:uid="{00000000-0005-0000-0000-00004A280000}"/>
    <cellStyle name="Calculation 19 6" xfId="7549" xr:uid="{00000000-0005-0000-0000-00004B280000}"/>
    <cellStyle name="Calculation 19 6 2" xfId="16761" xr:uid="{00000000-0005-0000-0000-00004C280000}"/>
    <cellStyle name="Calculation 19 7" xfId="7550" xr:uid="{00000000-0005-0000-0000-00004D280000}"/>
    <cellStyle name="Calculation 19 7 2" xfId="16762" xr:uid="{00000000-0005-0000-0000-00004E280000}"/>
    <cellStyle name="Calculation 19 8" xfId="7551" xr:uid="{00000000-0005-0000-0000-00004F280000}"/>
    <cellStyle name="Calculation 19 8 2" xfId="16763" xr:uid="{00000000-0005-0000-0000-000050280000}"/>
    <cellStyle name="Calculation 19 9" xfId="7552" xr:uid="{00000000-0005-0000-0000-000051280000}"/>
    <cellStyle name="Calculation 19 9 2" xfId="16764" xr:uid="{00000000-0005-0000-0000-000052280000}"/>
    <cellStyle name="Calculation 2" xfId="7553" xr:uid="{00000000-0005-0000-0000-000053280000}"/>
    <cellStyle name="Calculation 2 10" xfId="7554" xr:uid="{00000000-0005-0000-0000-000054280000}"/>
    <cellStyle name="Calculation 2 10 2" xfId="16765" xr:uid="{00000000-0005-0000-0000-000055280000}"/>
    <cellStyle name="Calculation 2 11" xfId="7555" xr:uid="{00000000-0005-0000-0000-000056280000}"/>
    <cellStyle name="Calculation 2 11 2" xfId="16766" xr:uid="{00000000-0005-0000-0000-000057280000}"/>
    <cellStyle name="Calculation 2 12" xfId="21715" xr:uid="{00000000-0005-0000-0000-000058280000}"/>
    <cellStyle name="Calculation 2 13" xfId="23323" xr:uid="{00000000-0005-0000-0000-000059280000}"/>
    <cellStyle name="Calculation 2 2" xfId="7556" xr:uid="{00000000-0005-0000-0000-00005A280000}"/>
    <cellStyle name="Calculation 2 2 2" xfId="7557" xr:uid="{00000000-0005-0000-0000-00005B280000}"/>
    <cellStyle name="Calculation 2 2 2 2" xfId="16767" xr:uid="{00000000-0005-0000-0000-00005C280000}"/>
    <cellStyle name="Calculation 2 2 2 2 2" xfId="23058" xr:uid="{00000000-0005-0000-0000-00005D280000}"/>
    <cellStyle name="Calculation 2 2 2 2 2 2" xfId="26608" xr:uid="{00000000-0005-0000-0000-000097000000}"/>
    <cellStyle name="Calculation 2 2 2 2 2 3" xfId="27127" xr:uid="{00000000-0005-0000-0000-000097000000}"/>
    <cellStyle name="Calculation 2 2 2 2 2 4" xfId="24353" xr:uid="{00000000-0005-0000-0000-000097000000}"/>
    <cellStyle name="Calculation 2 2 2 2 3" xfId="23470" xr:uid="{00000000-0005-0000-0000-00005E280000}"/>
    <cellStyle name="Calculation 2 2 2 2 3 2" xfId="25472" xr:uid="{00000000-0005-0000-0000-000097000000}"/>
    <cellStyle name="Calculation 2 2 2 2 4" xfId="26968" xr:uid="{00000000-0005-0000-0000-000097000000}"/>
    <cellStyle name="Calculation 2 2 2 3" xfId="23226" xr:uid="{00000000-0005-0000-0000-00005F280000}"/>
    <cellStyle name="Calculation 2 2 2 3 2" xfId="23530" xr:uid="{00000000-0005-0000-0000-000060280000}"/>
    <cellStyle name="Calculation 2 2 2 3 2 2" xfId="25638" xr:uid="{00000000-0005-0000-0000-000098000000}"/>
    <cellStyle name="Calculation 2 2 2 3 3" xfId="27028" xr:uid="{00000000-0005-0000-0000-000098000000}"/>
    <cellStyle name="Calculation 2 2 2 4" xfId="22532" xr:uid="{00000000-0005-0000-0000-000061280000}"/>
    <cellStyle name="Calculation 2 2 2 4 2" xfId="24950" xr:uid="{00000000-0005-0000-0000-000096000000}"/>
    <cellStyle name="Calculation 2 2 2 5" xfId="23390" xr:uid="{00000000-0005-0000-0000-000062280000}"/>
    <cellStyle name="Calculation 2 2 2 5 2" xfId="26888" xr:uid="{00000000-0005-0000-0000-000096000000}"/>
    <cellStyle name="Calculation 2 2 3" xfId="22794" xr:uid="{00000000-0005-0000-0000-000063280000}"/>
    <cellStyle name="Calculation 2 2 3 2" xfId="23430" xr:uid="{00000000-0005-0000-0000-000064280000}"/>
    <cellStyle name="Calculation 2 2 3 2 2" xfId="26343" xr:uid="{00000000-0005-0000-0000-000099000000}"/>
    <cellStyle name="Calculation 2 2 3 2 3" xfId="27087" xr:uid="{00000000-0005-0000-0000-000099000000}"/>
    <cellStyle name="Calculation 2 2 3 3" xfId="25214" xr:uid="{00000000-0005-0000-0000-000099000000}"/>
    <cellStyle name="Calculation 2 2 3 4" xfId="26928" xr:uid="{00000000-0005-0000-0000-000099000000}"/>
    <cellStyle name="Calculation 2 2 4" xfId="23187" xr:uid="{00000000-0005-0000-0000-000065280000}"/>
    <cellStyle name="Calculation 2 2 4 2" xfId="23490" xr:uid="{00000000-0005-0000-0000-000066280000}"/>
    <cellStyle name="Calculation 2 2 4 2 2" xfId="25599" xr:uid="{00000000-0005-0000-0000-00009A000000}"/>
    <cellStyle name="Calculation 2 2 4 3" xfId="26988" xr:uid="{00000000-0005-0000-0000-00009A000000}"/>
    <cellStyle name="Calculation 2 2 5" xfId="22274" xr:uid="{00000000-0005-0000-0000-000067280000}"/>
    <cellStyle name="Calculation 2 2 5 2" xfId="24690" xr:uid="{00000000-0005-0000-0000-000095000000}"/>
    <cellStyle name="Calculation 2 2 6" xfId="23350" xr:uid="{00000000-0005-0000-0000-000068280000}"/>
    <cellStyle name="Calculation 2 2 6 2" xfId="26848" xr:uid="{00000000-0005-0000-0000-000095000000}"/>
    <cellStyle name="Calculation 2 3" xfId="7558" xr:uid="{00000000-0005-0000-0000-000069280000}"/>
    <cellStyle name="Calculation 2 3 2" xfId="7559" xr:uid="{00000000-0005-0000-0000-00006A280000}"/>
    <cellStyle name="Calculation 2 3 2 2" xfId="16768" xr:uid="{00000000-0005-0000-0000-00006B280000}"/>
    <cellStyle name="Calculation 2 3 2 2 2" xfId="26470" xr:uid="{00000000-0005-0000-0000-00009C000000}"/>
    <cellStyle name="Calculation 2 3 2 2 3" xfId="27101" xr:uid="{00000000-0005-0000-0000-00009C000000}"/>
    <cellStyle name="Calculation 2 3 2 2 4" xfId="24220" xr:uid="{00000000-0005-0000-0000-00009C000000}"/>
    <cellStyle name="Calculation 2 3 2 3" xfId="22921" xr:uid="{00000000-0005-0000-0000-00006C280000}"/>
    <cellStyle name="Calculation 2 3 2 3 2" xfId="25339" xr:uid="{00000000-0005-0000-0000-00009C000000}"/>
    <cellStyle name="Calculation 2 3 2 4" xfId="23444" xr:uid="{00000000-0005-0000-0000-00006D280000}"/>
    <cellStyle name="Calculation 2 3 2 4 2" xfId="26942" xr:uid="{00000000-0005-0000-0000-00009C000000}"/>
    <cellStyle name="Calculation 2 3 3" xfId="23200" xr:uid="{00000000-0005-0000-0000-00006E280000}"/>
    <cellStyle name="Calculation 2 3 3 2" xfId="23504" xr:uid="{00000000-0005-0000-0000-00006F280000}"/>
    <cellStyle name="Calculation 2 3 3 2 2" xfId="25612" xr:uid="{00000000-0005-0000-0000-00009D000000}"/>
    <cellStyle name="Calculation 2 3 3 3" xfId="27002" xr:uid="{00000000-0005-0000-0000-00009D000000}"/>
    <cellStyle name="Calculation 2 3 4" xfId="22398" xr:uid="{00000000-0005-0000-0000-000070280000}"/>
    <cellStyle name="Calculation 2 3 4 2" xfId="24815" xr:uid="{00000000-0005-0000-0000-00009B000000}"/>
    <cellStyle name="Calculation 2 3 5" xfId="23364" xr:uid="{00000000-0005-0000-0000-000071280000}"/>
    <cellStyle name="Calculation 2 3 5 2" xfId="26862" xr:uid="{00000000-0005-0000-0000-00009B000000}"/>
    <cellStyle name="Calculation 2 4" xfId="7560" xr:uid="{00000000-0005-0000-0000-000072280000}"/>
    <cellStyle name="Calculation 2 4 2" xfId="7561" xr:uid="{00000000-0005-0000-0000-000073280000}"/>
    <cellStyle name="Calculation 2 4 2 2" xfId="26205" xr:uid="{00000000-0005-0000-0000-00009E000000}"/>
    <cellStyle name="Calculation 2 4 2 3" xfId="27061" xr:uid="{00000000-0005-0000-0000-00009E000000}"/>
    <cellStyle name="Calculation 2 4 2 4" xfId="23969" xr:uid="{00000000-0005-0000-0000-00009E000000}"/>
    <cellStyle name="Calculation 2 4 3" xfId="16769" xr:uid="{00000000-0005-0000-0000-000074280000}"/>
    <cellStyle name="Calculation 2 4 3 2" xfId="25077" xr:uid="{00000000-0005-0000-0000-00009E000000}"/>
    <cellStyle name="Calculation 2 4 4" xfId="22660" xr:uid="{00000000-0005-0000-0000-000075280000}"/>
    <cellStyle name="Calculation 2 4 4 2" xfId="26902" xr:uid="{00000000-0005-0000-0000-00009E000000}"/>
    <cellStyle name="Calculation 2 4 5" xfId="23404" xr:uid="{00000000-0005-0000-0000-000076280000}"/>
    <cellStyle name="Calculation 2 5" xfId="7562" xr:uid="{00000000-0005-0000-0000-000077280000}"/>
    <cellStyle name="Calculation 2 5 2" xfId="16770" xr:uid="{00000000-0005-0000-0000-000078280000}"/>
    <cellStyle name="Calculation 2 5 3" xfId="24551" xr:uid="{00000000-0005-0000-0000-000094000000}"/>
    <cellStyle name="Calculation 2 6" xfId="7563" xr:uid="{00000000-0005-0000-0000-000079280000}"/>
    <cellStyle name="Calculation 2 6 2" xfId="16771" xr:uid="{00000000-0005-0000-0000-00007A280000}"/>
    <cellStyle name="Calculation 2 6 3" xfId="24570" xr:uid="{00000000-0005-0000-0000-000094000000}"/>
    <cellStyle name="Calculation 2 7" xfId="7564" xr:uid="{00000000-0005-0000-0000-00007B280000}"/>
    <cellStyle name="Calculation 2 7 2" xfId="16772" xr:uid="{00000000-0005-0000-0000-00007C280000}"/>
    <cellStyle name="Calculation 2 8" xfId="7565" xr:uid="{00000000-0005-0000-0000-00007D280000}"/>
    <cellStyle name="Calculation 2 8 2" xfId="16773" xr:uid="{00000000-0005-0000-0000-00007E280000}"/>
    <cellStyle name="Calculation 2 9" xfId="7566" xr:uid="{00000000-0005-0000-0000-00007F280000}"/>
    <cellStyle name="Calculation 2 9 2" xfId="16774" xr:uid="{00000000-0005-0000-0000-000080280000}"/>
    <cellStyle name="Calculation 20" xfId="7567" xr:uid="{00000000-0005-0000-0000-000081280000}"/>
    <cellStyle name="Calculation 20 2" xfId="7568" xr:uid="{00000000-0005-0000-0000-000082280000}"/>
    <cellStyle name="Calculation 20 2 2" xfId="16775" xr:uid="{00000000-0005-0000-0000-000083280000}"/>
    <cellStyle name="Calculation 20 3" xfId="7569" xr:uid="{00000000-0005-0000-0000-000084280000}"/>
    <cellStyle name="Calculation 20 3 2" xfId="16776" xr:uid="{00000000-0005-0000-0000-000085280000}"/>
    <cellStyle name="Calculation 20 4" xfId="7570" xr:uid="{00000000-0005-0000-0000-000086280000}"/>
    <cellStyle name="Calculation 20 4 2" xfId="16777" xr:uid="{00000000-0005-0000-0000-000087280000}"/>
    <cellStyle name="Calculation 20 5" xfId="7571" xr:uid="{00000000-0005-0000-0000-000088280000}"/>
    <cellStyle name="Calculation 20 5 2" xfId="16778" xr:uid="{00000000-0005-0000-0000-000089280000}"/>
    <cellStyle name="Calculation 20 6" xfId="7572" xr:uid="{00000000-0005-0000-0000-00008A280000}"/>
    <cellStyle name="Calculation 20 6 2" xfId="16779" xr:uid="{00000000-0005-0000-0000-00008B280000}"/>
    <cellStyle name="Calculation 20 7" xfId="7573" xr:uid="{00000000-0005-0000-0000-00008C280000}"/>
    <cellStyle name="Calculation 20 7 2" xfId="16780" xr:uid="{00000000-0005-0000-0000-00008D280000}"/>
    <cellStyle name="Calculation 20 8" xfId="7574" xr:uid="{00000000-0005-0000-0000-00008E280000}"/>
    <cellStyle name="Calculation 20 8 2" xfId="16781" xr:uid="{00000000-0005-0000-0000-00008F280000}"/>
    <cellStyle name="Calculation 20 9" xfId="7575" xr:uid="{00000000-0005-0000-0000-000090280000}"/>
    <cellStyle name="Calculation 20 9 2" xfId="16782" xr:uid="{00000000-0005-0000-0000-000091280000}"/>
    <cellStyle name="Calculation 21" xfId="7576" xr:uid="{00000000-0005-0000-0000-000092280000}"/>
    <cellStyle name="Calculation 21 2" xfId="7577" xr:uid="{00000000-0005-0000-0000-000093280000}"/>
    <cellStyle name="Calculation 21 2 2" xfId="16783" xr:uid="{00000000-0005-0000-0000-000094280000}"/>
    <cellStyle name="Calculation 21 3" xfId="7578" xr:uid="{00000000-0005-0000-0000-000095280000}"/>
    <cellStyle name="Calculation 21 3 2" xfId="16784" xr:uid="{00000000-0005-0000-0000-000096280000}"/>
    <cellStyle name="Calculation 21 4" xfId="7579" xr:uid="{00000000-0005-0000-0000-000097280000}"/>
    <cellStyle name="Calculation 21 4 2" xfId="16785" xr:uid="{00000000-0005-0000-0000-000098280000}"/>
    <cellStyle name="Calculation 21 5" xfId="7580" xr:uid="{00000000-0005-0000-0000-000099280000}"/>
    <cellStyle name="Calculation 21 5 2" xfId="16786" xr:uid="{00000000-0005-0000-0000-00009A280000}"/>
    <cellStyle name="Calculation 21 6" xfId="7581" xr:uid="{00000000-0005-0000-0000-00009B280000}"/>
    <cellStyle name="Calculation 21 6 2" xfId="16787" xr:uid="{00000000-0005-0000-0000-00009C280000}"/>
    <cellStyle name="Calculation 21 7" xfId="7582" xr:uid="{00000000-0005-0000-0000-00009D280000}"/>
    <cellStyle name="Calculation 21 7 2" xfId="16788" xr:uid="{00000000-0005-0000-0000-00009E280000}"/>
    <cellStyle name="Calculation 21 8" xfId="7583" xr:uid="{00000000-0005-0000-0000-00009F280000}"/>
    <cellStyle name="Calculation 21 8 2" xfId="16789" xr:uid="{00000000-0005-0000-0000-0000A0280000}"/>
    <cellStyle name="Calculation 21 9" xfId="7584" xr:uid="{00000000-0005-0000-0000-0000A1280000}"/>
    <cellStyle name="Calculation 21 9 2" xfId="16790" xr:uid="{00000000-0005-0000-0000-0000A2280000}"/>
    <cellStyle name="Calculation 22" xfId="7585" xr:uid="{00000000-0005-0000-0000-0000A3280000}"/>
    <cellStyle name="Calculation 22 2" xfId="7586" xr:uid="{00000000-0005-0000-0000-0000A4280000}"/>
    <cellStyle name="Calculation 22 2 2" xfId="16791" xr:uid="{00000000-0005-0000-0000-0000A5280000}"/>
    <cellStyle name="Calculation 22 3" xfId="7587" xr:uid="{00000000-0005-0000-0000-0000A6280000}"/>
    <cellStyle name="Calculation 22 3 2" xfId="16792" xr:uid="{00000000-0005-0000-0000-0000A7280000}"/>
    <cellStyle name="Calculation 22 4" xfId="7588" xr:uid="{00000000-0005-0000-0000-0000A8280000}"/>
    <cellStyle name="Calculation 22 4 2" xfId="16793" xr:uid="{00000000-0005-0000-0000-0000A9280000}"/>
    <cellStyle name="Calculation 22 5" xfId="7589" xr:uid="{00000000-0005-0000-0000-0000AA280000}"/>
    <cellStyle name="Calculation 22 5 2" xfId="16794" xr:uid="{00000000-0005-0000-0000-0000AB280000}"/>
    <cellStyle name="Calculation 22 6" xfId="7590" xr:uid="{00000000-0005-0000-0000-0000AC280000}"/>
    <cellStyle name="Calculation 22 6 2" xfId="16795" xr:uid="{00000000-0005-0000-0000-0000AD280000}"/>
    <cellStyle name="Calculation 22 7" xfId="7591" xr:uid="{00000000-0005-0000-0000-0000AE280000}"/>
    <cellStyle name="Calculation 22 7 2" xfId="16796" xr:uid="{00000000-0005-0000-0000-0000AF280000}"/>
    <cellStyle name="Calculation 22 8" xfId="7592" xr:uid="{00000000-0005-0000-0000-0000B0280000}"/>
    <cellStyle name="Calculation 22 8 2" xfId="16797" xr:uid="{00000000-0005-0000-0000-0000B1280000}"/>
    <cellStyle name="Calculation 22 9" xfId="7593" xr:uid="{00000000-0005-0000-0000-0000B2280000}"/>
    <cellStyle name="Calculation 22 9 2" xfId="16798" xr:uid="{00000000-0005-0000-0000-0000B3280000}"/>
    <cellStyle name="Calculation 23" xfId="7594" xr:uid="{00000000-0005-0000-0000-0000B4280000}"/>
    <cellStyle name="Calculation 23 2" xfId="7595" xr:uid="{00000000-0005-0000-0000-0000B5280000}"/>
    <cellStyle name="Calculation 23 2 2" xfId="16799" xr:uid="{00000000-0005-0000-0000-0000B6280000}"/>
    <cellStyle name="Calculation 23 3" xfId="7596" xr:uid="{00000000-0005-0000-0000-0000B7280000}"/>
    <cellStyle name="Calculation 23 3 2" xfId="16800" xr:uid="{00000000-0005-0000-0000-0000B8280000}"/>
    <cellStyle name="Calculation 23 4" xfId="7597" xr:uid="{00000000-0005-0000-0000-0000B9280000}"/>
    <cellStyle name="Calculation 23 4 2" xfId="16801" xr:uid="{00000000-0005-0000-0000-0000BA280000}"/>
    <cellStyle name="Calculation 23 5" xfId="7598" xr:uid="{00000000-0005-0000-0000-0000BB280000}"/>
    <cellStyle name="Calculation 23 5 2" xfId="16802" xr:uid="{00000000-0005-0000-0000-0000BC280000}"/>
    <cellStyle name="Calculation 23 6" xfId="7599" xr:uid="{00000000-0005-0000-0000-0000BD280000}"/>
    <cellStyle name="Calculation 23 6 2" xfId="16803" xr:uid="{00000000-0005-0000-0000-0000BE280000}"/>
    <cellStyle name="Calculation 23 7" xfId="7600" xr:uid="{00000000-0005-0000-0000-0000BF280000}"/>
    <cellStyle name="Calculation 23 7 2" xfId="16804" xr:uid="{00000000-0005-0000-0000-0000C0280000}"/>
    <cellStyle name="Calculation 23 8" xfId="7601" xr:uid="{00000000-0005-0000-0000-0000C1280000}"/>
    <cellStyle name="Calculation 23 8 2" xfId="16805" xr:uid="{00000000-0005-0000-0000-0000C2280000}"/>
    <cellStyle name="Calculation 23 9" xfId="7602" xr:uid="{00000000-0005-0000-0000-0000C3280000}"/>
    <cellStyle name="Calculation 23 9 2" xfId="16806" xr:uid="{00000000-0005-0000-0000-0000C4280000}"/>
    <cellStyle name="Calculation 24" xfId="7603" xr:uid="{00000000-0005-0000-0000-0000C5280000}"/>
    <cellStyle name="Calculation 24 2" xfId="7604" xr:uid="{00000000-0005-0000-0000-0000C6280000}"/>
    <cellStyle name="Calculation 24 2 2" xfId="16807" xr:uid="{00000000-0005-0000-0000-0000C7280000}"/>
    <cellStyle name="Calculation 24 3" xfId="7605" xr:uid="{00000000-0005-0000-0000-0000C8280000}"/>
    <cellStyle name="Calculation 24 3 2" xfId="16808" xr:uid="{00000000-0005-0000-0000-0000C9280000}"/>
    <cellStyle name="Calculation 24 4" xfId="7606" xr:uid="{00000000-0005-0000-0000-0000CA280000}"/>
    <cellStyle name="Calculation 24 4 2" xfId="16809" xr:uid="{00000000-0005-0000-0000-0000CB280000}"/>
    <cellStyle name="Calculation 24 5" xfId="7607" xr:uid="{00000000-0005-0000-0000-0000CC280000}"/>
    <cellStyle name="Calculation 24 5 2" xfId="16810" xr:uid="{00000000-0005-0000-0000-0000CD280000}"/>
    <cellStyle name="Calculation 24 6" xfId="7608" xr:uid="{00000000-0005-0000-0000-0000CE280000}"/>
    <cellStyle name="Calculation 24 6 2" xfId="16811" xr:uid="{00000000-0005-0000-0000-0000CF280000}"/>
    <cellStyle name="Calculation 24 7" xfId="7609" xr:uid="{00000000-0005-0000-0000-0000D0280000}"/>
    <cellStyle name="Calculation 24 7 2" xfId="16812" xr:uid="{00000000-0005-0000-0000-0000D1280000}"/>
    <cellStyle name="Calculation 24 8" xfId="7610" xr:uid="{00000000-0005-0000-0000-0000D2280000}"/>
    <cellStyle name="Calculation 24 8 2" xfId="16813" xr:uid="{00000000-0005-0000-0000-0000D3280000}"/>
    <cellStyle name="Calculation 24 9" xfId="7611" xr:uid="{00000000-0005-0000-0000-0000D4280000}"/>
    <cellStyle name="Calculation 24 9 2" xfId="16814" xr:uid="{00000000-0005-0000-0000-0000D5280000}"/>
    <cellStyle name="Calculation 25" xfId="7612" xr:uid="{00000000-0005-0000-0000-0000D6280000}"/>
    <cellStyle name="Calculation 25 2" xfId="7613" xr:uid="{00000000-0005-0000-0000-0000D7280000}"/>
    <cellStyle name="Calculation 25 2 2" xfId="16815" xr:uid="{00000000-0005-0000-0000-0000D8280000}"/>
    <cellStyle name="Calculation 25 3" xfId="7614" xr:uid="{00000000-0005-0000-0000-0000D9280000}"/>
    <cellStyle name="Calculation 25 3 2" xfId="16816" xr:uid="{00000000-0005-0000-0000-0000DA280000}"/>
    <cellStyle name="Calculation 25 4" xfId="7615" xr:uid="{00000000-0005-0000-0000-0000DB280000}"/>
    <cellStyle name="Calculation 25 4 2" xfId="16817" xr:uid="{00000000-0005-0000-0000-0000DC280000}"/>
    <cellStyle name="Calculation 25 5" xfId="7616" xr:uid="{00000000-0005-0000-0000-0000DD280000}"/>
    <cellStyle name="Calculation 25 5 2" xfId="16818" xr:uid="{00000000-0005-0000-0000-0000DE280000}"/>
    <cellStyle name="Calculation 25 6" xfId="7617" xr:uid="{00000000-0005-0000-0000-0000DF280000}"/>
    <cellStyle name="Calculation 25 6 2" xfId="16819" xr:uid="{00000000-0005-0000-0000-0000E0280000}"/>
    <cellStyle name="Calculation 25 7" xfId="7618" xr:uid="{00000000-0005-0000-0000-0000E1280000}"/>
    <cellStyle name="Calculation 25 7 2" xfId="16820" xr:uid="{00000000-0005-0000-0000-0000E2280000}"/>
    <cellStyle name="Calculation 25 8" xfId="7619" xr:uid="{00000000-0005-0000-0000-0000E3280000}"/>
    <cellStyle name="Calculation 25 8 2" xfId="16821" xr:uid="{00000000-0005-0000-0000-0000E4280000}"/>
    <cellStyle name="Calculation 25 9" xfId="7620" xr:uid="{00000000-0005-0000-0000-0000E5280000}"/>
    <cellStyle name="Calculation 25 9 2" xfId="16822" xr:uid="{00000000-0005-0000-0000-0000E6280000}"/>
    <cellStyle name="Calculation 26" xfId="7621" xr:uid="{00000000-0005-0000-0000-0000E7280000}"/>
    <cellStyle name="Calculation 26 2" xfId="7622" xr:uid="{00000000-0005-0000-0000-0000E8280000}"/>
    <cellStyle name="Calculation 26 2 2" xfId="16823" xr:uid="{00000000-0005-0000-0000-0000E9280000}"/>
    <cellStyle name="Calculation 26 3" xfId="7623" xr:uid="{00000000-0005-0000-0000-0000EA280000}"/>
    <cellStyle name="Calculation 26 3 2" xfId="16824" xr:uid="{00000000-0005-0000-0000-0000EB280000}"/>
    <cellStyle name="Calculation 26 4" xfId="7624" xr:uid="{00000000-0005-0000-0000-0000EC280000}"/>
    <cellStyle name="Calculation 26 4 2" xfId="16825" xr:uid="{00000000-0005-0000-0000-0000ED280000}"/>
    <cellStyle name="Calculation 26 5" xfId="7625" xr:uid="{00000000-0005-0000-0000-0000EE280000}"/>
    <cellStyle name="Calculation 26 5 2" xfId="16826" xr:uid="{00000000-0005-0000-0000-0000EF280000}"/>
    <cellStyle name="Calculation 26 6" xfId="7626" xr:uid="{00000000-0005-0000-0000-0000F0280000}"/>
    <cellStyle name="Calculation 26 6 2" xfId="16827" xr:uid="{00000000-0005-0000-0000-0000F1280000}"/>
    <cellStyle name="Calculation 26 7" xfId="7627" xr:uid="{00000000-0005-0000-0000-0000F2280000}"/>
    <cellStyle name="Calculation 26 7 2" xfId="16828" xr:uid="{00000000-0005-0000-0000-0000F3280000}"/>
    <cellStyle name="Calculation 26 8" xfId="7628" xr:uid="{00000000-0005-0000-0000-0000F4280000}"/>
    <cellStyle name="Calculation 26 8 2" xfId="16829" xr:uid="{00000000-0005-0000-0000-0000F5280000}"/>
    <cellStyle name="Calculation 26 9" xfId="7629" xr:uid="{00000000-0005-0000-0000-0000F6280000}"/>
    <cellStyle name="Calculation 26 9 2" xfId="16830" xr:uid="{00000000-0005-0000-0000-0000F7280000}"/>
    <cellStyle name="Calculation 27" xfId="7630" xr:uid="{00000000-0005-0000-0000-0000F8280000}"/>
    <cellStyle name="Calculation 27 2" xfId="7631" xr:uid="{00000000-0005-0000-0000-0000F9280000}"/>
    <cellStyle name="Calculation 27 2 2" xfId="16831" xr:uid="{00000000-0005-0000-0000-0000FA280000}"/>
    <cellStyle name="Calculation 27 3" xfId="7632" xr:uid="{00000000-0005-0000-0000-0000FB280000}"/>
    <cellStyle name="Calculation 27 3 2" xfId="16832" xr:uid="{00000000-0005-0000-0000-0000FC280000}"/>
    <cellStyle name="Calculation 27 4" xfId="7633" xr:uid="{00000000-0005-0000-0000-0000FD280000}"/>
    <cellStyle name="Calculation 27 4 2" xfId="16833" xr:uid="{00000000-0005-0000-0000-0000FE280000}"/>
    <cellStyle name="Calculation 27 5" xfId="7634" xr:uid="{00000000-0005-0000-0000-0000FF280000}"/>
    <cellStyle name="Calculation 27 5 2" xfId="16834" xr:uid="{00000000-0005-0000-0000-000000290000}"/>
    <cellStyle name="Calculation 27 6" xfId="7635" xr:uid="{00000000-0005-0000-0000-000001290000}"/>
    <cellStyle name="Calculation 27 6 2" xfId="16835" xr:uid="{00000000-0005-0000-0000-000002290000}"/>
    <cellStyle name="Calculation 27 7" xfId="7636" xr:uid="{00000000-0005-0000-0000-000003290000}"/>
    <cellStyle name="Calculation 27 7 2" xfId="16836" xr:uid="{00000000-0005-0000-0000-000004290000}"/>
    <cellStyle name="Calculation 27 8" xfId="7637" xr:uid="{00000000-0005-0000-0000-000005290000}"/>
    <cellStyle name="Calculation 27 8 2" xfId="16837" xr:uid="{00000000-0005-0000-0000-000006290000}"/>
    <cellStyle name="Calculation 27 9" xfId="7638" xr:uid="{00000000-0005-0000-0000-000007290000}"/>
    <cellStyle name="Calculation 27 9 2" xfId="16838" xr:uid="{00000000-0005-0000-0000-000008290000}"/>
    <cellStyle name="Calculation 28" xfId="7639" xr:uid="{00000000-0005-0000-0000-000009290000}"/>
    <cellStyle name="Calculation 28 2" xfId="7640" xr:uid="{00000000-0005-0000-0000-00000A290000}"/>
    <cellStyle name="Calculation 28 2 2" xfId="16839" xr:uid="{00000000-0005-0000-0000-00000B290000}"/>
    <cellStyle name="Calculation 28 3" xfId="7641" xr:uid="{00000000-0005-0000-0000-00000C290000}"/>
    <cellStyle name="Calculation 28 3 2" xfId="16840" xr:uid="{00000000-0005-0000-0000-00000D290000}"/>
    <cellStyle name="Calculation 28 4" xfId="7642" xr:uid="{00000000-0005-0000-0000-00000E290000}"/>
    <cellStyle name="Calculation 28 4 2" xfId="16841" xr:uid="{00000000-0005-0000-0000-00000F290000}"/>
    <cellStyle name="Calculation 28 5" xfId="7643" xr:uid="{00000000-0005-0000-0000-000010290000}"/>
    <cellStyle name="Calculation 28 5 2" xfId="16842" xr:uid="{00000000-0005-0000-0000-000011290000}"/>
    <cellStyle name="Calculation 28 6" xfId="7644" xr:uid="{00000000-0005-0000-0000-000012290000}"/>
    <cellStyle name="Calculation 28 6 2" xfId="16843" xr:uid="{00000000-0005-0000-0000-000013290000}"/>
    <cellStyle name="Calculation 28 7" xfId="7645" xr:uid="{00000000-0005-0000-0000-000014290000}"/>
    <cellStyle name="Calculation 28 7 2" xfId="16844" xr:uid="{00000000-0005-0000-0000-000015290000}"/>
    <cellStyle name="Calculation 28 8" xfId="7646" xr:uid="{00000000-0005-0000-0000-000016290000}"/>
    <cellStyle name="Calculation 28 8 2" xfId="16845" xr:uid="{00000000-0005-0000-0000-000017290000}"/>
    <cellStyle name="Calculation 28 9" xfId="7647" xr:uid="{00000000-0005-0000-0000-000018290000}"/>
    <cellStyle name="Calculation 28 9 2" xfId="16846" xr:uid="{00000000-0005-0000-0000-000019290000}"/>
    <cellStyle name="Calculation 29" xfId="7648" xr:uid="{00000000-0005-0000-0000-00001A290000}"/>
    <cellStyle name="Calculation 29 2" xfId="7649" xr:uid="{00000000-0005-0000-0000-00001B290000}"/>
    <cellStyle name="Calculation 29 2 2" xfId="16847" xr:uid="{00000000-0005-0000-0000-00001C290000}"/>
    <cellStyle name="Calculation 29 3" xfId="7650" xr:uid="{00000000-0005-0000-0000-00001D290000}"/>
    <cellStyle name="Calculation 29 3 2" xfId="16848" xr:uid="{00000000-0005-0000-0000-00001E290000}"/>
    <cellStyle name="Calculation 29 4" xfId="7651" xr:uid="{00000000-0005-0000-0000-00001F290000}"/>
    <cellStyle name="Calculation 29 4 2" xfId="16849" xr:uid="{00000000-0005-0000-0000-000020290000}"/>
    <cellStyle name="Calculation 29 5" xfId="7652" xr:uid="{00000000-0005-0000-0000-000021290000}"/>
    <cellStyle name="Calculation 29 5 2" xfId="16850" xr:uid="{00000000-0005-0000-0000-000022290000}"/>
    <cellStyle name="Calculation 29 6" xfId="7653" xr:uid="{00000000-0005-0000-0000-000023290000}"/>
    <cellStyle name="Calculation 29 6 2" xfId="16851" xr:uid="{00000000-0005-0000-0000-000024290000}"/>
    <cellStyle name="Calculation 29 7" xfId="7654" xr:uid="{00000000-0005-0000-0000-000025290000}"/>
    <cellStyle name="Calculation 29 7 2" xfId="16852" xr:uid="{00000000-0005-0000-0000-000026290000}"/>
    <cellStyle name="Calculation 29 8" xfId="7655" xr:uid="{00000000-0005-0000-0000-000027290000}"/>
    <cellStyle name="Calculation 29 8 2" xfId="16853" xr:uid="{00000000-0005-0000-0000-000028290000}"/>
    <cellStyle name="Calculation 29 9" xfId="7656" xr:uid="{00000000-0005-0000-0000-000029290000}"/>
    <cellStyle name="Calculation 29 9 2" xfId="16854" xr:uid="{00000000-0005-0000-0000-00002A290000}"/>
    <cellStyle name="Calculation 3" xfId="7657" xr:uid="{00000000-0005-0000-0000-00002B290000}"/>
    <cellStyle name="Calculation 3 10" xfId="7658" xr:uid="{00000000-0005-0000-0000-00002C290000}"/>
    <cellStyle name="Calculation 3 10 2" xfId="16855" xr:uid="{00000000-0005-0000-0000-00002D290000}"/>
    <cellStyle name="Calculation 3 11" xfId="7659" xr:uid="{00000000-0005-0000-0000-00002E290000}"/>
    <cellStyle name="Calculation 3 11 2" xfId="16856" xr:uid="{00000000-0005-0000-0000-00002F290000}"/>
    <cellStyle name="Calculation 3 12" xfId="22038" xr:uid="{00000000-0005-0000-0000-000030290000}"/>
    <cellStyle name="Calculation 3 13" xfId="23324" xr:uid="{00000000-0005-0000-0000-000031290000}"/>
    <cellStyle name="Calculation 3 2" xfId="7660" xr:uid="{00000000-0005-0000-0000-000032290000}"/>
    <cellStyle name="Calculation 3 2 2" xfId="7661" xr:uid="{00000000-0005-0000-0000-000033290000}"/>
    <cellStyle name="Calculation 3 2 2 2" xfId="16857" xr:uid="{00000000-0005-0000-0000-000034290000}"/>
    <cellStyle name="Calculation 3 2 2 2 2" xfId="23057" xr:uid="{00000000-0005-0000-0000-000035290000}"/>
    <cellStyle name="Calculation 3 2 2 2 2 2" xfId="26607" xr:uid="{00000000-0005-0000-0000-0000A2000000}"/>
    <cellStyle name="Calculation 3 2 2 2 2 3" xfId="27126" xr:uid="{00000000-0005-0000-0000-0000A2000000}"/>
    <cellStyle name="Calculation 3 2 2 2 2 4" xfId="24352" xr:uid="{00000000-0005-0000-0000-0000A2000000}"/>
    <cellStyle name="Calculation 3 2 2 2 3" xfId="23469" xr:uid="{00000000-0005-0000-0000-000036290000}"/>
    <cellStyle name="Calculation 3 2 2 2 3 2" xfId="25471" xr:uid="{00000000-0005-0000-0000-0000A2000000}"/>
    <cellStyle name="Calculation 3 2 2 2 4" xfId="26967" xr:uid="{00000000-0005-0000-0000-0000A2000000}"/>
    <cellStyle name="Calculation 3 2 2 3" xfId="23225" xr:uid="{00000000-0005-0000-0000-000037290000}"/>
    <cellStyle name="Calculation 3 2 2 3 2" xfId="23529" xr:uid="{00000000-0005-0000-0000-000038290000}"/>
    <cellStyle name="Calculation 3 2 2 3 2 2" xfId="25637" xr:uid="{00000000-0005-0000-0000-0000A3000000}"/>
    <cellStyle name="Calculation 3 2 2 3 3" xfId="27027" xr:uid="{00000000-0005-0000-0000-0000A3000000}"/>
    <cellStyle name="Calculation 3 2 2 4" xfId="22531" xr:uid="{00000000-0005-0000-0000-000039290000}"/>
    <cellStyle name="Calculation 3 2 2 4 2" xfId="24949" xr:uid="{00000000-0005-0000-0000-0000A1000000}"/>
    <cellStyle name="Calculation 3 2 2 5" xfId="23389" xr:uid="{00000000-0005-0000-0000-00003A290000}"/>
    <cellStyle name="Calculation 3 2 2 5 2" xfId="26887" xr:uid="{00000000-0005-0000-0000-0000A1000000}"/>
    <cellStyle name="Calculation 3 2 3" xfId="22793" xr:uid="{00000000-0005-0000-0000-00003B290000}"/>
    <cellStyle name="Calculation 3 2 3 2" xfId="23429" xr:uid="{00000000-0005-0000-0000-00003C290000}"/>
    <cellStyle name="Calculation 3 2 3 2 2" xfId="26342" xr:uid="{00000000-0005-0000-0000-0000A4000000}"/>
    <cellStyle name="Calculation 3 2 3 2 3" xfId="27086" xr:uid="{00000000-0005-0000-0000-0000A4000000}"/>
    <cellStyle name="Calculation 3 2 3 3" xfId="25213" xr:uid="{00000000-0005-0000-0000-0000A4000000}"/>
    <cellStyle name="Calculation 3 2 3 4" xfId="26927" xr:uid="{00000000-0005-0000-0000-0000A4000000}"/>
    <cellStyle name="Calculation 3 2 4" xfId="23186" xr:uid="{00000000-0005-0000-0000-00003D290000}"/>
    <cellStyle name="Calculation 3 2 4 2" xfId="23489" xr:uid="{00000000-0005-0000-0000-00003E290000}"/>
    <cellStyle name="Calculation 3 2 4 2 2" xfId="25598" xr:uid="{00000000-0005-0000-0000-0000A5000000}"/>
    <cellStyle name="Calculation 3 2 4 3" xfId="26987" xr:uid="{00000000-0005-0000-0000-0000A5000000}"/>
    <cellStyle name="Calculation 3 2 5" xfId="22273" xr:uid="{00000000-0005-0000-0000-00003F290000}"/>
    <cellStyle name="Calculation 3 2 5 2" xfId="24689" xr:uid="{00000000-0005-0000-0000-0000A0000000}"/>
    <cellStyle name="Calculation 3 2 6" xfId="23349" xr:uid="{00000000-0005-0000-0000-000040290000}"/>
    <cellStyle name="Calculation 3 2 6 2" xfId="26847" xr:uid="{00000000-0005-0000-0000-0000A0000000}"/>
    <cellStyle name="Calculation 3 3" xfId="7662" xr:uid="{00000000-0005-0000-0000-000041290000}"/>
    <cellStyle name="Calculation 3 3 2" xfId="7663" xr:uid="{00000000-0005-0000-0000-000042290000}"/>
    <cellStyle name="Calculation 3 3 2 2" xfId="16858" xr:uid="{00000000-0005-0000-0000-000043290000}"/>
    <cellStyle name="Calculation 3 3 2 2 2" xfId="26471" xr:uid="{00000000-0005-0000-0000-0000A7000000}"/>
    <cellStyle name="Calculation 3 3 2 2 3" xfId="27102" xr:uid="{00000000-0005-0000-0000-0000A7000000}"/>
    <cellStyle name="Calculation 3 3 2 2 4" xfId="24221" xr:uid="{00000000-0005-0000-0000-0000A7000000}"/>
    <cellStyle name="Calculation 3 3 2 3" xfId="22922" xr:uid="{00000000-0005-0000-0000-000044290000}"/>
    <cellStyle name="Calculation 3 3 2 3 2" xfId="25340" xr:uid="{00000000-0005-0000-0000-0000A7000000}"/>
    <cellStyle name="Calculation 3 3 2 4" xfId="23445" xr:uid="{00000000-0005-0000-0000-000045290000}"/>
    <cellStyle name="Calculation 3 3 2 4 2" xfId="26943" xr:uid="{00000000-0005-0000-0000-0000A7000000}"/>
    <cellStyle name="Calculation 3 3 3" xfId="23201" xr:uid="{00000000-0005-0000-0000-000046290000}"/>
    <cellStyle name="Calculation 3 3 3 2" xfId="23505" xr:uid="{00000000-0005-0000-0000-000047290000}"/>
    <cellStyle name="Calculation 3 3 3 2 2" xfId="25613" xr:uid="{00000000-0005-0000-0000-0000A8000000}"/>
    <cellStyle name="Calculation 3 3 3 3" xfId="27003" xr:uid="{00000000-0005-0000-0000-0000A8000000}"/>
    <cellStyle name="Calculation 3 3 4" xfId="22399" xr:uid="{00000000-0005-0000-0000-000048290000}"/>
    <cellStyle name="Calculation 3 3 4 2" xfId="24816" xr:uid="{00000000-0005-0000-0000-0000A6000000}"/>
    <cellStyle name="Calculation 3 3 5" xfId="23365" xr:uid="{00000000-0005-0000-0000-000049290000}"/>
    <cellStyle name="Calculation 3 3 5 2" xfId="26863" xr:uid="{00000000-0005-0000-0000-0000A6000000}"/>
    <cellStyle name="Calculation 3 4" xfId="7664" xr:uid="{00000000-0005-0000-0000-00004A290000}"/>
    <cellStyle name="Calculation 3 4 2" xfId="7665" xr:uid="{00000000-0005-0000-0000-00004B290000}"/>
    <cellStyle name="Calculation 3 4 2 2" xfId="26206" xr:uid="{00000000-0005-0000-0000-0000A9000000}"/>
    <cellStyle name="Calculation 3 4 2 3" xfId="27062" xr:uid="{00000000-0005-0000-0000-0000A9000000}"/>
    <cellStyle name="Calculation 3 4 2 4" xfId="23970" xr:uid="{00000000-0005-0000-0000-0000A9000000}"/>
    <cellStyle name="Calculation 3 4 3" xfId="16859" xr:uid="{00000000-0005-0000-0000-00004C290000}"/>
    <cellStyle name="Calculation 3 4 3 2" xfId="25078" xr:uid="{00000000-0005-0000-0000-0000A9000000}"/>
    <cellStyle name="Calculation 3 4 4" xfId="22661" xr:uid="{00000000-0005-0000-0000-00004D290000}"/>
    <cellStyle name="Calculation 3 4 4 2" xfId="26903" xr:uid="{00000000-0005-0000-0000-0000A9000000}"/>
    <cellStyle name="Calculation 3 4 5" xfId="23405" xr:uid="{00000000-0005-0000-0000-00004E290000}"/>
    <cellStyle name="Calculation 3 5" xfId="7666" xr:uid="{00000000-0005-0000-0000-00004F290000}"/>
    <cellStyle name="Calculation 3 5 2" xfId="16860" xr:uid="{00000000-0005-0000-0000-000050290000}"/>
    <cellStyle name="Calculation 3 5 3" xfId="24552" xr:uid="{00000000-0005-0000-0000-00009F000000}"/>
    <cellStyle name="Calculation 3 6" xfId="7667" xr:uid="{00000000-0005-0000-0000-000051290000}"/>
    <cellStyle name="Calculation 3 6 2" xfId="16861" xr:uid="{00000000-0005-0000-0000-000052290000}"/>
    <cellStyle name="Calculation 3 6 3" xfId="24569" xr:uid="{00000000-0005-0000-0000-00009F000000}"/>
    <cellStyle name="Calculation 3 7" xfId="7668" xr:uid="{00000000-0005-0000-0000-000053290000}"/>
    <cellStyle name="Calculation 3 7 2" xfId="16862" xr:uid="{00000000-0005-0000-0000-000054290000}"/>
    <cellStyle name="Calculation 3 8" xfId="7669" xr:uid="{00000000-0005-0000-0000-000055290000}"/>
    <cellStyle name="Calculation 3 8 2" xfId="16863" xr:uid="{00000000-0005-0000-0000-000056290000}"/>
    <cellStyle name="Calculation 3 9" xfId="7670" xr:uid="{00000000-0005-0000-0000-000057290000}"/>
    <cellStyle name="Calculation 3 9 2" xfId="16864" xr:uid="{00000000-0005-0000-0000-000058290000}"/>
    <cellStyle name="Calculation 30" xfId="7671" xr:uid="{00000000-0005-0000-0000-000059290000}"/>
    <cellStyle name="Calculation 30 2" xfId="7672" xr:uid="{00000000-0005-0000-0000-00005A290000}"/>
    <cellStyle name="Calculation 30 2 2" xfId="16865" xr:uid="{00000000-0005-0000-0000-00005B290000}"/>
    <cellStyle name="Calculation 31" xfId="7673" xr:uid="{00000000-0005-0000-0000-00005C290000}"/>
    <cellStyle name="Calculation 31 2" xfId="7674" xr:uid="{00000000-0005-0000-0000-00005D290000}"/>
    <cellStyle name="Calculation 31 2 2" xfId="16866" xr:uid="{00000000-0005-0000-0000-00005E290000}"/>
    <cellStyle name="Calculation 32" xfId="7675" xr:uid="{00000000-0005-0000-0000-00005F290000}"/>
    <cellStyle name="Calculation 32 2" xfId="7676" xr:uid="{00000000-0005-0000-0000-000060290000}"/>
    <cellStyle name="Calculation 32 2 2" xfId="16867" xr:uid="{00000000-0005-0000-0000-000061290000}"/>
    <cellStyle name="Calculation 33" xfId="7677" xr:uid="{00000000-0005-0000-0000-000062290000}"/>
    <cellStyle name="Calculation 33 2" xfId="7678" xr:uid="{00000000-0005-0000-0000-000063290000}"/>
    <cellStyle name="Calculation 33 2 2" xfId="16868" xr:uid="{00000000-0005-0000-0000-000064290000}"/>
    <cellStyle name="Calculation 34" xfId="7679" xr:uid="{00000000-0005-0000-0000-000065290000}"/>
    <cellStyle name="Calculation 34 2" xfId="7680" xr:uid="{00000000-0005-0000-0000-000066290000}"/>
    <cellStyle name="Calculation 34 2 2" xfId="16869" xr:uid="{00000000-0005-0000-0000-000067290000}"/>
    <cellStyle name="Calculation 35" xfId="7681" xr:uid="{00000000-0005-0000-0000-000068290000}"/>
    <cellStyle name="Calculation 35 2" xfId="7682" xr:uid="{00000000-0005-0000-0000-000069290000}"/>
    <cellStyle name="Calculation 35 2 2" xfId="16870" xr:uid="{00000000-0005-0000-0000-00006A290000}"/>
    <cellStyle name="Calculation 36" xfId="7683" xr:uid="{00000000-0005-0000-0000-00006B290000}"/>
    <cellStyle name="Calculation 37" xfId="7684" xr:uid="{00000000-0005-0000-0000-00006C290000}"/>
    <cellStyle name="Calculation 38" xfId="7685" xr:uid="{00000000-0005-0000-0000-00006D290000}"/>
    <cellStyle name="Calculation 39" xfId="7686" xr:uid="{00000000-0005-0000-0000-00006E290000}"/>
    <cellStyle name="Calculation 4" xfId="7687" xr:uid="{00000000-0005-0000-0000-00006F290000}"/>
    <cellStyle name="Calculation 4 10" xfId="7688" xr:uid="{00000000-0005-0000-0000-000070290000}"/>
    <cellStyle name="Calculation 4 10 2" xfId="16871" xr:uid="{00000000-0005-0000-0000-000071290000}"/>
    <cellStyle name="Calculation 4 11" xfId="7689" xr:uid="{00000000-0005-0000-0000-000072290000}"/>
    <cellStyle name="Calculation 4 11 2" xfId="16872" xr:uid="{00000000-0005-0000-0000-000073290000}"/>
    <cellStyle name="Calculation 4 12" xfId="22039" xr:uid="{00000000-0005-0000-0000-000074290000}"/>
    <cellStyle name="Calculation 4 13" xfId="23325" xr:uid="{00000000-0005-0000-0000-000075290000}"/>
    <cellStyle name="Calculation 4 2" xfId="7690" xr:uid="{00000000-0005-0000-0000-000076290000}"/>
    <cellStyle name="Calculation 4 2 2" xfId="7691" xr:uid="{00000000-0005-0000-0000-000077290000}"/>
    <cellStyle name="Calculation 4 2 2 2" xfId="16873" xr:uid="{00000000-0005-0000-0000-000078290000}"/>
    <cellStyle name="Calculation 4 2 2 2 2" xfId="23178" xr:uid="{00000000-0005-0000-0000-000079290000}"/>
    <cellStyle name="Calculation 4 2 2 2 2 2" xfId="26728" xr:uid="{00000000-0005-0000-0000-0000AD000000}"/>
    <cellStyle name="Calculation 4 2 2 2 2 3" xfId="27138" xr:uid="{00000000-0005-0000-0000-0000AD000000}"/>
    <cellStyle name="Calculation 4 2 2 2 2 4" xfId="24470" xr:uid="{00000000-0005-0000-0000-0000AD000000}"/>
    <cellStyle name="Calculation 4 2 2 2 3" xfId="23481" xr:uid="{00000000-0005-0000-0000-00007A290000}"/>
    <cellStyle name="Calculation 4 2 2 2 3 2" xfId="25592" xr:uid="{00000000-0005-0000-0000-0000AD000000}"/>
    <cellStyle name="Calculation 4 2 2 2 4" xfId="26979" xr:uid="{00000000-0005-0000-0000-0000AD000000}"/>
    <cellStyle name="Calculation 4 2 2 3" xfId="23237" xr:uid="{00000000-0005-0000-0000-00007B290000}"/>
    <cellStyle name="Calculation 4 2 2 3 2" xfId="23541" xr:uid="{00000000-0005-0000-0000-00007C290000}"/>
    <cellStyle name="Calculation 4 2 2 3 2 2" xfId="25649" xr:uid="{00000000-0005-0000-0000-0000AE000000}"/>
    <cellStyle name="Calculation 4 2 2 3 3" xfId="27039" xr:uid="{00000000-0005-0000-0000-0000AE000000}"/>
    <cellStyle name="Calculation 4 2 2 4" xfId="22652" xr:uid="{00000000-0005-0000-0000-00007D290000}"/>
    <cellStyle name="Calculation 4 2 2 4 2" xfId="25070" xr:uid="{00000000-0005-0000-0000-0000AC000000}"/>
    <cellStyle name="Calculation 4 2 2 5" xfId="23401" xr:uid="{00000000-0005-0000-0000-00007E290000}"/>
    <cellStyle name="Calculation 4 2 2 5 2" xfId="26899" xr:uid="{00000000-0005-0000-0000-0000AC000000}"/>
    <cellStyle name="Calculation 4 2 3" xfId="22914" xr:uid="{00000000-0005-0000-0000-00007F290000}"/>
    <cellStyle name="Calculation 4 2 3 2" xfId="23441" xr:uid="{00000000-0005-0000-0000-000080290000}"/>
    <cellStyle name="Calculation 4 2 3 2 2" xfId="26463" xr:uid="{00000000-0005-0000-0000-0000AF000000}"/>
    <cellStyle name="Calculation 4 2 3 2 3" xfId="27098" xr:uid="{00000000-0005-0000-0000-0000AF000000}"/>
    <cellStyle name="Calculation 4 2 3 3" xfId="25333" xr:uid="{00000000-0005-0000-0000-0000AF000000}"/>
    <cellStyle name="Calculation 4 2 3 4" xfId="26939" xr:uid="{00000000-0005-0000-0000-0000AF000000}"/>
    <cellStyle name="Calculation 4 2 4" xfId="23198" xr:uid="{00000000-0005-0000-0000-000081290000}"/>
    <cellStyle name="Calculation 4 2 4 2" xfId="23501" xr:uid="{00000000-0005-0000-0000-000082290000}"/>
    <cellStyle name="Calculation 4 2 4 2 2" xfId="25610" xr:uid="{00000000-0005-0000-0000-0000B0000000}"/>
    <cellStyle name="Calculation 4 2 4 3" xfId="26999" xr:uid="{00000000-0005-0000-0000-0000B0000000}"/>
    <cellStyle name="Calculation 4 2 5" xfId="22392" xr:uid="{00000000-0005-0000-0000-000083290000}"/>
    <cellStyle name="Calculation 4 2 5 2" xfId="24809" xr:uid="{00000000-0005-0000-0000-0000AB000000}"/>
    <cellStyle name="Calculation 4 2 6" xfId="23361" xr:uid="{00000000-0005-0000-0000-000084290000}"/>
    <cellStyle name="Calculation 4 2 6 2" xfId="26859" xr:uid="{00000000-0005-0000-0000-0000AB000000}"/>
    <cellStyle name="Calculation 4 3" xfId="7692" xr:uid="{00000000-0005-0000-0000-000085290000}"/>
    <cellStyle name="Calculation 4 3 2" xfId="7693" xr:uid="{00000000-0005-0000-0000-000086290000}"/>
    <cellStyle name="Calculation 4 3 2 2" xfId="16874" xr:uid="{00000000-0005-0000-0000-000087290000}"/>
    <cellStyle name="Calculation 4 3 2 2 2" xfId="26472" xr:uid="{00000000-0005-0000-0000-0000B2000000}"/>
    <cellStyle name="Calculation 4 3 2 2 3" xfId="27103" xr:uid="{00000000-0005-0000-0000-0000B2000000}"/>
    <cellStyle name="Calculation 4 3 2 2 4" xfId="24222" xr:uid="{00000000-0005-0000-0000-0000B2000000}"/>
    <cellStyle name="Calculation 4 3 2 3" xfId="22923" xr:uid="{00000000-0005-0000-0000-000088290000}"/>
    <cellStyle name="Calculation 4 3 2 3 2" xfId="25341" xr:uid="{00000000-0005-0000-0000-0000B2000000}"/>
    <cellStyle name="Calculation 4 3 2 4" xfId="23446" xr:uid="{00000000-0005-0000-0000-000089290000}"/>
    <cellStyle name="Calculation 4 3 2 4 2" xfId="26944" xr:uid="{00000000-0005-0000-0000-0000B2000000}"/>
    <cellStyle name="Calculation 4 3 3" xfId="23202" xr:uid="{00000000-0005-0000-0000-00008A290000}"/>
    <cellStyle name="Calculation 4 3 3 2" xfId="23506" xr:uid="{00000000-0005-0000-0000-00008B290000}"/>
    <cellStyle name="Calculation 4 3 3 2 2" xfId="25614" xr:uid="{00000000-0005-0000-0000-0000B3000000}"/>
    <cellStyle name="Calculation 4 3 3 3" xfId="27004" xr:uid="{00000000-0005-0000-0000-0000B3000000}"/>
    <cellStyle name="Calculation 4 3 4" xfId="22400" xr:uid="{00000000-0005-0000-0000-00008C290000}"/>
    <cellStyle name="Calculation 4 3 4 2" xfId="24817" xr:uid="{00000000-0005-0000-0000-0000B1000000}"/>
    <cellStyle name="Calculation 4 3 5" xfId="23366" xr:uid="{00000000-0005-0000-0000-00008D290000}"/>
    <cellStyle name="Calculation 4 3 5 2" xfId="26864" xr:uid="{00000000-0005-0000-0000-0000B1000000}"/>
    <cellStyle name="Calculation 4 4" xfId="7694" xr:uid="{00000000-0005-0000-0000-00008E290000}"/>
    <cellStyle name="Calculation 4 4 2" xfId="7695" xr:uid="{00000000-0005-0000-0000-00008F290000}"/>
    <cellStyle name="Calculation 4 4 2 2" xfId="26207" xr:uid="{00000000-0005-0000-0000-0000B4000000}"/>
    <cellStyle name="Calculation 4 4 2 3" xfId="27063" xr:uid="{00000000-0005-0000-0000-0000B4000000}"/>
    <cellStyle name="Calculation 4 4 2 4" xfId="23971" xr:uid="{00000000-0005-0000-0000-0000B4000000}"/>
    <cellStyle name="Calculation 4 4 3" xfId="16875" xr:uid="{00000000-0005-0000-0000-000090290000}"/>
    <cellStyle name="Calculation 4 4 3 2" xfId="25079" xr:uid="{00000000-0005-0000-0000-0000B4000000}"/>
    <cellStyle name="Calculation 4 4 4" xfId="22662" xr:uid="{00000000-0005-0000-0000-000091290000}"/>
    <cellStyle name="Calculation 4 4 4 2" xfId="26904" xr:uid="{00000000-0005-0000-0000-0000B4000000}"/>
    <cellStyle name="Calculation 4 4 5" xfId="23406" xr:uid="{00000000-0005-0000-0000-000092290000}"/>
    <cellStyle name="Calculation 4 5" xfId="7696" xr:uid="{00000000-0005-0000-0000-000093290000}"/>
    <cellStyle name="Calculation 4 5 2" xfId="16876" xr:uid="{00000000-0005-0000-0000-000094290000}"/>
    <cellStyle name="Calculation 4 5 3" xfId="24553" xr:uid="{00000000-0005-0000-0000-0000AA000000}"/>
    <cellStyle name="Calculation 4 6" xfId="7697" xr:uid="{00000000-0005-0000-0000-000095290000}"/>
    <cellStyle name="Calculation 4 6 2" xfId="16877" xr:uid="{00000000-0005-0000-0000-000096290000}"/>
    <cellStyle name="Calculation 4 6 3" xfId="24567" xr:uid="{00000000-0005-0000-0000-0000AA000000}"/>
    <cellStyle name="Calculation 4 7" xfId="7698" xr:uid="{00000000-0005-0000-0000-000097290000}"/>
    <cellStyle name="Calculation 4 7 2" xfId="16878" xr:uid="{00000000-0005-0000-0000-000098290000}"/>
    <cellStyle name="Calculation 4 8" xfId="7699" xr:uid="{00000000-0005-0000-0000-000099290000}"/>
    <cellStyle name="Calculation 4 8 2" xfId="16879" xr:uid="{00000000-0005-0000-0000-00009A290000}"/>
    <cellStyle name="Calculation 4 9" xfId="7700" xr:uid="{00000000-0005-0000-0000-00009B290000}"/>
    <cellStyle name="Calculation 4 9 2" xfId="16880" xr:uid="{00000000-0005-0000-0000-00009C290000}"/>
    <cellStyle name="Calculation 40" xfId="21716" xr:uid="{00000000-0005-0000-0000-00009D290000}"/>
    <cellStyle name="Calculation 5" xfId="7701" xr:uid="{00000000-0005-0000-0000-00009E290000}"/>
    <cellStyle name="Calculation 5 10" xfId="7702" xr:uid="{00000000-0005-0000-0000-00009F290000}"/>
    <cellStyle name="Calculation 5 10 2" xfId="16881" xr:uid="{00000000-0005-0000-0000-0000A0290000}"/>
    <cellStyle name="Calculation 5 11" xfId="7703" xr:uid="{00000000-0005-0000-0000-0000A1290000}"/>
    <cellStyle name="Calculation 5 11 2" xfId="16882" xr:uid="{00000000-0005-0000-0000-0000A2290000}"/>
    <cellStyle name="Calculation 5 12" xfId="22040" xr:uid="{00000000-0005-0000-0000-0000A3290000}"/>
    <cellStyle name="Calculation 5 13" xfId="23326" xr:uid="{00000000-0005-0000-0000-0000A4290000}"/>
    <cellStyle name="Calculation 5 2" xfId="7704" xr:uid="{00000000-0005-0000-0000-0000A5290000}"/>
    <cellStyle name="Calculation 5 2 2" xfId="7705" xr:uid="{00000000-0005-0000-0000-0000A6290000}"/>
    <cellStyle name="Calculation 5 2 2 2" xfId="16883" xr:uid="{00000000-0005-0000-0000-0000A7290000}"/>
    <cellStyle name="Calculation 5 2 2 2 2" xfId="23056" xr:uid="{00000000-0005-0000-0000-0000A8290000}"/>
    <cellStyle name="Calculation 5 2 2 2 2 2" xfId="26606" xr:uid="{00000000-0005-0000-0000-0000B8000000}"/>
    <cellStyle name="Calculation 5 2 2 2 2 3" xfId="27125" xr:uid="{00000000-0005-0000-0000-0000B8000000}"/>
    <cellStyle name="Calculation 5 2 2 2 2 4" xfId="24351" xr:uid="{00000000-0005-0000-0000-0000B8000000}"/>
    <cellStyle name="Calculation 5 2 2 2 3" xfId="23468" xr:uid="{00000000-0005-0000-0000-0000A9290000}"/>
    <cellStyle name="Calculation 5 2 2 2 3 2" xfId="25470" xr:uid="{00000000-0005-0000-0000-0000B8000000}"/>
    <cellStyle name="Calculation 5 2 2 2 4" xfId="26966" xr:uid="{00000000-0005-0000-0000-0000B8000000}"/>
    <cellStyle name="Calculation 5 2 2 3" xfId="23224" xr:uid="{00000000-0005-0000-0000-0000AA290000}"/>
    <cellStyle name="Calculation 5 2 2 3 2" xfId="23528" xr:uid="{00000000-0005-0000-0000-0000AB290000}"/>
    <cellStyle name="Calculation 5 2 2 3 2 2" xfId="25636" xr:uid="{00000000-0005-0000-0000-0000B9000000}"/>
    <cellStyle name="Calculation 5 2 2 3 3" xfId="27026" xr:uid="{00000000-0005-0000-0000-0000B9000000}"/>
    <cellStyle name="Calculation 5 2 2 4" xfId="22530" xr:uid="{00000000-0005-0000-0000-0000AC290000}"/>
    <cellStyle name="Calculation 5 2 2 4 2" xfId="24948" xr:uid="{00000000-0005-0000-0000-0000B7000000}"/>
    <cellStyle name="Calculation 5 2 2 5" xfId="23388" xr:uid="{00000000-0005-0000-0000-0000AD290000}"/>
    <cellStyle name="Calculation 5 2 2 5 2" xfId="26886" xr:uid="{00000000-0005-0000-0000-0000B7000000}"/>
    <cellStyle name="Calculation 5 2 3" xfId="22792" xr:uid="{00000000-0005-0000-0000-0000AE290000}"/>
    <cellStyle name="Calculation 5 2 3 2" xfId="23428" xr:uid="{00000000-0005-0000-0000-0000AF290000}"/>
    <cellStyle name="Calculation 5 2 3 2 2" xfId="26341" xr:uid="{00000000-0005-0000-0000-0000BA000000}"/>
    <cellStyle name="Calculation 5 2 3 2 3" xfId="27085" xr:uid="{00000000-0005-0000-0000-0000BA000000}"/>
    <cellStyle name="Calculation 5 2 3 3" xfId="25212" xr:uid="{00000000-0005-0000-0000-0000BA000000}"/>
    <cellStyle name="Calculation 5 2 3 4" xfId="26926" xr:uid="{00000000-0005-0000-0000-0000BA000000}"/>
    <cellStyle name="Calculation 5 2 4" xfId="23185" xr:uid="{00000000-0005-0000-0000-0000B0290000}"/>
    <cellStyle name="Calculation 5 2 4 2" xfId="23488" xr:uid="{00000000-0005-0000-0000-0000B1290000}"/>
    <cellStyle name="Calculation 5 2 4 2 2" xfId="25597" xr:uid="{00000000-0005-0000-0000-0000BB000000}"/>
    <cellStyle name="Calculation 5 2 4 3" xfId="26986" xr:uid="{00000000-0005-0000-0000-0000BB000000}"/>
    <cellStyle name="Calculation 5 2 5" xfId="22272" xr:uid="{00000000-0005-0000-0000-0000B2290000}"/>
    <cellStyle name="Calculation 5 2 5 2" xfId="24688" xr:uid="{00000000-0005-0000-0000-0000B6000000}"/>
    <cellStyle name="Calculation 5 2 6" xfId="23348" xr:uid="{00000000-0005-0000-0000-0000B3290000}"/>
    <cellStyle name="Calculation 5 2 6 2" xfId="26846" xr:uid="{00000000-0005-0000-0000-0000B6000000}"/>
    <cellStyle name="Calculation 5 3" xfId="7706" xr:uid="{00000000-0005-0000-0000-0000B4290000}"/>
    <cellStyle name="Calculation 5 3 2" xfId="7707" xr:uid="{00000000-0005-0000-0000-0000B5290000}"/>
    <cellStyle name="Calculation 5 3 2 2" xfId="16884" xr:uid="{00000000-0005-0000-0000-0000B6290000}"/>
    <cellStyle name="Calculation 5 3 2 2 2" xfId="26473" xr:uid="{00000000-0005-0000-0000-0000BD000000}"/>
    <cellStyle name="Calculation 5 3 2 2 3" xfId="27104" xr:uid="{00000000-0005-0000-0000-0000BD000000}"/>
    <cellStyle name="Calculation 5 3 2 2 4" xfId="24223" xr:uid="{00000000-0005-0000-0000-0000BD000000}"/>
    <cellStyle name="Calculation 5 3 2 3" xfId="22924" xr:uid="{00000000-0005-0000-0000-0000B7290000}"/>
    <cellStyle name="Calculation 5 3 2 3 2" xfId="25342" xr:uid="{00000000-0005-0000-0000-0000BD000000}"/>
    <cellStyle name="Calculation 5 3 2 4" xfId="23447" xr:uid="{00000000-0005-0000-0000-0000B8290000}"/>
    <cellStyle name="Calculation 5 3 2 4 2" xfId="26945" xr:uid="{00000000-0005-0000-0000-0000BD000000}"/>
    <cellStyle name="Calculation 5 3 3" xfId="23203" xr:uid="{00000000-0005-0000-0000-0000B9290000}"/>
    <cellStyle name="Calculation 5 3 3 2" xfId="23507" xr:uid="{00000000-0005-0000-0000-0000BA290000}"/>
    <cellStyle name="Calculation 5 3 3 2 2" xfId="25615" xr:uid="{00000000-0005-0000-0000-0000BE000000}"/>
    <cellStyle name="Calculation 5 3 3 3" xfId="27005" xr:uid="{00000000-0005-0000-0000-0000BE000000}"/>
    <cellStyle name="Calculation 5 3 4" xfId="22401" xr:uid="{00000000-0005-0000-0000-0000BB290000}"/>
    <cellStyle name="Calculation 5 3 4 2" xfId="24818" xr:uid="{00000000-0005-0000-0000-0000BC000000}"/>
    <cellStyle name="Calculation 5 3 5" xfId="23367" xr:uid="{00000000-0005-0000-0000-0000BC290000}"/>
    <cellStyle name="Calculation 5 3 5 2" xfId="26865" xr:uid="{00000000-0005-0000-0000-0000BC000000}"/>
    <cellStyle name="Calculation 5 4" xfId="7708" xr:uid="{00000000-0005-0000-0000-0000BD290000}"/>
    <cellStyle name="Calculation 5 4 2" xfId="7709" xr:uid="{00000000-0005-0000-0000-0000BE290000}"/>
    <cellStyle name="Calculation 5 4 2 2" xfId="26208" xr:uid="{00000000-0005-0000-0000-0000BF000000}"/>
    <cellStyle name="Calculation 5 4 2 3" xfId="27064" xr:uid="{00000000-0005-0000-0000-0000BF000000}"/>
    <cellStyle name="Calculation 5 4 2 4" xfId="23972" xr:uid="{00000000-0005-0000-0000-0000BF000000}"/>
    <cellStyle name="Calculation 5 4 3" xfId="16885" xr:uid="{00000000-0005-0000-0000-0000BF290000}"/>
    <cellStyle name="Calculation 5 4 3 2" xfId="25080" xr:uid="{00000000-0005-0000-0000-0000BF000000}"/>
    <cellStyle name="Calculation 5 4 4" xfId="22663" xr:uid="{00000000-0005-0000-0000-0000C0290000}"/>
    <cellStyle name="Calculation 5 4 4 2" xfId="26905" xr:uid="{00000000-0005-0000-0000-0000BF000000}"/>
    <cellStyle name="Calculation 5 4 5" xfId="23407" xr:uid="{00000000-0005-0000-0000-0000C1290000}"/>
    <cellStyle name="Calculation 5 5" xfId="7710" xr:uid="{00000000-0005-0000-0000-0000C2290000}"/>
    <cellStyle name="Calculation 5 5 2" xfId="16886" xr:uid="{00000000-0005-0000-0000-0000C3290000}"/>
    <cellStyle name="Calculation 5 5 3" xfId="24554" xr:uid="{00000000-0005-0000-0000-0000B5000000}"/>
    <cellStyle name="Calculation 5 6" xfId="7711" xr:uid="{00000000-0005-0000-0000-0000C4290000}"/>
    <cellStyle name="Calculation 5 6 2" xfId="16887" xr:uid="{00000000-0005-0000-0000-0000C5290000}"/>
    <cellStyle name="Calculation 5 6 3" xfId="25708" xr:uid="{00000000-0005-0000-0000-0000B5000000}"/>
    <cellStyle name="Calculation 5 7" xfId="7712" xr:uid="{00000000-0005-0000-0000-0000C6290000}"/>
    <cellStyle name="Calculation 5 7 2" xfId="16888" xr:uid="{00000000-0005-0000-0000-0000C7290000}"/>
    <cellStyle name="Calculation 5 8" xfId="7713" xr:uid="{00000000-0005-0000-0000-0000C8290000}"/>
    <cellStyle name="Calculation 5 8 2" xfId="16889" xr:uid="{00000000-0005-0000-0000-0000C9290000}"/>
    <cellStyle name="Calculation 5 9" xfId="7714" xr:uid="{00000000-0005-0000-0000-0000CA290000}"/>
    <cellStyle name="Calculation 5 9 2" xfId="16890" xr:uid="{00000000-0005-0000-0000-0000CB290000}"/>
    <cellStyle name="Calculation 6" xfId="7715" xr:uid="{00000000-0005-0000-0000-0000CC290000}"/>
    <cellStyle name="Calculation 6 10" xfId="7716" xr:uid="{00000000-0005-0000-0000-0000CD290000}"/>
    <cellStyle name="Calculation 6 10 2" xfId="16891" xr:uid="{00000000-0005-0000-0000-0000CE290000}"/>
    <cellStyle name="Calculation 6 11" xfId="7717" xr:uid="{00000000-0005-0000-0000-0000CF290000}"/>
    <cellStyle name="Calculation 6 11 2" xfId="16892" xr:uid="{00000000-0005-0000-0000-0000D0290000}"/>
    <cellStyle name="Calculation 6 2" xfId="7718" xr:uid="{00000000-0005-0000-0000-0000D1290000}"/>
    <cellStyle name="Calculation 6 2 2" xfId="7719" xr:uid="{00000000-0005-0000-0000-0000D2290000}"/>
    <cellStyle name="Calculation 6 2 2 2" xfId="16893" xr:uid="{00000000-0005-0000-0000-0000D3290000}"/>
    <cellStyle name="Calculation 6 3" xfId="7720" xr:uid="{00000000-0005-0000-0000-0000D4290000}"/>
    <cellStyle name="Calculation 6 3 2" xfId="7721" xr:uid="{00000000-0005-0000-0000-0000D5290000}"/>
    <cellStyle name="Calculation 6 3 2 2" xfId="16894" xr:uid="{00000000-0005-0000-0000-0000D6290000}"/>
    <cellStyle name="Calculation 6 4" xfId="7722" xr:uid="{00000000-0005-0000-0000-0000D7290000}"/>
    <cellStyle name="Calculation 6 4 2" xfId="7723" xr:uid="{00000000-0005-0000-0000-0000D8290000}"/>
    <cellStyle name="Calculation 6 4 3" xfId="16895" xr:uid="{00000000-0005-0000-0000-0000D9290000}"/>
    <cellStyle name="Calculation 6 5" xfId="7724" xr:uid="{00000000-0005-0000-0000-0000DA290000}"/>
    <cellStyle name="Calculation 6 5 2" xfId="16896" xr:uid="{00000000-0005-0000-0000-0000DB290000}"/>
    <cellStyle name="Calculation 6 6" xfId="7725" xr:uid="{00000000-0005-0000-0000-0000DC290000}"/>
    <cellStyle name="Calculation 6 6 2" xfId="16897" xr:uid="{00000000-0005-0000-0000-0000DD290000}"/>
    <cellStyle name="Calculation 6 7" xfId="7726" xr:uid="{00000000-0005-0000-0000-0000DE290000}"/>
    <cellStyle name="Calculation 6 7 2" xfId="16898" xr:uid="{00000000-0005-0000-0000-0000DF290000}"/>
    <cellStyle name="Calculation 6 8" xfId="7727" xr:uid="{00000000-0005-0000-0000-0000E0290000}"/>
    <cellStyle name="Calculation 6 8 2" xfId="16899" xr:uid="{00000000-0005-0000-0000-0000E1290000}"/>
    <cellStyle name="Calculation 6 9" xfId="7728" xr:uid="{00000000-0005-0000-0000-0000E2290000}"/>
    <cellStyle name="Calculation 6 9 2" xfId="16900" xr:uid="{00000000-0005-0000-0000-0000E3290000}"/>
    <cellStyle name="Calculation 7" xfId="7729" xr:uid="{00000000-0005-0000-0000-0000E4290000}"/>
    <cellStyle name="Calculation 7 10" xfId="7730" xr:uid="{00000000-0005-0000-0000-0000E5290000}"/>
    <cellStyle name="Calculation 7 10 2" xfId="16901" xr:uid="{00000000-0005-0000-0000-0000E6290000}"/>
    <cellStyle name="Calculation 7 11" xfId="7731" xr:uid="{00000000-0005-0000-0000-0000E7290000}"/>
    <cellStyle name="Calculation 7 11 2" xfId="16902" xr:uid="{00000000-0005-0000-0000-0000E8290000}"/>
    <cellStyle name="Calculation 7 2" xfId="7732" xr:uid="{00000000-0005-0000-0000-0000E9290000}"/>
    <cellStyle name="Calculation 7 2 2" xfId="7733" xr:uid="{00000000-0005-0000-0000-0000EA290000}"/>
    <cellStyle name="Calculation 7 2 2 2" xfId="16903" xr:uid="{00000000-0005-0000-0000-0000EB290000}"/>
    <cellStyle name="Calculation 7 3" xfId="7734" xr:uid="{00000000-0005-0000-0000-0000EC290000}"/>
    <cellStyle name="Calculation 7 3 2" xfId="7735" xr:uid="{00000000-0005-0000-0000-0000ED290000}"/>
    <cellStyle name="Calculation 7 3 2 2" xfId="16904" xr:uid="{00000000-0005-0000-0000-0000EE290000}"/>
    <cellStyle name="Calculation 7 4" xfId="7736" xr:uid="{00000000-0005-0000-0000-0000EF290000}"/>
    <cellStyle name="Calculation 7 4 2" xfId="7737" xr:uid="{00000000-0005-0000-0000-0000F0290000}"/>
    <cellStyle name="Calculation 7 4 3" xfId="16905" xr:uid="{00000000-0005-0000-0000-0000F1290000}"/>
    <cellStyle name="Calculation 7 5" xfId="7738" xr:uid="{00000000-0005-0000-0000-0000F2290000}"/>
    <cellStyle name="Calculation 7 5 2" xfId="16906" xr:uid="{00000000-0005-0000-0000-0000F3290000}"/>
    <cellStyle name="Calculation 7 6" xfId="7739" xr:uid="{00000000-0005-0000-0000-0000F4290000}"/>
    <cellStyle name="Calculation 7 6 2" xfId="16907" xr:uid="{00000000-0005-0000-0000-0000F5290000}"/>
    <cellStyle name="Calculation 7 7" xfId="7740" xr:uid="{00000000-0005-0000-0000-0000F6290000}"/>
    <cellStyle name="Calculation 7 7 2" xfId="16908" xr:uid="{00000000-0005-0000-0000-0000F7290000}"/>
    <cellStyle name="Calculation 7 8" xfId="7741" xr:uid="{00000000-0005-0000-0000-0000F8290000}"/>
    <cellStyle name="Calculation 7 8 2" xfId="16909" xr:uid="{00000000-0005-0000-0000-0000F9290000}"/>
    <cellStyle name="Calculation 7 9" xfId="7742" xr:uid="{00000000-0005-0000-0000-0000FA290000}"/>
    <cellStyle name="Calculation 7 9 2" xfId="16910" xr:uid="{00000000-0005-0000-0000-0000FB290000}"/>
    <cellStyle name="Calculation 8" xfId="7743" xr:uid="{00000000-0005-0000-0000-0000FC290000}"/>
    <cellStyle name="Calculation 8 10" xfId="7744" xr:uid="{00000000-0005-0000-0000-0000FD290000}"/>
    <cellStyle name="Calculation 8 10 2" xfId="16911" xr:uid="{00000000-0005-0000-0000-0000FE290000}"/>
    <cellStyle name="Calculation 8 11" xfId="7745" xr:uid="{00000000-0005-0000-0000-0000FF290000}"/>
    <cellStyle name="Calculation 8 11 2" xfId="16912" xr:uid="{00000000-0005-0000-0000-0000002A0000}"/>
    <cellStyle name="Calculation 8 2" xfId="7746" xr:uid="{00000000-0005-0000-0000-0000012A0000}"/>
    <cellStyle name="Calculation 8 2 2" xfId="7747" xr:uid="{00000000-0005-0000-0000-0000022A0000}"/>
    <cellStyle name="Calculation 8 2 2 2" xfId="16913" xr:uid="{00000000-0005-0000-0000-0000032A0000}"/>
    <cellStyle name="Calculation 8 3" xfId="7748" xr:uid="{00000000-0005-0000-0000-0000042A0000}"/>
    <cellStyle name="Calculation 8 3 2" xfId="7749" xr:uid="{00000000-0005-0000-0000-0000052A0000}"/>
    <cellStyle name="Calculation 8 3 2 2" xfId="16914" xr:uid="{00000000-0005-0000-0000-0000062A0000}"/>
    <cellStyle name="Calculation 8 4" xfId="7750" xr:uid="{00000000-0005-0000-0000-0000072A0000}"/>
    <cellStyle name="Calculation 8 4 2" xfId="7751" xr:uid="{00000000-0005-0000-0000-0000082A0000}"/>
    <cellStyle name="Calculation 8 4 3" xfId="16915" xr:uid="{00000000-0005-0000-0000-0000092A0000}"/>
    <cellStyle name="Calculation 8 5" xfId="7752" xr:uid="{00000000-0005-0000-0000-00000A2A0000}"/>
    <cellStyle name="Calculation 8 5 2" xfId="16916" xr:uid="{00000000-0005-0000-0000-00000B2A0000}"/>
    <cellStyle name="Calculation 8 6" xfId="7753" xr:uid="{00000000-0005-0000-0000-00000C2A0000}"/>
    <cellStyle name="Calculation 8 6 2" xfId="16917" xr:uid="{00000000-0005-0000-0000-00000D2A0000}"/>
    <cellStyle name="Calculation 8 7" xfId="7754" xr:uid="{00000000-0005-0000-0000-00000E2A0000}"/>
    <cellStyle name="Calculation 8 7 2" xfId="16918" xr:uid="{00000000-0005-0000-0000-00000F2A0000}"/>
    <cellStyle name="Calculation 8 8" xfId="7755" xr:uid="{00000000-0005-0000-0000-0000102A0000}"/>
    <cellStyle name="Calculation 8 8 2" xfId="16919" xr:uid="{00000000-0005-0000-0000-0000112A0000}"/>
    <cellStyle name="Calculation 8 9" xfId="7756" xr:uid="{00000000-0005-0000-0000-0000122A0000}"/>
    <cellStyle name="Calculation 8 9 2" xfId="16920" xr:uid="{00000000-0005-0000-0000-0000132A0000}"/>
    <cellStyle name="Calculation 9" xfId="7757" xr:uid="{00000000-0005-0000-0000-0000142A0000}"/>
    <cellStyle name="Calculation 9 10" xfId="7758" xr:uid="{00000000-0005-0000-0000-0000152A0000}"/>
    <cellStyle name="Calculation 9 10 2" xfId="16921" xr:uid="{00000000-0005-0000-0000-0000162A0000}"/>
    <cellStyle name="Calculation 9 11" xfId="7759" xr:uid="{00000000-0005-0000-0000-0000172A0000}"/>
    <cellStyle name="Calculation 9 11 2" xfId="16922" xr:uid="{00000000-0005-0000-0000-0000182A0000}"/>
    <cellStyle name="Calculation 9 2" xfId="7760" xr:uid="{00000000-0005-0000-0000-0000192A0000}"/>
    <cellStyle name="Calculation 9 2 2" xfId="7761" xr:uid="{00000000-0005-0000-0000-00001A2A0000}"/>
    <cellStyle name="Calculation 9 2 2 2" xfId="16923" xr:uid="{00000000-0005-0000-0000-00001B2A0000}"/>
    <cellStyle name="Calculation 9 3" xfId="7762" xr:uid="{00000000-0005-0000-0000-00001C2A0000}"/>
    <cellStyle name="Calculation 9 3 2" xfId="7763" xr:uid="{00000000-0005-0000-0000-00001D2A0000}"/>
    <cellStyle name="Calculation 9 3 2 2" xfId="16924" xr:uid="{00000000-0005-0000-0000-00001E2A0000}"/>
    <cellStyle name="Calculation 9 4" xfId="7764" xr:uid="{00000000-0005-0000-0000-00001F2A0000}"/>
    <cellStyle name="Calculation 9 4 2" xfId="7765" xr:uid="{00000000-0005-0000-0000-0000202A0000}"/>
    <cellStyle name="Calculation 9 4 3" xfId="16925" xr:uid="{00000000-0005-0000-0000-0000212A0000}"/>
    <cellStyle name="Calculation 9 5" xfId="7766" xr:uid="{00000000-0005-0000-0000-0000222A0000}"/>
    <cellStyle name="Calculation 9 5 2" xfId="16926" xr:uid="{00000000-0005-0000-0000-0000232A0000}"/>
    <cellStyle name="Calculation 9 6" xfId="7767" xr:uid="{00000000-0005-0000-0000-0000242A0000}"/>
    <cellStyle name="Calculation 9 6 2" xfId="16927" xr:uid="{00000000-0005-0000-0000-0000252A0000}"/>
    <cellStyle name="Calculation 9 7" xfId="7768" xr:uid="{00000000-0005-0000-0000-0000262A0000}"/>
    <cellStyle name="Calculation 9 7 2" xfId="16928" xr:uid="{00000000-0005-0000-0000-0000272A0000}"/>
    <cellStyle name="Calculation 9 8" xfId="7769" xr:uid="{00000000-0005-0000-0000-0000282A0000}"/>
    <cellStyle name="Calculation 9 8 2" xfId="16929" xr:uid="{00000000-0005-0000-0000-0000292A0000}"/>
    <cellStyle name="Calculation 9 9" xfId="7770" xr:uid="{00000000-0005-0000-0000-00002A2A0000}"/>
    <cellStyle name="Calculation 9 9 2" xfId="16930" xr:uid="{00000000-0005-0000-0000-00002B2A0000}"/>
    <cellStyle name="Check Cell 10" xfId="7771" xr:uid="{00000000-0005-0000-0000-00002C2A0000}"/>
    <cellStyle name="Check Cell 10 10" xfId="7772" xr:uid="{00000000-0005-0000-0000-00002D2A0000}"/>
    <cellStyle name="Check Cell 10 10 2" xfId="16931" xr:uid="{00000000-0005-0000-0000-00002E2A0000}"/>
    <cellStyle name="Check Cell 10 11" xfId="7773" xr:uid="{00000000-0005-0000-0000-00002F2A0000}"/>
    <cellStyle name="Check Cell 10 11 2" xfId="16932" xr:uid="{00000000-0005-0000-0000-0000302A0000}"/>
    <cellStyle name="Check Cell 10 2" xfId="7774" xr:uid="{00000000-0005-0000-0000-0000312A0000}"/>
    <cellStyle name="Check Cell 10 2 2" xfId="7775" xr:uid="{00000000-0005-0000-0000-0000322A0000}"/>
    <cellStyle name="Check Cell 10 2 2 2" xfId="16933" xr:uid="{00000000-0005-0000-0000-0000332A0000}"/>
    <cellStyle name="Check Cell 10 3" xfId="7776" xr:uid="{00000000-0005-0000-0000-0000342A0000}"/>
    <cellStyle name="Check Cell 10 3 2" xfId="7777" xr:uid="{00000000-0005-0000-0000-0000352A0000}"/>
    <cellStyle name="Check Cell 10 3 2 2" xfId="16934" xr:uid="{00000000-0005-0000-0000-0000362A0000}"/>
    <cellStyle name="Check Cell 10 4" xfId="7778" xr:uid="{00000000-0005-0000-0000-0000372A0000}"/>
    <cellStyle name="Check Cell 10 4 2" xfId="7779" xr:uid="{00000000-0005-0000-0000-0000382A0000}"/>
    <cellStyle name="Check Cell 10 4 3" xfId="16935" xr:uid="{00000000-0005-0000-0000-0000392A0000}"/>
    <cellStyle name="Check Cell 10 5" xfId="7780" xr:uid="{00000000-0005-0000-0000-00003A2A0000}"/>
    <cellStyle name="Check Cell 10 5 2" xfId="16936" xr:uid="{00000000-0005-0000-0000-00003B2A0000}"/>
    <cellStyle name="Check Cell 10 6" xfId="7781" xr:uid="{00000000-0005-0000-0000-00003C2A0000}"/>
    <cellStyle name="Check Cell 10 6 2" xfId="16937" xr:uid="{00000000-0005-0000-0000-00003D2A0000}"/>
    <cellStyle name="Check Cell 10 7" xfId="7782" xr:uid="{00000000-0005-0000-0000-00003E2A0000}"/>
    <cellStyle name="Check Cell 10 7 2" xfId="16938" xr:uid="{00000000-0005-0000-0000-00003F2A0000}"/>
    <cellStyle name="Check Cell 10 8" xfId="7783" xr:uid="{00000000-0005-0000-0000-0000402A0000}"/>
    <cellStyle name="Check Cell 10 8 2" xfId="16939" xr:uid="{00000000-0005-0000-0000-0000412A0000}"/>
    <cellStyle name="Check Cell 10 9" xfId="7784" xr:uid="{00000000-0005-0000-0000-0000422A0000}"/>
    <cellStyle name="Check Cell 10 9 2" xfId="16940" xr:uid="{00000000-0005-0000-0000-0000432A0000}"/>
    <cellStyle name="Check Cell 11" xfId="7785" xr:uid="{00000000-0005-0000-0000-0000442A0000}"/>
    <cellStyle name="Check Cell 11 10" xfId="7786" xr:uid="{00000000-0005-0000-0000-0000452A0000}"/>
    <cellStyle name="Check Cell 11 10 2" xfId="16941" xr:uid="{00000000-0005-0000-0000-0000462A0000}"/>
    <cellStyle name="Check Cell 11 11" xfId="7787" xr:uid="{00000000-0005-0000-0000-0000472A0000}"/>
    <cellStyle name="Check Cell 11 11 2" xfId="16942" xr:uid="{00000000-0005-0000-0000-0000482A0000}"/>
    <cellStyle name="Check Cell 11 2" xfId="7788" xr:uid="{00000000-0005-0000-0000-0000492A0000}"/>
    <cellStyle name="Check Cell 11 2 2" xfId="7789" xr:uid="{00000000-0005-0000-0000-00004A2A0000}"/>
    <cellStyle name="Check Cell 11 2 2 2" xfId="16943" xr:uid="{00000000-0005-0000-0000-00004B2A0000}"/>
    <cellStyle name="Check Cell 11 3" xfId="7790" xr:uid="{00000000-0005-0000-0000-00004C2A0000}"/>
    <cellStyle name="Check Cell 11 3 2" xfId="7791" xr:uid="{00000000-0005-0000-0000-00004D2A0000}"/>
    <cellStyle name="Check Cell 11 3 2 2" xfId="16944" xr:uid="{00000000-0005-0000-0000-00004E2A0000}"/>
    <cellStyle name="Check Cell 11 4" xfId="7792" xr:uid="{00000000-0005-0000-0000-00004F2A0000}"/>
    <cellStyle name="Check Cell 11 4 2" xfId="7793" xr:uid="{00000000-0005-0000-0000-0000502A0000}"/>
    <cellStyle name="Check Cell 11 4 3" xfId="16945" xr:uid="{00000000-0005-0000-0000-0000512A0000}"/>
    <cellStyle name="Check Cell 11 5" xfId="7794" xr:uid="{00000000-0005-0000-0000-0000522A0000}"/>
    <cellStyle name="Check Cell 11 5 2" xfId="16946" xr:uid="{00000000-0005-0000-0000-0000532A0000}"/>
    <cellStyle name="Check Cell 11 6" xfId="7795" xr:uid="{00000000-0005-0000-0000-0000542A0000}"/>
    <cellStyle name="Check Cell 11 6 2" xfId="16947" xr:uid="{00000000-0005-0000-0000-0000552A0000}"/>
    <cellStyle name="Check Cell 11 7" xfId="7796" xr:uid="{00000000-0005-0000-0000-0000562A0000}"/>
    <cellStyle name="Check Cell 11 7 2" xfId="16948" xr:uid="{00000000-0005-0000-0000-0000572A0000}"/>
    <cellStyle name="Check Cell 11 8" xfId="7797" xr:uid="{00000000-0005-0000-0000-0000582A0000}"/>
    <cellStyle name="Check Cell 11 8 2" xfId="16949" xr:uid="{00000000-0005-0000-0000-0000592A0000}"/>
    <cellStyle name="Check Cell 11 9" xfId="7798" xr:uid="{00000000-0005-0000-0000-00005A2A0000}"/>
    <cellStyle name="Check Cell 11 9 2" xfId="16950" xr:uid="{00000000-0005-0000-0000-00005B2A0000}"/>
    <cellStyle name="Check Cell 12" xfId="7799" xr:uid="{00000000-0005-0000-0000-00005C2A0000}"/>
    <cellStyle name="Check Cell 12 10" xfId="7800" xr:uid="{00000000-0005-0000-0000-00005D2A0000}"/>
    <cellStyle name="Check Cell 12 10 2" xfId="16951" xr:uid="{00000000-0005-0000-0000-00005E2A0000}"/>
    <cellStyle name="Check Cell 12 11" xfId="7801" xr:uid="{00000000-0005-0000-0000-00005F2A0000}"/>
    <cellStyle name="Check Cell 12 11 2" xfId="16952" xr:uid="{00000000-0005-0000-0000-0000602A0000}"/>
    <cellStyle name="Check Cell 12 2" xfId="7802" xr:uid="{00000000-0005-0000-0000-0000612A0000}"/>
    <cellStyle name="Check Cell 12 2 2" xfId="7803" xr:uid="{00000000-0005-0000-0000-0000622A0000}"/>
    <cellStyle name="Check Cell 12 2 2 2" xfId="16953" xr:uid="{00000000-0005-0000-0000-0000632A0000}"/>
    <cellStyle name="Check Cell 12 3" xfId="7804" xr:uid="{00000000-0005-0000-0000-0000642A0000}"/>
    <cellStyle name="Check Cell 12 3 2" xfId="7805" xr:uid="{00000000-0005-0000-0000-0000652A0000}"/>
    <cellStyle name="Check Cell 12 3 2 2" xfId="16954" xr:uid="{00000000-0005-0000-0000-0000662A0000}"/>
    <cellStyle name="Check Cell 12 4" xfId="7806" xr:uid="{00000000-0005-0000-0000-0000672A0000}"/>
    <cellStyle name="Check Cell 12 4 2" xfId="7807" xr:uid="{00000000-0005-0000-0000-0000682A0000}"/>
    <cellStyle name="Check Cell 12 4 3" xfId="16955" xr:uid="{00000000-0005-0000-0000-0000692A0000}"/>
    <cellStyle name="Check Cell 12 5" xfId="7808" xr:uid="{00000000-0005-0000-0000-00006A2A0000}"/>
    <cellStyle name="Check Cell 12 5 2" xfId="16956" xr:uid="{00000000-0005-0000-0000-00006B2A0000}"/>
    <cellStyle name="Check Cell 12 6" xfId="7809" xr:uid="{00000000-0005-0000-0000-00006C2A0000}"/>
    <cellStyle name="Check Cell 12 6 2" xfId="16957" xr:uid="{00000000-0005-0000-0000-00006D2A0000}"/>
    <cellStyle name="Check Cell 12 7" xfId="7810" xr:uid="{00000000-0005-0000-0000-00006E2A0000}"/>
    <cellStyle name="Check Cell 12 7 2" xfId="16958" xr:uid="{00000000-0005-0000-0000-00006F2A0000}"/>
    <cellStyle name="Check Cell 12 8" xfId="7811" xr:uid="{00000000-0005-0000-0000-0000702A0000}"/>
    <cellStyle name="Check Cell 12 8 2" xfId="16959" xr:uid="{00000000-0005-0000-0000-0000712A0000}"/>
    <cellStyle name="Check Cell 12 9" xfId="7812" xr:uid="{00000000-0005-0000-0000-0000722A0000}"/>
    <cellStyle name="Check Cell 12 9 2" xfId="16960" xr:uid="{00000000-0005-0000-0000-0000732A0000}"/>
    <cellStyle name="Check Cell 13" xfId="7813" xr:uid="{00000000-0005-0000-0000-0000742A0000}"/>
    <cellStyle name="Check Cell 13 10" xfId="7814" xr:uid="{00000000-0005-0000-0000-0000752A0000}"/>
    <cellStyle name="Check Cell 13 10 2" xfId="16961" xr:uid="{00000000-0005-0000-0000-0000762A0000}"/>
    <cellStyle name="Check Cell 13 11" xfId="7815" xr:uid="{00000000-0005-0000-0000-0000772A0000}"/>
    <cellStyle name="Check Cell 13 11 2" xfId="16962" xr:uid="{00000000-0005-0000-0000-0000782A0000}"/>
    <cellStyle name="Check Cell 13 2" xfId="7816" xr:uid="{00000000-0005-0000-0000-0000792A0000}"/>
    <cellStyle name="Check Cell 13 2 2" xfId="7817" xr:uid="{00000000-0005-0000-0000-00007A2A0000}"/>
    <cellStyle name="Check Cell 13 2 2 2" xfId="16963" xr:uid="{00000000-0005-0000-0000-00007B2A0000}"/>
    <cellStyle name="Check Cell 13 3" xfId="7818" xr:uid="{00000000-0005-0000-0000-00007C2A0000}"/>
    <cellStyle name="Check Cell 13 3 2" xfId="7819" xr:uid="{00000000-0005-0000-0000-00007D2A0000}"/>
    <cellStyle name="Check Cell 13 3 2 2" xfId="16964" xr:uid="{00000000-0005-0000-0000-00007E2A0000}"/>
    <cellStyle name="Check Cell 13 4" xfId="7820" xr:uid="{00000000-0005-0000-0000-00007F2A0000}"/>
    <cellStyle name="Check Cell 13 4 2" xfId="16965" xr:uid="{00000000-0005-0000-0000-0000802A0000}"/>
    <cellStyle name="Check Cell 13 5" xfId="7821" xr:uid="{00000000-0005-0000-0000-0000812A0000}"/>
    <cellStyle name="Check Cell 13 5 2" xfId="16966" xr:uid="{00000000-0005-0000-0000-0000822A0000}"/>
    <cellStyle name="Check Cell 13 6" xfId="7822" xr:uid="{00000000-0005-0000-0000-0000832A0000}"/>
    <cellStyle name="Check Cell 13 6 2" xfId="16967" xr:uid="{00000000-0005-0000-0000-0000842A0000}"/>
    <cellStyle name="Check Cell 13 7" xfId="7823" xr:uid="{00000000-0005-0000-0000-0000852A0000}"/>
    <cellStyle name="Check Cell 13 7 2" xfId="16968" xr:uid="{00000000-0005-0000-0000-0000862A0000}"/>
    <cellStyle name="Check Cell 13 8" xfId="7824" xr:uid="{00000000-0005-0000-0000-0000872A0000}"/>
    <cellStyle name="Check Cell 13 8 2" xfId="16969" xr:uid="{00000000-0005-0000-0000-0000882A0000}"/>
    <cellStyle name="Check Cell 13 9" xfId="7825" xr:uid="{00000000-0005-0000-0000-0000892A0000}"/>
    <cellStyle name="Check Cell 13 9 2" xfId="16970" xr:uid="{00000000-0005-0000-0000-00008A2A0000}"/>
    <cellStyle name="Check Cell 14" xfId="7826" xr:uid="{00000000-0005-0000-0000-00008B2A0000}"/>
    <cellStyle name="Check Cell 14 10" xfId="7827" xr:uid="{00000000-0005-0000-0000-00008C2A0000}"/>
    <cellStyle name="Check Cell 14 10 2" xfId="16971" xr:uid="{00000000-0005-0000-0000-00008D2A0000}"/>
    <cellStyle name="Check Cell 14 11" xfId="7828" xr:uid="{00000000-0005-0000-0000-00008E2A0000}"/>
    <cellStyle name="Check Cell 14 11 2" xfId="16972" xr:uid="{00000000-0005-0000-0000-00008F2A0000}"/>
    <cellStyle name="Check Cell 14 2" xfId="7829" xr:uid="{00000000-0005-0000-0000-0000902A0000}"/>
    <cellStyle name="Check Cell 14 2 2" xfId="7830" xr:uid="{00000000-0005-0000-0000-0000912A0000}"/>
    <cellStyle name="Check Cell 14 2 2 2" xfId="16973" xr:uid="{00000000-0005-0000-0000-0000922A0000}"/>
    <cellStyle name="Check Cell 14 3" xfId="7831" xr:uid="{00000000-0005-0000-0000-0000932A0000}"/>
    <cellStyle name="Check Cell 14 3 2" xfId="7832" xr:uid="{00000000-0005-0000-0000-0000942A0000}"/>
    <cellStyle name="Check Cell 14 3 2 2" xfId="16974" xr:uid="{00000000-0005-0000-0000-0000952A0000}"/>
    <cellStyle name="Check Cell 14 4" xfId="7833" xr:uid="{00000000-0005-0000-0000-0000962A0000}"/>
    <cellStyle name="Check Cell 14 4 2" xfId="16975" xr:uid="{00000000-0005-0000-0000-0000972A0000}"/>
    <cellStyle name="Check Cell 14 5" xfId="7834" xr:uid="{00000000-0005-0000-0000-0000982A0000}"/>
    <cellStyle name="Check Cell 14 5 2" xfId="16976" xr:uid="{00000000-0005-0000-0000-0000992A0000}"/>
    <cellStyle name="Check Cell 14 6" xfId="7835" xr:uid="{00000000-0005-0000-0000-00009A2A0000}"/>
    <cellStyle name="Check Cell 14 6 2" xfId="16977" xr:uid="{00000000-0005-0000-0000-00009B2A0000}"/>
    <cellStyle name="Check Cell 14 7" xfId="7836" xr:uid="{00000000-0005-0000-0000-00009C2A0000}"/>
    <cellStyle name="Check Cell 14 7 2" xfId="16978" xr:uid="{00000000-0005-0000-0000-00009D2A0000}"/>
    <cellStyle name="Check Cell 14 8" xfId="7837" xr:uid="{00000000-0005-0000-0000-00009E2A0000}"/>
    <cellStyle name="Check Cell 14 8 2" xfId="16979" xr:uid="{00000000-0005-0000-0000-00009F2A0000}"/>
    <cellStyle name="Check Cell 14 9" xfId="7838" xr:uid="{00000000-0005-0000-0000-0000A02A0000}"/>
    <cellStyle name="Check Cell 14 9 2" xfId="16980" xr:uid="{00000000-0005-0000-0000-0000A12A0000}"/>
    <cellStyle name="Check Cell 15" xfId="7839" xr:uid="{00000000-0005-0000-0000-0000A22A0000}"/>
    <cellStyle name="Check Cell 15 10" xfId="7840" xr:uid="{00000000-0005-0000-0000-0000A32A0000}"/>
    <cellStyle name="Check Cell 15 10 2" xfId="16981" xr:uid="{00000000-0005-0000-0000-0000A42A0000}"/>
    <cellStyle name="Check Cell 15 11" xfId="7841" xr:uid="{00000000-0005-0000-0000-0000A52A0000}"/>
    <cellStyle name="Check Cell 15 11 2" xfId="16982" xr:uid="{00000000-0005-0000-0000-0000A62A0000}"/>
    <cellStyle name="Check Cell 15 2" xfId="7842" xr:uid="{00000000-0005-0000-0000-0000A72A0000}"/>
    <cellStyle name="Check Cell 15 2 2" xfId="7843" xr:uid="{00000000-0005-0000-0000-0000A82A0000}"/>
    <cellStyle name="Check Cell 15 2 2 2" xfId="16983" xr:uid="{00000000-0005-0000-0000-0000A92A0000}"/>
    <cellStyle name="Check Cell 15 3" xfId="7844" xr:uid="{00000000-0005-0000-0000-0000AA2A0000}"/>
    <cellStyle name="Check Cell 15 3 2" xfId="7845" xr:uid="{00000000-0005-0000-0000-0000AB2A0000}"/>
    <cellStyle name="Check Cell 15 3 2 2" xfId="16984" xr:uid="{00000000-0005-0000-0000-0000AC2A0000}"/>
    <cellStyle name="Check Cell 15 4" xfId="7846" xr:uid="{00000000-0005-0000-0000-0000AD2A0000}"/>
    <cellStyle name="Check Cell 15 4 2" xfId="16985" xr:uid="{00000000-0005-0000-0000-0000AE2A0000}"/>
    <cellStyle name="Check Cell 15 5" xfId="7847" xr:uid="{00000000-0005-0000-0000-0000AF2A0000}"/>
    <cellStyle name="Check Cell 15 5 2" xfId="16986" xr:uid="{00000000-0005-0000-0000-0000B02A0000}"/>
    <cellStyle name="Check Cell 15 6" xfId="7848" xr:uid="{00000000-0005-0000-0000-0000B12A0000}"/>
    <cellStyle name="Check Cell 15 6 2" xfId="16987" xr:uid="{00000000-0005-0000-0000-0000B22A0000}"/>
    <cellStyle name="Check Cell 15 7" xfId="7849" xr:uid="{00000000-0005-0000-0000-0000B32A0000}"/>
    <cellStyle name="Check Cell 15 7 2" xfId="16988" xr:uid="{00000000-0005-0000-0000-0000B42A0000}"/>
    <cellStyle name="Check Cell 15 8" xfId="7850" xr:uid="{00000000-0005-0000-0000-0000B52A0000}"/>
    <cellStyle name="Check Cell 15 8 2" xfId="16989" xr:uid="{00000000-0005-0000-0000-0000B62A0000}"/>
    <cellStyle name="Check Cell 15 9" xfId="7851" xr:uid="{00000000-0005-0000-0000-0000B72A0000}"/>
    <cellStyle name="Check Cell 15 9 2" xfId="16990" xr:uid="{00000000-0005-0000-0000-0000B82A0000}"/>
    <cellStyle name="Check Cell 16" xfId="7852" xr:uid="{00000000-0005-0000-0000-0000B92A0000}"/>
    <cellStyle name="Check Cell 16 10" xfId="7853" xr:uid="{00000000-0005-0000-0000-0000BA2A0000}"/>
    <cellStyle name="Check Cell 16 10 2" xfId="16991" xr:uid="{00000000-0005-0000-0000-0000BB2A0000}"/>
    <cellStyle name="Check Cell 16 11" xfId="7854" xr:uid="{00000000-0005-0000-0000-0000BC2A0000}"/>
    <cellStyle name="Check Cell 16 11 2" xfId="16992" xr:uid="{00000000-0005-0000-0000-0000BD2A0000}"/>
    <cellStyle name="Check Cell 16 2" xfId="7855" xr:uid="{00000000-0005-0000-0000-0000BE2A0000}"/>
    <cellStyle name="Check Cell 16 2 2" xfId="7856" xr:uid="{00000000-0005-0000-0000-0000BF2A0000}"/>
    <cellStyle name="Check Cell 16 2 2 2" xfId="16993" xr:uid="{00000000-0005-0000-0000-0000C02A0000}"/>
    <cellStyle name="Check Cell 16 3" xfId="7857" xr:uid="{00000000-0005-0000-0000-0000C12A0000}"/>
    <cellStyle name="Check Cell 16 3 2" xfId="7858" xr:uid="{00000000-0005-0000-0000-0000C22A0000}"/>
    <cellStyle name="Check Cell 16 3 2 2" xfId="16994" xr:uid="{00000000-0005-0000-0000-0000C32A0000}"/>
    <cellStyle name="Check Cell 16 4" xfId="7859" xr:uid="{00000000-0005-0000-0000-0000C42A0000}"/>
    <cellStyle name="Check Cell 16 4 2" xfId="16995" xr:uid="{00000000-0005-0000-0000-0000C52A0000}"/>
    <cellStyle name="Check Cell 16 5" xfId="7860" xr:uid="{00000000-0005-0000-0000-0000C62A0000}"/>
    <cellStyle name="Check Cell 16 5 2" xfId="16996" xr:uid="{00000000-0005-0000-0000-0000C72A0000}"/>
    <cellStyle name="Check Cell 16 6" xfId="7861" xr:uid="{00000000-0005-0000-0000-0000C82A0000}"/>
    <cellStyle name="Check Cell 16 6 2" xfId="16997" xr:uid="{00000000-0005-0000-0000-0000C92A0000}"/>
    <cellStyle name="Check Cell 16 7" xfId="7862" xr:uid="{00000000-0005-0000-0000-0000CA2A0000}"/>
    <cellStyle name="Check Cell 16 7 2" xfId="16998" xr:uid="{00000000-0005-0000-0000-0000CB2A0000}"/>
    <cellStyle name="Check Cell 16 8" xfId="7863" xr:uid="{00000000-0005-0000-0000-0000CC2A0000}"/>
    <cellStyle name="Check Cell 16 8 2" xfId="16999" xr:uid="{00000000-0005-0000-0000-0000CD2A0000}"/>
    <cellStyle name="Check Cell 16 9" xfId="7864" xr:uid="{00000000-0005-0000-0000-0000CE2A0000}"/>
    <cellStyle name="Check Cell 16 9 2" xfId="17000" xr:uid="{00000000-0005-0000-0000-0000CF2A0000}"/>
    <cellStyle name="Check Cell 17" xfId="7865" xr:uid="{00000000-0005-0000-0000-0000D02A0000}"/>
    <cellStyle name="Check Cell 17 10" xfId="7866" xr:uid="{00000000-0005-0000-0000-0000D12A0000}"/>
    <cellStyle name="Check Cell 17 10 2" xfId="17001" xr:uid="{00000000-0005-0000-0000-0000D22A0000}"/>
    <cellStyle name="Check Cell 17 11" xfId="7867" xr:uid="{00000000-0005-0000-0000-0000D32A0000}"/>
    <cellStyle name="Check Cell 17 11 2" xfId="17002" xr:uid="{00000000-0005-0000-0000-0000D42A0000}"/>
    <cellStyle name="Check Cell 17 2" xfId="7868" xr:uid="{00000000-0005-0000-0000-0000D52A0000}"/>
    <cellStyle name="Check Cell 17 2 2" xfId="7869" xr:uid="{00000000-0005-0000-0000-0000D62A0000}"/>
    <cellStyle name="Check Cell 17 2 2 2" xfId="17003" xr:uid="{00000000-0005-0000-0000-0000D72A0000}"/>
    <cellStyle name="Check Cell 17 3" xfId="7870" xr:uid="{00000000-0005-0000-0000-0000D82A0000}"/>
    <cellStyle name="Check Cell 17 3 2" xfId="7871" xr:uid="{00000000-0005-0000-0000-0000D92A0000}"/>
    <cellStyle name="Check Cell 17 3 2 2" xfId="17004" xr:uid="{00000000-0005-0000-0000-0000DA2A0000}"/>
    <cellStyle name="Check Cell 17 4" xfId="7872" xr:uid="{00000000-0005-0000-0000-0000DB2A0000}"/>
    <cellStyle name="Check Cell 17 4 2" xfId="17005" xr:uid="{00000000-0005-0000-0000-0000DC2A0000}"/>
    <cellStyle name="Check Cell 17 5" xfId="7873" xr:uid="{00000000-0005-0000-0000-0000DD2A0000}"/>
    <cellStyle name="Check Cell 17 5 2" xfId="17006" xr:uid="{00000000-0005-0000-0000-0000DE2A0000}"/>
    <cellStyle name="Check Cell 17 6" xfId="7874" xr:uid="{00000000-0005-0000-0000-0000DF2A0000}"/>
    <cellStyle name="Check Cell 17 6 2" xfId="17007" xr:uid="{00000000-0005-0000-0000-0000E02A0000}"/>
    <cellStyle name="Check Cell 17 7" xfId="7875" xr:uid="{00000000-0005-0000-0000-0000E12A0000}"/>
    <cellStyle name="Check Cell 17 7 2" xfId="17008" xr:uid="{00000000-0005-0000-0000-0000E22A0000}"/>
    <cellStyle name="Check Cell 17 8" xfId="7876" xr:uid="{00000000-0005-0000-0000-0000E32A0000}"/>
    <cellStyle name="Check Cell 17 8 2" xfId="17009" xr:uid="{00000000-0005-0000-0000-0000E42A0000}"/>
    <cellStyle name="Check Cell 17 9" xfId="7877" xr:uid="{00000000-0005-0000-0000-0000E52A0000}"/>
    <cellStyle name="Check Cell 17 9 2" xfId="17010" xr:uid="{00000000-0005-0000-0000-0000E62A0000}"/>
    <cellStyle name="Check Cell 18" xfId="7878" xr:uid="{00000000-0005-0000-0000-0000E72A0000}"/>
    <cellStyle name="Check Cell 18 2" xfId="7879" xr:uid="{00000000-0005-0000-0000-0000E82A0000}"/>
    <cellStyle name="Check Cell 18 2 2" xfId="7880" xr:uid="{00000000-0005-0000-0000-0000E92A0000}"/>
    <cellStyle name="Check Cell 18 2 2 2" xfId="17011" xr:uid="{00000000-0005-0000-0000-0000EA2A0000}"/>
    <cellStyle name="Check Cell 18 3" xfId="7881" xr:uid="{00000000-0005-0000-0000-0000EB2A0000}"/>
    <cellStyle name="Check Cell 18 3 2" xfId="17012" xr:uid="{00000000-0005-0000-0000-0000EC2A0000}"/>
    <cellStyle name="Check Cell 18 4" xfId="7882" xr:uid="{00000000-0005-0000-0000-0000ED2A0000}"/>
    <cellStyle name="Check Cell 18 4 2" xfId="17013" xr:uid="{00000000-0005-0000-0000-0000EE2A0000}"/>
    <cellStyle name="Check Cell 18 5" xfId="7883" xr:uid="{00000000-0005-0000-0000-0000EF2A0000}"/>
    <cellStyle name="Check Cell 18 5 2" xfId="17014" xr:uid="{00000000-0005-0000-0000-0000F02A0000}"/>
    <cellStyle name="Check Cell 18 6" xfId="7884" xr:uid="{00000000-0005-0000-0000-0000F12A0000}"/>
    <cellStyle name="Check Cell 18 6 2" xfId="17015" xr:uid="{00000000-0005-0000-0000-0000F22A0000}"/>
    <cellStyle name="Check Cell 18 7" xfId="7885" xr:uid="{00000000-0005-0000-0000-0000F32A0000}"/>
    <cellStyle name="Check Cell 18 7 2" xfId="17016" xr:uid="{00000000-0005-0000-0000-0000F42A0000}"/>
    <cellStyle name="Check Cell 18 8" xfId="7886" xr:uid="{00000000-0005-0000-0000-0000F52A0000}"/>
    <cellStyle name="Check Cell 18 8 2" xfId="17017" xr:uid="{00000000-0005-0000-0000-0000F62A0000}"/>
    <cellStyle name="Check Cell 18 9" xfId="7887" xr:uid="{00000000-0005-0000-0000-0000F72A0000}"/>
    <cellStyle name="Check Cell 18 9 2" xfId="17018" xr:uid="{00000000-0005-0000-0000-0000F82A0000}"/>
    <cellStyle name="Check Cell 19" xfId="7888" xr:uid="{00000000-0005-0000-0000-0000F92A0000}"/>
    <cellStyle name="Check Cell 19 2" xfId="7889" xr:uid="{00000000-0005-0000-0000-0000FA2A0000}"/>
    <cellStyle name="Check Cell 19 2 2" xfId="7890" xr:uid="{00000000-0005-0000-0000-0000FB2A0000}"/>
    <cellStyle name="Check Cell 19 2 2 2" xfId="17019" xr:uid="{00000000-0005-0000-0000-0000FC2A0000}"/>
    <cellStyle name="Check Cell 19 3" xfId="7891" xr:uid="{00000000-0005-0000-0000-0000FD2A0000}"/>
    <cellStyle name="Check Cell 19 3 2" xfId="17020" xr:uid="{00000000-0005-0000-0000-0000FE2A0000}"/>
    <cellStyle name="Check Cell 19 4" xfId="7892" xr:uid="{00000000-0005-0000-0000-0000FF2A0000}"/>
    <cellStyle name="Check Cell 19 4 2" xfId="17021" xr:uid="{00000000-0005-0000-0000-0000002B0000}"/>
    <cellStyle name="Check Cell 19 5" xfId="7893" xr:uid="{00000000-0005-0000-0000-0000012B0000}"/>
    <cellStyle name="Check Cell 19 5 2" xfId="17022" xr:uid="{00000000-0005-0000-0000-0000022B0000}"/>
    <cellStyle name="Check Cell 19 6" xfId="7894" xr:uid="{00000000-0005-0000-0000-0000032B0000}"/>
    <cellStyle name="Check Cell 19 6 2" xfId="17023" xr:uid="{00000000-0005-0000-0000-0000042B0000}"/>
    <cellStyle name="Check Cell 19 7" xfId="7895" xr:uid="{00000000-0005-0000-0000-0000052B0000}"/>
    <cellStyle name="Check Cell 19 7 2" xfId="17024" xr:uid="{00000000-0005-0000-0000-0000062B0000}"/>
    <cellStyle name="Check Cell 19 8" xfId="7896" xr:uid="{00000000-0005-0000-0000-0000072B0000}"/>
    <cellStyle name="Check Cell 19 8 2" xfId="17025" xr:uid="{00000000-0005-0000-0000-0000082B0000}"/>
    <cellStyle name="Check Cell 19 9" xfId="7897" xr:uid="{00000000-0005-0000-0000-0000092B0000}"/>
    <cellStyle name="Check Cell 19 9 2" xfId="17026" xr:uid="{00000000-0005-0000-0000-00000A2B0000}"/>
    <cellStyle name="Check Cell 2" xfId="7898" xr:uid="{00000000-0005-0000-0000-00000B2B0000}"/>
    <cellStyle name="Check Cell 2 10" xfId="7899" xr:uid="{00000000-0005-0000-0000-00000C2B0000}"/>
    <cellStyle name="Check Cell 2 10 2" xfId="17027" xr:uid="{00000000-0005-0000-0000-00000D2B0000}"/>
    <cellStyle name="Check Cell 2 11" xfId="7900" xr:uid="{00000000-0005-0000-0000-00000E2B0000}"/>
    <cellStyle name="Check Cell 2 11 2" xfId="17028" xr:uid="{00000000-0005-0000-0000-00000F2B0000}"/>
    <cellStyle name="Check Cell 2 2" xfId="7901" xr:uid="{00000000-0005-0000-0000-0000102B0000}"/>
    <cellStyle name="Check Cell 2 2 2" xfId="7902" xr:uid="{00000000-0005-0000-0000-0000112B0000}"/>
    <cellStyle name="Check Cell 2 2 2 2" xfId="17029" xr:uid="{00000000-0005-0000-0000-0000122B0000}"/>
    <cellStyle name="Check Cell 2 3" xfId="7903" xr:uid="{00000000-0005-0000-0000-0000132B0000}"/>
    <cellStyle name="Check Cell 2 3 2" xfId="7904" xr:uid="{00000000-0005-0000-0000-0000142B0000}"/>
    <cellStyle name="Check Cell 2 3 2 2" xfId="17030" xr:uid="{00000000-0005-0000-0000-0000152B0000}"/>
    <cellStyle name="Check Cell 2 4" xfId="7905" xr:uid="{00000000-0005-0000-0000-0000162B0000}"/>
    <cellStyle name="Check Cell 2 4 2" xfId="7906" xr:uid="{00000000-0005-0000-0000-0000172B0000}"/>
    <cellStyle name="Check Cell 2 4 3" xfId="17031" xr:uid="{00000000-0005-0000-0000-0000182B0000}"/>
    <cellStyle name="Check Cell 2 5" xfId="7907" xr:uid="{00000000-0005-0000-0000-0000192B0000}"/>
    <cellStyle name="Check Cell 2 5 2" xfId="17032" xr:uid="{00000000-0005-0000-0000-00001A2B0000}"/>
    <cellStyle name="Check Cell 2 6" xfId="7908" xr:uid="{00000000-0005-0000-0000-00001B2B0000}"/>
    <cellStyle name="Check Cell 2 6 2" xfId="17033" xr:uid="{00000000-0005-0000-0000-00001C2B0000}"/>
    <cellStyle name="Check Cell 2 7" xfId="7909" xr:uid="{00000000-0005-0000-0000-00001D2B0000}"/>
    <cellStyle name="Check Cell 2 7 2" xfId="17034" xr:uid="{00000000-0005-0000-0000-00001E2B0000}"/>
    <cellStyle name="Check Cell 2 8" xfId="7910" xr:uid="{00000000-0005-0000-0000-00001F2B0000}"/>
    <cellStyle name="Check Cell 2 8 2" xfId="17035" xr:uid="{00000000-0005-0000-0000-0000202B0000}"/>
    <cellStyle name="Check Cell 2 9" xfId="7911" xr:uid="{00000000-0005-0000-0000-0000212B0000}"/>
    <cellStyle name="Check Cell 2 9 2" xfId="17036" xr:uid="{00000000-0005-0000-0000-0000222B0000}"/>
    <cellStyle name="Check Cell 20" xfId="7912" xr:uid="{00000000-0005-0000-0000-0000232B0000}"/>
    <cellStyle name="Check Cell 20 2" xfId="7913" xr:uid="{00000000-0005-0000-0000-0000242B0000}"/>
    <cellStyle name="Check Cell 20 2 2" xfId="17037" xr:uid="{00000000-0005-0000-0000-0000252B0000}"/>
    <cellStyle name="Check Cell 20 3" xfId="7914" xr:uid="{00000000-0005-0000-0000-0000262B0000}"/>
    <cellStyle name="Check Cell 20 3 2" xfId="17038" xr:uid="{00000000-0005-0000-0000-0000272B0000}"/>
    <cellStyle name="Check Cell 20 4" xfId="7915" xr:uid="{00000000-0005-0000-0000-0000282B0000}"/>
    <cellStyle name="Check Cell 20 4 2" xfId="17039" xr:uid="{00000000-0005-0000-0000-0000292B0000}"/>
    <cellStyle name="Check Cell 20 5" xfId="7916" xr:uid="{00000000-0005-0000-0000-00002A2B0000}"/>
    <cellStyle name="Check Cell 20 5 2" xfId="17040" xr:uid="{00000000-0005-0000-0000-00002B2B0000}"/>
    <cellStyle name="Check Cell 20 6" xfId="7917" xr:uid="{00000000-0005-0000-0000-00002C2B0000}"/>
    <cellStyle name="Check Cell 20 6 2" xfId="17041" xr:uid="{00000000-0005-0000-0000-00002D2B0000}"/>
    <cellStyle name="Check Cell 20 7" xfId="7918" xr:uid="{00000000-0005-0000-0000-00002E2B0000}"/>
    <cellStyle name="Check Cell 20 7 2" xfId="17042" xr:uid="{00000000-0005-0000-0000-00002F2B0000}"/>
    <cellStyle name="Check Cell 20 8" xfId="7919" xr:uid="{00000000-0005-0000-0000-0000302B0000}"/>
    <cellStyle name="Check Cell 20 8 2" xfId="17043" xr:uid="{00000000-0005-0000-0000-0000312B0000}"/>
    <cellStyle name="Check Cell 20 9" xfId="7920" xr:uid="{00000000-0005-0000-0000-0000322B0000}"/>
    <cellStyle name="Check Cell 20 9 2" xfId="17044" xr:uid="{00000000-0005-0000-0000-0000332B0000}"/>
    <cellStyle name="Check Cell 21" xfId="7921" xr:uid="{00000000-0005-0000-0000-0000342B0000}"/>
    <cellStyle name="Check Cell 21 2" xfId="7922" xr:uid="{00000000-0005-0000-0000-0000352B0000}"/>
    <cellStyle name="Check Cell 21 2 2" xfId="17045" xr:uid="{00000000-0005-0000-0000-0000362B0000}"/>
    <cellStyle name="Check Cell 21 3" xfId="7923" xr:uid="{00000000-0005-0000-0000-0000372B0000}"/>
    <cellStyle name="Check Cell 21 3 2" xfId="17046" xr:uid="{00000000-0005-0000-0000-0000382B0000}"/>
    <cellStyle name="Check Cell 21 4" xfId="7924" xr:uid="{00000000-0005-0000-0000-0000392B0000}"/>
    <cellStyle name="Check Cell 21 4 2" xfId="17047" xr:uid="{00000000-0005-0000-0000-00003A2B0000}"/>
    <cellStyle name="Check Cell 21 5" xfId="7925" xr:uid="{00000000-0005-0000-0000-00003B2B0000}"/>
    <cellStyle name="Check Cell 21 5 2" xfId="17048" xr:uid="{00000000-0005-0000-0000-00003C2B0000}"/>
    <cellStyle name="Check Cell 21 6" xfId="7926" xr:uid="{00000000-0005-0000-0000-00003D2B0000}"/>
    <cellStyle name="Check Cell 21 6 2" xfId="17049" xr:uid="{00000000-0005-0000-0000-00003E2B0000}"/>
    <cellStyle name="Check Cell 21 7" xfId="7927" xr:uid="{00000000-0005-0000-0000-00003F2B0000}"/>
    <cellStyle name="Check Cell 21 7 2" xfId="17050" xr:uid="{00000000-0005-0000-0000-0000402B0000}"/>
    <cellStyle name="Check Cell 21 8" xfId="7928" xr:uid="{00000000-0005-0000-0000-0000412B0000}"/>
    <cellStyle name="Check Cell 21 8 2" xfId="17051" xr:uid="{00000000-0005-0000-0000-0000422B0000}"/>
    <cellStyle name="Check Cell 21 9" xfId="7929" xr:uid="{00000000-0005-0000-0000-0000432B0000}"/>
    <cellStyle name="Check Cell 21 9 2" xfId="17052" xr:uid="{00000000-0005-0000-0000-0000442B0000}"/>
    <cellStyle name="Check Cell 22" xfId="7930" xr:uid="{00000000-0005-0000-0000-0000452B0000}"/>
    <cellStyle name="Check Cell 22 2" xfId="7931" xr:uid="{00000000-0005-0000-0000-0000462B0000}"/>
    <cellStyle name="Check Cell 22 2 2" xfId="17053" xr:uid="{00000000-0005-0000-0000-0000472B0000}"/>
    <cellStyle name="Check Cell 22 3" xfId="7932" xr:uid="{00000000-0005-0000-0000-0000482B0000}"/>
    <cellStyle name="Check Cell 22 3 2" xfId="17054" xr:uid="{00000000-0005-0000-0000-0000492B0000}"/>
    <cellStyle name="Check Cell 22 4" xfId="7933" xr:uid="{00000000-0005-0000-0000-00004A2B0000}"/>
    <cellStyle name="Check Cell 22 4 2" xfId="17055" xr:uid="{00000000-0005-0000-0000-00004B2B0000}"/>
    <cellStyle name="Check Cell 22 5" xfId="7934" xr:uid="{00000000-0005-0000-0000-00004C2B0000}"/>
    <cellStyle name="Check Cell 22 5 2" xfId="17056" xr:uid="{00000000-0005-0000-0000-00004D2B0000}"/>
    <cellStyle name="Check Cell 22 6" xfId="7935" xr:uid="{00000000-0005-0000-0000-00004E2B0000}"/>
    <cellStyle name="Check Cell 22 6 2" xfId="17057" xr:uid="{00000000-0005-0000-0000-00004F2B0000}"/>
    <cellStyle name="Check Cell 22 7" xfId="7936" xr:uid="{00000000-0005-0000-0000-0000502B0000}"/>
    <cellStyle name="Check Cell 22 7 2" xfId="17058" xr:uid="{00000000-0005-0000-0000-0000512B0000}"/>
    <cellStyle name="Check Cell 22 8" xfId="7937" xr:uid="{00000000-0005-0000-0000-0000522B0000}"/>
    <cellStyle name="Check Cell 22 8 2" xfId="17059" xr:uid="{00000000-0005-0000-0000-0000532B0000}"/>
    <cellStyle name="Check Cell 22 9" xfId="7938" xr:uid="{00000000-0005-0000-0000-0000542B0000}"/>
    <cellStyle name="Check Cell 22 9 2" xfId="17060" xr:uid="{00000000-0005-0000-0000-0000552B0000}"/>
    <cellStyle name="Check Cell 23" xfId="7939" xr:uid="{00000000-0005-0000-0000-0000562B0000}"/>
    <cellStyle name="Check Cell 23 2" xfId="7940" xr:uid="{00000000-0005-0000-0000-0000572B0000}"/>
    <cellStyle name="Check Cell 23 2 2" xfId="17061" xr:uid="{00000000-0005-0000-0000-0000582B0000}"/>
    <cellStyle name="Check Cell 23 3" xfId="7941" xr:uid="{00000000-0005-0000-0000-0000592B0000}"/>
    <cellStyle name="Check Cell 23 3 2" xfId="17062" xr:uid="{00000000-0005-0000-0000-00005A2B0000}"/>
    <cellStyle name="Check Cell 23 4" xfId="7942" xr:uid="{00000000-0005-0000-0000-00005B2B0000}"/>
    <cellStyle name="Check Cell 23 4 2" xfId="17063" xr:uid="{00000000-0005-0000-0000-00005C2B0000}"/>
    <cellStyle name="Check Cell 23 5" xfId="7943" xr:uid="{00000000-0005-0000-0000-00005D2B0000}"/>
    <cellStyle name="Check Cell 23 5 2" xfId="17064" xr:uid="{00000000-0005-0000-0000-00005E2B0000}"/>
    <cellStyle name="Check Cell 23 6" xfId="7944" xr:uid="{00000000-0005-0000-0000-00005F2B0000}"/>
    <cellStyle name="Check Cell 23 6 2" xfId="17065" xr:uid="{00000000-0005-0000-0000-0000602B0000}"/>
    <cellStyle name="Check Cell 23 7" xfId="7945" xr:uid="{00000000-0005-0000-0000-0000612B0000}"/>
    <cellStyle name="Check Cell 23 7 2" xfId="17066" xr:uid="{00000000-0005-0000-0000-0000622B0000}"/>
    <cellStyle name="Check Cell 23 8" xfId="7946" xr:uid="{00000000-0005-0000-0000-0000632B0000}"/>
    <cellStyle name="Check Cell 23 8 2" xfId="17067" xr:uid="{00000000-0005-0000-0000-0000642B0000}"/>
    <cellStyle name="Check Cell 23 9" xfId="7947" xr:uid="{00000000-0005-0000-0000-0000652B0000}"/>
    <cellStyle name="Check Cell 23 9 2" xfId="17068" xr:uid="{00000000-0005-0000-0000-0000662B0000}"/>
    <cellStyle name="Check Cell 24" xfId="7948" xr:uid="{00000000-0005-0000-0000-0000672B0000}"/>
    <cellStyle name="Check Cell 24 2" xfId="7949" xr:uid="{00000000-0005-0000-0000-0000682B0000}"/>
    <cellStyle name="Check Cell 24 2 2" xfId="17069" xr:uid="{00000000-0005-0000-0000-0000692B0000}"/>
    <cellStyle name="Check Cell 24 3" xfId="7950" xr:uid="{00000000-0005-0000-0000-00006A2B0000}"/>
    <cellStyle name="Check Cell 24 3 2" xfId="17070" xr:uid="{00000000-0005-0000-0000-00006B2B0000}"/>
    <cellStyle name="Check Cell 24 4" xfId="7951" xr:uid="{00000000-0005-0000-0000-00006C2B0000}"/>
    <cellStyle name="Check Cell 24 4 2" xfId="17071" xr:uid="{00000000-0005-0000-0000-00006D2B0000}"/>
    <cellStyle name="Check Cell 24 5" xfId="7952" xr:uid="{00000000-0005-0000-0000-00006E2B0000}"/>
    <cellStyle name="Check Cell 24 5 2" xfId="17072" xr:uid="{00000000-0005-0000-0000-00006F2B0000}"/>
    <cellStyle name="Check Cell 24 6" xfId="7953" xr:uid="{00000000-0005-0000-0000-0000702B0000}"/>
    <cellStyle name="Check Cell 24 6 2" xfId="17073" xr:uid="{00000000-0005-0000-0000-0000712B0000}"/>
    <cellStyle name="Check Cell 24 7" xfId="7954" xr:uid="{00000000-0005-0000-0000-0000722B0000}"/>
    <cellStyle name="Check Cell 24 7 2" xfId="17074" xr:uid="{00000000-0005-0000-0000-0000732B0000}"/>
    <cellStyle name="Check Cell 24 8" xfId="7955" xr:uid="{00000000-0005-0000-0000-0000742B0000}"/>
    <cellStyle name="Check Cell 24 8 2" xfId="17075" xr:uid="{00000000-0005-0000-0000-0000752B0000}"/>
    <cellStyle name="Check Cell 24 9" xfId="7956" xr:uid="{00000000-0005-0000-0000-0000762B0000}"/>
    <cellStyle name="Check Cell 24 9 2" xfId="17076" xr:uid="{00000000-0005-0000-0000-0000772B0000}"/>
    <cellStyle name="Check Cell 25" xfId="7957" xr:uid="{00000000-0005-0000-0000-0000782B0000}"/>
    <cellStyle name="Check Cell 25 2" xfId="7958" xr:uid="{00000000-0005-0000-0000-0000792B0000}"/>
    <cellStyle name="Check Cell 25 2 2" xfId="17077" xr:uid="{00000000-0005-0000-0000-00007A2B0000}"/>
    <cellStyle name="Check Cell 25 3" xfId="7959" xr:uid="{00000000-0005-0000-0000-00007B2B0000}"/>
    <cellStyle name="Check Cell 25 3 2" xfId="17078" xr:uid="{00000000-0005-0000-0000-00007C2B0000}"/>
    <cellStyle name="Check Cell 25 4" xfId="7960" xr:uid="{00000000-0005-0000-0000-00007D2B0000}"/>
    <cellStyle name="Check Cell 25 4 2" xfId="17079" xr:uid="{00000000-0005-0000-0000-00007E2B0000}"/>
    <cellStyle name="Check Cell 25 5" xfId="7961" xr:uid="{00000000-0005-0000-0000-00007F2B0000}"/>
    <cellStyle name="Check Cell 25 5 2" xfId="17080" xr:uid="{00000000-0005-0000-0000-0000802B0000}"/>
    <cellStyle name="Check Cell 25 6" xfId="7962" xr:uid="{00000000-0005-0000-0000-0000812B0000}"/>
    <cellStyle name="Check Cell 25 6 2" xfId="17081" xr:uid="{00000000-0005-0000-0000-0000822B0000}"/>
    <cellStyle name="Check Cell 25 7" xfId="7963" xr:uid="{00000000-0005-0000-0000-0000832B0000}"/>
    <cellStyle name="Check Cell 25 7 2" xfId="17082" xr:uid="{00000000-0005-0000-0000-0000842B0000}"/>
    <cellStyle name="Check Cell 25 8" xfId="7964" xr:uid="{00000000-0005-0000-0000-0000852B0000}"/>
    <cellStyle name="Check Cell 25 8 2" xfId="17083" xr:uid="{00000000-0005-0000-0000-0000862B0000}"/>
    <cellStyle name="Check Cell 25 9" xfId="7965" xr:uid="{00000000-0005-0000-0000-0000872B0000}"/>
    <cellStyle name="Check Cell 25 9 2" xfId="17084" xr:uid="{00000000-0005-0000-0000-0000882B0000}"/>
    <cellStyle name="Check Cell 26" xfId="7966" xr:uid="{00000000-0005-0000-0000-0000892B0000}"/>
    <cellStyle name="Check Cell 26 2" xfId="7967" xr:uid="{00000000-0005-0000-0000-00008A2B0000}"/>
    <cellStyle name="Check Cell 26 2 2" xfId="17085" xr:uid="{00000000-0005-0000-0000-00008B2B0000}"/>
    <cellStyle name="Check Cell 26 3" xfId="7968" xr:uid="{00000000-0005-0000-0000-00008C2B0000}"/>
    <cellStyle name="Check Cell 26 3 2" xfId="17086" xr:uid="{00000000-0005-0000-0000-00008D2B0000}"/>
    <cellStyle name="Check Cell 26 4" xfId="7969" xr:uid="{00000000-0005-0000-0000-00008E2B0000}"/>
    <cellStyle name="Check Cell 26 4 2" xfId="17087" xr:uid="{00000000-0005-0000-0000-00008F2B0000}"/>
    <cellStyle name="Check Cell 26 5" xfId="7970" xr:uid="{00000000-0005-0000-0000-0000902B0000}"/>
    <cellStyle name="Check Cell 26 5 2" xfId="17088" xr:uid="{00000000-0005-0000-0000-0000912B0000}"/>
    <cellStyle name="Check Cell 26 6" xfId="7971" xr:uid="{00000000-0005-0000-0000-0000922B0000}"/>
    <cellStyle name="Check Cell 26 6 2" xfId="17089" xr:uid="{00000000-0005-0000-0000-0000932B0000}"/>
    <cellStyle name="Check Cell 26 7" xfId="7972" xr:uid="{00000000-0005-0000-0000-0000942B0000}"/>
    <cellStyle name="Check Cell 26 7 2" xfId="17090" xr:uid="{00000000-0005-0000-0000-0000952B0000}"/>
    <cellStyle name="Check Cell 26 8" xfId="7973" xr:uid="{00000000-0005-0000-0000-0000962B0000}"/>
    <cellStyle name="Check Cell 26 8 2" xfId="17091" xr:uid="{00000000-0005-0000-0000-0000972B0000}"/>
    <cellStyle name="Check Cell 26 9" xfId="7974" xr:uid="{00000000-0005-0000-0000-0000982B0000}"/>
    <cellStyle name="Check Cell 26 9 2" xfId="17092" xr:uid="{00000000-0005-0000-0000-0000992B0000}"/>
    <cellStyle name="Check Cell 27" xfId="7975" xr:uid="{00000000-0005-0000-0000-00009A2B0000}"/>
    <cellStyle name="Check Cell 27 2" xfId="7976" xr:uid="{00000000-0005-0000-0000-00009B2B0000}"/>
    <cellStyle name="Check Cell 27 2 2" xfId="17093" xr:uid="{00000000-0005-0000-0000-00009C2B0000}"/>
    <cellStyle name="Check Cell 27 3" xfId="7977" xr:uid="{00000000-0005-0000-0000-00009D2B0000}"/>
    <cellStyle name="Check Cell 27 3 2" xfId="17094" xr:uid="{00000000-0005-0000-0000-00009E2B0000}"/>
    <cellStyle name="Check Cell 27 4" xfId="7978" xr:uid="{00000000-0005-0000-0000-00009F2B0000}"/>
    <cellStyle name="Check Cell 27 4 2" xfId="17095" xr:uid="{00000000-0005-0000-0000-0000A02B0000}"/>
    <cellStyle name="Check Cell 27 5" xfId="7979" xr:uid="{00000000-0005-0000-0000-0000A12B0000}"/>
    <cellStyle name="Check Cell 27 5 2" xfId="17096" xr:uid="{00000000-0005-0000-0000-0000A22B0000}"/>
    <cellStyle name="Check Cell 27 6" xfId="7980" xr:uid="{00000000-0005-0000-0000-0000A32B0000}"/>
    <cellStyle name="Check Cell 27 6 2" xfId="17097" xr:uid="{00000000-0005-0000-0000-0000A42B0000}"/>
    <cellStyle name="Check Cell 27 7" xfId="7981" xr:uid="{00000000-0005-0000-0000-0000A52B0000}"/>
    <cellStyle name="Check Cell 27 7 2" xfId="17098" xr:uid="{00000000-0005-0000-0000-0000A62B0000}"/>
    <cellStyle name="Check Cell 27 8" xfId="7982" xr:uid="{00000000-0005-0000-0000-0000A72B0000}"/>
    <cellStyle name="Check Cell 27 8 2" xfId="17099" xr:uid="{00000000-0005-0000-0000-0000A82B0000}"/>
    <cellStyle name="Check Cell 27 9" xfId="7983" xr:uid="{00000000-0005-0000-0000-0000A92B0000}"/>
    <cellStyle name="Check Cell 27 9 2" xfId="17100" xr:uid="{00000000-0005-0000-0000-0000AA2B0000}"/>
    <cellStyle name="Check Cell 28" xfId="7984" xr:uid="{00000000-0005-0000-0000-0000AB2B0000}"/>
    <cellStyle name="Check Cell 28 2" xfId="7985" xr:uid="{00000000-0005-0000-0000-0000AC2B0000}"/>
    <cellStyle name="Check Cell 28 2 2" xfId="17101" xr:uid="{00000000-0005-0000-0000-0000AD2B0000}"/>
    <cellStyle name="Check Cell 28 3" xfId="7986" xr:uid="{00000000-0005-0000-0000-0000AE2B0000}"/>
    <cellStyle name="Check Cell 28 3 2" xfId="17102" xr:uid="{00000000-0005-0000-0000-0000AF2B0000}"/>
    <cellStyle name="Check Cell 28 4" xfId="7987" xr:uid="{00000000-0005-0000-0000-0000B02B0000}"/>
    <cellStyle name="Check Cell 28 4 2" xfId="17103" xr:uid="{00000000-0005-0000-0000-0000B12B0000}"/>
    <cellStyle name="Check Cell 28 5" xfId="7988" xr:uid="{00000000-0005-0000-0000-0000B22B0000}"/>
    <cellStyle name="Check Cell 28 5 2" xfId="17104" xr:uid="{00000000-0005-0000-0000-0000B32B0000}"/>
    <cellStyle name="Check Cell 28 6" xfId="7989" xr:uid="{00000000-0005-0000-0000-0000B42B0000}"/>
    <cellStyle name="Check Cell 28 6 2" xfId="17105" xr:uid="{00000000-0005-0000-0000-0000B52B0000}"/>
    <cellStyle name="Check Cell 28 7" xfId="7990" xr:uid="{00000000-0005-0000-0000-0000B62B0000}"/>
    <cellStyle name="Check Cell 28 7 2" xfId="17106" xr:uid="{00000000-0005-0000-0000-0000B72B0000}"/>
    <cellStyle name="Check Cell 28 8" xfId="7991" xr:uid="{00000000-0005-0000-0000-0000B82B0000}"/>
    <cellStyle name="Check Cell 28 8 2" xfId="17107" xr:uid="{00000000-0005-0000-0000-0000B92B0000}"/>
    <cellStyle name="Check Cell 28 9" xfId="7992" xr:uid="{00000000-0005-0000-0000-0000BA2B0000}"/>
    <cellStyle name="Check Cell 28 9 2" xfId="17108" xr:uid="{00000000-0005-0000-0000-0000BB2B0000}"/>
    <cellStyle name="Check Cell 29" xfId="7993" xr:uid="{00000000-0005-0000-0000-0000BC2B0000}"/>
    <cellStyle name="Check Cell 29 2" xfId="7994" xr:uid="{00000000-0005-0000-0000-0000BD2B0000}"/>
    <cellStyle name="Check Cell 29 2 2" xfId="17109" xr:uid="{00000000-0005-0000-0000-0000BE2B0000}"/>
    <cellStyle name="Check Cell 29 3" xfId="7995" xr:uid="{00000000-0005-0000-0000-0000BF2B0000}"/>
    <cellStyle name="Check Cell 29 3 2" xfId="17110" xr:uid="{00000000-0005-0000-0000-0000C02B0000}"/>
    <cellStyle name="Check Cell 29 4" xfId="7996" xr:uid="{00000000-0005-0000-0000-0000C12B0000}"/>
    <cellStyle name="Check Cell 29 4 2" xfId="17111" xr:uid="{00000000-0005-0000-0000-0000C22B0000}"/>
    <cellStyle name="Check Cell 29 5" xfId="7997" xr:uid="{00000000-0005-0000-0000-0000C32B0000}"/>
    <cellStyle name="Check Cell 29 5 2" xfId="17112" xr:uid="{00000000-0005-0000-0000-0000C42B0000}"/>
    <cellStyle name="Check Cell 29 6" xfId="7998" xr:uid="{00000000-0005-0000-0000-0000C52B0000}"/>
    <cellStyle name="Check Cell 29 6 2" xfId="17113" xr:uid="{00000000-0005-0000-0000-0000C62B0000}"/>
    <cellStyle name="Check Cell 29 7" xfId="7999" xr:uid="{00000000-0005-0000-0000-0000C72B0000}"/>
    <cellStyle name="Check Cell 29 7 2" xfId="17114" xr:uid="{00000000-0005-0000-0000-0000C82B0000}"/>
    <cellStyle name="Check Cell 29 8" xfId="8000" xr:uid="{00000000-0005-0000-0000-0000C92B0000}"/>
    <cellStyle name="Check Cell 29 8 2" xfId="17115" xr:uid="{00000000-0005-0000-0000-0000CA2B0000}"/>
    <cellStyle name="Check Cell 29 9" xfId="8001" xr:uid="{00000000-0005-0000-0000-0000CB2B0000}"/>
    <cellStyle name="Check Cell 29 9 2" xfId="17116" xr:uid="{00000000-0005-0000-0000-0000CC2B0000}"/>
    <cellStyle name="Check Cell 3" xfId="8002" xr:uid="{00000000-0005-0000-0000-0000CD2B0000}"/>
    <cellStyle name="Check Cell 3 10" xfId="8003" xr:uid="{00000000-0005-0000-0000-0000CE2B0000}"/>
    <cellStyle name="Check Cell 3 10 2" xfId="17117" xr:uid="{00000000-0005-0000-0000-0000CF2B0000}"/>
    <cellStyle name="Check Cell 3 11" xfId="8004" xr:uid="{00000000-0005-0000-0000-0000D02B0000}"/>
    <cellStyle name="Check Cell 3 11 2" xfId="17118" xr:uid="{00000000-0005-0000-0000-0000D12B0000}"/>
    <cellStyle name="Check Cell 3 12" xfId="22041" xr:uid="{00000000-0005-0000-0000-0000D22B0000}"/>
    <cellStyle name="Check Cell 3 2" xfId="8005" xr:uid="{00000000-0005-0000-0000-0000D32B0000}"/>
    <cellStyle name="Check Cell 3 2 2" xfId="8006" xr:uid="{00000000-0005-0000-0000-0000D42B0000}"/>
    <cellStyle name="Check Cell 3 2 2 2" xfId="17119" xr:uid="{00000000-0005-0000-0000-0000D52B0000}"/>
    <cellStyle name="Check Cell 3 3" xfId="8007" xr:uid="{00000000-0005-0000-0000-0000D62B0000}"/>
    <cellStyle name="Check Cell 3 3 2" xfId="8008" xr:uid="{00000000-0005-0000-0000-0000D72B0000}"/>
    <cellStyle name="Check Cell 3 3 2 2" xfId="17120" xr:uid="{00000000-0005-0000-0000-0000D82B0000}"/>
    <cellStyle name="Check Cell 3 4" xfId="8009" xr:uid="{00000000-0005-0000-0000-0000D92B0000}"/>
    <cellStyle name="Check Cell 3 4 2" xfId="8010" xr:uid="{00000000-0005-0000-0000-0000DA2B0000}"/>
    <cellStyle name="Check Cell 3 4 3" xfId="17121" xr:uid="{00000000-0005-0000-0000-0000DB2B0000}"/>
    <cellStyle name="Check Cell 3 5" xfId="8011" xr:uid="{00000000-0005-0000-0000-0000DC2B0000}"/>
    <cellStyle name="Check Cell 3 5 2" xfId="17122" xr:uid="{00000000-0005-0000-0000-0000DD2B0000}"/>
    <cellStyle name="Check Cell 3 6" xfId="8012" xr:uid="{00000000-0005-0000-0000-0000DE2B0000}"/>
    <cellStyle name="Check Cell 3 6 2" xfId="17123" xr:uid="{00000000-0005-0000-0000-0000DF2B0000}"/>
    <cellStyle name="Check Cell 3 7" xfId="8013" xr:uid="{00000000-0005-0000-0000-0000E02B0000}"/>
    <cellStyle name="Check Cell 3 7 2" xfId="17124" xr:uid="{00000000-0005-0000-0000-0000E12B0000}"/>
    <cellStyle name="Check Cell 3 8" xfId="8014" xr:uid="{00000000-0005-0000-0000-0000E22B0000}"/>
    <cellStyle name="Check Cell 3 8 2" xfId="17125" xr:uid="{00000000-0005-0000-0000-0000E32B0000}"/>
    <cellStyle name="Check Cell 3 9" xfId="8015" xr:uid="{00000000-0005-0000-0000-0000E42B0000}"/>
    <cellStyle name="Check Cell 3 9 2" xfId="17126" xr:uid="{00000000-0005-0000-0000-0000E52B0000}"/>
    <cellStyle name="Check Cell 30" xfId="8016" xr:uid="{00000000-0005-0000-0000-0000E62B0000}"/>
    <cellStyle name="Check Cell 30 2" xfId="8017" xr:uid="{00000000-0005-0000-0000-0000E72B0000}"/>
    <cellStyle name="Check Cell 30 2 2" xfId="17127" xr:uid="{00000000-0005-0000-0000-0000E82B0000}"/>
    <cellStyle name="Check Cell 31" xfId="8018" xr:uid="{00000000-0005-0000-0000-0000E92B0000}"/>
    <cellStyle name="Check Cell 31 2" xfId="8019" xr:uid="{00000000-0005-0000-0000-0000EA2B0000}"/>
    <cellStyle name="Check Cell 31 2 2" xfId="17128" xr:uid="{00000000-0005-0000-0000-0000EB2B0000}"/>
    <cellStyle name="Check Cell 32" xfId="8020" xr:uid="{00000000-0005-0000-0000-0000EC2B0000}"/>
    <cellStyle name="Check Cell 32 2" xfId="8021" xr:uid="{00000000-0005-0000-0000-0000ED2B0000}"/>
    <cellStyle name="Check Cell 32 2 2" xfId="17129" xr:uid="{00000000-0005-0000-0000-0000EE2B0000}"/>
    <cellStyle name="Check Cell 33" xfId="8022" xr:uid="{00000000-0005-0000-0000-0000EF2B0000}"/>
    <cellStyle name="Check Cell 33 2" xfId="8023" xr:uid="{00000000-0005-0000-0000-0000F02B0000}"/>
    <cellStyle name="Check Cell 33 2 2" xfId="17130" xr:uid="{00000000-0005-0000-0000-0000F12B0000}"/>
    <cellStyle name="Check Cell 34" xfId="8024" xr:uid="{00000000-0005-0000-0000-0000F22B0000}"/>
    <cellStyle name="Check Cell 34 2" xfId="8025" xr:uid="{00000000-0005-0000-0000-0000F32B0000}"/>
    <cellStyle name="Check Cell 34 2 2" xfId="17131" xr:uid="{00000000-0005-0000-0000-0000F42B0000}"/>
    <cellStyle name="Check Cell 35" xfId="8026" xr:uid="{00000000-0005-0000-0000-0000F52B0000}"/>
    <cellStyle name="Check Cell 35 2" xfId="8027" xr:uid="{00000000-0005-0000-0000-0000F62B0000}"/>
    <cellStyle name="Check Cell 35 2 2" xfId="17132" xr:uid="{00000000-0005-0000-0000-0000F72B0000}"/>
    <cellStyle name="Check Cell 36" xfId="8028" xr:uid="{00000000-0005-0000-0000-0000F82B0000}"/>
    <cellStyle name="Check Cell 37" xfId="8029" xr:uid="{00000000-0005-0000-0000-0000F92B0000}"/>
    <cellStyle name="Check Cell 38" xfId="8030" xr:uid="{00000000-0005-0000-0000-0000FA2B0000}"/>
    <cellStyle name="Check Cell 39" xfId="8031" xr:uid="{00000000-0005-0000-0000-0000FB2B0000}"/>
    <cellStyle name="Check Cell 4" xfId="8032" xr:uid="{00000000-0005-0000-0000-0000FC2B0000}"/>
    <cellStyle name="Check Cell 4 10" xfId="8033" xr:uid="{00000000-0005-0000-0000-0000FD2B0000}"/>
    <cellStyle name="Check Cell 4 10 2" xfId="17133" xr:uid="{00000000-0005-0000-0000-0000FE2B0000}"/>
    <cellStyle name="Check Cell 4 11" xfId="8034" xr:uid="{00000000-0005-0000-0000-0000FF2B0000}"/>
    <cellStyle name="Check Cell 4 11 2" xfId="17134" xr:uid="{00000000-0005-0000-0000-0000002C0000}"/>
    <cellStyle name="Check Cell 4 2" xfId="8035" xr:uid="{00000000-0005-0000-0000-0000012C0000}"/>
    <cellStyle name="Check Cell 4 2 2" xfId="8036" xr:uid="{00000000-0005-0000-0000-0000022C0000}"/>
    <cellStyle name="Check Cell 4 2 2 2" xfId="17135" xr:uid="{00000000-0005-0000-0000-0000032C0000}"/>
    <cellStyle name="Check Cell 4 3" xfId="8037" xr:uid="{00000000-0005-0000-0000-0000042C0000}"/>
    <cellStyle name="Check Cell 4 3 2" xfId="8038" xr:uid="{00000000-0005-0000-0000-0000052C0000}"/>
    <cellStyle name="Check Cell 4 3 2 2" xfId="17136" xr:uid="{00000000-0005-0000-0000-0000062C0000}"/>
    <cellStyle name="Check Cell 4 4" xfId="8039" xr:uid="{00000000-0005-0000-0000-0000072C0000}"/>
    <cellStyle name="Check Cell 4 4 2" xfId="8040" xr:uid="{00000000-0005-0000-0000-0000082C0000}"/>
    <cellStyle name="Check Cell 4 4 3" xfId="17137" xr:uid="{00000000-0005-0000-0000-0000092C0000}"/>
    <cellStyle name="Check Cell 4 5" xfId="8041" xr:uid="{00000000-0005-0000-0000-00000A2C0000}"/>
    <cellStyle name="Check Cell 4 5 2" xfId="17138" xr:uid="{00000000-0005-0000-0000-00000B2C0000}"/>
    <cellStyle name="Check Cell 4 6" xfId="8042" xr:uid="{00000000-0005-0000-0000-00000C2C0000}"/>
    <cellStyle name="Check Cell 4 6 2" xfId="17139" xr:uid="{00000000-0005-0000-0000-00000D2C0000}"/>
    <cellStyle name="Check Cell 4 7" xfId="8043" xr:uid="{00000000-0005-0000-0000-00000E2C0000}"/>
    <cellStyle name="Check Cell 4 7 2" xfId="17140" xr:uid="{00000000-0005-0000-0000-00000F2C0000}"/>
    <cellStyle name="Check Cell 4 8" xfId="8044" xr:uid="{00000000-0005-0000-0000-0000102C0000}"/>
    <cellStyle name="Check Cell 4 8 2" xfId="17141" xr:uid="{00000000-0005-0000-0000-0000112C0000}"/>
    <cellStyle name="Check Cell 4 9" xfId="8045" xr:uid="{00000000-0005-0000-0000-0000122C0000}"/>
    <cellStyle name="Check Cell 4 9 2" xfId="17142" xr:uid="{00000000-0005-0000-0000-0000132C0000}"/>
    <cellStyle name="Check Cell 5" xfId="8046" xr:uid="{00000000-0005-0000-0000-0000142C0000}"/>
    <cellStyle name="Check Cell 5 10" xfId="8047" xr:uid="{00000000-0005-0000-0000-0000152C0000}"/>
    <cellStyle name="Check Cell 5 10 2" xfId="17143" xr:uid="{00000000-0005-0000-0000-0000162C0000}"/>
    <cellStyle name="Check Cell 5 11" xfId="8048" xr:uid="{00000000-0005-0000-0000-0000172C0000}"/>
    <cellStyle name="Check Cell 5 11 2" xfId="17144" xr:uid="{00000000-0005-0000-0000-0000182C0000}"/>
    <cellStyle name="Check Cell 5 2" xfId="8049" xr:uid="{00000000-0005-0000-0000-0000192C0000}"/>
    <cellStyle name="Check Cell 5 2 2" xfId="8050" xr:uid="{00000000-0005-0000-0000-00001A2C0000}"/>
    <cellStyle name="Check Cell 5 2 2 2" xfId="17145" xr:uid="{00000000-0005-0000-0000-00001B2C0000}"/>
    <cellStyle name="Check Cell 5 3" xfId="8051" xr:uid="{00000000-0005-0000-0000-00001C2C0000}"/>
    <cellStyle name="Check Cell 5 3 2" xfId="8052" xr:uid="{00000000-0005-0000-0000-00001D2C0000}"/>
    <cellStyle name="Check Cell 5 3 2 2" xfId="17146" xr:uid="{00000000-0005-0000-0000-00001E2C0000}"/>
    <cellStyle name="Check Cell 5 4" xfId="8053" xr:uid="{00000000-0005-0000-0000-00001F2C0000}"/>
    <cellStyle name="Check Cell 5 4 2" xfId="8054" xr:uid="{00000000-0005-0000-0000-0000202C0000}"/>
    <cellStyle name="Check Cell 5 4 3" xfId="17147" xr:uid="{00000000-0005-0000-0000-0000212C0000}"/>
    <cellStyle name="Check Cell 5 5" xfId="8055" xr:uid="{00000000-0005-0000-0000-0000222C0000}"/>
    <cellStyle name="Check Cell 5 5 2" xfId="17148" xr:uid="{00000000-0005-0000-0000-0000232C0000}"/>
    <cellStyle name="Check Cell 5 6" xfId="8056" xr:uid="{00000000-0005-0000-0000-0000242C0000}"/>
    <cellStyle name="Check Cell 5 6 2" xfId="17149" xr:uid="{00000000-0005-0000-0000-0000252C0000}"/>
    <cellStyle name="Check Cell 5 7" xfId="8057" xr:uid="{00000000-0005-0000-0000-0000262C0000}"/>
    <cellStyle name="Check Cell 5 7 2" xfId="17150" xr:uid="{00000000-0005-0000-0000-0000272C0000}"/>
    <cellStyle name="Check Cell 5 8" xfId="8058" xr:uid="{00000000-0005-0000-0000-0000282C0000}"/>
    <cellStyle name="Check Cell 5 8 2" xfId="17151" xr:uid="{00000000-0005-0000-0000-0000292C0000}"/>
    <cellStyle name="Check Cell 5 9" xfId="8059" xr:uid="{00000000-0005-0000-0000-00002A2C0000}"/>
    <cellStyle name="Check Cell 5 9 2" xfId="17152" xr:uid="{00000000-0005-0000-0000-00002B2C0000}"/>
    <cellStyle name="Check Cell 6" xfId="8060" xr:uid="{00000000-0005-0000-0000-00002C2C0000}"/>
    <cellStyle name="Check Cell 6 10" xfId="8061" xr:uid="{00000000-0005-0000-0000-00002D2C0000}"/>
    <cellStyle name="Check Cell 6 10 2" xfId="17153" xr:uid="{00000000-0005-0000-0000-00002E2C0000}"/>
    <cellStyle name="Check Cell 6 11" xfId="8062" xr:uid="{00000000-0005-0000-0000-00002F2C0000}"/>
    <cellStyle name="Check Cell 6 11 2" xfId="17154" xr:uid="{00000000-0005-0000-0000-0000302C0000}"/>
    <cellStyle name="Check Cell 6 2" xfId="8063" xr:uid="{00000000-0005-0000-0000-0000312C0000}"/>
    <cellStyle name="Check Cell 6 2 2" xfId="8064" xr:uid="{00000000-0005-0000-0000-0000322C0000}"/>
    <cellStyle name="Check Cell 6 2 2 2" xfId="17155" xr:uid="{00000000-0005-0000-0000-0000332C0000}"/>
    <cellStyle name="Check Cell 6 3" xfId="8065" xr:uid="{00000000-0005-0000-0000-0000342C0000}"/>
    <cellStyle name="Check Cell 6 3 2" xfId="8066" xr:uid="{00000000-0005-0000-0000-0000352C0000}"/>
    <cellStyle name="Check Cell 6 3 2 2" xfId="17156" xr:uid="{00000000-0005-0000-0000-0000362C0000}"/>
    <cellStyle name="Check Cell 6 4" xfId="8067" xr:uid="{00000000-0005-0000-0000-0000372C0000}"/>
    <cellStyle name="Check Cell 6 4 2" xfId="8068" xr:uid="{00000000-0005-0000-0000-0000382C0000}"/>
    <cellStyle name="Check Cell 6 4 3" xfId="17157" xr:uid="{00000000-0005-0000-0000-0000392C0000}"/>
    <cellStyle name="Check Cell 6 5" xfId="8069" xr:uid="{00000000-0005-0000-0000-00003A2C0000}"/>
    <cellStyle name="Check Cell 6 5 2" xfId="17158" xr:uid="{00000000-0005-0000-0000-00003B2C0000}"/>
    <cellStyle name="Check Cell 6 6" xfId="8070" xr:uid="{00000000-0005-0000-0000-00003C2C0000}"/>
    <cellStyle name="Check Cell 6 6 2" xfId="17159" xr:uid="{00000000-0005-0000-0000-00003D2C0000}"/>
    <cellStyle name="Check Cell 6 7" xfId="8071" xr:uid="{00000000-0005-0000-0000-00003E2C0000}"/>
    <cellStyle name="Check Cell 6 7 2" xfId="17160" xr:uid="{00000000-0005-0000-0000-00003F2C0000}"/>
    <cellStyle name="Check Cell 6 8" xfId="8072" xr:uid="{00000000-0005-0000-0000-0000402C0000}"/>
    <cellStyle name="Check Cell 6 8 2" xfId="17161" xr:uid="{00000000-0005-0000-0000-0000412C0000}"/>
    <cellStyle name="Check Cell 6 9" xfId="8073" xr:uid="{00000000-0005-0000-0000-0000422C0000}"/>
    <cellStyle name="Check Cell 6 9 2" xfId="17162" xr:uid="{00000000-0005-0000-0000-0000432C0000}"/>
    <cellStyle name="Check Cell 7" xfId="8074" xr:uid="{00000000-0005-0000-0000-0000442C0000}"/>
    <cellStyle name="Check Cell 7 10" xfId="8075" xr:uid="{00000000-0005-0000-0000-0000452C0000}"/>
    <cellStyle name="Check Cell 7 10 2" xfId="17163" xr:uid="{00000000-0005-0000-0000-0000462C0000}"/>
    <cellStyle name="Check Cell 7 11" xfId="8076" xr:uid="{00000000-0005-0000-0000-0000472C0000}"/>
    <cellStyle name="Check Cell 7 11 2" xfId="17164" xr:uid="{00000000-0005-0000-0000-0000482C0000}"/>
    <cellStyle name="Check Cell 7 2" xfId="8077" xr:uid="{00000000-0005-0000-0000-0000492C0000}"/>
    <cellStyle name="Check Cell 7 2 2" xfId="8078" xr:uid="{00000000-0005-0000-0000-00004A2C0000}"/>
    <cellStyle name="Check Cell 7 2 2 2" xfId="17165" xr:uid="{00000000-0005-0000-0000-00004B2C0000}"/>
    <cellStyle name="Check Cell 7 3" xfId="8079" xr:uid="{00000000-0005-0000-0000-00004C2C0000}"/>
    <cellStyle name="Check Cell 7 3 2" xfId="8080" xr:uid="{00000000-0005-0000-0000-00004D2C0000}"/>
    <cellStyle name="Check Cell 7 3 2 2" xfId="17166" xr:uid="{00000000-0005-0000-0000-00004E2C0000}"/>
    <cellStyle name="Check Cell 7 4" xfId="8081" xr:uid="{00000000-0005-0000-0000-00004F2C0000}"/>
    <cellStyle name="Check Cell 7 4 2" xfId="8082" xr:uid="{00000000-0005-0000-0000-0000502C0000}"/>
    <cellStyle name="Check Cell 7 4 3" xfId="17167" xr:uid="{00000000-0005-0000-0000-0000512C0000}"/>
    <cellStyle name="Check Cell 7 5" xfId="8083" xr:uid="{00000000-0005-0000-0000-0000522C0000}"/>
    <cellStyle name="Check Cell 7 5 2" xfId="17168" xr:uid="{00000000-0005-0000-0000-0000532C0000}"/>
    <cellStyle name="Check Cell 7 6" xfId="8084" xr:uid="{00000000-0005-0000-0000-0000542C0000}"/>
    <cellStyle name="Check Cell 7 6 2" xfId="17169" xr:uid="{00000000-0005-0000-0000-0000552C0000}"/>
    <cellStyle name="Check Cell 7 7" xfId="8085" xr:uid="{00000000-0005-0000-0000-0000562C0000}"/>
    <cellStyle name="Check Cell 7 7 2" xfId="17170" xr:uid="{00000000-0005-0000-0000-0000572C0000}"/>
    <cellStyle name="Check Cell 7 8" xfId="8086" xr:uid="{00000000-0005-0000-0000-0000582C0000}"/>
    <cellStyle name="Check Cell 7 8 2" xfId="17171" xr:uid="{00000000-0005-0000-0000-0000592C0000}"/>
    <cellStyle name="Check Cell 7 9" xfId="8087" xr:uid="{00000000-0005-0000-0000-00005A2C0000}"/>
    <cellStyle name="Check Cell 7 9 2" xfId="17172" xr:uid="{00000000-0005-0000-0000-00005B2C0000}"/>
    <cellStyle name="Check Cell 8" xfId="8088" xr:uid="{00000000-0005-0000-0000-00005C2C0000}"/>
    <cellStyle name="Check Cell 8 10" xfId="8089" xr:uid="{00000000-0005-0000-0000-00005D2C0000}"/>
    <cellStyle name="Check Cell 8 10 2" xfId="17173" xr:uid="{00000000-0005-0000-0000-00005E2C0000}"/>
    <cellStyle name="Check Cell 8 11" xfId="8090" xr:uid="{00000000-0005-0000-0000-00005F2C0000}"/>
    <cellStyle name="Check Cell 8 11 2" xfId="17174" xr:uid="{00000000-0005-0000-0000-0000602C0000}"/>
    <cellStyle name="Check Cell 8 2" xfId="8091" xr:uid="{00000000-0005-0000-0000-0000612C0000}"/>
    <cellStyle name="Check Cell 8 2 2" xfId="8092" xr:uid="{00000000-0005-0000-0000-0000622C0000}"/>
    <cellStyle name="Check Cell 8 2 2 2" xfId="17175" xr:uid="{00000000-0005-0000-0000-0000632C0000}"/>
    <cellStyle name="Check Cell 8 3" xfId="8093" xr:uid="{00000000-0005-0000-0000-0000642C0000}"/>
    <cellStyle name="Check Cell 8 3 2" xfId="8094" xr:uid="{00000000-0005-0000-0000-0000652C0000}"/>
    <cellStyle name="Check Cell 8 3 2 2" xfId="17176" xr:uid="{00000000-0005-0000-0000-0000662C0000}"/>
    <cellStyle name="Check Cell 8 4" xfId="8095" xr:uid="{00000000-0005-0000-0000-0000672C0000}"/>
    <cellStyle name="Check Cell 8 4 2" xfId="8096" xr:uid="{00000000-0005-0000-0000-0000682C0000}"/>
    <cellStyle name="Check Cell 8 4 3" xfId="17177" xr:uid="{00000000-0005-0000-0000-0000692C0000}"/>
    <cellStyle name="Check Cell 8 5" xfId="8097" xr:uid="{00000000-0005-0000-0000-00006A2C0000}"/>
    <cellStyle name="Check Cell 8 5 2" xfId="17178" xr:uid="{00000000-0005-0000-0000-00006B2C0000}"/>
    <cellStyle name="Check Cell 8 6" xfId="8098" xr:uid="{00000000-0005-0000-0000-00006C2C0000}"/>
    <cellStyle name="Check Cell 8 6 2" xfId="17179" xr:uid="{00000000-0005-0000-0000-00006D2C0000}"/>
    <cellStyle name="Check Cell 8 7" xfId="8099" xr:uid="{00000000-0005-0000-0000-00006E2C0000}"/>
    <cellStyle name="Check Cell 8 7 2" xfId="17180" xr:uid="{00000000-0005-0000-0000-00006F2C0000}"/>
    <cellStyle name="Check Cell 8 8" xfId="8100" xr:uid="{00000000-0005-0000-0000-0000702C0000}"/>
    <cellStyle name="Check Cell 8 8 2" xfId="17181" xr:uid="{00000000-0005-0000-0000-0000712C0000}"/>
    <cellStyle name="Check Cell 8 9" xfId="8101" xr:uid="{00000000-0005-0000-0000-0000722C0000}"/>
    <cellStyle name="Check Cell 8 9 2" xfId="17182" xr:uid="{00000000-0005-0000-0000-0000732C0000}"/>
    <cellStyle name="Check Cell 9" xfId="8102" xr:uid="{00000000-0005-0000-0000-0000742C0000}"/>
    <cellStyle name="Check Cell 9 10" xfId="8103" xr:uid="{00000000-0005-0000-0000-0000752C0000}"/>
    <cellStyle name="Check Cell 9 10 2" xfId="17183" xr:uid="{00000000-0005-0000-0000-0000762C0000}"/>
    <cellStyle name="Check Cell 9 11" xfId="8104" xr:uid="{00000000-0005-0000-0000-0000772C0000}"/>
    <cellStyle name="Check Cell 9 11 2" xfId="17184" xr:uid="{00000000-0005-0000-0000-0000782C0000}"/>
    <cellStyle name="Check Cell 9 2" xfId="8105" xr:uid="{00000000-0005-0000-0000-0000792C0000}"/>
    <cellStyle name="Check Cell 9 2 2" xfId="8106" xr:uid="{00000000-0005-0000-0000-00007A2C0000}"/>
    <cellStyle name="Check Cell 9 2 2 2" xfId="17185" xr:uid="{00000000-0005-0000-0000-00007B2C0000}"/>
    <cellStyle name="Check Cell 9 3" xfId="8107" xr:uid="{00000000-0005-0000-0000-00007C2C0000}"/>
    <cellStyle name="Check Cell 9 3 2" xfId="8108" xr:uid="{00000000-0005-0000-0000-00007D2C0000}"/>
    <cellStyle name="Check Cell 9 3 2 2" xfId="17186" xr:uid="{00000000-0005-0000-0000-00007E2C0000}"/>
    <cellStyle name="Check Cell 9 4" xfId="8109" xr:uid="{00000000-0005-0000-0000-00007F2C0000}"/>
    <cellStyle name="Check Cell 9 4 2" xfId="8110" xr:uid="{00000000-0005-0000-0000-0000802C0000}"/>
    <cellStyle name="Check Cell 9 4 3" xfId="17187" xr:uid="{00000000-0005-0000-0000-0000812C0000}"/>
    <cellStyle name="Check Cell 9 5" xfId="8111" xr:uid="{00000000-0005-0000-0000-0000822C0000}"/>
    <cellStyle name="Check Cell 9 5 2" xfId="17188" xr:uid="{00000000-0005-0000-0000-0000832C0000}"/>
    <cellStyle name="Check Cell 9 6" xfId="8112" xr:uid="{00000000-0005-0000-0000-0000842C0000}"/>
    <cellStyle name="Check Cell 9 6 2" xfId="17189" xr:uid="{00000000-0005-0000-0000-0000852C0000}"/>
    <cellStyle name="Check Cell 9 7" xfId="8113" xr:uid="{00000000-0005-0000-0000-0000862C0000}"/>
    <cellStyle name="Check Cell 9 7 2" xfId="17190" xr:uid="{00000000-0005-0000-0000-0000872C0000}"/>
    <cellStyle name="Check Cell 9 8" xfId="8114" xr:uid="{00000000-0005-0000-0000-0000882C0000}"/>
    <cellStyle name="Check Cell 9 8 2" xfId="17191" xr:uid="{00000000-0005-0000-0000-0000892C0000}"/>
    <cellStyle name="Check Cell 9 9" xfId="8115" xr:uid="{00000000-0005-0000-0000-00008A2C0000}"/>
    <cellStyle name="Check Cell 9 9 2" xfId="17192" xr:uid="{00000000-0005-0000-0000-00008B2C0000}"/>
    <cellStyle name="Comma" xfId="23544" builtinId="3"/>
    <cellStyle name="Comma [0] 2" xfId="8116" xr:uid="{00000000-0005-0000-0000-00008C2C0000}"/>
    <cellStyle name="Comma 10" xfId="8117" xr:uid="{00000000-0005-0000-0000-00008D2C0000}"/>
    <cellStyle name="Comma 10 10" xfId="8118" xr:uid="{00000000-0005-0000-0000-00008E2C0000}"/>
    <cellStyle name="Comma 10 10 2" xfId="8119" xr:uid="{00000000-0005-0000-0000-00008F2C0000}"/>
    <cellStyle name="Comma 10 10 2 2" xfId="17193" xr:uid="{00000000-0005-0000-0000-0000902C0000}"/>
    <cellStyle name="Comma 10 11" xfId="8120" xr:uid="{00000000-0005-0000-0000-0000912C0000}"/>
    <cellStyle name="Comma 10 11 2" xfId="8121" xr:uid="{00000000-0005-0000-0000-0000922C0000}"/>
    <cellStyle name="Comma 10 11 2 2" xfId="17194" xr:uid="{00000000-0005-0000-0000-0000932C0000}"/>
    <cellStyle name="Comma 10 12" xfId="8122" xr:uid="{00000000-0005-0000-0000-0000942C0000}"/>
    <cellStyle name="Comma 10 12 2" xfId="8123" xr:uid="{00000000-0005-0000-0000-0000952C0000}"/>
    <cellStyle name="Comma 10 12 2 2" xfId="17195" xr:uid="{00000000-0005-0000-0000-0000962C0000}"/>
    <cellStyle name="Comma 10 13" xfId="8124" xr:uid="{00000000-0005-0000-0000-0000972C0000}"/>
    <cellStyle name="Comma 10 13 2" xfId="8125" xr:uid="{00000000-0005-0000-0000-0000982C0000}"/>
    <cellStyle name="Comma 10 13 2 2" xfId="17196" xr:uid="{00000000-0005-0000-0000-0000992C0000}"/>
    <cellStyle name="Comma 10 14" xfId="8126" xr:uid="{00000000-0005-0000-0000-00009A2C0000}"/>
    <cellStyle name="Comma 10 14 2" xfId="8127" xr:uid="{00000000-0005-0000-0000-00009B2C0000}"/>
    <cellStyle name="Comma 10 14 2 2" xfId="17197" xr:uid="{00000000-0005-0000-0000-00009C2C0000}"/>
    <cellStyle name="Comma 10 15" xfId="8128" xr:uid="{00000000-0005-0000-0000-00009D2C0000}"/>
    <cellStyle name="Comma 10 15 2" xfId="8129" xr:uid="{00000000-0005-0000-0000-00009E2C0000}"/>
    <cellStyle name="Comma 10 15 2 2" xfId="17198" xr:uid="{00000000-0005-0000-0000-00009F2C0000}"/>
    <cellStyle name="Comma 10 16" xfId="8130" xr:uid="{00000000-0005-0000-0000-0000A02C0000}"/>
    <cellStyle name="Comma 10 16 2" xfId="8131" xr:uid="{00000000-0005-0000-0000-0000A12C0000}"/>
    <cellStyle name="Comma 10 16 2 2" xfId="17199" xr:uid="{00000000-0005-0000-0000-0000A22C0000}"/>
    <cellStyle name="Comma 10 17" xfId="8132" xr:uid="{00000000-0005-0000-0000-0000A32C0000}"/>
    <cellStyle name="Comma 10 17 2" xfId="8133" xr:uid="{00000000-0005-0000-0000-0000A42C0000}"/>
    <cellStyle name="Comma 10 17 2 2" xfId="17200" xr:uid="{00000000-0005-0000-0000-0000A52C0000}"/>
    <cellStyle name="Comma 10 18" xfId="8134" xr:uid="{00000000-0005-0000-0000-0000A62C0000}"/>
    <cellStyle name="Comma 10 18 2" xfId="8135" xr:uid="{00000000-0005-0000-0000-0000A72C0000}"/>
    <cellStyle name="Comma 10 18 2 2" xfId="17201" xr:uid="{00000000-0005-0000-0000-0000A82C0000}"/>
    <cellStyle name="Comma 10 19" xfId="22042" xr:uid="{00000000-0005-0000-0000-0000A92C0000}"/>
    <cellStyle name="Comma 10 2" xfId="8136" xr:uid="{00000000-0005-0000-0000-0000AA2C0000}"/>
    <cellStyle name="Comma 10 2 2" xfId="8137" xr:uid="{00000000-0005-0000-0000-0000AB2C0000}"/>
    <cellStyle name="Comma 10 2 2 2" xfId="17202" xr:uid="{00000000-0005-0000-0000-0000AC2C0000}"/>
    <cellStyle name="Comma 10 2 2 2 2" xfId="26794" xr:uid="{00000000-0005-0000-0000-0000C6000000}"/>
    <cellStyle name="Comma 10 2 2 3" xfId="24518" xr:uid="{00000000-0005-0000-0000-0000C6000000}"/>
    <cellStyle name="Comma 10 2 3" xfId="23291" xr:uid="{00000000-0005-0000-0000-0000AD2C0000}"/>
    <cellStyle name="Comma 10 3" xfId="8138" xr:uid="{00000000-0005-0000-0000-0000AE2C0000}"/>
    <cellStyle name="Comma 10 3 2" xfId="8139" xr:uid="{00000000-0005-0000-0000-0000AF2C0000}"/>
    <cellStyle name="Comma 10 3 2 2" xfId="17203" xr:uid="{00000000-0005-0000-0000-0000B02C0000}"/>
    <cellStyle name="Comma 10 4" xfId="8140" xr:uid="{00000000-0005-0000-0000-0000B12C0000}"/>
    <cellStyle name="Comma 10 4 2" xfId="8141" xr:uid="{00000000-0005-0000-0000-0000B22C0000}"/>
    <cellStyle name="Comma 10 4 2 2" xfId="17204" xr:uid="{00000000-0005-0000-0000-0000B32C0000}"/>
    <cellStyle name="Comma 10 5" xfId="8142" xr:uid="{00000000-0005-0000-0000-0000B42C0000}"/>
    <cellStyle name="Comma 10 5 2" xfId="8143" xr:uid="{00000000-0005-0000-0000-0000B52C0000}"/>
    <cellStyle name="Comma 10 5 2 2" xfId="17205" xr:uid="{00000000-0005-0000-0000-0000B62C0000}"/>
    <cellStyle name="Comma 10 6" xfId="8144" xr:uid="{00000000-0005-0000-0000-0000B72C0000}"/>
    <cellStyle name="Comma 10 6 2" xfId="8145" xr:uid="{00000000-0005-0000-0000-0000B82C0000}"/>
    <cellStyle name="Comma 10 6 2 2" xfId="17206" xr:uid="{00000000-0005-0000-0000-0000B92C0000}"/>
    <cellStyle name="Comma 10 7" xfId="8146" xr:uid="{00000000-0005-0000-0000-0000BA2C0000}"/>
    <cellStyle name="Comma 10 7 2" xfId="8147" xr:uid="{00000000-0005-0000-0000-0000BB2C0000}"/>
    <cellStyle name="Comma 10 7 2 2" xfId="17207" xr:uid="{00000000-0005-0000-0000-0000BC2C0000}"/>
    <cellStyle name="Comma 10 8" xfId="8148" xr:uid="{00000000-0005-0000-0000-0000BD2C0000}"/>
    <cellStyle name="Comma 10 8 2" xfId="8149" xr:uid="{00000000-0005-0000-0000-0000BE2C0000}"/>
    <cellStyle name="Comma 10 8 2 2" xfId="17208" xr:uid="{00000000-0005-0000-0000-0000BF2C0000}"/>
    <cellStyle name="Comma 10 9" xfId="8150" xr:uid="{00000000-0005-0000-0000-0000C02C0000}"/>
    <cellStyle name="Comma 10 9 2" xfId="8151" xr:uid="{00000000-0005-0000-0000-0000C12C0000}"/>
    <cellStyle name="Comma 10 9 2 2" xfId="17209" xr:uid="{00000000-0005-0000-0000-0000C22C0000}"/>
    <cellStyle name="Comma 100" xfId="14009" xr:uid="{00000000-0005-0000-0000-0000C32C0000}"/>
    <cellStyle name="Comma 101" xfId="14001" xr:uid="{00000000-0005-0000-0000-0000C42C0000}"/>
    <cellStyle name="Comma 102" xfId="14011" xr:uid="{00000000-0005-0000-0000-0000C52C0000}"/>
    <cellStyle name="Comma 103" xfId="14017" xr:uid="{00000000-0005-0000-0000-0000C62C0000}"/>
    <cellStyle name="Comma 104" xfId="14019" xr:uid="{00000000-0005-0000-0000-0000C72C0000}"/>
    <cellStyle name="Comma 105" xfId="14021" xr:uid="{00000000-0005-0000-0000-0000C82C0000}"/>
    <cellStyle name="Comma 106" xfId="14022" xr:uid="{00000000-0005-0000-0000-0000C92C0000}"/>
    <cellStyle name="Comma 107" xfId="14020" xr:uid="{00000000-0005-0000-0000-0000CA2C0000}"/>
    <cellStyle name="Comma 108" xfId="14031" xr:uid="{00000000-0005-0000-0000-0000CB2C0000}"/>
    <cellStyle name="Comma 109" xfId="14024" xr:uid="{00000000-0005-0000-0000-0000CC2C0000}"/>
    <cellStyle name="Comma 11" xfId="8152" xr:uid="{00000000-0005-0000-0000-0000CD2C0000}"/>
    <cellStyle name="Comma 11 2" xfId="22043" xr:uid="{00000000-0005-0000-0000-0000CE2C0000}"/>
    <cellStyle name="Comma 110" xfId="14029" xr:uid="{00000000-0005-0000-0000-0000CF2C0000}"/>
    <cellStyle name="Comma 111" xfId="14026" xr:uid="{00000000-0005-0000-0000-0000D02C0000}"/>
    <cellStyle name="Comma 112" xfId="14032" xr:uid="{00000000-0005-0000-0000-0000D12C0000}"/>
    <cellStyle name="Comma 113" xfId="14041" xr:uid="{00000000-0005-0000-0000-0000D22C0000}"/>
    <cellStyle name="Comma 114" xfId="14034" xr:uid="{00000000-0005-0000-0000-0000D32C0000}"/>
    <cellStyle name="Comma 115" xfId="14039" xr:uid="{00000000-0005-0000-0000-0000D42C0000}"/>
    <cellStyle name="Comma 116" xfId="14036" xr:uid="{00000000-0005-0000-0000-0000D52C0000}"/>
    <cellStyle name="Comma 117" xfId="14043" xr:uid="{00000000-0005-0000-0000-0000D62C0000}"/>
    <cellStyle name="Comma 118" xfId="14056" xr:uid="{00000000-0005-0000-0000-0000D72C0000}"/>
    <cellStyle name="Comma 119" xfId="14069" xr:uid="{00000000-0005-0000-0000-0000D82C0000}"/>
    <cellStyle name="Comma 12" xfId="8153" xr:uid="{00000000-0005-0000-0000-0000D92C0000}"/>
    <cellStyle name="Comma 12 2" xfId="22044" xr:uid="{00000000-0005-0000-0000-0000DA2C0000}"/>
    <cellStyle name="Comma 120" xfId="14073" xr:uid="{00000000-0005-0000-0000-0000DB2C0000}"/>
    <cellStyle name="Comma 121" xfId="14057" xr:uid="{00000000-0005-0000-0000-0000DC2C0000}"/>
    <cellStyle name="Comma 122" xfId="14062" xr:uid="{00000000-0005-0000-0000-0000DD2C0000}"/>
    <cellStyle name="Comma 123" xfId="14044" xr:uid="{00000000-0005-0000-0000-0000DE2C0000}"/>
    <cellStyle name="Comma 124" xfId="14064" xr:uid="{00000000-0005-0000-0000-0000DF2C0000}"/>
    <cellStyle name="Comma 125" xfId="14080" xr:uid="{00000000-0005-0000-0000-0000E02C0000}"/>
    <cellStyle name="Comma 126" xfId="14051" xr:uid="{00000000-0005-0000-0000-0000E12C0000}"/>
    <cellStyle name="Comma 127" xfId="14075" xr:uid="{00000000-0005-0000-0000-0000E22C0000}"/>
    <cellStyle name="Comma 128" xfId="14092" xr:uid="{00000000-0005-0000-0000-0000E32C0000}"/>
    <cellStyle name="Comma 129" xfId="14096" xr:uid="{00000000-0005-0000-0000-0000E42C0000}"/>
    <cellStyle name="Comma 13" xfId="8154" xr:uid="{00000000-0005-0000-0000-0000E52C0000}"/>
    <cellStyle name="Comma 13 2" xfId="22208" xr:uid="{00000000-0005-0000-0000-0000E62C0000}"/>
    <cellStyle name="Comma 13 2 2" xfId="22334" xr:uid="{00000000-0005-0000-0000-0000E72C0000}"/>
    <cellStyle name="Comma 13 2 2 2" xfId="22594" xr:uid="{00000000-0005-0000-0000-0000E82C0000}"/>
    <cellStyle name="Comma 13 2 2 2 2" xfId="23120" xr:uid="{00000000-0005-0000-0000-0000E92C0000}"/>
    <cellStyle name="Comma 13 2 2 2 2 2" xfId="24412" xr:uid="{00000000-0005-0000-0000-0000CD000000}"/>
    <cellStyle name="Comma 13 2 2 2 2 2 2" xfId="26670" xr:uid="{00000000-0005-0000-0000-0000CD000000}"/>
    <cellStyle name="Comma 13 2 2 2 2 3" xfId="25534" xr:uid="{00000000-0005-0000-0000-0000CD000000}"/>
    <cellStyle name="Comma 13 2 2 2 3" xfId="23907" xr:uid="{00000000-0005-0000-0000-0000CC000000}"/>
    <cellStyle name="Comma 13 2 2 2 3 2" xfId="26139" xr:uid="{00000000-0005-0000-0000-0000CC000000}"/>
    <cellStyle name="Comma 13 2 2 2 4" xfId="25012" xr:uid="{00000000-0005-0000-0000-0000CC000000}"/>
    <cellStyle name="Comma 13 2 2 3" xfId="22856" xr:uid="{00000000-0005-0000-0000-0000EA2C0000}"/>
    <cellStyle name="Comma 13 2 2 3 2" xfId="24156" xr:uid="{00000000-0005-0000-0000-0000CE000000}"/>
    <cellStyle name="Comma 13 2 2 3 2 2" xfId="26405" xr:uid="{00000000-0005-0000-0000-0000CE000000}"/>
    <cellStyle name="Comma 13 2 2 3 3" xfId="25275" xr:uid="{00000000-0005-0000-0000-0000CE000000}"/>
    <cellStyle name="Comma 13 2 2 4" xfId="23694" xr:uid="{00000000-0005-0000-0000-0000CB000000}"/>
    <cellStyle name="Comma 13 2 2 4 2" xfId="25906" xr:uid="{00000000-0005-0000-0000-0000CB000000}"/>
    <cellStyle name="Comma 13 2 2 5" xfId="24751" xr:uid="{00000000-0005-0000-0000-0000CB000000}"/>
    <cellStyle name="Comma 13 2 3" xfId="22465" xr:uid="{00000000-0005-0000-0000-0000EB2C0000}"/>
    <cellStyle name="Comma 13 2 3 2" xfId="22991" xr:uid="{00000000-0005-0000-0000-0000EC2C0000}"/>
    <cellStyle name="Comma 13 2 3 2 2" xfId="24289" xr:uid="{00000000-0005-0000-0000-0000D0000000}"/>
    <cellStyle name="Comma 13 2 3 2 2 2" xfId="26541" xr:uid="{00000000-0005-0000-0000-0000D0000000}"/>
    <cellStyle name="Comma 13 2 3 2 3" xfId="25407" xr:uid="{00000000-0005-0000-0000-0000D0000000}"/>
    <cellStyle name="Comma 13 2 3 3" xfId="23801" xr:uid="{00000000-0005-0000-0000-0000CF000000}"/>
    <cellStyle name="Comma 13 2 3 3 2" xfId="26025" xr:uid="{00000000-0005-0000-0000-0000CF000000}"/>
    <cellStyle name="Comma 13 2 3 4" xfId="24885" xr:uid="{00000000-0005-0000-0000-0000CF000000}"/>
    <cellStyle name="Comma 13 2 4" xfId="22727" xr:uid="{00000000-0005-0000-0000-0000ED2C0000}"/>
    <cellStyle name="Comma 13 2 4 2" xfId="24040" xr:uid="{00000000-0005-0000-0000-0000D1000000}"/>
    <cellStyle name="Comma 13 2 4 2 2" xfId="26276" xr:uid="{00000000-0005-0000-0000-0000D1000000}"/>
    <cellStyle name="Comma 13 2 4 3" xfId="25147" xr:uid="{00000000-0005-0000-0000-0000D1000000}"/>
    <cellStyle name="Comma 13 2 5" xfId="23596" xr:uid="{00000000-0005-0000-0000-0000CA000000}"/>
    <cellStyle name="Comma 13 2 5 2" xfId="25792" xr:uid="{00000000-0005-0000-0000-0000CA000000}"/>
    <cellStyle name="Comma 13 2 6" xfId="24625" xr:uid="{00000000-0005-0000-0000-0000CA000000}"/>
    <cellStyle name="Comma 13 3" xfId="22275" xr:uid="{00000000-0005-0000-0000-0000EE2C0000}"/>
    <cellStyle name="Comma 13 3 2" xfId="22533" xr:uid="{00000000-0005-0000-0000-0000EF2C0000}"/>
    <cellStyle name="Comma 13 3 2 2" xfId="23059" xr:uid="{00000000-0005-0000-0000-0000F02C0000}"/>
    <cellStyle name="Comma 13 3 2 2 2" xfId="24354" xr:uid="{00000000-0005-0000-0000-0000D4000000}"/>
    <cellStyle name="Comma 13 3 2 2 2 2" xfId="26609" xr:uid="{00000000-0005-0000-0000-0000D4000000}"/>
    <cellStyle name="Comma 13 3 2 2 3" xfId="25473" xr:uid="{00000000-0005-0000-0000-0000D4000000}"/>
    <cellStyle name="Comma 13 3 2 3" xfId="23861" xr:uid="{00000000-0005-0000-0000-0000D3000000}"/>
    <cellStyle name="Comma 13 3 2 3 2" xfId="26088" xr:uid="{00000000-0005-0000-0000-0000D3000000}"/>
    <cellStyle name="Comma 13 3 2 4" xfId="24951" xr:uid="{00000000-0005-0000-0000-0000D3000000}"/>
    <cellStyle name="Comma 13 3 3" xfId="22795" xr:uid="{00000000-0005-0000-0000-0000F12C0000}"/>
    <cellStyle name="Comma 13 3 3 2" xfId="24101" xr:uid="{00000000-0005-0000-0000-0000D5000000}"/>
    <cellStyle name="Comma 13 3 3 2 2" xfId="26344" xr:uid="{00000000-0005-0000-0000-0000D5000000}"/>
    <cellStyle name="Comma 13 3 3 3" xfId="25215" xr:uid="{00000000-0005-0000-0000-0000D5000000}"/>
    <cellStyle name="Comma 13 3 4" xfId="23648" xr:uid="{00000000-0005-0000-0000-0000D2000000}"/>
    <cellStyle name="Comma 13 3 4 2" xfId="25855" xr:uid="{00000000-0005-0000-0000-0000D2000000}"/>
    <cellStyle name="Comma 13 3 5" xfId="24691" xr:uid="{00000000-0005-0000-0000-0000D2000000}"/>
    <cellStyle name="Comma 13 4" xfId="22402" xr:uid="{00000000-0005-0000-0000-0000F22C0000}"/>
    <cellStyle name="Comma 13 4 2" xfId="22925" xr:uid="{00000000-0005-0000-0000-0000F32C0000}"/>
    <cellStyle name="Comma 13 4 2 2" xfId="24224" xr:uid="{00000000-0005-0000-0000-0000D7000000}"/>
    <cellStyle name="Comma 13 4 2 2 2" xfId="26474" xr:uid="{00000000-0005-0000-0000-0000D7000000}"/>
    <cellStyle name="Comma 13 4 2 3" xfId="25343" xr:uid="{00000000-0005-0000-0000-0000D7000000}"/>
    <cellStyle name="Comma 13 4 3" xfId="23750" xr:uid="{00000000-0005-0000-0000-0000D6000000}"/>
    <cellStyle name="Comma 13 4 3 2" xfId="25970" xr:uid="{00000000-0005-0000-0000-0000D6000000}"/>
    <cellStyle name="Comma 13 4 4" xfId="24819" xr:uid="{00000000-0005-0000-0000-0000D6000000}"/>
    <cellStyle name="Comma 13 5" xfId="22664" xr:uid="{00000000-0005-0000-0000-0000F42C0000}"/>
    <cellStyle name="Comma 13 5 2" xfId="23973" xr:uid="{00000000-0005-0000-0000-0000D8000000}"/>
    <cellStyle name="Comma 13 5 2 2" xfId="26209" xr:uid="{00000000-0005-0000-0000-0000D8000000}"/>
    <cellStyle name="Comma 13 5 3" xfId="25081" xr:uid="{00000000-0005-0000-0000-0000D8000000}"/>
    <cellStyle name="Comma 13 6" xfId="22045" xr:uid="{00000000-0005-0000-0000-0000F52C0000}"/>
    <cellStyle name="Comma 13 6 2" xfId="25737" xr:uid="{00000000-0005-0000-0000-0000C9000000}"/>
    <cellStyle name="Comma 13 7" xfId="24555" xr:uid="{00000000-0005-0000-0000-0000C9000000}"/>
    <cellStyle name="Comma 130" xfId="14085" xr:uid="{00000000-0005-0000-0000-0000F62C0000}"/>
    <cellStyle name="Comma 131" xfId="14078" xr:uid="{00000000-0005-0000-0000-0000F72C0000}"/>
    <cellStyle name="Comma 132" xfId="14083" xr:uid="{00000000-0005-0000-0000-0000F82C0000}"/>
    <cellStyle name="Comma 133" xfId="14087" xr:uid="{00000000-0005-0000-0000-0000F92C0000}"/>
    <cellStyle name="Comma 134" xfId="14093" xr:uid="{00000000-0005-0000-0000-0000FA2C0000}"/>
    <cellStyle name="Comma 135" xfId="14089" xr:uid="{00000000-0005-0000-0000-0000FB2C0000}"/>
    <cellStyle name="Comma 136" xfId="14067" xr:uid="{00000000-0005-0000-0000-0000FC2C0000}"/>
    <cellStyle name="Comma 137" xfId="14101" xr:uid="{00000000-0005-0000-0000-0000FD2C0000}"/>
    <cellStyle name="Comma 138" xfId="14105" xr:uid="{00000000-0005-0000-0000-0000FE2C0000}"/>
    <cellStyle name="Comma 139" xfId="14111" xr:uid="{00000000-0005-0000-0000-0000FF2C0000}"/>
    <cellStyle name="Comma 14" xfId="8155" xr:uid="{00000000-0005-0000-0000-0000002D0000}"/>
    <cellStyle name="Comma 14 2" xfId="22047" xr:uid="{00000000-0005-0000-0000-0000012D0000}"/>
    <cellStyle name="Comma 14 3" xfId="22046" xr:uid="{00000000-0005-0000-0000-0000022D0000}"/>
    <cellStyle name="Comma 140" xfId="14100" xr:uid="{00000000-0005-0000-0000-0000032D0000}"/>
    <cellStyle name="Comma 141" xfId="14109" xr:uid="{00000000-0005-0000-0000-0000042D0000}"/>
    <cellStyle name="Comma 142" xfId="14099" xr:uid="{00000000-0005-0000-0000-0000052D0000}"/>
    <cellStyle name="Comma 143" xfId="14107" xr:uid="{00000000-0005-0000-0000-0000062D0000}"/>
    <cellStyle name="Comma 144" xfId="14084" xr:uid="{00000000-0005-0000-0000-0000072D0000}"/>
    <cellStyle name="Comma 145" xfId="14106" xr:uid="{00000000-0005-0000-0000-0000082D0000}"/>
    <cellStyle name="Comma 146" xfId="14103" xr:uid="{00000000-0005-0000-0000-0000092D0000}"/>
    <cellStyle name="Comma 147" xfId="14112" xr:uid="{00000000-0005-0000-0000-00000A2D0000}"/>
    <cellStyle name="Comma 148" xfId="14114" xr:uid="{00000000-0005-0000-0000-00000B2D0000}"/>
    <cellStyle name="Comma 149" xfId="14108" xr:uid="{00000000-0005-0000-0000-00000C2D0000}"/>
    <cellStyle name="Comma 15" xfId="8156" xr:uid="{00000000-0005-0000-0000-00000D2D0000}"/>
    <cellStyle name="Comma 15 2" xfId="22048" xr:uid="{00000000-0005-0000-0000-00000E2D0000}"/>
    <cellStyle name="Comma 150" xfId="14116" xr:uid="{00000000-0005-0000-0000-00000F2D0000}"/>
    <cellStyle name="Comma 151" xfId="14098" xr:uid="{00000000-0005-0000-0000-0000102D0000}"/>
    <cellStyle name="Comma 152" xfId="14119" xr:uid="{00000000-0005-0000-0000-0000112D0000}"/>
    <cellStyle name="Comma 153" xfId="14118" xr:uid="{00000000-0005-0000-0000-0000122D0000}"/>
    <cellStyle name="Comma 154" xfId="14115" xr:uid="{00000000-0005-0000-0000-0000132D0000}"/>
    <cellStyle name="Comma 155" xfId="14117" xr:uid="{00000000-0005-0000-0000-0000142D0000}"/>
    <cellStyle name="Comma 156" xfId="14121" xr:uid="{00000000-0005-0000-0000-0000152D0000}"/>
    <cellStyle name="Comma 157" xfId="14124" xr:uid="{00000000-0005-0000-0000-0000162D0000}"/>
    <cellStyle name="Comma 158" xfId="14125" xr:uid="{00000000-0005-0000-0000-0000172D0000}"/>
    <cellStyle name="Comma 159" xfId="14129" xr:uid="{00000000-0005-0000-0000-0000182D0000}"/>
    <cellStyle name="Comma 16" xfId="8157" xr:uid="{00000000-0005-0000-0000-0000192D0000}"/>
    <cellStyle name="Comma 16 2" xfId="22209" xr:uid="{00000000-0005-0000-0000-00001A2D0000}"/>
    <cellStyle name="Comma 16 2 2" xfId="22335" xr:uid="{00000000-0005-0000-0000-00001B2D0000}"/>
    <cellStyle name="Comma 16 2 2 2" xfId="22595" xr:uid="{00000000-0005-0000-0000-00001C2D0000}"/>
    <cellStyle name="Comma 16 2 2 2 2" xfId="23121" xr:uid="{00000000-0005-0000-0000-00001D2D0000}"/>
    <cellStyle name="Comma 16 2 2 2 2 2" xfId="24413" xr:uid="{00000000-0005-0000-0000-0000E0000000}"/>
    <cellStyle name="Comma 16 2 2 2 2 2 2" xfId="26671" xr:uid="{00000000-0005-0000-0000-0000E0000000}"/>
    <cellStyle name="Comma 16 2 2 2 2 3" xfId="25535" xr:uid="{00000000-0005-0000-0000-0000E0000000}"/>
    <cellStyle name="Comma 16 2 2 2 3" xfId="23908" xr:uid="{00000000-0005-0000-0000-0000DF000000}"/>
    <cellStyle name="Comma 16 2 2 2 3 2" xfId="26140" xr:uid="{00000000-0005-0000-0000-0000DF000000}"/>
    <cellStyle name="Comma 16 2 2 2 4" xfId="25013" xr:uid="{00000000-0005-0000-0000-0000DF000000}"/>
    <cellStyle name="Comma 16 2 2 3" xfId="22857" xr:uid="{00000000-0005-0000-0000-00001E2D0000}"/>
    <cellStyle name="Comma 16 2 2 3 2" xfId="24157" xr:uid="{00000000-0005-0000-0000-0000E1000000}"/>
    <cellStyle name="Comma 16 2 2 3 2 2" xfId="26406" xr:uid="{00000000-0005-0000-0000-0000E1000000}"/>
    <cellStyle name="Comma 16 2 2 3 3" xfId="25276" xr:uid="{00000000-0005-0000-0000-0000E1000000}"/>
    <cellStyle name="Comma 16 2 2 4" xfId="23695" xr:uid="{00000000-0005-0000-0000-0000DE000000}"/>
    <cellStyle name="Comma 16 2 2 4 2" xfId="25907" xr:uid="{00000000-0005-0000-0000-0000DE000000}"/>
    <cellStyle name="Comma 16 2 2 5" xfId="24752" xr:uid="{00000000-0005-0000-0000-0000DE000000}"/>
    <cellStyle name="Comma 16 2 3" xfId="22466" xr:uid="{00000000-0005-0000-0000-00001F2D0000}"/>
    <cellStyle name="Comma 16 2 3 2" xfId="22992" xr:uid="{00000000-0005-0000-0000-0000202D0000}"/>
    <cellStyle name="Comma 16 2 3 2 2" xfId="24290" xr:uid="{00000000-0005-0000-0000-0000E3000000}"/>
    <cellStyle name="Comma 16 2 3 2 2 2" xfId="26542" xr:uid="{00000000-0005-0000-0000-0000E3000000}"/>
    <cellStyle name="Comma 16 2 3 2 3" xfId="25408" xr:uid="{00000000-0005-0000-0000-0000E3000000}"/>
    <cellStyle name="Comma 16 2 3 3" xfId="23802" xr:uid="{00000000-0005-0000-0000-0000E2000000}"/>
    <cellStyle name="Comma 16 2 3 3 2" xfId="26026" xr:uid="{00000000-0005-0000-0000-0000E2000000}"/>
    <cellStyle name="Comma 16 2 3 4" xfId="24886" xr:uid="{00000000-0005-0000-0000-0000E2000000}"/>
    <cellStyle name="Comma 16 2 4" xfId="22728" xr:uid="{00000000-0005-0000-0000-0000212D0000}"/>
    <cellStyle name="Comma 16 2 4 2" xfId="24041" xr:uid="{00000000-0005-0000-0000-0000E4000000}"/>
    <cellStyle name="Comma 16 2 4 2 2" xfId="26277" xr:uid="{00000000-0005-0000-0000-0000E4000000}"/>
    <cellStyle name="Comma 16 2 4 3" xfId="25148" xr:uid="{00000000-0005-0000-0000-0000E4000000}"/>
    <cellStyle name="Comma 16 2 5" xfId="23597" xr:uid="{00000000-0005-0000-0000-0000DD000000}"/>
    <cellStyle name="Comma 16 2 5 2" xfId="25793" xr:uid="{00000000-0005-0000-0000-0000DD000000}"/>
    <cellStyle name="Comma 16 2 6" xfId="24626" xr:uid="{00000000-0005-0000-0000-0000DD000000}"/>
    <cellStyle name="Comma 16 3" xfId="22276" xr:uid="{00000000-0005-0000-0000-0000222D0000}"/>
    <cellStyle name="Comma 16 3 2" xfId="22534" xr:uid="{00000000-0005-0000-0000-0000232D0000}"/>
    <cellStyle name="Comma 16 3 2 2" xfId="23060" xr:uid="{00000000-0005-0000-0000-0000242D0000}"/>
    <cellStyle name="Comma 16 3 2 2 2" xfId="24355" xr:uid="{00000000-0005-0000-0000-0000E7000000}"/>
    <cellStyle name="Comma 16 3 2 2 2 2" xfId="26610" xr:uid="{00000000-0005-0000-0000-0000E7000000}"/>
    <cellStyle name="Comma 16 3 2 2 3" xfId="25474" xr:uid="{00000000-0005-0000-0000-0000E7000000}"/>
    <cellStyle name="Comma 16 3 2 3" xfId="23862" xr:uid="{00000000-0005-0000-0000-0000E6000000}"/>
    <cellStyle name="Comma 16 3 2 3 2" xfId="26089" xr:uid="{00000000-0005-0000-0000-0000E6000000}"/>
    <cellStyle name="Comma 16 3 2 4" xfId="24952" xr:uid="{00000000-0005-0000-0000-0000E6000000}"/>
    <cellStyle name="Comma 16 3 3" xfId="22796" xr:uid="{00000000-0005-0000-0000-0000252D0000}"/>
    <cellStyle name="Comma 16 3 3 2" xfId="24102" xr:uid="{00000000-0005-0000-0000-0000E8000000}"/>
    <cellStyle name="Comma 16 3 3 2 2" xfId="26345" xr:uid="{00000000-0005-0000-0000-0000E8000000}"/>
    <cellStyle name="Comma 16 3 3 3" xfId="25216" xr:uid="{00000000-0005-0000-0000-0000E8000000}"/>
    <cellStyle name="Comma 16 3 4" xfId="23649" xr:uid="{00000000-0005-0000-0000-0000E5000000}"/>
    <cellStyle name="Comma 16 3 4 2" xfId="25856" xr:uid="{00000000-0005-0000-0000-0000E5000000}"/>
    <cellStyle name="Comma 16 3 5" xfId="24692" xr:uid="{00000000-0005-0000-0000-0000E5000000}"/>
    <cellStyle name="Comma 16 4" xfId="22403" xr:uid="{00000000-0005-0000-0000-0000262D0000}"/>
    <cellStyle name="Comma 16 4 2" xfId="22926" xr:uid="{00000000-0005-0000-0000-0000272D0000}"/>
    <cellStyle name="Comma 16 4 2 2" xfId="24225" xr:uid="{00000000-0005-0000-0000-0000EA000000}"/>
    <cellStyle name="Comma 16 4 2 2 2" xfId="26475" xr:uid="{00000000-0005-0000-0000-0000EA000000}"/>
    <cellStyle name="Comma 16 4 2 3" xfId="25344" xr:uid="{00000000-0005-0000-0000-0000EA000000}"/>
    <cellStyle name="Comma 16 4 3" xfId="23751" xr:uid="{00000000-0005-0000-0000-0000E9000000}"/>
    <cellStyle name="Comma 16 4 3 2" xfId="25971" xr:uid="{00000000-0005-0000-0000-0000E9000000}"/>
    <cellStyle name="Comma 16 4 4" xfId="24820" xr:uid="{00000000-0005-0000-0000-0000E9000000}"/>
    <cellStyle name="Comma 16 5" xfId="22665" xr:uid="{00000000-0005-0000-0000-0000282D0000}"/>
    <cellStyle name="Comma 16 5 2" xfId="23974" xr:uid="{00000000-0005-0000-0000-0000EB000000}"/>
    <cellStyle name="Comma 16 5 2 2" xfId="26210" xr:uid="{00000000-0005-0000-0000-0000EB000000}"/>
    <cellStyle name="Comma 16 5 3" xfId="25082" xr:uid="{00000000-0005-0000-0000-0000EB000000}"/>
    <cellStyle name="Comma 16 6" xfId="22049" xr:uid="{00000000-0005-0000-0000-0000292D0000}"/>
    <cellStyle name="Comma 16 6 2" xfId="25738" xr:uid="{00000000-0005-0000-0000-0000DC000000}"/>
    <cellStyle name="Comma 16 7" xfId="24556" xr:uid="{00000000-0005-0000-0000-0000DC000000}"/>
    <cellStyle name="Comma 160" xfId="21717" xr:uid="{00000000-0005-0000-0000-00002A2D0000}"/>
    <cellStyle name="Comma 160 2" xfId="21805" xr:uid="{00000000-0005-0000-0000-00002B2D0000}"/>
    <cellStyle name="Comma 160 2 2" xfId="21828" xr:uid="{00000000-0005-0000-0000-00002C2D0000}"/>
    <cellStyle name="Comma 160 3" xfId="21772" xr:uid="{00000000-0005-0000-0000-00002D2D0000}"/>
    <cellStyle name="Comma 161" xfId="21718" xr:uid="{00000000-0005-0000-0000-00002E2D0000}"/>
    <cellStyle name="Comma 161 2" xfId="21826" xr:uid="{00000000-0005-0000-0000-00002F2D0000}"/>
    <cellStyle name="Comma 161 2 2" xfId="21829" xr:uid="{00000000-0005-0000-0000-0000302D0000}"/>
    <cellStyle name="Comma 161 3" xfId="21792" xr:uid="{00000000-0005-0000-0000-0000312D0000}"/>
    <cellStyle name="Comma 162" xfId="21798" xr:uid="{00000000-0005-0000-0000-0000322D0000}"/>
    <cellStyle name="Comma 162 2" xfId="21830" xr:uid="{00000000-0005-0000-0000-0000332D0000}"/>
    <cellStyle name="Comma 162 3" xfId="21831" xr:uid="{00000000-0005-0000-0000-0000342D0000}"/>
    <cellStyle name="Comma 163" xfId="21802" xr:uid="{00000000-0005-0000-0000-0000352D0000}"/>
    <cellStyle name="Comma 163 2" xfId="21832" xr:uid="{00000000-0005-0000-0000-0000362D0000}"/>
    <cellStyle name="Comma 163 3" xfId="21833" xr:uid="{00000000-0005-0000-0000-0000372D0000}"/>
    <cellStyle name="Comma 164" xfId="21800" xr:uid="{00000000-0005-0000-0000-0000382D0000}"/>
    <cellStyle name="Comma 164 2" xfId="21834" xr:uid="{00000000-0005-0000-0000-0000392D0000}"/>
    <cellStyle name="Comma 164 3" xfId="21835" xr:uid="{00000000-0005-0000-0000-00003A2D0000}"/>
    <cellStyle name="Comma 165" xfId="21801" xr:uid="{00000000-0005-0000-0000-00003B2D0000}"/>
    <cellStyle name="Comma 165 2" xfId="21836" xr:uid="{00000000-0005-0000-0000-00003C2D0000}"/>
    <cellStyle name="Comma 165 3" xfId="21837" xr:uid="{00000000-0005-0000-0000-00003D2D0000}"/>
    <cellStyle name="Comma 166" xfId="21838" xr:uid="{00000000-0005-0000-0000-00003E2D0000}"/>
    <cellStyle name="Comma 166 2" xfId="21839" xr:uid="{00000000-0005-0000-0000-00003F2D0000}"/>
    <cellStyle name="Comma 167" xfId="21840" xr:uid="{00000000-0005-0000-0000-0000402D0000}"/>
    <cellStyle name="Comma 167 2" xfId="21841" xr:uid="{00000000-0005-0000-0000-0000412D0000}"/>
    <cellStyle name="Comma 168" xfId="21842" xr:uid="{00000000-0005-0000-0000-0000422D0000}"/>
    <cellStyle name="Comma 168 2" xfId="21843" xr:uid="{00000000-0005-0000-0000-0000432D0000}"/>
    <cellStyle name="Comma 169" xfId="21844" xr:uid="{00000000-0005-0000-0000-0000442D0000}"/>
    <cellStyle name="Comma 169 2" xfId="21845" xr:uid="{00000000-0005-0000-0000-0000452D0000}"/>
    <cellStyle name="Comma 17" xfId="8158" xr:uid="{00000000-0005-0000-0000-0000462D0000}"/>
    <cellStyle name="Comma 17 2" xfId="22210" xr:uid="{00000000-0005-0000-0000-0000472D0000}"/>
    <cellStyle name="Comma 17 2 2" xfId="22336" xr:uid="{00000000-0005-0000-0000-0000482D0000}"/>
    <cellStyle name="Comma 17 2 2 2" xfId="22596" xr:uid="{00000000-0005-0000-0000-0000492D0000}"/>
    <cellStyle name="Comma 17 2 2 2 2" xfId="23122" xr:uid="{00000000-0005-0000-0000-00004A2D0000}"/>
    <cellStyle name="Comma 17 2 2 2 2 2" xfId="24414" xr:uid="{00000000-0005-0000-0000-0000F0000000}"/>
    <cellStyle name="Comma 17 2 2 2 2 2 2" xfId="26672" xr:uid="{00000000-0005-0000-0000-0000F0000000}"/>
    <cellStyle name="Comma 17 2 2 2 2 3" xfId="25536" xr:uid="{00000000-0005-0000-0000-0000F0000000}"/>
    <cellStyle name="Comma 17 2 2 2 3" xfId="23909" xr:uid="{00000000-0005-0000-0000-0000EF000000}"/>
    <cellStyle name="Comma 17 2 2 2 3 2" xfId="26141" xr:uid="{00000000-0005-0000-0000-0000EF000000}"/>
    <cellStyle name="Comma 17 2 2 2 4" xfId="25014" xr:uid="{00000000-0005-0000-0000-0000EF000000}"/>
    <cellStyle name="Comma 17 2 2 3" xfId="22858" xr:uid="{00000000-0005-0000-0000-00004B2D0000}"/>
    <cellStyle name="Comma 17 2 2 3 2" xfId="24158" xr:uid="{00000000-0005-0000-0000-0000F1000000}"/>
    <cellStyle name="Comma 17 2 2 3 2 2" xfId="26407" xr:uid="{00000000-0005-0000-0000-0000F1000000}"/>
    <cellStyle name="Comma 17 2 2 3 3" xfId="25277" xr:uid="{00000000-0005-0000-0000-0000F1000000}"/>
    <cellStyle name="Comma 17 2 2 4" xfId="23696" xr:uid="{00000000-0005-0000-0000-0000EE000000}"/>
    <cellStyle name="Comma 17 2 2 4 2" xfId="25908" xr:uid="{00000000-0005-0000-0000-0000EE000000}"/>
    <cellStyle name="Comma 17 2 2 5" xfId="24753" xr:uid="{00000000-0005-0000-0000-0000EE000000}"/>
    <cellStyle name="Comma 17 2 3" xfId="22467" xr:uid="{00000000-0005-0000-0000-00004C2D0000}"/>
    <cellStyle name="Comma 17 2 3 2" xfId="22993" xr:uid="{00000000-0005-0000-0000-00004D2D0000}"/>
    <cellStyle name="Comma 17 2 3 2 2" xfId="24291" xr:uid="{00000000-0005-0000-0000-0000F3000000}"/>
    <cellStyle name="Comma 17 2 3 2 2 2" xfId="26543" xr:uid="{00000000-0005-0000-0000-0000F3000000}"/>
    <cellStyle name="Comma 17 2 3 2 3" xfId="25409" xr:uid="{00000000-0005-0000-0000-0000F3000000}"/>
    <cellStyle name="Comma 17 2 3 3" xfId="23803" xr:uid="{00000000-0005-0000-0000-0000F2000000}"/>
    <cellStyle name="Comma 17 2 3 3 2" xfId="26027" xr:uid="{00000000-0005-0000-0000-0000F2000000}"/>
    <cellStyle name="Comma 17 2 3 4" xfId="24887" xr:uid="{00000000-0005-0000-0000-0000F2000000}"/>
    <cellStyle name="Comma 17 2 4" xfId="22729" xr:uid="{00000000-0005-0000-0000-00004E2D0000}"/>
    <cellStyle name="Comma 17 2 4 2" xfId="24042" xr:uid="{00000000-0005-0000-0000-0000F4000000}"/>
    <cellStyle name="Comma 17 2 4 2 2" xfId="26278" xr:uid="{00000000-0005-0000-0000-0000F4000000}"/>
    <cellStyle name="Comma 17 2 4 3" xfId="25149" xr:uid="{00000000-0005-0000-0000-0000F4000000}"/>
    <cellStyle name="Comma 17 2 5" xfId="23598" xr:uid="{00000000-0005-0000-0000-0000ED000000}"/>
    <cellStyle name="Comma 17 2 5 2" xfId="25794" xr:uid="{00000000-0005-0000-0000-0000ED000000}"/>
    <cellStyle name="Comma 17 2 6" xfId="24627" xr:uid="{00000000-0005-0000-0000-0000ED000000}"/>
    <cellStyle name="Comma 17 3" xfId="22277" xr:uid="{00000000-0005-0000-0000-00004F2D0000}"/>
    <cellStyle name="Comma 17 3 2" xfId="22535" xr:uid="{00000000-0005-0000-0000-0000502D0000}"/>
    <cellStyle name="Comma 17 3 2 2" xfId="23061" xr:uid="{00000000-0005-0000-0000-0000512D0000}"/>
    <cellStyle name="Comma 17 3 2 2 2" xfId="24356" xr:uid="{00000000-0005-0000-0000-0000F7000000}"/>
    <cellStyle name="Comma 17 3 2 2 2 2" xfId="26611" xr:uid="{00000000-0005-0000-0000-0000F7000000}"/>
    <cellStyle name="Comma 17 3 2 2 3" xfId="25475" xr:uid="{00000000-0005-0000-0000-0000F7000000}"/>
    <cellStyle name="Comma 17 3 2 3" xfId="23863" xr:uid="{00000000-0005-0000-0000-0000F6000000}"/>
    <cellStyle name="Comma 17 3 2 3 2" xfId="26090" xr:uid="{00000000-0005-0000-0000-0000F6000000}"/>
    <cellStyle name="Comma 17 3 2 4" xfId="24953" xr:uid="{00000000-0005-0000-0000-0000F6000000}"/>
    <cellStyle name="Comma 17 3 3" xfId="22797" xr:uid="{00000000-0005-0000-0000-0000522D0000}"/>
    <cellStyle name="Comma 17 3 3 2" xfId="24103" xr:uid="{00000000-0005-0000-0000-0000F8000000}"/>
    <cellStyle name="Comma 17 3 3 2 2" xfId="26346" xr:uid="{00000000-0005-0000-0000-0000F8000000}"/>
    <cellStyle name="Comma 17 3 3 3" xfId="25217" xr:uid="{00000000-0005-0000-0000-0000F8000000}"/>
    <cellStyle name="Comma 17 3 4" xfId="23650" xr:uid="{00000000-0005-0000-0000-0000F5000000}"/>
    <cellStyle name="Comma 17 3 4 2" xfId="25857" xr:uid="{00000000-0005-0000-0000-0000F5000000}"/>
    <cellStyle name="Comma 17 3 5" xfId="24693" xr:uid="{00000000-0005-0000-0000-0000F5000000}"/>
    <cellStyle name="Comma 17 4" xfId="22404" xr:uid="{00000000-0005-0000-0000-0000532D0000}"/>
    <cellStyle name="Comma 17 4 2" xfId="22927" xr:uid="{00000000-0005-0000-0000-0000542D0000}"/>
    <cellStyle name="Comma 17 4 2 2" xfId="24226" xr:uid="{00000000-0005-0000-0000-0000FA000000}"/>
    <cellStyle name="Comma 17 4 2 2 2" xfId="26476" xr:uid="{00000000-0005-0000-0000-0000FA000000}"/>
    <cellStyle name="Comma 17 4 2 3" xfId="25345" xr:uid="{00000000-0005-0000-0000-0000FA000000}"/>
    <cellStyle name="Comma 17 4 3" xfId="23752" xr:uid="{00000000-0005-0000-0000-0000F9000000}"/>
    <cellStyle name="Comma 17 4 3 2" xfId="25972" xr:uid="{00000000-0005-0000-0000-0000F9000000}"/>
    <cellStyle name="Comma 17 4 4" xfId="24821" xr:uid="{00000000-0005-0000-0000-0000F9000000}"/>
    <cellStyle name="Comma 17 5" xfId="22666" xr:uid="{00000000-0005-0000-0000-0000552D0000}"/>
    <cellStyle name="Comma 17 5 2" xfId="23975" xr:uid="{00000000-0005-0000-0000-0000FB000000}"/>
    <cellStyle name="Comma 17 5 2 2" xfId="26211" xr:uid="{00000000-0005-0000-0000-0000FB000000}"/>
    <cellStyle name="Comma 17 5 3" xfId="25083" xr:uid="{00000000-0005-0000-0000-0000FB000000}"/>
    <cellStyle name="Comma 17 6" xfId="22050" xr:uid="{00000000-0005-0000-0000-0000562D0000}"/>
    <cellStyle name="Comma 17 6 2" xfId="25739" xr:uid="{00000000-0005-0000-0000-0000EC000000}"/>
    <cellStyle name="Comma 17 7" xfId="24557" xr:uid="{00000000-0005-0000-0000-0000EC000000}"/>
    <cellStyle name="Comma 170" xfId="21846" xr:uid="{00000000-0005-0000-0000-0000572D0000}"/>
    <cellStyle name="Comma 171" xfId="21847" xr:uid="{00000000-0005-0000-0000-0000582D0000}"/>
    <cellStyle name="Comma 172" xfId="21921" xr:uid="{00000000-0005-0000-0000-0000592D0000}"/>
    <cellStyle name="Comma 173" xfId="22205" xr:uid="{00000000-0005-0000-0000-00005A2D0000}"/>
    <cellStyle name="Comma 174" xfId="23545" xr:uid="{00000000-0005-0000-0000-0000A85C0000}"/>
    <cellStyle name="Comma 175" xfId="27159" xr:uid="{BBC16472-62AA-4B44-B177-CE987A149B15}"/>
    <cellStyle name="Comma 176" xfId="27173" xr:uid="{855D1EA3-73C9-4D3D-9BB4-894DA1F83A37}"/>
    <cellStyle name="Comma 177" xfId="27179" xr:uid="{672244D7-228A-4514-93CF-78FC7AC9A7C9}"/>
    <cellStyle name="Comma 178" xfId="27192" xr:uid="{F73E7F71-5E63-432B-A0E2-38F65B8C1924}"/>
    <cellStyle name="Comma 179" xfId="27196" xr:uid="{6A15D9D3-78FC-41ED-8B6C-06949F50D40E}"/>
    <cellStyle name="Comma 18" xfId="8159" xr:uid="{00000000-0005-0000-0000-00005B2D0000}"/>
    <cellStyle name="Comma 18 2" xfId="22211" xr:uid="{00000000-0005-0000-0000-00005C2D0000}"/>
    <cellStyle name="Comma 18 2 2" xfId="22337" xr:uid="{00000000-0005-0000-0000-00005D2D0000}"/>
    <cellStyle name="Comma 18 2 2 2" xfId="22597" xr:uid="{00000000-0005-0000-0000-00005E2D0000}"/>
    <cellStyle name="Comma 18 2 2 2 2" xfId="23123" xr:uid="{00000000-0005-0000-0000-00005F2D0000}"/>
    <cellStyle name="Comma 18 2 2 2 2 2" xfId="24415" xr:uid="{00000000-0005-0000-0000-000000010000}"/>
    <cellStyle name="Comma 18 2 2 2 2 2 2" xfId="26673" xr:uid="{00000000-0005-0000-0000-000000010000}"/>
    <cellStyle name="Comma 18 2 2 2 2 3" xfId="25537" xr:uid="{00000000-0005-0000-0000-000000010000}"/>
    <cellStyle name="Comma 18 2 2 2 3" xfId="23910" xr:uid="{00000000-0005-0000-0000-0000FF000000}"/>
    <cellStyle name="Comma 18 2 2 2 3 2" xfId="26142" xr:uid="{00000000-0005-0000-0000-0000FF000000}"/>
    <cellStyle name="Comma 18 2 2 2 4" xfId="25015" xr:uid="{00000000-0005-0000-0000-0000FF000000}"/>
    <cellStyle name="Comma 18 2 2 3" xfId="22859" xr:uid="{00000000-0005-0000-0000-0000602D0000}"/>
    <cellStyle name="Comma 18 2 2 3 2" xfId="24159" xr:uid="{00000000-0005-0000-0000-000001010000}"/>
    <cellStyle name="Comma 18 2 2 3 2 2" xfId="26408" xr:uid="{00000000-0005-0000-0000-000001010000}"/>
    <cellStyle name="Comma 18 2 2 3 3" xfId="25278" xr:uid="{00000000-0005-0000-0000-000001010000}"/>
    <cellStyle name="Comma 18 2 2 4" xfId="23697" xr:uid="{00000000-0005-0000-0000-0000FE000000}"/>
    <cellStyle name="Comma 18 2 2 4 2" xfId="25909" xr:uid="{00000000-0005-0000-0000-0000FE000000}"/>
    <cellStyle name="Comma 18 2 2 5" xfId="24754" xr:uid="{00000000-0005-0000-0000-0000FE000000}"/>
    <cellStyle name="Comma 18 2 3" xfId="22468" xr:uid="{00000000-0005-0000-0000-0000612D0000}"/>
    <cellStyle name="Comma 18 2 3 2" xfId="22994" xr:uid="{00000000-0005-0000-0000-0000622D0000}"/>
    <cellStyle name="Comma 18 2 3 2 2" xfId="24292" xr:uid="{00000000-0005-0000-0000-000003010000}"/>
    <cellStyle name="Comma 18 2 3 2 2 2" xfId="26544" xr:uid="{00000000-0005-0000-0000-000003010000}"/>
    <cellStyle name="Comma 18 2 3 2 3" xfId="25410" xr:uid="{00000000-0005-0000-0000-000003010000}"/>
    <cellStyle name="Comma 18 2 3 3" xfId="23804" xr:uid="{00000000-0005-0000-0000-000002010000}"/>
    <cellStyle name="Comma 18 2 3 3 2" xfId="26028" xr:uid="{00000000-0005-0000-0000-000002010000}"/>
    <cellStyle name="Comma 18 2 3 4" xfId="24888" xr:uid="{00000000-0005-0000-0000-000002010000}"/>
    <cellStyle name="Comma 18 2 4" xfId="22730" xr:uid="{00000000-0005-0000-0000-0000632D0000}"/>
    <cellStyle name="Comma 18 2 4 2" xfId="24043" xr:uid="{00000000-0005-0000-0000-000004010000}"/>
    <cellStyle name="Comma 18 2 4 2 2" xfId="26279" xr:uid="{00000000-0005-0000-0000-000004010000}"/>
    <cellStyle name="Comma 18 2 4 3" xfId="25150" xr:uid="{00000000-0005-0000-0000-000004010000}"/>
    <cellStyle name="Comma 18 2 5" xfId="23599" xr:uid="{00000000-0005-0000-0000-0000FD000000}"/>
    <cellStyle name="Comma 18 2 5 2" xfId="25795" xr:uid="{00000000-0005-0000-0000-0000FD000000}"/>
    <cellStyle name="Comma 18 2 6" xfId="24628" xr:uid="{00000000-0005-0000-0000-0000FD000000}"/>
    <cellStyle name="Comma 18 3" xfId="22278" xr:uid="{00000000-0005-0000-0000-0000642D0000}"/>
    <cellStyle name="Comma 18 3 2" xfId="22536" xr:uid="{00000000-0005-0000-0000-0000652D0000}"/>
    <cellStyle name="Comma 18 3 2 2" xfId="23062" xr:uid="{00000000-0005-0000-0000-0000662D0000}"/>
    <cellStyle name="Comma 18 3 2 2 2" xfId="24357" xr:uid="{00000000-0005-0000-0000-000007010000}"/>
    <cellStyle name="Comma 18 3 2 2 2 2" xfId="26612" xr:uid="{00000000-0005-0000-0000-000007010000}"/>
    <cellStyle name="Comma 18 3 2 2 3" xfId="25476" xr:uid="{00000000-0005-0000-0000-000007010000}"/>
    <cellStyle name="Comma 18 3 2 3" xfId="23864" xr:uid="{00000000-0005-0000-0000-000006010000}"/>
    <cellStyle name="Comma 18 3 2 3 2" xfId="26091" xr:uid="{00000000-0005-0000-0000-000006010000}"/>
    <cellStyle name="Comma 18 3 2 4" xfId="24954" xr:uid="{00000000-0005-0000-0000-000006010000}"/>
    <cellStyle name="Comma 18 3 3" xfId="22798" xr:uid="{00000000-0005-0000-0000-0000672D0000}"/>
    <cellStyle name="Comma 18 3 3 2" xfId="24104" xr:uid="{00000000-0005-0000-0000-000008010000}"/>
    <cellStyle name="Comma 18 3 3 2 2" xfId="26347" xr:uid="{00000000-0005-0000-0000-000008010000}"/>
    <cellStyle name="Comma 18 3 3 3" xfId="25218" xr:uid="{00000000-0005-0000-0000-000008010000}"/>
    <cellStyle name="Comma 18 3 4" xfId="23651" xr:uid="{00000000-0005-0000-0000-000005010000}"/>
    <cellStyle name="Comma 18 3 4 2" xfId="25858" xr:uid="{00000000-0005-0000-0000-000005010000}"/>
    <cellStyle name="Comma 18 3 5" xfId="24694" xr:uid="{00000000-0005-0000-0000-000005010000}"/>
    <cellStyle name="Comma 18 4" xfId="22405" xr:uid="{00000000-0005-0000-0000-0000682D0000}"/>
    <cellStyle name="Comma 18 4 2" xfId="22928" xr:uid="{00000000-0005-0000-0000-0000692D0000}"/>
    <cellStyle name="Comma 18 4 2 2" xfId="24227" xr:uid="{00000000-0005-0000-0000-00000A010000}"/>
    <cellStyle name="Comma 18 4 2 2 2" xfId="26477" xr:uid="{00000000-0005-0000-0000-00000A010000}"/>
    <cellStyle name="Comma 18 4 2 3" xfId="25346" xr:uid="{00000000-0005-0000-0000-00000A010000}"/>
    <cellStyle name="Comma 18 4 3" xfId="23753" xr:uid="{00000000-0005-0000-0000-000009010000}"/>
    <cellStyle name="Comma 18 4 3 2" xfId="25973" xr:uid="{00000000-0005-0000-0000-000009010000}"/>
    <cellStyle name="Comma 18 4 4" xfId="24822" xr:uid="{00000000-0005-0000-0000-000009010000}"/>
    <cellStyle name="Comma 18 5" xfId="22667" xr:uid="{00000000-0005-0000-0000-00006A2D0000}"/>
    <cellStyle name="Comma 18 5 2" xfId="23976" xr:uid="{00000000-0005-0000-0000-00000B010000}"/>
    <cellStyle name="Comma 18 5 2 2" xfId="26212" xr:uid="{00000000-0005-0000-0000-00000B010000}"/>
    <cellStyle name="Comma 18 5 3" xfId="25084" xr:uid="{00000000-0005-0000-0000-00000B010000}"/>
    <cellStyle name="Comma 18 6" xfId="22051" xr:uid="{00000000-0005-0000-0000-00006B2D0000}"/>
    <cellStyle name="Comma 18 6 2" xfId="25740" xr:uid="{00000000-0005-0000-0000-0000FC000000}"/>
    <cellStyle name="Comma 18 7" xfId="24558" xr:uid="{00000000-0005-0000-0000-0000FC000000}"/>
    <cellStyle name="Comma 180" xfId="27174" xr:uid="{DABF87B1-498F-4140-9C66-D0B2629FC37C}"/>
    <cellStyle name="Comma 181" xfId="27190" xr:uid="{10CB2FA5-8FAD-47F1-B08C-9793384C9CF2}"/>
    <cellStyle name="Comma 182" xfId="27176" xr:uid="{EECC740C-32E7-4D53-9B59-E78885967667}"/>
    <cellStyle name="Comma 183" xfId="27180" xr:uid="{EC136A7E-6666-46CD-905B-AF0DC042B60C}"/>
    <cellStyle name="Comma 184" xfId="27193" xr:uid="{2F94E842-F864-446D-A647-51CE2239021D}"/>
    <cellStyle name="Comma 185" xfId="27175" xr:uid="{B34205B6-4719-46BE-9F88-4A6F0FE64DC1}"/>
    <cellStyle name="Comma 186" xfId="27184" xr:uid="{DE1CE7CA-FA6E-4F0D-8906-95C767725D66}"/>
    <cellStyle name="Comma 187" xfId="27197" xr:uid="{5ADAC961-E3BD-454D-8FA9-4B7534749BCD}"/>
    <cellStyle name="Comma 188" xfId="27198" xr:uid="{038BC700-8497-4504-BE18-CB8830EF0E4B}"/>
    <cellStyle name="Comma 189" xfId="27199" xr:uid="{91D05654-1537-4BA3-B43F-0A456FD27E45}"/>
    <cellStyle name="Comma 19" xfId="8160" xr:uid="{00000000-0005-0000-0000-00006C2D0000}"/>
    <cellStyle name="Comma 19 2" xfId="22212" xr:uid="{00000000-0005-0000-0000-00006D2D0000}"/>
    <cellStyle name="Comma 19 2 2" xfId="22338" xr:uid="{00000000-0005-0000-0000-00006E2D0000}"/>
    <cellStyle name="Comma 19 2 2 2" xfId="22598" xr:uid="{00000000-0005-0000-0000-00006F2D0000}"/>
    <cellStyle name="Comma 19 2 2 2 2" xfId="23124" xr:uid="{00000000-0005-0000-0000-0000702D0000}"/>
    <cellStyle name="Comma 19 2 2 2 2 2" xfId="24416" xr:uid="{00000000-0005-0000-0000-000010010000}"/>
    <cellStyle name="Comma 19 2 2 2 2 2 2" xfId="26674" xr:uid="{00000000-0005-0000-0000-000010010000}"/>
    <cellStyle name="Comma 19 2 2 2 2 3" xfId="25538" xr:uid="{00000000-0005-0000-0000-000010010000}"/>
    <cellStyle name="Comma 19 2 2 2 3" xfId="23911" xr:uid="{00000000-0005-0000-0000-00000F010000}"/>
    <cellStyle name="Comma 19 2 2 2 3 2" xfId="26143" xr:uid="{00000000-0005-0000-0000-00000F010000}"/>
    <cellStyle name="Comma 19 2 2 2 4" xfId="25016" xr:uid="{00000000-0005-0000-0000-00000F010000}"/>
    <cellStyle name="Comma 19 2 2 3" xfId="22860" xr:uid="{00000000-0005-0000-0000-0000712D0000}"/>
    <cellStyle name="Comma 19 2 2 3 2" xfId="24160" xr:uid="{00000000-0005-0000-0000-000011010000}"/>
    <cellStyle name="Comma 19 2 2 3 2 2" xfId="26409" xr:uid="{00000000-0005-0000-0000-000011010000}"/>
    <cellStyle name="Comma 19 2 2 3 3" xfId="25279" xr:uid="{00000000-0005-0000-0000-000011010000}"/>
    <cellStyle name="Comma 19 2 2 4" xfId="23698" xr:uid="{00000000-0005-0000-0000-00000E010000}"/>
    <cellStyle name="Comma 19 2 2 4 2" xfId="25910" xr:uid="{00000000-0005-0000-0000-00000E010000}"/>
    <cellStyle name="Comma 19 2 2 5" xfId="24755" xr:uid="{00000000-0005-0000-0000-00000E010000}"/>
    <cellStyle name="Comma 19 2 3" xfId="22469" xr:uid="{00000000-0005-0000-0000-0000722D0000}"/>
    <cellStyle name="Comma 19 2 3 2" xfId="22995" xr:uid="{00000000-0005-0000-0000-0000732D0000}"/>
    <cellStyle name="Comma 19 2 3 2 2" xfId="24293" xr:uid="{00000000-0005-0000-0000-000013010000}"/>
    <cellStyle name="Comma 19 2 3 2 2 2" xfId="26545" xr:uid="{00000000-0005-0000-0000-000013010000}"/>
    <cellStyle name="Comma 19 2 3 2 3" xfId="25411" xr:uid="{00000000-0005-0000-0000-000013010000}"/>
    <cellStyle name="Comma 19 2 3 3" xfId="23805" xr:uid="{00000000-0005-0000-0000-000012010000}"/>
    <cellStyle name="Comma 19 2 3 3 2" xfId="26029" xr:uid="{00000000-0005-0000-0000-000012010000}"/>
    <cellStyle name="Comma 19 2 3 4" xfId="24889" xr:uid="{00000000-0005-0000-0000-000012010000}"/>
    <cellStyle name="Comma 19 2 4" xfId="22731" xr:uid="{00000000-0005-0000-0000-0000742D0000}"/>
    <cellStyle name="Comma 19 2 4 2" xfId="24044" xr:uid="{00000000-0005-0000-0000-000014010000}"/>
    <cellStyle name="Comma 19 2 4 2 2" xfId="26280" xr:uid="{00000000-0005-0000-0000-000014010000}"/>
    <cellStyle name="Comma 19 2 4 3" xfId="25151" xr:uid="{00000000-0005-0000-0000-000014010000}"/>
    <cellStyle name="Comma 19 2 5" xfId="23600" xr:uid="{00000000-0005-0000-0000-00000D010000}"/>
    <cellStyle name="Comma 19 2 5 2" xfId="25796" xr:uid="{00000000-0005-0000-0000-00000D010000}"/>
    <cellStyle name="Comma 19 2 6" xfId="24629" xr:uid="{00000000-0005-0000-0000-00000D010000}"/>
    <cellStyle name="Comma 19 3" xfId="22279" xr:uid="{00000000-0005-0000-0000-0000752D0000}"/>
    <cellStyle name="Comma 19 3 2" xfId="22537" xr:uid="{00000000-0005-0000-0000-0000762D0000}"/>
    <cellStyle name="Comma 19 3 2 2" xfId="23063" xr:uid="{00000000-0005-0000-0000-0000772D0000}"/>
    <cellStyle name="Comma 19 3 2 2 2" xfId="24358" xr:uid="{00000000-0005-0000-0000-000017010000}"/>
    <cellStyle name="Comma 19 3 2 2 2 2" xfId="26613" xr:uid="{00000000-0005-0000-0000-000017010000}"/>
    <cellStyle name="Comma 19 3 2 2 3" xfId="25477" xr:uid="{00000000-0005-0000-0000-000017010000}"/>
    <cellStyle name="Comma 19 3 2 3" xfId="23865" xr:uid="{00000000-0005-0000-0000-000016010000}"/>
    <cellStyle name="Comma 19 3 2 3 2" xfId="26092" xr:uid="{00000000-0005-0000-0000-000016010000}"/>
    <cellStyle name="Comma 19 3 2 4" xfId="24955" xr:uid="{00000000-0005-0000-0000-000016010000}"/>
    <cellStyle name="Comma 19 3 3" xfId="22799" xr:uid="{00000000-0005-0000-0000-0000782D0000}"/>
    <cellStyle name="Comma 19 3 3 2" xfId="24105" xr:uid="{00000000-0005-0000-0000-000018010000}"/>
    <cellStyle name="Comma 19 3 3 2 2" xfId="26348" xr:uid="{00000000-0005-0000-0000-000018010000}"/>
    <cellStyle name="Comma 19 3 3 3" xfId="25219" xr:uid="{00000000-0005-0000-0000-000018010000}"/>
    <cellStyle name="Comma 19 3 4" xfId="23652" xr:uid="{00000000-0005-0000-0000-000015010000}"/>
    <cellStyle name="Comma 19 3 4 2" xfId="25859" xr:uid="{00000000-0005-0000-0000-000015010000}"/>
    <cellStyle name="Comma 19 3 5" xfId="24695" xr:uid="{00000000-0005-0000-0000-000015010000}"/>
    <cellStyle name="Comma 19 4" xfId="22406" xr:uid="{00000000-0005-0000-0000-0000792D0000}"/>
    <cellStyle name="Comma 19 4 2" xfId="22929" xr:uid="{00000000-0005-0000-0000-00007A2D0000}"/>
    <cellStyle name="Comma 19 4 2 2" xfId="24228" xr:uid="{00000000-0005-0000-0000-00001A010000}"/>
    <cellStyle name="Comma 19 4 2 2 2" xfId="26478" xr:uid="{00000000-0005-0000-0000-00001A010000}"/>
    <cellStyle name="Comma 19 4 2 3" xfId="25347" xr:uid="{00000000-0005-0000-0000-00001A010000}"/>
    <cellStyle name="Comma 19 4 3" xfId="23754" xr:uid="{00000000-0005-0000-0000-000019010000}"/>
    <cellStyle name="Comma 19 4 3 2" xfId="25974" xr:uid="{00000000-0005-0000-0000-000019010000}"/>
    <cellStyle name="Comma 19 4 4" xfId="24823" xr:uid="{00000000-0005-0000-0000-000019010000}"/>
    <cellStyle name="Comma 19 5" xfId="22668" xr:uid="{00000000-0005-0000-0000-00007B2D0000}"/>
    <cellStyle name="Comma 19 5 2" xfId="23977" xr:uid="{00000000-0005-0000-0000-00001B010000}"/>
    <cellStyle name="Comma 19 5 2 2" xfId="26213" xr:uid="{00000000-0005-0000-0000-00001B010000}"/>
    <cellStyle name="Comma 19 5 3" xfId="25085" xr:uid="{00000000-0005-0000-0000-00001B010000}"/>
    <cellStyle name="Comma 19 6" xfId="22052" xr:uid="{00000000-0005-0000-0000-00007C2D0000}"/>
    <cellStyle name="Comma 19 6 2" xfId="25741" xr:uid="{00000000-0005-0000-0000-00000C010000}"/>
    <cellStyle name="Comma 19 7" xfId="24559" xr:uid="{00000000-0005-0000-0000-00000C010000}"/>
    <cellStyle name="Comma 190" xfId="27200" xr:uid="{BE6CEEF5-2256-451D-94D9-99D4EBA1B677}"/>
    <cellStyle name="Comma 191" xfId="27201" xr:uid="{4144360D-2C1F-4A5C-A3AC-19EB0C05C4B6}"/>
    <cellStyle name="Comma 192" xfId="27202" xr:uid="{BF25C9C3-E434-438A-BB53-D15D7656DC2D}"/>
    <cellStyle name="Comma 193" xfId="27203" xr:uid="{F3496E7F-9F74-4D11-A0E2-1CA804578116}"/>
    <cellStyle name="Comma 194" xfId="27205" xr:uid="{7F72E457-2C99-4E20-AF01-7EFB05E0A2FB}"/>
    <cellStyle name="Comma 195" xfId="27219" xr:uid="{066479D8-0F1B-4CEA-9A3E-68FDB86D27A5}"/>
    <cellStyle name="Comma 196" xfId="27226" xr:uid="{E66AD07B-8F36-4519-98F3-E7A77E1AA8D6}"/>
    <cellStyle name="Comma 197" xfId="27229" xr:uid="{6135935D-9256-43C6-845C-00A0DF32FCC5}"/>
    <cellStyle name="Comma 198" xfId="27220" xr:uid="{4B5B01A8-F8C5-4042-8806-A632789E40B9}"/>
    <cellStyle name="Comma 199" xfId="27222" xr:uid="{0A2BDE15-AD65-42F6-9CA9-F60935901B48}"/>
    <cellStyle name="Comma 2" xfId="2" xr:uid="{00000000-0005-0000-0000-00007D2D0000}"/>
    <cellStyle name="Comma 2 10" xfId="8161" xr:uid="{00000000-0005-0000-0000-00007E2D0000}"/>
    <cellStyle name="Comma 2 10 2" xfId="8162" xr:uid="{00000000-0005-0000-0000-00007F2D0000}"/>
    <cellStyle name="Comma 2 10 2 2" xfId="17210" xr:uid="{00000000-0005-0000-0000-0000802D0000}"/>
    <cellStyle name="Comma 2 10 3" xfId="24546" xr:uid="{00000000-0005-0000-0000-00001C010000}"/>
    <cellStyle name="Comma 2 11" xfId="8163" xr:uid="{00000000-0005-0000-0000-0000812D0000}"/>
    <cellStyle name="Comma 2 11 2" xfId="8164" xr:uid="{00000000-0005-0000-0000-0000822D0000}"/>
    <cellStyle name="Comma 2 11 2 2" xfId="17211" xr:uid="{00000000-0005-0000-0000-0000832D0000}"/>
    <cellStyle name="Comma 2 12" xfId="8165" xr:uid="{00000000-0005-0000-0000-0000842D0000}"/>
    <cellStyle name="Comma 2 12 2" xfId="8166" xr:uid="{00000000-0005-0000-0000-0000852D0000}"/>
    <cellStyle name="Comma 2 12 2 2" xfId="17212" xr:uid="{00000000-0005-0000-0000-0000862D0000}"/>
    <cellStyle name="Comma 2 13" xfId="8167" xr:uid="{00000000-0005-0000-0000-0000872D0000}"/>
    <cellStyle name="Comma 2 13 2" xfId="17213" xr:uid="{00000000-0005-0000-0000-0000882D0000}"/>
    <cellStyle name="Comma 2 14" xfId="14131" xr:uid="{00000000-0005-0000-0000-0000892D0000}"/>
    <cellStyle name="Comma 2 15" xfId="21719" xr:uid="{00000000-0005-0000-0000-00008A2D0000}"/>
    <cellStyle name="Comma 2 15 2" xfId="21806" xr:uid="{00000000-0005-0000-0000-00008B2D0000}"/>
    <cellStyle name="Comma 2 15 2 2" xfId="21848" xr:uid="{00000000-0005-0000-0000-00008C2D0000}"/>
    <cellStyle name="Comma 2 15 3" xfId="21773" xr:uid="{00000000-0005-0000-0000-00008D2D0000}"/>
    <cellStyle name="Comma 2 2" xfId="9" xr:uid="{00000000-0005-0000-0000-00008E2D0000}"/>
    <cellStyle name="Comma 2 2 2" xfId="8168" xr:uid="{00000000-0005-0000-0000-00008F2D0000}"/>
    <cellStyle name="Comma 2 2 2 2" xfId="17214" xr:uid="{00000000-0005-0000-0000-0000902D0000}"/>
    <cellStyle name="Comma 2 2 3" xfId="21720" xr:uid="{00000000-0005-0000-0000-0000912D0000}"/>
    <cellStyle name="Comma 2 2 3 2" xfId="21849" xr:uid="{00000000-0005-0000-0000-0000922D0000}"/>
    <cellStyle name="Comma 2 3" xfId="8169" xr:uid="{00000000-0005-0000-0000-0000932D0000}"/>
    <cellStyle name="Comma 2 3 2" xfId="8170" xr:uid="{00000000-0005-0000-0000-0000942D0000}"/>
    <cellStyle name="Comma 2 3 2 2" xfId="17215" xr:uid="{00000000-0005-0000-0000-0000952D0000}"/>
    <cellStyle name="Comma 2 3 2 2 2" xfId="23119" xr:uid="{00000000-0005-0000-0000-0000962D0000}"/>
    <cellStyle name="Comma 2 3 2 2 2 2" xfId="24411" xr:uid="{00000000-0005-0000-0000-000021010000}"/>
    <cellStyle name="Comma 2 3 2 2 2 2 2" xfId="26669" xr:uid="{00000000-0005-0000-0000-000021010000}"/>
    <cellStyle name="Comma 2 3 2 2 2 3" xfId="25533" xr:uid="{00000000-0005-0000-0000-000021010000}"/>
    <cellStyle name="Comma 2 3 2 2 3" xfId="22593" xr:uid="{00000000-0005-0000-0000-0000972D0000}"/>
    <cellStyle name="Comma 2 3 2 2 3 2" xfId="26138" xr:uid="{00000000-0005-0000-0000-000020010000}"/>
    <cellStyle name="Comma 2 3 2 2 4" xfId="25011" xr:uid="{00000000-0005-0000-0000-000020010000}"/>
    <cellStyle name="Comma 2 3 2 3" xfId="22855" xr:uid="{00000000-0005-0000-0000-0000982D0000}"/>
    <cellStyle name="Comma 2 3 2 3 2" xfId="24155" xr:uid="{00000000-0005-0000-0000-000022010000}"/>
    <cellStyle name="Comma 2 3 2 3 2 2" xfId="26404" xr:uid="{00000000-0005-0000-0000-000022010000}"/>
    <cellStyle name="Comma 2 3 2 3 3" xfId="25274" xr:uid="{00000000-0005-0000-0000-000022010000}"/>
    <cellStyle name="Comma 2 3 2 4" xfId="22333" xr:uid="{00000000-0005-0000-0000-0000992D0000}"/>
    <cellStyle name="Comma 2 3 2 4 2" xfId="25905" xr:uid="{00000000-0005-0000-0000-00001F010000}"/>
    <cellStyle name="Comma 2 3 2 5" xfId="24750" xr:uid="{00000000-0005-0000-0000-00001F010000}"/>
    <cellStyle name="Comma 2 3 3" xfId="21850" xr:uid="{00000000-0005-0000-0000-00009A2D0000}"/>
    <cellStyle name="Comma 2 3 3 2" xfId="22990" xr:uid="{00000000-0005-0000-0000-00009B2D0000}"/>
    <cellStyle name="Comma 2 3 3 2 2" xfId="24288" xr:uid="{00000000-0005-0000-0000-000024010000}"/>
    <cellStyle name="Comma 2 3 3 2 2 2" xfId="26540" xr:uid="{00000000-0005-0000-0000-000024010000}"/>
    <cellStyle name="Comma 2 3 3 2 3" xfId="25406" xr:uid="{00000000-0005-0000-0000-000024010000}"/>
    <cellStyle name="Comma 2 3 3 3" xfId="22464" xr:uid="{00000000-0005-0000-0000-00009C2D0000}"/>
    <cellStyle name="Comma 2 3 3 3 2" xfId="26024" xr:uid="{00000000-0005-0000-0000-000023010000}"/>
    <cellStyle name="Comma 2 3 3 4" xfId="24884" xr:uid="{00000000-0005-0000-0000-000023010000}"/>
    <cellStyle name="Comma 2 3 4" xfId="22726" xr:uid="{00000000-0005-0000-0000-00009D2D0000}"/>
    <cellStyle name="Comma 2 3 4 2" xfId="24039" xr:uid="{00000000-0005-0000-0000-000025010000}"/>
    <cellStyle name="Comma 2 3 4 2 2" xfId="26275" xr:uid="{00000000-0005-0000-0000-000025010000}"/>
    <cellStyle name="Comma 2 3 4 3" xfId="25146" xr:uid="{00000000-0005-0000-0000-000025010000}"/>
    <cellStyle name="Comma 2 3 5" xfId="22207" xr:uid="{00000000-0005-0000-0000-00009E2D0000}"/>
    <cellStyle name="Comma 2 3 5 2" xfId="25791" xr:uid="{00000000-0005-0000-0000-00001E010000}"/>
    <cellStyle name="Comma 2 3 6" xfId="24624" xr:uid="{00000000-0005-0000-0000-00001E010000}"/>
    <cellStyle name="Comma 2 4" xfId="8171" xr:uid="{00000000-0005-0000-0000-00009F2D0000}"/>
    <cellStyle name="Comma 2 4 2" xfId="8172" xr:uid="{00000000-0005-0000-0000-0000A02D0000}"/>
    <cellStyle name="Comma 2 4 2 2" xfId="17216" xr:uid="{00000000-0005-0000-0000-0000A12D0000}"/>
    <cellStyle name="Comma 2 4 2 2 2" xfId="23051" xr:uid="{00000000-0005-0000-0000-0000A22D0000}"/>
    <cellStyle name="Comma 2 4 2 2 2 2" xfId="26601" xr:uid="{00000000-0005-0000-0000-000028010000}"/>
    <cellStyle name="Comma 2 4 2 2 3" xfId="25467" xr:uid="{00000000-0005-0000-0000-000028010000}"/>
    <cellStyle name="Comma 2 4 2 3" xfId="22525" xr:uid="{00000000-0005-0000-0000-0000A32D0000}"/>
    <cellStyle name="Comma 2 4 2 3 2" xfId="26085" xr:uid="{00000000-0005-0000-0000-000027010000}"/>
    <cellStyle name="Comma 2 4 2 4" xfId="24945" xr:uid="{00000000-0005-0000-0000-000027010000}"/>
    <cellStyle name="Comma 2 4 3" xfId="22787" xr:uid="{00000000-0005-0000-0000-0000A42D0000}"/>
    <cellStyle name="Comma 2 4 3 2" xfId="24098" xr:uid="{00000000-0005-0000-0000-000029010000}"/>
    <cellStyle name="Comma 2 4 3 2 2" xfId="26336" xr:uid="{00000000-0005-0000-0000-000029010000}"/>
    <cellStyle name="Comma 2 4 3 3" xfId="25207" xr:uid="{00000000-0005-0000-0000-000029010000}"/>
    <cellStyle name="Comma 2 4 4" xfId="22269" xr:uid="{00000000-0005-0000-0000-0000A52D0000}"/>
    <cellStyle name="Comma 2 4 4 2" xfId="25852" xr:uid="{00000000-0005-0000-0000-000026010000}"/>
    <cellStyle name="Comma 2 4 5" xfId="24685" xr:uid="{00000000-0005-0000-0000-000026010000}"/>
    <cellStyle name="Comma 2 5" xfId="8173" xr:uid="{00000000-0005-0000-0000-0000A62D0000}"/>
    <cellStyle name="Comma 2 5 2" xfId="8174" xr:uid="{00000000-0005-0000-0000-0000A72D0000}"/>
    <cellStyle name="Comma 2 5 2 2" xfId="17217" xr:uid="{00000000-0005-0000-0000-0000A82D0000}"/>
    <cellStyle name="Comma 2 5 2 2 2" xfId="26469" xr:uid="{00000000-0005-0000-0000-00002B010000}"/>
    <cellStyle name="Comma 2 5 2 2 3" xfId="24219" xr:uid="{00000000-0005-0000-0000-00002B010000}"/>
    <cellStyle name="Comma 2 5 2 3" xfId="22920" xr:uid="{00000000-0005-0000-0000-0000A92D0000}"/>
    <cellStyle name="Comma 2 5 3" xfId="22397" xr:uid="{00000000-0005-0000-0000-0000AA2D0000}"/>
    <cellStyle name="Comma 2 5 3 2" xfId="25969" xr:uid="{00000000-0005-0000-0000-00002A010000}"/>
    <cellStyle name="Comma 2 5 4" xfId="24814" xr:uid="{00000000-0005-0000-0000-00002A010000}"/>
    <cellStyle name="Comma 2 6" xfId="8175" xr:uid="{00000000-0005-0000-0000-0000AB2D0000}"/>
    <cellStyle name="Comma 2 6 2" xfId="8176" xr:uid="{00000000-0005-0000-0000-0000AC2D0000}"/>
    <cellStyle name="Comma 2 6 2 2" xfId="17218" xr:uid="{00000000-0005-0000-0000-0000AD2D0000}"/>
    <cellStyle name="Comma 2 6 2 2 2" xfId="26204" xr:uid="{00000000-0005-0000-0000-00002C010000}"/>
    <cellStyle name="Comma 2 6 2 3" xfId="23968" xr:uid="{00000000-0005-0000-0000-00002C010000}"/>
    <cellStyle name="Comma 2 6 3" xfId="22659" xr:uid="{00000000-0005-0000-0000-0000AE2D0000}"/>
    <cellStyle name="Comma 2 7" xfId="8177" xr:uid="{00000000-0005-0000-0000-0000AF2D0000}"/>
    <cellStyle name="Comma 2 7 2" xfId="8178" xr:uid="{00000000-0005-0000-0000-0000B02D0000}"/>
    <cellStyle name="Comma 2 7 2 2" xfId="17219" xr:uid="{00000000-0005-0000-0000-0000B12D0000}"/>
    <cellStyle name="Comma 2 7 2 2 2" xfId="26748" xr:uid="{00000000-0005-0000-0000-00002D010000}"/>
    <cellStyle name="Comma 2 7 2 3" xfId="24488" xr:uid="{00000000-0005-0000-0000-00002D010000}"/>
    <cellStyle name="Comma 2 7 3" xfId="23244" xr:uid="{00000000-0005-0000-0000-0000B22D0000}"/>
    <cellStyle name="Comma 2 8" xfId="8179" xr:uid="{00000000-0005-0000-0000-0000B32D0000}"/>
    <cellStyle name="Comma 2 8 2" xfId="8180" xr:uid="{00000000-0005-0000-0000-0000B42D0000}"/>
    <cellStyle name="Comma 2 8 2 2" xfId="17220" xr:uid="{00000000-0005-0000-0000-0000B52D0000}"/>
    <cellStyle name="Comma 2 8 2 2 2" xfId="26780" xr:uid="{00000000-0005-0000-0000-00002E010000}"/>
    <cellStyle name="Comma 2 8 2 3" xfId="24509" xr:uid="{00000000-0005-0000-0000-00002E010000}"/>
    <cellStyle name="Comma 2 8 3" xfId="23277" xr:uid="{00000000-0005-0000-0000-0000B62D0000}"/>
    <cellStyle name="Comma 2 9" xfId="8181" xr:uid="{00000000-0005-0000-0000-0000B72D0000}"/>
    <cellStyle name="Comma 2 9 2" xfId="8182" xr:uid="{00000000-0005-0000-0000-0000B82D0000}"/>
    <cellStyle name="Comma 2 9 2 2" xfId="17221" xr:uid="{00000000-0005-0000-0000-0000B92D0000}"/>
    <cellStyle name="Comma 2 9 2 3" xfId="25736" xr:uid="{00000000-0005-0000-0000-00001C010000}"/>
    <cellStyle name="Comma 2 9 3" xfId="23563" xr:uid="{00000000-0005-0000-0000-00001C010000}"/>
    <cellStyle name="Comma 20" xfId="8183" xr:uid="{00000000-0005-0000-0000-0000BA2D0000}"/>
    <cellStyle name="Comma 20 2" xfId="22213" xr:uid="{00000000-0005-0000-0000-0000BB2D0000}"/>
    <cellStyle name="Comma 20 2 2" xfId="22339" xr:uid="{00000000-0005-0000-0000-0000BC2D0000}"/>
    <cellStyle name="Comma 20 2 2 2" xfId="22599" xr:uid="{00000000-0005-0000-0000-0000BD2D0000}"/>
    <cellStyle name="Comma 20 2 2 2 2" xfId="23125" xr:uid="{00000000-0005-0000-0000-0000BE2D0000}"/>
    <cellStyle name="Comma 20 2 2 2 2 2" xfId="24417" xr:uid="{00000000-0005-0000-0000-000033010000}"/>
    <cellStyle name="Comma 20 2 2 2 2 2 2" xfId="26675" xr:uid="{00000000-0005-0000-0000-000033010000}"/>
    <cellStyle name="Comma 20 2 2 2 2 3" xfId="25539" xr:uid="{00000000-0005-0000-0000-000033010000}"/>
    <cellStyle name="Comma 20 2 2 2 3" xfId="23912" xr:uid="{00000000-0005-0000-0000-000032010000}"/>
    <cellStyle name="Comma 20 2 2 2 3 2" xfId="26144" xr:uid="{00000000-0005-0000-0000-000032010000}"/>
    <cellStyle name="Comma 20 2 2 2 4" xfId="25017" xr:uid="{00000000-0005-0000-0000-000032010000}"/>
    <cellStyle name="Comma 20 2 2 3" xfId="22861" xr:uid="{00000000-0005-0000-0000-0000BF2D0000}"/>
    <cellStyle name="Comma 20 2 2 3 2" xfId="24161" xr:uid="{00000000-0005-0000-0000-000034010000}"/>
    <cellStyle name="Comma 20 2 2 3 2 2" xfId="26410" xr:uid="{00000000-0005-0000-0000-000034010000}"/>
    <cellStyle name="Comma 20 2 2 3 3" xfId="25280" xr:uid="{00000000-0005-0000-0000-000034010000}"/>
    <cellStyle name="Comma 20 2 2 4" xfId="23699" xr:uid="{00000000-0005-0000-0000-000031010000}"/>
    <cellStyle name="Comma 20 2 2 4 2" xfId="25911" xr:uid="{00000000-0005-0000-0000-000031010000}"/>
    <cellStyle name="Comma 20 2 2 5" xfId="24756" xr:uid="{00000000-0005-0000-0000-000031010000}"/>
    <cellStyle name="Comma 20 2 3" xfId="22470" xr:uid="{00000000-0005-0000-0000-0000C02D0000}"/>
    <cellStyle name="Comma 20 2 3 2" xfId="22996" xr:uid="{00000000-0005-0000-0000-0000C12D0000}"/>
    <cellStyle name="Comma 20 2 3 2 2" xfId="24294" xr:uid="{00000000-0005-0000-0000-000036010000}"/>
    <cellStyle name="Comma 20 2 3 2 2 2" xfId="26546" xr:uid="{00000000-0005-0000-0000-000036010000}"/>
    <cellStyle name="Comma 20 2 3 2 3" xfId="25412" xr:uid="{00000000-0005-0000-0000-000036010000}"/>
    <cellStyle name="Comma 20 2 3 3" xfId="23806" xr:uid="{00000000-0005-0000-0000-000035010000}"/>
    <cellStyle name="Comma 20 2 3 3 2" xfId="26030" xr:uid="{00000000-0005-0000-0000-000035010000}"/>
    <cellStyle name="Comma 20 2 3 4" xfId="24890" xr:uid="{00000000-0005-0000-0000-000035010000}"/>
    <cellStyle name="Comma 20 2 4" xfId="22732" xr:uid="{00000000-0005-0000-0000-0000C22D0000}"/>
    <cellStyle name="Comma 20 2 4 2" xfId="24045" xr:uid="{00000000-0005-0000-0000-000037010000}"/>
    <cellStyle name="Comma 20 2 4 2 2" xfId="26281" xr:uid="{00000000-0005-0000-0000-000037010000}"/>
    <cellStyle name="Comma 20 2 4 3" xfId="25152" xr:uid="{00000000-0005-0000-0000-000037010000}"/>
    <cellStyle name="Comma 20 2 5" xfId="23601" xr:uid="{00000000-0005-0000-0000-000030010000}"/>
    <cellStyle name="Comma 20 2 5 2" xfId="25797" xr:uid="{00000000-0005-0000-0000-000030010000}"/>
    <cellStyle name="Comma 20 2 6" xfId="24630" xr:uid="{00000000-0005-0000-0000-000030010000}"/>
    <cellStyle name="Comma 20 3" xfId="22280" xr:uid="{00000000-0005-0000-0000-0000C32D0000}"/>
    <cellStyle name="Comma 20 3 2" xfId="22538" xr:uid="{00000000-0005-0000-0000-0000C42D0000}"/>
    <cellStyle name="Comma 20 3 2 2" xfId="23064" xr:uid="{00000000-0005-0000-0000-0000C52D0000}"/>
    <cellStyle name="Comma 20 3 2 2 2" xfId="24359" xr:uid="{00000000-0005-0000-0000-00003A010000}"/>
    <cellStyle name="Comma 20 3 2 2 2 2" xfId="26614" xr:uid="{00000000-0005-0000-0000-00003A010000}"/>
    <cellStyle name="Comma 20 3 2 2 3" xfId="25478" xr:uid="{00000000-0005-0000-0000-00003A010000}"/>
    <cellStyle name="Comma 20 3 2 3" xfId="23866" xr:uid="{00000000-0005-0000-0000-000039010000}"/>
    <cellStyle name="Comma 20 3 2 3 2" xfId="26093" xr:uid="{00000000-0005-0000-0000-000039010000}"/>
    <cellStyle name="Comma 20 3 2 4" xfId="24956" xr:uid="{00000000-0005-0000-0000-000039010000}"/>
    <cellStyle name="Comma 20 3 3" xfId="22800" xr:uid="{00000000-0005-0000-0000-0000C62D0000}"/>
    <cellStyle name="Comma 20 3 3 2" xfId="24106" xr:uid="{00000000-0005-0000-0000-00003B010000}"/>
    <cellStyle name="Comma 20 3 3 2 2" xfId="26349" xr:uid="{00000000-0005-0000-0000-00003B010000}"/>
    <cellStyle name="Comma 20 3 3 3" xfId="25220" xr:uid="{00000000-0005-0000-0000-00003B010000}"/>
    <cellStyle name="Comma 20 3 4" xfId="23653" xr:uid="{00000000-0005-0000-0000-000038010000}"/>
    <cellStyle name="Comma 20 3 4 2" xfId="25860" xr:uid="{00000000-0005-0000-0000-000038010000}"/>
    <cellStyle name="Comma 20 3 5" xfId="24696" xr:uid="{00000000-0005-0000-0000-000038010000}"/>
    <cellStyle name="Comma 20 4" xfId="22407" xr:uid="{00000000-0005-0000-0000-0000C72D0000}"/>
    <cellStyle name="Comma 20 4 2" xfId="22930" xr:uid="{00000000-0005-0000-0000-0000C82D0000}"/>
    <cellStyle name="Comma 20 4 2 2" xfId="24229" xr:uid="{00000000-0005-0000-0000-00003D010000}"/>
    <cellStyle name="Comma 20 4 2 2 2" xfId="26479" xr:uid="{00000000-0005-0000-0000-00003D010000}"/>
    <cellStyle name="Comma 20 4 2 3" xfId="25348" xr:uid="{00000000-0005-0000-0000-00003D010000}"/>
    <cellStyle name="Comma 20 4 3" xfId="23755" xr:uid="{00000000-0005-0000-0000-00003C010000}"/>
    <cellStyle name="Comma 20 4 3 2" xfId="25975" xr:uid="{00000000-0005-0000-0000-00003C010000}"/>
    <cellStyle name="Comma 20 4 4" xfId="24824" xr:uid="{00000000-0005-0000-0000-00003C010000}"/>
    <cellStyle name="Comma 20 5" xfId="22669" xr:uid="{00000000-0005-0000-0000-0000C92D0000}"/>
    <cellStyle name="Comma 20 5 2" xfId="23978" xr:uid="{00000000-0005-0000-0000-00003E010000}"/>
    <cellStyle name="Comma 20 5 2 2" xfId="26214" xr:uid="{00000000-0005-0000-0000-00003E010000}"/>
    <cellStyle name="Comma 20 5 3" xfId="25086" xr:uid="{00000000-0005-0000-0000-00003E010000}"/>
    <cellStyle name="Comma 20 6" xfId="22053" xr:uid="{00000000-0005-0000-0000-0000CA2D0000}"/>
    <cellStyle name="Comma 20 6 2" xfId="25742" xr:uid="{00000000-0005-0000-0000-00002F010000}"/>
    <cellStyle name="Comma 20 7" xfId="24560" xr:uid="{00000000-0005-0000-0000-00002F010000}"/>
    <cellStyle name="Comma 200" xfId="27221" xr:uid="{45438C8C-C93D-40B9-8EB6-589120C1507F}"/>
    <cellStyle name="Comma 201" xfId="27224" xr:uid="{8D54B1AB-40D8-4C6F-82B0-08728C85ADE6}"/>
    <cellStyle name="Comma 202" xfId="27227" xr:uid="{8F7C1D2D-AE6C-4738-A5FA-30DA08721142}"/>
    <cellStyle name="Comma 203" xfId="27225" xr:uid="{622D8740-4038-422D-9422-9B3F5496D07B}"/>
    <cellStyle name="Comma 204" xfId="27223" xr:uid="{5B4174DF-30A3-4C07-AFBB-A3DDECAAD0F4}"/>
    <cellStyle name="Comma 205" xfId="27230" xr:uid="{228122BA-C944-4A59-9AA5-F395C8A85F5D}"/>
    <cellStyle name="Comma 206" xfId="27231" xr:uid="{3F69AE7E-82BE-4596-8F0F-F530424157A8}"/>
    <cellStyle name="Comma 207" xfId="27232" xr:uid="{8C1842EC-60BB-4D0A-8C51-1FDC35F0459D}"/>
    <cellStyle name="Comma 208" xfId="27233" xr:uid="{23020F36-085A-4C45-A3E2-42DD0DA94089}"/>
    <cellStyle name="Comma 209" xfId="27235" xr:uid="{E1227611-9646-4246-9A84-CEC804CDC48C}"/>
    <cellStyle name="Comma 21" xfId="8184" xr:uid="{00000000-0005-0000-0000-0000CB2D0000}"/>
    <cellStyle name="Comma 21 2" xfId="22214" xr:uid="{00000000-0005-0000-0000-0000CC2D0000}"/>
    <cellStyle name="Comma 21 2 2" xfId="22340" xr:uid="{00000000-0005-0000-0000-0000CD2D0000}"/>
    <cellStyle name="Comma 21 2 2 2" xfId="22600" xr:uid="{00000000-0005-0000-0000-0000CE2D0000}"/>
    <cellStyle name="Comma 21 2 2 2 2" xfId="23126" xr:uid="{00000000-0005-0000-0000-0000CF2D0000}"/>
    <cellStyle name="Comma 21 2 2 2 2 2" xfId="24418" xr:uid="{00000000-0005-0000-0000-000043010000}"/>
    <cellStyle name="Comma 21 2 2 2 2 2 2" xfId="26676" xr:uid="{00000000-0005-0000-0000-000043010000}"/>
    <cellStyle name="Comma 21 2 2 2 2 3" xfId="25540" xr:uid="{00000000-0005-0000-0000-000043010000}"/>
    <cellStyle name="Comma 21 2 2 2 3" xfId="23913" xr:uid="{00000000-0005-0000-0000-000042010000}"/>
    <cellStyle name="Comma 21 2 2 2 3 2" xfId="26145" xr:uid="{00000000-0005-0000-0000-000042010000}"/>
    <cellStyle name="Comma 21 2 2 2 4" xfId="25018" xr:uid="{00000000-0005-0000-0000-000042010000}"/>
    <cellStyle name="Comma 21 2 2 3" xfId="22862" xr:uid="{00000000-0005-0000-0000-0000D02D0000}"/>
    <cellStyle name="Comma 21 2 2 3 2" xfId="24162" xr:uid="{00000000-0005-0000-0000-000044010000}"/>
    <cellStyle name="Comma 21 2 2 3 2 2" xfId="26411" xr:uid="{00000000-0005-0000-0000-000044010000}"/>
    <cellStyle name="Comma 21 2 2 3 3" xfId="25281" xr:uid="{00000000-0005-0000-0000-000044010000}"/>
    <cellStyle name="Comma 21 2 2 4" xfId="23700" xr:uid="{00000000-0005-0000-0000-000041010000}"/>
    <cellStyle name="Comma 21 2 2 4 2" xfId="25912" xr:uid="{00000000-0005-0000-0000-000041010000}"/>
    <cellStyle name="Comma 21 2 2 5" xfId="24757" xr:uid="{00000000-0005-0000-0000-000041010000}"/>
    <cellStyle name="Comma 21 2 3" xfId="22471" xr:uid="{00000000-0005-0000-0000-0000D12D0000}"/>
    <cellStyle name="Comma 21 2 3 2" xfId="22997" xr:uid="{00000000-0005-0000-0000-0000D22D0000}"/>
    <cellStyle name="Comma 21 2 3 2 2" xfId="24295" xr:uid="{00000000-0005-0000-0000-000046010000}"/>
    <cellStyle name="Comma 21 2 3 2 2 2" xfId="26547" xr:uid="{00000000-0005-0000-0000-000046010000}"/>
    <cellStyle name="Comma 21 2 3 2 3" xfId="25413" xr:uid="{00000000-0005-0000-0000-000046010000}"/>
    <cellStyle name="Comma 21 2 3 3" xfId="23807" xr:uid="{00000000-0005-0000-0000-000045010000}"/>
    <cellStyle name="Comma 21 2 3 3 2" xfId="26031" xr:uid="{00000000-0005-0000-0000-000045010000}"/>
    <cellStyle name="Comma 21 2 3 4" xfId="24891" xr:uid="{00000000-0005-0000-0000-000045010000}"/>
    <cellStyle name="Comma 21 2 4" xfId="22733" xr:uid="{00000000-0005-0000-0000-0000D32D0000}"/>
    <cellStyle name="Comma 21 2 4 2" xfId="24046" xr:uid="{00000000-0005-0000-0000-000047010000}"/>
    <cellStyle name="Comma 21 2 4 2 2" xfId="26282" xr:uid="{00000000-0005-0000-0000-000047010000}"/>
    <cellStyle name="Comma 21 2 4 3" xfId="25153" xr:uid="{00000000-0005-0000-0000-000047010000}"/>
    <cellStyle name="Comma 21 2 5" xfId="23602" xr:uid="{00000000-0005-0000-0000-000040010000}"/>
    <cellStyle name="Comma 21 2 5 2" xfId="25798" xr:uid="{00000000-0005-0000-0000-000040010000}"/>
    <cellStyle name="Comma 21 2 6" xfId="24631" xr:uid="{00000000-0005-0000-0000-000040010000}"/>
    <cellStyle name="Comma 21 3" xfId="22281" xr:uid="{00000000-0005-0000-0000-0000D42D0000}"/>
    <cellStyle name="Comma 21 3 2" xfId="22539" xr:uid="{00000000-0005-0000-0000-0000D52D0000}"/>
    <cellStyle name="Comma 21 3 2 2" xfId="23065" xr:uid="{00000000-0005-0000-0000-0000D62D0000}"/>
    <cellStyle name="Comma 21 3 2 2 2" xfId="24360" xr:uid="{00000000-0005-0000-0000-00004A010000}"/>
    <cellStyle name="Comma 21 3 2 2 2 2" xfId="26615" xr:uid="{00000000-0005-0000-0000-00004A010000}"/>
    <cellStyle name="Comma 21 3 2 2 3" xfId="25479" xr:uid="{00000000-0005-0000-0000-00004A010000}"/>
    <cellStyle name="Comma 21 3 2 3" xfId="23867" xr:uid="{00000000-0005-0000-0000-000049010000}"/>
    <cellStyle name="Comma 21 3 2 3 2" xfId="26094" xr:uid="{00000000-0005-0000-0000-000049010000}"/>
    <cellStyle name="Comma 21 3 2 4" xfId="24957" xr:uid="{00000000-0005-0000-0000-000049010000}"/>
    <cellStyle name="Comma 21 3 3" xfId="22801" xr:uid="{00000000-0005-0000-0000-0000D72D0000}"/>
    <cellStyle name="Comma 21 3 3 2" xfId="24107" xr:uid="{00000000-0005-0000-0000-00004B010000}"/>
    <cellStyle name="Comma 21 3 3 2 2" xfId="26350" xr:uid="{00000000-0005-0000-0000-00004B010000}"/>
    <cellStyle name="Comma 21 3 3 3" xfId="25221" xr:uid="{00000000-0005-0000-0000-00004B010000}"/>
    <cellStyle name="Comma 21 3 4" xfId="23654" xr:uid="{00000000-0005-0000-0000-000048010000}"/>
    <cellStyle name="Comma 21 3 4 2" xfId="25861" xr:uid="{00000000-0005-0000-0000-000048010000}"/>
    <cellStyle name="Comma 21 3 5" xfId="24697" xr:uid="{00000000-0005-0000-0000-000048010000}"/>
    <cellStyle name="Comma 21 4" xfId="22408" xr:uid="{00000000-0005-0000-0000-0000D82D0000}"/>
    <cellStyle name="Comma 21 4 2" xfId="22931" xr:uid="{00000000-0005-0000-0000-0000D92D0000}"/>
    <cellStyle name="Comma 21 4 2 2" xfId="24230" xr:uid="{00000000-0005-0000-0000-00004D010000}"/>
    <cellStyle name="Comma 21 4 2 2 2" xfId="26480" xr:uid="{00000000-0005-0000-0000-00004D010000}"/>
    <cellStyle name="Comma 21 4 2 3" xfId="25349" xr:uid="{00000000-0005-0000-0000-00004D010000}"/>
    <cellStyle name="Comma 21 4 3" xfId="23756" xr:uid="{00000000-0005-0000-0000-00004C010000}"/>
    <cellStyle name="Comma 21 4 3 2" xfId="25976" xr:uid="{00000000-0005-0000-0000-00004C010000}"/>
    <cellStyle name="Comma 21 4 4" xfId="24825" xr:uid="{00000000-0005-0000-0000-00004C010000}"/>
    <cellStyle name="Comma 21 5" xfId="22670" xr:uid="{00000000-0005-0000-0000-0000DA2D0000}"/>
    <cellStyle name="Comma 21 5 2" xfId="23979" xr:uid="{00000000-0005-0000-0000-00004E010000}"/>
    <cellStyle name="Comma 21 5 2 2" xfId="26215" xr:uid="{00000000-0005-0000-0000-00004E010000}"/>
    <cellStyle name="Comma 21 5 3" xfId="25087" xr:uid="{00000000-0005-0000-0000-00004E010000}"/>
    <cellStyle name="Comma 21 6" xfId="22054" xr:uid="{00000000-0005-0000-0000-0000DB2D0000}"/>
    <cellStyle name="Comma 21 6 2" xfId="25743" xr:uid="{00000000-0005-0000-0000-00003F010000}"/>
    <cellStyle name="Comma 21 7" xfId="24561" xr:uid="{00000000-0005-0000-0000-00003F010000}"/>
    <cellStyle name="Comma 210" xfId="27237" xr:uid="{8961FE98-1A9D-40D5-BB98-7FACE784EBD5}"/>
    <cellStyle name="Comma 211" xfId="27239" xr:uid="{66899A5C-5A1B-4EA5-9FFC-6C4C5C8A1E29}"/>
    <cellStyle name="Comma 212" xfId="27240" xr:uid="{1FF47E18-729D-422D-B21D-A3A871F02615}"/>
    <cellStyle name="Comma 213" xfId="27243" xr:uid="{C0878E72-B02B-4AA4-BF0A-2335B1E1A2C7}"/>
    <cellStyle name="Comma 214" xfId="27257" xr:uid="{E6A40324-BC85-4D64-AFB4-C0D5840011EE}"/>
    <cellStyle name="Comma 215" xfId="27270" xr:uid="{E61AA6E8-F509-4004-BE46-BD4DA25170FC}"/>
    <cellStyle name="Comma 216" xfId="27274" xr:uid="{E2B073A3-1ADD-4DCA-B47D-CAD5F835C579}"/>
    <cellStyle name="Comma 217" xfId="27259" xr:uid="{D56D51D4-BD14-412C-A864-8C41E2C59FD5}"/>
    <cellStyle name="Comma 218" xfId="27263" xr:uid="{F23FA711-D6A2-49FF-8F15-D3C5527A6BCA}"/>
    <cellStyle name="Comma 219" xfId="27262" xr:uid="{ABF3F4AA-8E16-4C58-989A-54B5618A0639}"/>
    <cellStyle name="Comma 22" xfId="8185" xr:uid="{00000000-0005-0000-0000-0000DC2D0000}"/>
    <cellStyle name="Comma 22 2" xfId="22215" xr:uid="{00000000-0005-0000-0000-0000DD2D0000}"/>
    <cellStyle name="Comma 22 2 2" xfId="22341" xr:uid="{00000000-0005-0000-0000-0000DE2D0000}"/>
    <cellStyle name="Comma 22 2 2 2" xfId="22601" xr:uid="{00000000-0005-0000-0000-0000DF2D0000}"/>
    <cellStyle name="Comma 22 2 2 2 2" xfId="23127" xr:uid="{00000000-0005-0000-0000-0000E02D0000}"/>
    <cellStyle name="Comma 22 2 2 2 2 2" xfId="24419" xr:uid="{00000000-0005-0000-0000-000053010000}"/>
    <cellStyle name="Comma 22 2 2 2 2 2 2" xfId="26677" xr:uid="{00000000-0005-0000-0000-000053010000}"/>
    <cellStyle name="Comma 22 2 2 2 2 3" xfId="25541" xr:uid="{00000000-0005-0000-0000-000053010000}"/>
    <cellStyle name="Comma 22 2 2 2 3" xfId="23914" xr:uid="{00000000-0005-0000-0000-000052010000}"/>
    <cellStyle name="Comma 22 2 2 2 3 2" xfId="26146" xr:uid="{00000000-0005-0000-0000-000052010000}"/>
    <cellStyle name="Comma 22 2 2 2 4" xfId="25019" xr:uid="{00000000-0005-0000-0000-000052010000}"/>
    <cellStyle name="Comma 22 2 2 3" xfId="22863" xr:uid="{00000000-0005-0000-0000-0000E12D0000}"/>
    <cellStyle name="Comma 22 2 2 3 2" xfId="24163" xr:uid="{00000000-0005-0000-0000-000054010000}"/>
    <cellStyle name="Comma 22 2 2 3 2 2" xfId="26412" xr:uid="{00000000-0005-0000-0000-000054010000}"/>
    <cellStyle name="Comma 22 2 2 3 3" xfId="25282" xr:uid="{00000000-0005-0000-0000-000054010000}"/>
    <cellStyle name="Comma 22 2 2 4" xfId="23701" xr:uid="{00000000-0005-0000-0000-000051010000}"/>
    <cellStyle name="Comma 22 2 2 4 2" xfId="25913" xr:uid="{00000000-0005-0000-0000-000051010000}"/>
    <cellStyle name="Comma 22 2 2 5" xfId="24758" xr:uid="{00000000-0005-0000-0000-000051010000}"/>
    <cellStyle name="Comma 22 2 3" xfId="22472" xr:uid="{00000000-0005-0000-0000-0000E22D0000}"/>
    <cellStyle name="Comma 22 2 3 2" xfId="22998" xr:uid="{00000000-0005-0000-0000-0000E32D0000}"/>
    <cellStyle name="Comma 22 2 3 2 2" xfId="24296" xr:uid="{00000000-0005-0000-0000-000056010000}"/>
    <cellStyle name="Comma 22 2 3 2 2 2" xfId="26548" xr:uid="{00000000-0005-0000-0000-000056010000}"/>
    <cellStyle name="Comma 22 2 3 2 3" xfId="25414" xr:uid="{00000000-0005-0000-0000-000056010000}"/>
    <cellStyle name="Comma 22 2 3 3" xfId="23808" xr:uid="{00000000-0005-0000-0000-000055010000}"/>
    <cellStyle name="Comma 22 2 3 3 2" xfId="26032" xr:uid="{00000000-0005-0000-0000-000055010000}"/>
    <cellStyle name="Comma 22 2 3 4" xfId="24892" xr:uid="{00000000-0005-0000-0000-000055010000}"/>
    <cellStyle name="Comma 22 2 4" xfId="22734" xr:uid="{00000000-0005-0000-0000-0000E42D0000}"/>
    <cellStyle name="Comma 22 2 4 2" xfId="24047" xr:uid="{00000000-0005-0000-0000-000057010000}"/>
    <cellStyle name="Comma 22 2 4 2 2" xfId="26283" xr:uid="{00000000-0005-0000-0000-000057010000}"/>
    <cellStyle name="Comma 22 2 4 3" xfId="25154" xr:uid="{00000000-0005-0000-0000-000057010000}"/>
    <cellStyle name="Comma 22 2 5" xfId="23603" xr:uid="{00000000-0005-0000-0000-000050010000}"/>
    <cellStyle name="Comma 22 2 5 2" xfId="25799" xr:uid="{00000000-0005-0000-0000-000050010000}"/>
    <cellStyle name="Comma 22 2 6" xfId="24632" xr:uid="{00000000-0005-0000-0000-000050010000}"/>
    <cellStyle name="Comma 22 3" xfId="22282" xr:uid="{00000000-0005-0000-0000-0000E52D0000}"/>
    <cellStyle name="Comma 22 3 2" xfId="22540" xr:uid="{00000000-0005-0000-0000-0000E62D0000}"/>
    <cellStyle name="Comma 22 3 2 2" xfId="23066" xr:uid="{00000000-0005-0000-0000-0000E72D0000}"/>
    <cellStyle name="Comma 22 3 2 2 2" xfId="24361" xr:uid="{00000000-0005-0000-0000-00005A010000}"/>
    <cellStyle name="Comma 22 3 2 2 2 2" xfId="26616" xr:uid="{00000000-0005-0000-0000-00005A010000}"/>
    <cellStyle name="Comma 22 3 2 2 3" xfId="25480" xr:uid="{00000000-0005-0000-0000-00005A010000}"/>
    <cellStyle name="Comma 22 3 2 3" xfId="23868" xr:uid="{00000000-0005-0000-0000-000059010000}"/>
    <cellStyle name="Comma 22 3 2 3 2" xfId="26095" xr:uid="{00000000-0005-0000-0000-000059010000}"/>
    <cellStyle name="Comma 22 3 2 4" xfId="24958" xr:uid="{00000000-0005-0000-0000-000059010000}"/>
    <cellStyle name="Comma 22 3 3" xfId="22802" xr:uid="{00000000-0005-0000-0000-0000E82D0000}"/>
    <cellStyle name="Comma 22 3 3 2" xfId="24108" xr:uid="{00000000-0005-0000-0000-00005B010000}"/>
    <cellStyle name="Comma 22 3 3 2 2" xfId="26351" xr:uid="{00000000-0005-0000-0000-00005B010000}"/>
    <cellStyle name="Comma 22 3 3 3" xfId="25222" xr:uid="{00000000-0005-0000-0000-00005B010000}"/>
    <cellStyle name="Comma 22 3 4" xfId="23655" xr:uid="{00000000-0005-0000-0000-000058010000}"/>
    <cellStyle name="Comma 22 3 4 2" xfId="25862" xr:uid="{00000000-0005-0000-0000-000058010000}"/>
    <cellStyle name="Comma 22 3 5" xfId="24698" xr:uid="{00000000-0005-0000-0000-000058010000}"/>
    <cellStyle name="Comma 22 4" xfId="22409" xr:uid="{00000000-0005-0000-0000-0000E92D0000}"/>
    <cellStyle name="Comma 22 4 2" xfId="22932" xr:uid="{00000000-0005-0000-0000-0000EA2D0000}"/>
    <cellStyle name="Comma 22 4 2 2" xfId="24231" xr:uid="{00000000-0005-0000-0000-00005D010000}"/>
    <cellStyle name="Comma 22 4 2 2 2" xfId="26481" xr:uid="{00000000-0005-0000-0000-00005D010000}"/>
    <cellStyle name="Comma 22 4 2 3" xfId="25350" xr:uid="{00000000-0005-0000-0000-00005D010000}"/>
    <cellStyle name="Comma 22 4 3" xfId="23757" xr:uid="{00000000-0005-0000-0000-00005C010000}"/>
    <cellStyle name="Comma 22 4 3 2" xfId="25977" xr:uid="{00000000-0005-0000-0000-00005C010000}"/>
    <cellStyle name="Comma 22 4 4" xfId="24826" xr:uid="{00000000-0005-0000-0000-00005C010000}"/>
    <cellStyle name="Comma 22 5" xfId="22671" xr:uid="{00000000-0005-0000-0000-0000EB2D0000}"/>
    <cellStyle name="Comma 22 5 2" xfId="23980" xr:uid="{00000000-0005-0000-0000-00005E010000}"/>
    <cellStyle name="Comma 22 5 2 2" xfId="26216" xr:uid="{00000000-0005-0000-0000-00005E010000}"/>
    <cellStyle name="Comma 22 5 3" xfId="25088" xr:uid="{00000000-0005-0000-0000-00005E010000}"/>
    <cellStyle name="Comma 22 6" xfId="22055" xr:uid="{00000000-0005-0000-0000-0000EC2D0000}"/>
    <cellStyle name="Comma 22 6 2" xfId="25744" xr:uid="{00000000-0005-0000-0000-00004F010000}"/>
    <cellStyle name="Comma 22 7" xfId="24562" xr:uid="{00000000-0005-0000-0000-00004F010000}"/>
    <cellStyle name="Comma 220" xfId="27266" xr:uid="{42A68E7B-7AF9-4A7C-A023-955320652EB9}"/>
    <cellStyle name="Comma 221" xfId="27271" xr:uid="{45C7B9DF-CB15-4798-ACE6-7FB4F9225EA6}"/>
    <cellStyle name="Comma 222" xfId="27268" xr:uid="{19DFD45D-8E82-4003-BA25-8D2B0FCB7814}"/>
    <cellStyle name="Comma 223" xfId="27265" xr:uid="{6F94EC81-7B6A-42C3-A205-09B8FC88B84C}"/>
    <cellStyle name="Comma 224" xfId="27275" xr:uid="{932612F1-82EE-4526-8E12-469D6EE14127}"/>
    <cellStyle name="Comma 225" xfId="27276" xr:uid="{AF72EC38-C013-4BF7-98DE-2EB3401961EC}"/>
    <cellStyle name="Comma 226" xfId="27277" xr:uid="{1E8736FE-4D97-46E5-B2AC-1B47DD68A735}"/>
    <cellStyle name="Comma 227" xfId="27278" xr:uid="{2684B23A-97F0-4F48-823A-87C75C66FB8E}"/>
    <cellStyle name="Comma 228" xfId="27279" xr:uid="{D101A1F7-E5D1-40AE-BD46-D6D8FEACFFAE}"/>
    <cellStyle name="Comma 229" xfId="27280" xr:uid="{1BDEFBA9-CF0B-4983-9190-12D44B3D7224}"/>
    <cellStyle name="Comma 23" xfId="8186" xr:uid="{00000000-0005-0000-0000-0000ED2D0000}"/>
    <cellStyle name="Comma 23 2" xfId="22216" xr:uid="{00000000-0005-0000-0000-0000EE2D0000}"/>
    <cellStyle name="Comma 23 2 2" xfId="22342" xr:uid="{00000000-0005-0000-0000-0000EF2D0000}"/>
    <cellStyle name="Comma 23 2 2 2" xfId="22602" xr:uid="{00000000-0005-0000-0000-0000F02D0000}"/>
    <cellStyle name="Comma 23 2 2 2 2" xfId="23128" xr:uid="{00000000-0005-0000-0000-0000F12D0000}"/>
    <cellStyle name="Comma 23 2 2 2 2 2" xfId="24420" xr:uid="{00000000-0005-0000-0000-000063010000}"/>
    <cellStyle name="Comma 23 2 2 2 2 2 2" xfId="26678" xr:uid="{00000000-0005-0000-0000-000063010000}"/>
    <cellStyle name="Comma 23 2 2 2 2 3" xfId="25542" xr:uid="{00000000-0005-0000-0000-000063010000}"/>
    <cellStyle name="Comma 23 2 2 2 3" xfId="23915" xr:uid="{00000000-0005-0000-0000-000062010000}"/>
    <cellStyle name="Comma 23 2 2 2 3 2" xfId="26147" xr:uid="{00000000-0005-0000-0000-000062010000}"/>
    <cellStyle name="Comma 23 2 2 2 4" xfId="25020" xr:uid="{00000000-0005-0000-0000-000062010000}"/>
    <cellStyle name="Comma 23 2 2 3" xfId="22864" xr:uid="{00000000-0005-0000-0000-0000F22D0000}"/>
    <cellStyle name="Comma 23 2 2 3 2" xfId="24164" xr:uid="{00000000-0005-0000-0000-000064010000}"/>
    <cellStyle name="Comma 23 2 2 3 2 2" xfId="26413" xr:uid="{00000000-0005-0000-0000-000064010000}"/>
    <cellStyle name="Comma 23 2 2 3 3" xfId="25283" xr:uid="{00000000-0005-0000-0000-000064010000}"/>
    <cellStyle name="Comma 23 2 2 4" xfId="23702" xr:uid="{00000000-0005-0000-0000-000061010000}"/>
    <cellStyle name="Comma 23 2 2 4 2" xfId="25914" xr:uid="{00000000-0005-0000-0000-000061010000}"/>
    <cellStyle name="Comma 23 2 2 5" xfId="24759" xr:uid="{00000000-0005-0000-0000-000061010000}"/>
    <cellStyle name="Comma 23 2 3" xfId="22473" xr:uid="{00000000-0005-0000-0000-0000F32D0000}"/>
    <cellStyle name="Comma 23 2 3 2" xfId="22999" xr:uid="{00000000-0005-0000-0000-0000F42D0000}"/>
    <cellStyle name="Comma 23 2 3 2 2" xfId="24297" xr:uid="{00000000-0005-0000-0000-000066010000}"/>
    <cellStyle name="Comma 23 2 3 2 2 2" xfId="26549" xr:uid="{00000000-0005-0000-0000-000066010000}"/>
    <cellStyle name="Comma 23 2 3 2 3" xfId="25415" xr:uid="{00000000-0005-0000-0000-000066010000}"/>
    <cellStyle name="Comma 23 2 3 3" xfId="23809" xr:uid="{00000000-0005-0000-0000-000065010000}"/>
    <cellStyle name="Comma 23 2 3 3 2" xfId="26033" xr:uid="{00000000-0005-0000-0000-000065010000}"/>
    <cellStyle name="Comma 23 2 3 4" xfId="24893" xr:uid="{00000000-0005-0000-0000-000065010000}"/>
    <cellStyle name="Comma 23 2 4" xfId="22735" xr:uid="{00000000-0005-0000-0000-0000F52D0000}"/>
    <cellStyle name="Comma 23 2 4 2" xfId="24048" xr:uid="{00000000-0005-0000-0000-000067010000}"/>
    <cellStyle name="Comma 23 2 4 2 2" xfId="26284" xr:uid="{00000000-0005-0000-0000-000067010000}"/>
    <cellStyle name="Comma 23 2 4 3" xfId="25155" xr:uid="{00000000-0005-0000-0000-000067010000}"/>
    <cellStyle name="Comma 23 2 5" xfId="23604" xr:uid="{00000000-0005-0000-0000-000060010000}"/>
    <cellStyle name="Comma 23 2 5 2" xfId="25800" xr:uid="{00000000-0005-0000-0000-000060010000}"/>
    <cellStyle name="Comma 23 2 6" xfId="24633" xr:uid="{00000000-0005-0000-0000-000060010000}"/>
    <cellStyle name="Comma 23 3" xfId="22283" xr:uid="{00000000-0005-0000-0000-0000F62D0000}"/>
    <cellStyle name="Comma 23 3 2" xfId="22541" xr:uid="{00000000-0005-0000-0000-0000F72D0000}"/>
    <cellStyle name="Comma 23 3 2 2" xfId="23067" xr:uid="{00000000-0005-0000-0000-0000F82D0000}"/>
    <cellStyle name="Comma 23 3 2 2 2" xfId="24362" xr:uid="{00000000-0005-0000-0000-00006A010000}"/>
    <cellStyle name="Comma 23 3 2 2 2 2" xfId="26617" xr:uid="{00000000-0005-0000-0000-00006A010000}"/>
    <cellStyle name="Comma 23 3 2 2 3" xfId="25481" xr:uid="{00000000-0005-0000-0000-00006A010000}"/>
    <cellStyle name="Comma 23 3 2 3" xfId="23869" xr:uid="{00000000-0005-0000-0000-000069010000}"/>
    <cellStyle name="Comma 23 3 2 3 2" xfId="26096" xr:uid="{00000000-0005-0000-0000-000069010000}"/>
    <cellStyle name="Comma 23 3 2 4" xfId="24959" xr:uid="{00000000-0005-0000-0000-000069010000}"/>
    <cellStyle name="Comma 23 3 3" xfId="22803" xr:uid="{00000000-0005-0000-0000-0000F92D0000}"/>
    <cellStyle name="Comma 23 3 3 2" xfId="24109" xr:uid="{00000000-0005-0000-0000-00006B010000}"/>
    <cellStyle name="Comma 23 3 3 2 2" xfId="26352" xr:uid="{00000000-0005-0000-0000-00006B010000}"/>
    <cellStyle name="Comma 23 3 3 3" xfId="25223" xr:uid="{00000000-0005-0000-0000-00006B010000}"/>
    <cellStyle name="Comma 23 3 4" xfId="23656" xr:uid="{00000000-0005-0000-0000-000068010000}"/>
    <cellStyle name="Comma 23 3 4 2" xfId="25863" xr:uid="{00000000-0005-0000-0000-000068010000}"/>
    <cellStyle name="Comma 23 3 5" xfId="24699" xr:uid="{00000000-0005-0000-0000-000068010000}"/>
    <cellStyle name="Comma 23 4" xfId="22410" xr:uid="{00000000-0005-0000-0000-0000FA2D0000}"/>
    <cellStyle name="Comma 23 4 2" xfId="22933" xr:uid="{00000000-0005-0000-0000-0000FB2D0000}"/>
    <cellStyle name="Comma 23 4 2 2" xfId="24232" xr:uid="{00000000-0005-0000-0000-00006D010000}"/>
    <cellStyle name="Comma 23 4 2 2 2" xfId="26482" xr:uid="{00000000-0005-0000-0000-00006D010000}"/>
    <cellStyle name="Comma 23 4 2 3" xfId="25351" xr:uid="{00000000-0005-0000-0000-00006D010000}"/>
    <cellStyle name="Comma 23 4 3" xfId="23758" xr:uid="{00000000-0005-0000-0000-00006C010000}"/>
    <cellStyle name="Comma 23 4 3 2" xfId="25978" xr:uid="{00000000-0005-0000-0000-00006C010000}"/>
    <cellStyle name="Comma 23 4 4" xfId="24827" xr:uid="{00000000-0005-0000-0000-00006C010000}"/>
    <cellStyle name="Comma 23 5" xfId="22672" xr:uid="{00000000-0005-0000-0000-0000FC2D0000}"/>
    <cellStyle name="Comma 23 5 2" xfId="23981" xr:uid="{00000000-0005-0000-0000-00006E010000}"/>
    <cellStyle name="Comma 23 5 2 2" xfId="26217" xr:uid="{00000000-0005-0000-0000-00006E010000}"/>
    <cellStyle name="Comma 23 5 3" xfId="25089" xr:uid="{00000000-0005-0000-0000-00006E010000}"/>
    <cellStyle name="Comma 23 6" xfId="22056" xr:uid="{00000000-0005-0000-0000-0000FD2D0000}"/>
    <cellStyle name="Comma 23 6 2" xfId="25745" xr:uid="{00000000-0005-0000-0000-00005F010000}"/>
    <cellStyle name="Comma 23 7" xfId="24563" xr:uid="{00000000-0005-0000-0000-00005F010000}"/>
    <cellStyle name="Comma 230" xfId="27281" xr:uid="{7BED7661-3A3E-41DC-85F2-3D65A82C43E3}"/>
    <cellStyle name="Comma 231" xfId="27282" xr:uid="{68B6BDEC-5062-4C7F-B1CE-017CF4BE2569}"/>
    <cellStyle name="Comma 232" xfId="27283" xr:uid="{B9CB92B8-B048-483D-88A9-BA25197DAD43}"/>
    <cellStyle name="Comma 233" xfId="27284" xr:uid="{063D43D3-6A06-43C1-BC73-78F6588F0222}"/>
    <cellStyle name="Comma 234" xfId="27285" xr:uid="{D38673C9-16B6-46BE-959A-56D2229D69D8}"/>
    <cellStyle name="Comma 235" xfId="27287" xr:uid="{80038D55-2A28-4C52-BBC9-6FBAE3071DA6}"/>
    <cellStyle name="Comma 236" xfId="27301" xr:uid="{2436F2A0-0A4A-4A16-8224-466A5C803FEE}"/>
    <cellStyle name="Comma 237" xfId="27308" xr:uid="{09C1DCF3-3C1A-4A1B-A4DC-6FC0FB797272}"/>
    <cellStyle name="Comma 238" xfId="27310" xr:uid="{B2871D08-1525-463C-A285-8D599C9D83C6}"/>
    <cellStyle name="Comma 239" xfId="27302" xr:uid="{E1B18178-BCF6-43D4-A839-AC22FA8CAD02}"/>
    <cellStyle name="Comma 24" xfId="8187" xr:uid="{00000000-0005-0000-0000-0000FE2D0000}"/>
    <cellStyle name="Comma 24 2" xfId="22217" xr:uid="{00000000-0005-0000-0000-0000FF2D0000}"/>
    <cellStyle name="Comma 24 2 2" xfId="22343" xr:uid="{00000000-0005-0000-0000-0000002E0000}"/>
    <cellStyle name="Comma 24 2 2 2" xfId="22603" xr:uid="{00000000-0005-0000-0000-0000012E0000}"/>
    <cellStyle name="Comma 24 2 2 2 2" xfId="23129" xr:uid="{00000000-0005-0000-0000-0000022E0000}"/>
    <cellStyle name="Comma 24 2 2 2 2 2" xfId="24421" xr:uid="{00000000-0005-0000-0000-000073010000}"/>
    <cellStyle name="Comma 24 2 2 2 2 2 2" xfId="26679" xr:uid="{00000000-0005-0000-0000-000073010000}"/>
    <cellStyle name="Comma 24 2 2 2 2 3" xfId="25543" xr:uid="{00000000-0005-0000-0000-000073010000}"/>
    <cellStyle name="Comma 24 2 2 2 3" xfId="23916" xr:uid="{00000000-0005-0000-0000-000072010000}"/>
    <cellStyle name="Comma 24 2 2 2 3 2" xfId="26148" xr:uid="{00000000-0005-0000-0000-000072010000}"/>
    <cellStyle name="Comma 24 2 2 2 4" xfId="25021" xr:uid="{00000000-0005-0000-0000-000072010000}"/>
    <cellStyle name="Comma 24 2 2 3" xfId="22865" xr:uid="{00000000-0005-0000-0000-0000032E0000}"/>
    <cellStyle name="Comma 24 2 2 3 2" xfId="24165" xr:uid="{00000000-0005-0000-0000-000074010000}"/>
    <cellStyle name="Comma 24 2 2 3 2 2" xfId="26414" xr:uid="{00000000-0005-0000-0000-000074010000}"/>
    <cellStyle name="Comma 24 2 2 3 3" xfId="25284" xr:uid="{00000000-0005-0000-0000-000074010000}"/>
    <cellStyle name="Comma 24 2 2 4" xfId="23703" xr:uid="{00000000-0005-0000-0000-000071010000}"/>
    <cellStyle name="Comma 24 2 2 4 2" xfId="25915" xr:uid="{00000000-0005-0000-0000-000071010000}"/>
    <cellStyle name="Comma 24 2 2 5" xfId="24760" xr:uid="{00000000-0005-0000-0000-000071010000}"/>
    <cellStyle name="Comma 24 2 3" xfId="22474" xr:uid="{00000000-0005-0000-0000-0000042E0000}"/>
    <cellStyle name="Comma 24 2 3 2" xfId="23000" xr:uid="{00000000-0005-0000-0000-0000052E0000}"/>
    <cellStyle name="Comma 24 2 3 2 2" xfId="24298" xr:uid="{00000000-0005-0000-0000-000076010000}"/>
    <cellStyle name="Comma 24 2 3 2 2 2" xfId="26550" xr:uid="{00000000-0005-0000-0000-000076010000}"/>
    <cellStyle name="Comma 24 2 3 2 3" xfId="25416" xr:uid="{00000000-0005-0000-0000-000076010000}"/>
    <cellStyle name="Comma 24 2 3 3" xfId="23810" xr:uid="{00000000-0005-0000-0000-000075010000}"/>
    <cellStyle name="Comma 24 2 3 3 2" xfId="26034" xr:uid="{00000000-0005-0000-0000-000075010000}"/>
    <cellStyle name="Comma 24 2 3 4" xfId="24894" xr:uid="{00000000-0005-0000-0000-000075010000}"/>
    <cellStyle name="Comma 24 2 4" xfId="22736" xr:uid="{00000000-0005-0000-0000-0000062E0000}"/>
    <cellStyle name="Comma 24 2 4 2" xfId="24049" xr:uid="{00000000-0005-0000-0000-000077010000}"/>
    <cellStyle name="Comma 24 2 4 2 2" xfId="26285" xr:uid="{00000000-0005-0000-0000-000077010000}"/>
    <cellStyle name="Comma 24 2 4 3" xfId="25156" xr:uid="{00000000-0005-0000-0000-000077010000}"/>
    <cellStyle name="Comma 24 2 5" xfId="23605" xr:uid="{00000000-0005-0000-0000-000070010000}"/>
    <cellStyle name="Comma 24 2 5 2" xfId="25801" xr:uid="{00000000-0005-0000-0000-000070010000}"/>
    <cellStyle name="Comma 24 2 6" xfId="24634" xr:uid="{00000000-0005-0000-0000-000070010000}"/>
    <cellStyle name="Comma 24 3" xfId="22284" xr:uid="{00000000-0005-0000-0000-0000072E0000}"/>
    <cellStyle name="Comma 24 3 2" xfId="22542" xr:uid="{00000000-0005-0000-0000-0000082E0000}"/>
    <cellStyle name="Comma 24 3 2 2" xfId="23068" xr:uid="{00000000-0005-0000-0000-0000092E0000}"/>
    <cellStyle name="Comma 24 3 2 2 2" xfId="24363" xr:uid="{00000000-0005-0000-0000-00007A010000}"/>
    <cellStyle name="Comma 24 3 2 2 2 2" xfId="26618" xr:uid="{00000000-0005-0000-0000-00007A010000}"/>
    <cellStyle name="Comma 24 3 2 2 3" xfId="25482" xr:uid="{00000000-0005-0000-0000-00007A010000}"/>
    <cellStyle name="Comma 24 3 2 3" xfId="23870" xr:uid="{00000000-0005-0000-0000-000079010000}"/>
    <cellStyle name="Comma 24 3 2 3 2" xfId="26097" xr:uid="{00000000-0005-0000-0000-000079010000}"/>
    <cellStyle name="Comma 24 3 2 4" xfId="24960" xr:uid="{00000000-0005-0000-0000-000079010000}"/>
    <cellStyle name="Comma 24 3 3" xfId="22804" xr:uid="{00000000-0005-0000-0000-00000A2E0000}"/>
    <cellStyle name="Comma 24 3 3 2" xfId="24110" xr:uid="{00000000-0005-0000-0000-00007B010000}"/>
    <cellStyle name="Comma 24 3 3 2 2" xfId="26353" xr:uid="{00000000-0005-0000-0000-00007B010000}"/>
    <cellStyle name="Comma 24 3 3 3" xfId="25224" xr:uid="{00000000-0005-0000-0000-00007B010000}"/>
    <cellStyle name="Comma 24 3 4" xfId="23657" xr:uid="{00000000-0005-0000-0000-000078010000}"/>
    <cellStyle name="Comma 24 3 4 2" xfId="25864" xr:uid="{00000000-0005-0000-0000-000078010000}"/>
    <cellStyle name="Comma 24 3 5" xfId="24700" xr:uid="{00000000-0005-0000-0000-000078010000}"/>
    <cellStyle name="Comma 24 4" xfId="22411" xr:uid="{00000000-0005-0000-0000-00000B2E0000}"/>
    <cellStyle name="Comma 24 4 2" xfId="22934" xr:uid="{00000000-0005-0000-0000-00000C2E0000}"/>
    <cellStyle name="Comma 24 4 2 2" xfId="24233" xr:uid="{00000000-0005-0000-0000-00007D010000}"/>
    <cellStyle name="Comma 24 4 2 2 2" xfId="26483" xr:uid="{00000000-0005-0000-0000-00007D010000}"/>
    <cellStyle name="Comma 24 4 2 3" xfId="25352" xr:uid="{00000000-0005-0000-0000-00007D010000}"/>
    <cellStyle name="Comma 24 4 3" xfId="23759" xr:uid="{00000000-0005-0000-0000-00007C010000}"/>
    <cellStyle name="Comma 24 4 3 2" xfId="25979" xr:uid="{00000000-0005-0000-0000-00007C010000}"/>
    <cellStyle name="Comma 24 4 4" xfId="24828" xr:uid="{00000000-0005-0000-0000-00007C010000}"/>
    <cellStyle name="Comma 24 5" xfId="22673" xr:uid="{00000000-0005-0000-0000-00000D2E0000}"/>
    <cellStyle name="Comma 24 5 2" xfId="23982" xr:uid="{00000000-0005-0000-0000-00007E010000}"/>
    <cellStyle name="Comma 24 5 2 2" xfId="26218" xr:uid="{00000000-0005-0000-0000-00007E010000}"/>
    <cellStyle name="Comma 24 5 3" xfId="25090" xr:uid="{00000000-0005-0000-0000-00007E010000}"/>
    <cellStyle name="Comma 24 6" xfId="22057" xr:uid="{00000000-0005-0000-0000-00000E2E0000}"/>
    <cellStyle name="Comma 24 6 2" xfId="25746" xr:uid="{00000000-0005-0000-0000-00006F010000}"/>
    <cellStyle name="Comma 24 7" xfId="24564" xr:uid="{00000000-0005-0000-0000-00006F010000}"/>
    <cellStyle name="Comma 240" xfId="27304" xr:uid="{908691D0-2F64-4E96-90D5-C08BD48BD1E7}"/>
    <cellStyle name="Comma 241" xfId="27303" xr:uid="{31E8DDB5-68C6-4825-A6A2-3BB985B38879}"/>
    <cellStyle name="Comma 242" xfId="27306" xr:uid="{3398B9D0-CA5B-49AA-98E4-EC6CFF33E4FF}"/>
    <cellStyle name="Comma 243" xfId="27309" xr:uid="{88DFD062-E36F-4E3A-8197-307B5AD8350C}"/>
    <cellStyle name="Comma 244" xfId="27307" xr:uid="{D8F345D9-080C-4BE4-8B60-E8D1D969C9D8}"/>
    <cellStyle name="Comma 245" xfId="27305" xr:uid="{44CFAD67-3632-4624-ABD3-AAD5ADE78B0A}"/>
    <cellStyle name="Comma 246" xfId="27311" xr:uid="{97E7BF86-A5D9-4CFC-B6F8-53804CDA2088}"/>
    <cellStyle name="Comma 247" xfId="27312" xr:uid="{F272E6CE-8345-4ADC-91C0-EF67BC505F2D}"/>
    <cellStyle name="Comma 248" xfId="27313" xr:uid="{C82C6625-1678-436A-A9F4-C80FFE95356E}"/>
    <cellStyle name="Comma 249" xfId="27315" xr:uid="{19ADF968-D9E8-4A51-A5A3-4D09598A4731}"/>
    <cellStyle name="Comma 25" xfId="8188" xr:uid="{00000000-0005-0000-0000-00000F2E0000}"/>
    <cellStyle name="Comma 25 2" xfId="22218" xr:uid="{00000000-0005-0000-0000-0000102E0000}"/>
    <cellStyle name="Comma 25 2 2" xfId="22344" xr:uid="{00000000-0005-0000-0000-0000112E0000}"/>
    <cellStyle name="Comma 25 2 2 2" xfId="22604" xr:uid="{00000000-0005-0000-0000-0000122E0000}"/>
    <cellStyle name="Comma 25 2 2 2 2" xfId="23130" xr:uid="{00000000-0005-0000-0000-0000132E0000}"/>
    <cellStyle name="Comma 25 2 2 2 2 2" xfId="24422" xr:uid="{00000000-0005-0000-0000-000083010000}"/>
    <cellStyle name="Comma 25 2 2 2 2 2 2" xfId="26680" xr:uid="{00000000-0005-0000-0000-000083010000}"/>
    <cellStyle name="Comma 25 2 2 2 2 3" xfId="25544" xr:uid="{00000000-0005-0000-0000-000083010000}"/>
    <cellStyle name="Comma 25 2 2 2 3" xfId="23917" xr:uid="{00000000-0005-0000-0000-000082010000}"/>
    <cellStyle name="Comma 25 2 2 2 3 2" xfId="26149" xr:uid="{00000000-0005-0000-0000-000082010000}"/>
    <cellStyle name="Comma 25 2 2 2 4" xfId="25022" xr:uid="{00000000-0005-0000-0000-000082010000}"/>
    <cellStyle name="Comma 25 2 2 3" xfId="22866" xr:uid="{00000000-0005-0000-0000-0000142E0000}"/>
    <cellStyle name="Comma 25 2 2 3 2" xfId="24166" xr:uid="{00000000-0005-0000-0000-000084010000}"/>
    <cellStyle name="Comma 25 2 2 3 2 2" xfId="26415" xr:uid="{00000000-0005-0000-0000-000084010000}"/>
    <cellStyle name="Comma 25 2 2 3 3" xfId="25285" xr:uid="{00000000-0005-0000-0000-000084010000}"/>
    <cellStyle name="Comma 25 2 2 4" xfId="23704" xr:uid="{00000000-0005-0000-0000-000081010000}"/>
    <cellStyle name="Comma 25 2 2 4 2" xfId="25916" xr:uid="{00000000-0005-0000-0000-000081010000}"/>
    <cellStyle name="Comma 25 2 2 5" xfId="24761" xr:uid="{00000000-0005-0000-0000-000081010000}"/>
    <cellStyle name="Comma 25 2 3" xfId="22475" xr:uid="{00000000-0005-0000-0000-0000152E0000}"/>
    <cellStyle name="Comma 25 2 3 2" xfId="23001" xr:uid="{00000000-0005-0000-0000-0000162E0000}"/>
    <cellStyle name="Comma 25 2 3 2 2" xfId="24299" xr:uid="{00000000-0005-0000-0000-000086010000}"/>
    <cellStyle name="Comma 25 2 3 2 2 2" xfId="26551" xr:uid="{00000000-0005-0000-0000-000086010000}"/>
    <cellStyle name="Comma 25 2 3 2 3" xfId="25417" xr:uid="{00000000-0005-0000-0000-000086010000}"/>
    <cellStyle name="Comma 25 2 3 3" xfId="23811" xr:uid="{00000000-0005-0000-0000-000085010000}"/>
    <cellStyle name="Comma 25 2 3 3 2" xfId="26035" xr:uid="{00000000-0005-0000-0000-000085010000}"/>
    <cellStyle name="Comma 25 2 3 4" xfId="24895" xr:uid="{00000000-0005-0000-0000-000085010000}"/>
    <cellStyle name="Comma 25 2 4" xfId="22737" xr:uid="{00000000-0005-0000-0000-0000172E0000}"/>
    <cellStyle name="Comma 25 2 4 2" xfId="24050" xr:uid="{00000000-0005-0000-0000-000087010000}"/>
    <cellStyle name="Comma 25 2 4 2 2" xfId="26286" xr:uid="{00000000-0005-0000-0000-000087010000}"/>
    <cellStyle name="Comma 25 2 4 3" xfId="25157" xr:uid="{00000000-0005-0000-0000-000087010000}"/>
    <cellStyle name="Comma 25 2 5" xfId="23606" xr:uid="{00000000-0005-0000-0000-000080010000}"/>
    <cellStyle name="Comma 25 2 5 2" xfId="25802" xr:uid="{00000000-0005-0000-0000-000080010000}"/>
    <cellStyle name="Comma 25 2 6" xfId="24635" xr:uid="{00000000-0005-0000-0000-000080010000}"/>
    <cellStyle name="Comma 25 3" xfId="22285" xr:uid="{00000000-0005-0000-0000-0000182E0000}"/>
    <cellStyle name="Comma 25 3 2" xfId="22543" xr:uid="{00000000-0005-0000-0000-0000192E0000}"/>
    <cellStyle name="Comma 25 3 2 2" xfId="23069" xr:uid="{00000000-0005-0000-0000-00001A2E0000}"/>
    <cellStyle name="Comma 25 3 2 2 2" xfId="24364" xr:uid="{00000000-0005-0000-0000-00008A010000}"/>
    <cellStyle name="Comma 25 3 2 2 2 2" xfId="26619" xr:uid="{00000000-0005-0000-0000-00008A010000}"/>
    <cellStyle name="Comma 25 3 2 2 3" xfId="25483" xr:uid="{00000000-0005-0000-0000-00008A010000}"/>
    <cellStyle name="Comma 25 3 2 3" xfId="23871" xr:uid="{00000000-0005-0000-0000-000089010000}"/>
    <cellStyle name="Comma 25 3 2 3 2" xfId="26098" xr:uid="{00000000-0005-0000-0000-000089010000}"/>
    <cellStyle name="Comma 25 3 2 4" xfId="24961" xr:uid="{00000000-0005-0000-0000-000089010000}"/>
    <cellStyle name="Comma 25 3 3" xfId="22805" xr:uid="{00000000-0005-0000-0000-00001B2E0000}"/>
    <cellStyle name="Comma 25 3 3 2" xfId="24111" xr:uid="{00000000-0005-0000-0000-00008B010000}"/>
    <cellStyle name="Comma 25 3 3 2 2" xfId="26354" xr:uid="{00000000-0005-0000-0000-00008B010000}"/>
    <cellStyle name="Comma 25 3 3 3" xfId="25225" xr:uid="{00000000-0005-0000-0000-00008B010000}"/>
    <cellStyle name="Comma 25 3 4" xfId="23658" xr:uid="{00000000-0005-0000-0000-000088010000}"/>
    <cellStyle name="Comma 25 3 4 2" xfId="25865" xr:uid="{00000000-0005-0000-0000-000088010000}"/>
    <cellStyle name="Comma 25 3 5" xfId="24701" xr:uid="{00000000-0005-0000-0000-000088010000}"/>
    <cellStyle name="Comma 25 4" xfId="22412" xr:uid="{00000000-0005-0000-0000-00001C2E0000}"/>
    <cellStyle name="Comma 25 4 2" xfId="22935" xr:uid="{00000000-0005-0000-0000-00001D2E0000}"/>
    <cellStyle name="Comma 25 4 2 2" xfId="24234" xr:uid="{00000000-0005-0000-0000-00008D010000}"/>
    <cellStyle name="Comma 25 4 2 2 2" xfId="26484" xr:uid="{00000000-0005-0000-0000-00008D010000}"/>
    <cellStyle name="Comma 25 4 2 3" xfId="25353" xr:uid="{00000000-0005-0000-0000-00008D010000}"/>
    <cellStyle name="Comma 25 4 3" xfId="23760" xr:uid="{00000000-0005-0000-0000-00008C010000}"/>
    <cellStyle name="Comma 25 4 3 2" xfId="25980" xr:uid="{00000000-0005-0000-0000-00008C010000}"/>
    <cellStyle name="Comma 25 4 4" xfId="24829" xr:uid="{00000000-0005-0000-0000-00008C010000}"/>
    <cellStyle name="Comma 25 5" xfId="22674" xr:uid="{00000000-0005-0000-0000-00001E2E0000}"/>
    <cellStyle name="Comma 25 5 2" xfId="23983" xr:uid="{00000000-0005-0000-0000-00008E010000}"/>
    <cellStyle name="Comma 25 5 2 2" xfId="26219" xr:uid="{00000000-0005-0000-0000-00008E010000}"/>
    <cellStyle name="Comma 25 5 3" xfId="25091" xr:uid="{00000000-0005-0000-0000-00008E010000}"/>
    <cellStyle name="Comma 25 6" xfId="22058" xr:uid="{00000000-0005-0000-0000-00001F2E0000}"/>
    <cellStyle name="Comma 25 6 2" xfId="25747" xr:uid="{00000000-0005-0000-0000-00007F010000}"/>
    <cellStyle name="Comma 25 7" xfId="24565" xr:uid="{00000000-0005-0000-0000-00007F010000}"/>
    <cellStyle name="Comma 250" xfId="27326" xr:uid="{4B12880E-B393-473A-9770-93F5BB68D1D5}"/>
    <cellStyle name="Comma 251" xfId="27333" xr:uid="{4D471A16-3E56-4236-A0A8-D507A8113D16}"/>
    <cellStyle name="Comma 252" xfId="27335" xr:uid="{38BACA15-A6FD-43C8-8F8E-DF2981EC5005}"/>
    <cellStyle name="Comma 253" xfId="27327" xr:uid="{7DE3DC6C-B34D-4455-BDD0-1ADCA79CA886}"/>
    <cellStyle name="Comma 254" xfId="27329" xr:uid="{94735465-11B0-4FB8-B4B2-8C1213CDF622}"/>
    <cellStyle name="Comma 255" xfId="27328" xr:uid="{FECFF661-D22D-4B84-9DBC-28C7CA3B9ED4}"/>
    <cellStyle name="Comma 256" xfId="27331" xr:uid="{5012ED82-AF88-4FD8-AE4A-1F93368F5858}"/>
    <cellStyle name="Comma 257" xfId="27334" xr:uid="{71DD1ED7-8378-45D6-B430-C23B586C4A8E}"/>
    <cellStyle name="Comma 258" xfId="27332" xr:uid="{62F0CD12-A28F-41FC-BDF8-0617FF631331}"/>
    <cellStyle name="Comma 259" xfId="27330" xr:uid="{568D264F-8680-41FB-98FD-4F2D8D0AF9B2}"/>
    <cellStyle name="Comma 26" xfId="8189" xr:uid="{00000000-0005-0000-0000-0000202E0000}"/>
    <cellStyle name="Comma 26 2" xfId="22059" xr:uid="{00000000-0005-0000-0000-0000212E0000}"/>
    <cellStyle name="Comma 260" xfId="27336" xr:uid="{525C2AEE-2C03-45F4-9A0F-2D6B452E7525}"/>
    <cellStyle name="Comma 261" xfId="27339" xr:uid="{7D38469B-B291-44CD-B945-57F166BE5EF6}"/>
    <cellStyle name="Comma 262" xfId="27353" xr:uid="{30104D88-23E4-418E-B259-5EC08680E466}"/>
    <cellStyle name="Comma 263" xfId="27363" xr:uid="{FA4890FE-14F1-47D3-8D33-00014B8F7639}"/>
    <cellStyle name="Comma 264" xfId="27367" xr:uid="{3A3A21FA-31E1-4291-984F-F36AD84CCFA0}"/>
    <cellStyle name="Comma 265" xfId="27354" xr:uid="{0F6B71F2-FF74-4683-866F-B5892DF4BD6C}"/>
    <cellStyle name="Comma 266" xfId="27358" xr:uid="{C00800D6-3C11-4654-9312-B7003AA45FF6}"/>
    <cellStyle name="Comma 267" xfId="27357" xr:uid="{81A9161D-019E-43F5-9BF4-61C7A0DEC796}"/>
    <cellStyle name="Comma 268" xfId="27361" xr:uid="{4266D39F-9787-40F3-8F3D-7612A82110EE}"/>
    <cellStyle name="Comma 269" xfId="27364" xr:uid="{4F03F5E6-FB6C-4F8D-9ABE-96D355D6E60A}"/>
    <cellStyle name="Comma 27" xfId="8190" xr:uid="{00000000-0005-0000-0000-0000222E0000}"/>
    <cellStyle name="Comma 27 2" xfId="22060" xr:uid="{00000000-0005-0000-0000-0000232E0000}"/>
    <cellStyle name="Comma 270" xfId="27362" xr:uid="{DC3DCDE6-72D4-4A37-B323-62AF33FF3B86}"/>
    <cellStyle name="Comma 271" xfId="27360" xr:uid="{408F48D0-F9E8-4950-B1E9-03D9277B41CC}"/>
    <cellStyle name="Comma 272" xfId="27368" xr:uid="{740E3410-7A88-4CDB-99E5-6107F1ACC7C7}"/>
    <cellStyle name="Comma 273" xfId="27369" xr:uid="{0661E88E-65BE-473B-A8C2-36CA0AAD0B12}"/>
    <cellStyle name="Comma 274" xfId="27370" xr:uid="{BDF151F2-A2C7-4053-9633-CA492FED3E3B}"/>
    <cellStyle name="Comma 275" xfId="27371" xr:uid="{01D1FBC3-EE50-4D31-ACBE-558E5B6848C1}"/>
    <cellStyle name="Comma 276" xfId="27372" xr:uid="{A26DA032-23BE-4F8B-BE46-1C6E9D9DE84B}"/>
    <cellStyle name="Comma 277" xfId="27373" xr:uid="{98DA3226-D3EB-4FBD-9B91-AC9D2BA69710}"/>
    <cellStyle name="Comma 278" xfId="27374" xr:uid="{B810D373-9A6D-450D-9783-0E6C0DC581B2}"/>
    <cellStyle name="Comma 279" xfId="27375" xr:uid="{C23E5182-8763-48C0-A7A3-1672C98EC179}"/>
    <cellStyle name="Comma 28" xfId="8191" xr:uid="{00000000-0005-0000-0000-0000242E0000}"/>
    <cellStyle name="Comma 28 2" xfId="22061" xr:uid="{00000000-0005-0000-0000-0000252E0000}"/>
    <cellStyle name="Comma 280" xfId="27376" xr:uid="{4690683C-597D-4A63-970A-D31932E91EA4}"/>
    <cellStyle name="Comma 281" xfId="27380" xr:uid="{7AE42A94-73AA-490B-BB3F-98D1ADCA4AA9}"/>
    <cellStyle name="Comma 282" xfId="27390" xr:uid="{124E9C95-DFD6-4826-8C2F-CD98DE248C94}"/>
    <cellStyle name="Comma 283" xfId="27397" xr:uid="{878A62E9-6856-4E32-AD2E-F3E1CABDFECC}"/>
    <cellStyle name="Comma 284" xfId="27399" xr:uid="{2F20508B-40F1-4794-B621-F686DA5B6F4A}"/>
    <cellStyle name="Comma 285" xfId="27388" xr:uid="{6CB4FF16-74AE-4F84-AA9A-A5B1B22258EE}"/>
    <cellStyle name="Comma 286" xfId="27384" xr:uid="{CFC90CE9-FE00-43DD-944C-8873943D1560}"/>
    <cellStyle name="Comma 287" xfId="27387" xr:uid="{38C0BDA0-5052-4723-A222-FF365A10AEB0}"/>
    <cellStyle name="Comma 288" xfId="27395" xr:uid="{D7162C1F-2F21-4D02-857C-93392E73E0A2}"/>
    <cellStyle name="Comma 289" xfId="27398" xr:uid="{1FA480D5-954B-4BEA-8F99-225D4A7E05E7}"/>
    <cellStyle name="Comma 29" xfId="8192" xr:uid="{00000000-0005-0000-0000-0000262E0000}"/>
    <cellStyle name="Comma 29 2" xfId="22219" xr:uid="{00000000-0005-0000-0000-0000272E0000}"/>
    <cellStyle name="Comma 29 2 2" xfId="22345" xr:uid="{00000000-0005-0000-0000-0000282E0000}"/>
    <cellStyle name="Comma 29 2 2 2" xfId="22605" xr:uid="{00000000-0005-0000-0000-0000292E0000}"/>
    <cellStyle name="Comma 29 2 2 2 2" xfId="23131" xr:uid="{00000000-0005-0000-0000-00002A2E0000}"/>
    <cellStyle name="Comma 29 2 2 2 2 2" xfId="24423" xr:uid="{00000000-0005-0000-0000-000096010000}"/>
    <cellStyle name="Comma 29 2 2 2 2 2 2" xfId="26681" xr:uid="{00000000-0005-0000-0000-000096010000}"/>
    <cellStyle name="Comma 29 2 2 2 2 3" xfId="25545" xr:uid="{00000000-0005-0000-0000-000096010000}"/>
    <cellStyle name="Comma 29 2 2 2 3" xfId="23918" xr:uid="{00000000-0005-0000-0000-000095010000}"/>
    <cellStyle name="Comma 29 2 2 2 3 2" xfId="26150" xr:uid="{00000000-0005-0000-0000-000095010000}"/>
    <cellStyle name="Comma 29 2 2 2 4" xfId="25023" xr:uid="{00000000-0005-0000-0000-000095010000}"/>
    <cellStyle name="Comma 29 2 2 3" xfId="22867" xr:uid="{00000000-0005-0000-0000-00002B2E0000}"/>
    <cellStyle name="Comma 29 2 2 3 2" xfId="24167" xr:uid="{00000000-0005-0000-0000-000097010000}"/>
    <cellStyle name="Comma 29 2 2 3 2 2" xfId="26416" xr:uid="{00000000-0005-0000-0000-000097010000}"/>
    <cellStyle name="Comma 29 2 2 3 3" xfId="25286" xr:uid="{00000000-0005-0000-0000-000097010000}"/>
    <cellStyle name="Comma 29 2 2 4" xfId="23705" xr:uid="{00000000-0005-0000-0000-000094010000}"/>
    <cellStyle name="Comma 29 2 2 4 2" xfId="25917" xr:uid="{00000000-0005-0000-0000-000094010000}"/>
    <cellStyle name="Comma 29 2 2 5" xfId="24762" xr:uid="{00000000-0005-0000-0000-000094010000}"/>
    <cellStyle name="Comma 29 2 3" xfId="22476" xr:uid="{00000000-0005-0000-0000-00002C2E0000}"/>
    <cellStyle name="Comma 29 2 3 2" xfId="23002" xr:uid="{00000000-0005-0000-0000-00002D2E0000}"/>
    <cellStyle name="Comma 29 2 3 2 2" xfId="24300" xr:uid="{00000000-0005-0000-0000-000099010000}"/>
    <cellStyle name="Comma 29 2 3 2 2 2" xfId="26552" xr:uid="{00000000-0005-0000-0000-000099010000}"/>
    <cellStyle name="Comma 29 2 3 2 3" xfId="25418" xr:uid="{00000000-0005-0000-0000-000099010000}"/>
    <cellStyle name="Comma 29 2 3 3" xfId="23812" xr:uid="{00000000-0005-0000-0000-000098010000}"/>
    <cellStyle name="Comma 29 2 3 3 2" xfId="26036" xr:uid="{00000000-0005-0000-0000-000098010000}"/>
    <cellStyle name="Comma 29 2 3 4" xfId="24896" xr:uid="{00000000-0005-0000-0000-000098010000}"/>
    <cellStyle name="Comma 29 2 4" xfId="22738" xr:uid="{00000000-0005-0000-0000-00002E2E0000}"/>
    <cellStyle name="Comma 29 2 4 2" xfId="24051" xr:uid="{00000000-0005-0000-0000-00009A010000}"/>
    <cellStyle name="Comma 29 2 4 2 2" xfId="26287" xr:uid="{00000000-0005-0000-0000-00009A010000}"/>
    <cellStyle name="Comma 29 2 4 3" xfId="25158" xr:uid="{00000000-0005-0000-0000-00009A010000}"/>
    <cellStyle name="Comma 29 2 5" xfId="23607" xr:uid="{00000000-0005-0000-0000-000093010000}"/>
    <cellStyle name="Comma 29 2 5 2" xfId="25803" xr:uid="{00000000-0005-0000-0000-000093010000}"/>
    <cellStyle name="Comma 29 2 6" xfId="24636" xr:uid="{00000000-0005-0000-0000-000093010000}"/>
    <cellStyle name="Comma 29 3" xfId="22286" xr:uid="{00000000-0005-0000-0000-00002F2E0000}"/>
    <cellStyle name="Comma 29 3 2" xfId="22544" xr:uid="{00000000-0005-0000-0000-0000302E0000}"/>
    <cellStyle name="Comma 29 3 2 2" xfId="23070" xr:uid="{00000000-0005-0000-0000-0000312E0000}"/>
    <cellStyle name="Comma 29 3 2 2 2" xfId="24365" xr:uid="{00000000-0005-0000-0000-00009D010000}"/>
    <cellStyle name="Comma 29 3 2 2 2 2" xfId="26620" xr:uid="{00000000-0005-0000-0000-00009D010000}"/>
    <cellStyle name="Comma 29 3 2 2 3" xfId="25484" xr:uid="{00000000-0005-0000-0000-00009D010000}"/>
    <cellStyle name="Comma 29 3 2 3" xfId="23872" xr:uid="{00000000-0005-0000-0000-00009C010000}"/>
    <cellStyle name="Comma 29 3 2 3 2" xfId="26099" xr:uid="{00000000-0005-0000-0000-00009C010000}"/>
    <cellStyle name="Comma 29 3 2 4" xfId="24962" xr:uid="{00000000-0005-0000-0000-00009C010000}"/>
    <cellStyle name="Comma 29 3 3" xfId="22806" xr:uid="{00000000-0005-0000-0000-0000322E0000}"/>
    <cellStyle name="Comma 29 3 3 2" xfId="24112" xr:uid="{00000000-0005-0000-0000-00009E010000}"/>
    <cellStyle name="Comma 29 3 3 2 2" xfId="26355" xr:uid="{00000000-0005-0000-0000-00009E010000}"/>
    <cellStyle name="Comma 29 3 3 3" xfId="25226" xr:uid="{00000000-0005-0000-0000-00009E010000}"/>
    <cellStyle name="Comma 29 3 4" xfId="23659" xr:uid="{00000000-0005-0000-0000-00009B010000}"/>
    <cellStyle name="Comma 29 3 4 2" xfId="25866" xr:uid="{00000000-0005-0000-0000-00009B010000}"/>
    <cellStyle name="Comma 29 3 5" xfId="24702" xr:uid="{00000000-0005-0000-0000-00009B010000}"/>
    <cellStyle name="Comma 29 4" xfId="22413" xr:uid="{00000000-0005-0000-0000-0000332E0000}"/>
    <cellStyle name="Comma 29 4 2" xfId="22936" xr:uid="{00000000-0005-0000-0000-0000342E0000}"/>
    <cellStyle name="Comma 29 4 2 2" xfId="24235" xr:uid="{00000000-0005-0000-0000-0000A0010000}"/>
    <cellStyle name="Comma 29 4 2 2 2" xfId="26485" xr:uid="{00000000-0005-0000-0000-0000A0010000}"/>
    <cellStyle name="Comma 29 4 2 3" xfId="25354" xr:uid="{00000000-0005-0000-0000-0000A0010000}"/>
    <cellStyle name="Comma 29 4 3" xfId="23761" xr:uid="{00000000-0005-0000-0000-00009F010000}"/>
    <cellStyle name="Comma 29 4 3 2" xfId="25981" xr:uid="{00000000-0005-0000-0000-00009F010000}"/>
    <cellStyle name="Comma 29 4 4" xfId="24830" xr:uid="{00000000-0005-0000-0000-00009F010000}"/>
    <cellStyle name="Comma 29 5" xfId="22675" xr:uid="{00000000-0005-0000-0000-0000352E0000}"/>
    <cellStyle name="Comma 29 5 2" xfId="23984" xr:uid="{00000000-0005-0000-0000-0000A1010000}"/>
    <cellStyle name="Comma 29 5 2 2" xfId="26220" xr:uid="{00000000-0005-0000-0000-0000A1010000}"/>
    <cellStyle name="Comma 29 5 3" xfId="25092" xr:uid="{00000000-0005-0000-0000-0000A1010000}"/>
    <cellStyle name="Comma 29 6" xfId="22062" xr:uid="{00000000-0005-0000-0000-0000362E0000}"/>
    <cellStyle name="Comma 29 6 2" xfId="25748" xr:uid="{00000000-0005-0000-0000-000092010000}"/>
    <cellStyle name="Comma 29 7" xfId="24566" xr:uid="{00000000-0005-0000-0000-000092010000}"/>
    <cellStyle name="Comma 290" xfId="27396" xr:uid="{B5E87CA7-9FC5-487A-AE40-74EF3C66CC23}"/>
    <cellStyle name="Comma 291" xfId="27394" xr:uid="{E3AFB570-F09C-47C5-B5E6-43738BC8C507}"/>
    <cellStyle name="Comma 292" xfId="27401" xr:uid="{48A4A77A-96FA-4D4C-9C0A-AD6DAA203F7C}"/>
    <cellStyle name="Comma 293" xfId="27412" xr:uid="{DC4D3B5F-7A96-4031-BEDA-D82AE252B89E}"/>
    <cellStyle name="Comma 294" xfId="27419" xr:uid="{45C6FEE8-E0EC-4809-AAF3-088DF0ADFC28}"/>
    <cellStyle name="Comma 295" xfId="27421" xr:uid="{0D07CE28-72FC-495E-8139-80CE6D5B8942}"/>
    <cellStyle name="Comma 296" xfId="27413" xr:uid="{19D7322F-9F9E-4A50-BD9E-0D8D7F03AA56}"/>
    <cellStyle name="Comma 297" xfId="27415" xr:uid="{3B00FA79-4E16-47AD-AFFF-53F4A3B1F656}"/>
    <cellStyle name="Comma 298" xfId="27414" xr:uid="{5EE8CDF1-11DC-4A69-B77C-BE43E86E20B2}"/>
    <cellStyle name="Comma 299" xfId="27417" xr:uid="{7DE6FEC3-3B7D-4169-866A-22ECE7BD09A7}"/>
    <cellStyle name="Comma 3" xfId="8193" xr:uid="{00000000-0005-0000-0000-0000372E0000}"/>
    <cellStyle name="Comma 3 10" xfId="8194" xr:uid="{00000000-0005-0000-0000-0000382E0000}"/>
    <cellStyle name="Comma 3 11" xfId="8195" xr:uid="{00000000-0005-0000-0000-0000392E0000}"/>
    <cellStyle name="Comma 3 12" xfId="8196" xr:uid="{00000000-0005-0000-0000-00003A2E0000}"/>
    <cellStyle name="Comma 3 13" xfId="8197" xr:uid="{00000000-0005-0000-0000-00003B2E0000}"/>
    <cellStyle name="Comma 3 14" xfId="8198" xr:uid="{00000000-0005-0000-0000-00003C2E0000}"/>
    <cellStyle name="Comma 3 15" xfId="8199" xr:uid="{00000000-0005-0000-0000-00003D2E0000}"/>
    <cellStyle name="Comma 3 16" xfId="8200" xr:uid="{00000000-0005-0000-0000-00003E2E0000}"/>
    <cellStyle name="Comma 3 17" xfId="8201" xr:uid="{00000000-0005-0000-0000-00003F2E0000}"/>
    <cellStyle name="Comma 3 17 2" xfId="17223" xr:uid="{00000000-0005-0000-0000-0000402E0000}"/>
    <cellStyle name="Comma 3 18" xfId="17222" xr:uid="{00000000-0005-0000-0000-0000412E0000}"/>
    <cellStyle name="Comma 3 19" xfId="21721" xr:uid="{00000000-0005-0000-0000-0000422E0000}"/>
    <cellStyle name="Comma 3 19 2" xfId="21807" xr:uid="{00000000-0005-0000-0000-0000432E0000}"/>
    <cellStyle name="Comma 3 19 2 2" xfId="21851" xr:uid="{00000000-0005-0000-0000-0000442E0000}"/>
    <cellStyle name="Comma 3 19 3" xfId="21774" xr:uid="{00000000-0005-0000-0000-0000452E0000}"/>
    <cellStyle name="Comma 3 2" xfId="8202" xr:uid="{00000000-0005-0000-0000-0000462E0000}"/>
    <cellStyle name="Comma 3 2 2" xfId="8203" xr:uid="{00000000-0005-0000-0000-0000472E0000}"/>
    <cellStyle name="Comma 3 2 2 2" xfId="17224" xr:uid="{00000000-0005-0000-0000-0000482E0000}"/>
    <cellStyle name="Comma 3 2 3" xfId="21722" xr:uid="{00000000-0005-0000-0000-0000492E0000}"/>
    <cellStyle name="Comma 3 2 3 2" xfId="21852" xr:uid="{00000000-0005-0000-0000-00004A2E0000}"/>
    <cellStyle name="Comma 3 2 4" xfId="23304" xr:uid="{00000000-0005-0000-0000-00004B2E0000}"/>
    <cellStyle name="Comma 3 3" xfId="8204" xr:uid="{00000000-0005-0000-0000-00004C2E0000}"/>
    <cellStyle name="Comma 3 3 2" xfId="8205" xr:uid="{00000000-0005-0000-0000-00004D2E0000}"/>
    <cellStyle name="Comma 3 3 2 2" xfId="17225" xr:uid="{00000000-0005-0000-0000-00004E2E0000}"/>
    <cellStyle name="Comma 3 4" xfId="8206" xr:uid="{00000000-0005-0000-0000-00004F2E0000}"/>
    <cellStyle name="Comma 3 4 2" xfId="8207" xr:uid="{00000000-0005-0000-0000-0000502E0000}"/>
    <cellStyle name="Comma 3 4 2 2" xfId="17226" xr:uid="{00000000-0005-0000-0000-0000512E0000}"/>
    <cellStyle name="Comma 3 5" xfId="8208" xr:uid="{00000000-0005-0000-0000-0000522E0000}"/>
    <cellStyle name="Comma 3 5 2" xfId="8209" xr:uid="{00000000-0005-0000-0000-0000532E0000}"/>
    <cellStyle name="Comma 3 5 2 2" xfId="17227" xr:uid="{00000000-0005-0000-0000-0000542E0000}"/>
    <cellStyle name="Comma 3 6" xfId="8210" xr:uid="{00000000-0005-0000-0000-0000552E0000}"/>
    <cellStyle name="Comma 3 6 2" xfId="8211" xr:uid="{00000000-0005-0000-0000-0000562E0000}"/>
    <cellStyle name="Comma 3 6 2 2" xfId="17228" xr:uid="{00000000-0005-0000-0000-0000572E0000}"/>
    <cellStyle name="Comma 3 7" xfId="8212" xr:uid="{00000000-0005-0000-0000-0000582E0000}"/>
    <cellStyle name="Comma 3 7 2" xfId="8213" xr:uid="{00000000-0005-0000-0000-0000592E0000}"/>
    <cellStyle name="Comma 3 7 2 2" xfId="17229" xr:uid="{00000000-0005-0000-0000-00005A2E0000}"/>
    <cellStyle name="Comma 3 8" xfId="8214" xr:uid="{00000000-0005-0000-0000-00005B2E0000}"/>
    <cellStyle name="Comma 3 9" xfId="8215" xr:uid="{00000000-0005-0000-0000-00005C2E0000}"/>
    <cellStyle name="Comma 30" xfId="8216" xr:uid="{00000000-0005-0000-0000-00005D2E0000}"/>
    <cellStyle name="Comma 30 2" xfId="22063" xr:uid="{00000000-0005-0000-0000-00005E2E0000}"/>
    <cellStyle name="Comma 300" xfId="27420" xr:uid="{7570EC05-3915-41A0-B47A-559C776EE94D}"/>
    <cellStyle name="Comma 301" xfId="27418" xr:uid="{5219D2D9-1072-4D75-8C25-E5DDA02DCDDD}"/>
    <cellStyle name="Comma 302" xfId="27416" xr:uid="{E0D19B23-13CD-4110-A435-1EFC4F851623}"/>
    <cellStyle name="Comma 303" xfId="27422" xr:uid="{5C67D36B-B047-40F0-8C28-5B6466D95FAB}"/>
    <cellStyle name="Comma 304" xfId="27426" xr:uid="{601C20D3-81AA-4816-AE08-FACFBA24921A}"/>
    <cellStyle name="Comma 305" xfId="27427" xr:uid="{5367BB83-3A53-41B8-8B07-4BC95186A036}"/>
    <cellStyle name="Comma 306" xfId="27428" xr:uid="{F182AA60-EF54-47C8-87DE-8B96D465093D}"/>
    <cellStyle name="Comma 31" xfId="8217" xr:uid="{00000000-0005-0000-0000-00005F2E0000}"/>
    <cellStyle name="Comma 31 2" xfId="22220" xr:uid="{00000000-0005-0000-0000-0000602E0000}"/>
    <cellStyle name="Comma 31 2 2" xfId="22346" xr:uid="{00000000-0005-0000-0000-0000612E0000}"/>
    <cellStyle name="Comma 31 2 2 2" xfId="22606" xr:uid="{00000000-0005-0000-0000-0000622E0000}"/>
    <cellStyle name="Comma 31 2 2 2 2" xfId="23132" xr:uid="{00000000-0005-0000-0000-0000632E0000}"/>
    <cellStyle name="Comma 31 2 2 2 2 2" xfId="24424" xr:uid="{00000000-0005-0000-0000-0000A9010000}"/>
    <cellStyle name="Comma 31 2 2 2 2 2 2" xfId="26682" xr:uid="{00000000-0005-0000-0000-0000A9010000}"/>
    <cellStyle name="Comma 31 2 2 2 2 3" xfId="25546" xr:uid="{00000000-0005-0000-0000-0000A9010000}"/>
    <cellStyle name="Comma 31 2 2 2 3" xfId="23919" xr:uid="{00000000-0005-0000-0000-0000A8010000}"/>
    <cellStyle name="Comma 31 2 2 2 3 2" xfId="26151" xr:uid="{00000000-0005-0000-0000-0000A8010000}"/>
    <cellStyle name="Comma 31 2 2 2 4" xfId="25024" xr:uid="{00000000-0005-0000-0000-0000A8010000}"/>
    <cellStyle name="Comma 31 2 2 3" xfId="22868" xr:uid="{00000000-0005-0000-0000-0000642E0000}"/>
    <cellStyle name="Comma 31 2 2 3 2" xfId="24168" xr:uid="{00000000-0005-0000-0000-0000AA010000}"/>
    <cellStyle name="Comma 31 2 2 3 2 2" xfId="26417" xr:uid="{00000000-0005-0000-0000-0000AA010000}"/>
    <cellStyle name="Comma 31 2 2 3 3" xfId="25287" xr:uid="{00000000-0005-0000-0000-0000AA010000}"/>
    <cellStyle name="Comma 31 2 2 4" xfId="23706" xr:uid="{00000000-0005-0000-0000-0000A7010000}"/>
    <cellStyle name="Comma 31 2 2 4 2" xfId="25918" xr:uid="{00000000-0005-0000-0000-0000A7010000}"/>
    <cellStyle name="Comma 31 2 2 5" xfId="24763" xr:uid="{00000000-0005-0000-0000-0000A7010000}"/>
    <cellStyle name="Comma 31 2 3" xfId="22477" xr:uid="{00000000-0005-0000-0000-0000652E0000}"/>
    <cellStyle name="Comma 31 2 3 2" xfId="23003" xr:uid="{00000000-0005-0000-0000-0000662E0000}"/>
    <cellStyle name="Comma 31 2 3 2 2" xfId="24301" xr:uid="{00000000-0005-0000-0000-0000AC010000}"/>
    <cellStyle name="Comma 31 2 3 2 2 2" xfId="26553" xr:uid="{00000000-0005-0000-0000-0000AC010000}"/>
    <cellStyle name="Comma 31 2 3 2 3" xfId="25419" xr:uid="{00000000-0005-0000-0000-0000AC010000}"/>
    <cellStyle name="Comma 31 2 3 3" xfId="23813" xr:uid="{00000000-0005-0000-0000-0000AB010000}"/>
    <cellStyle name="Comma 31 2 3 3 2" xfId="26037" xr:uid="{00000000-0005-0000-0000-0000AB010000}"/>
    <cellStyle name="Comma 31 2 3 4" xfId="24897" xr:uid="{00000000-0005-0000-0000-0000AB010000}"/>
    <cellStyle name="Comma 31 2 4" xfId="22739" xr:uid="{00000000-0005-0000-0000-0000672E0000}"/>
    <cellStyle name="Comma 31 2 4 2" xfId="24052" xr:uid="{00000000-0005-0000-0000-0000AD010000}"/>
    <cellStyle name="Comma 31 2 4 2 2" xfId="26288" xr:uid="{00000000-0005-0000-0000-0000AD010000}"/>
    <cellStyle name="Comma 31 2 4 3" xfId="25159" xr:uid="{00000000-0005-0000-0000-0000AD010000}"/>
    <cellStyle name="Comma 31 2 5" xfId="23608" xr:uid="{00000000-0005-0000-0000-0000A6010000}"/>
    <cellStyle name="Comma 31 2 5 2" xfId="25804" xr:uid="{00000000-0005-0000-0000-0000A6010000}"/>
    <cellStyle name="Comma 31 2 6" xfId="24637" xr:uid="{00000000-0005-0000-0000-0000A6010000}"/>
    <cellStyle name="Comma 31 3" xfId="22287" xr:uid="{00000000-0005-0000-0000-0000682E0000}"/>
    <cellStyle name="Comma 31 3 2" xfId="22545" xr:uid="{00000000-0005-0000-0000-0000692E0000}"/>
    <cellStyle name="Comma 31 3 2 2" xfId="23071" xr:uid="{00000000-0005-0000-0000-00006A2E0000}"/>
    <cellStyle name="Comma 31 3 2 2 2" xfId="24366" xr:uid="{00000000-0005-0000-0000-0000B0010000}"/>
    <cellStyle name="Comma 31 3 2 2 2 2" xfId="26621" xr:uid="{00000000-0005-0000-0000-0000B0010000}"/>
    <cellStyle name="Comma 31 3 2 2 3" xfId="25485" xr:uid="{00000000-0005-0000-0000-0000B0010000}"/>
    <cellStyle name="Comma 31 3 2 3" xfId="23873" xr:uid="{00000000-0005-0000-0000-0000AF010000}"/>
    <cellStyle name="Comma 31 3 2 3 2" xfId="26100" xr:uid="{00000000-0005-0000-0000-0000AF010000}"/>
    <cellStyle name="Comma 31 3 2 4" xfId="24963" xr:uid="{00000000-0005-0000-0000-0000AF010000}"/>
    <cellStyle name="Comma 31 3 3" xfId="22807" xr:uid="{00000000-0005-0000-0000-00006B2E0000}"/>
    <cellStyle name="Comma 31 3 3 2" xfId="24113" xr:uid="{00000000-0005-0000-0000-0000B1010000}"/>
    <cellStyle name="Comma 31 3 3 2 2" xfId="26356" xr:uid="{00000000-0005-0000-0000-0000B1010000}"/>
    <cellStyle name="Comma 31 3 3 3" xfId="25227" xr:uid="{00000000-0005-0000-0000-0000B1010000}"/>
    <cellStyle name="Comma 31 3 4" xfId="23660" xr:uid="{00000000-0005-0000-0000-0000AE010000}"/>
    <cellStyle name="Comma 31 3 4 2" xfId="25867" xr:uid="{00000000-0005-0000-0000-0000AE010000}"/>
    <cellStyle name="Comma 31 3 5" xfId="24703" xr:uid="{00000000-0005-0000-0000-0000AE010000}"/>
    <cellStyle name="Comma 31 4" xfId="22414" xr:uid="{00000000-0005-0000-0000-00006C2E0000}"/>
    <cellStyle name="Comma 31 4 2" xfId="22937" xr:uid="{00000000-0005-0000-0000-00006D2E0000}"/>
    <cellStyle name="Comma 31 4 2 2" xfId="24236" xr:uid="{00000000-0005-0000-0000-0000B3010000}"/>
    <cellStyle name="Comma 31 4 2 2 2" xfId="26486" xr:uid="{00000000-0005-0000-0000-0000B3010000}"/>
    <cellStyle name="Comma 31 4 2 3" xfId="25355" xr:uid="{00000000-0005-0000-0000-0000B3010000}"/>
    <cellStyle name="Comma 31 4 3" xfId="23762" xr:uid="{00000000-0005-0000-0000-0000B2010000}"/>
    <cellStyle name="Comma 31 4 3 2" xfId="25982" xr:uid="{00000000-0005-0000-0000-0000B2010000}"/>
    <cellStyle name="Comma 31 4 4" xfId="24831" xr:uid="{00000000-0005-0000-0000-0000B2010000}"/>
    <cellStyle name="Comma 31 5" xfId="22676" xr:uid="{00000000-0005-0000-0000-00006E2E0000}"/>
    <cellStyle name="Comma 31 5 2" xfId="23985" xr:uid="{00000000-0005-0000-0000-0000B4010000}"/>
    <cellStyle name="Comma 31 5 2 2" xfId="26221" xr:uid="{00000000-0005-0000-0000-0000B4010000}"/>
    <cellStyle name="Comma 31 5 3" xfId="25093" xr:uid="{00000000-0005-0000-0000-0000B4010000}"/>
    <cellStyle name="Comma 31 6" xfId="22064" xr:uid="{00000000-0005-0000-0000-00006F2E0000}"/>
    <cellStyle name="Comma 31 6 2" xfId="25749" xr:uid="{00000000-0005-0000-0000-0000A5010000}"/>
    <cellStyle name="Comma 31 7" xfId="24568" xr:uid="{00000000-0005-0000-0000-0000A5010000}"/>
    <cellStyle name="Comma 32" xfId="8218" xr:uid="{00000000-0005-0000-0000-0000702E0000}"/>
    <cellStyle name="Comma 32 2" xfId="22065" xr:uid="{00000000-0005-0000-0000-0000712E0000}"/>
    <cellStyle name="Comma 33" xfId="8219" xr:uid="{00000000-0005-0000-0000-0000722E0000}"/>
    <cellStyle name="Comma 33 2" xfId="22383" xr:uid="{00000000-0005-0000-0000-0000732E0000}"/>
    <cellStyle name="Comma 33 2 2" xfId="22643" xr:uid="{00000000-0005-0000-0000-0000742E0000}"/>
    <cellStyle name="Comma 33 2 2 2" xfId="23169" xr:uid="{00000000-0005-0000-0000-0000752E0000}"/>
    <cellStyle name="Comma 33 2 2 2 2" xfId="24461" xr:uid="{00000000-0005-0000-0000-0000B9010000}"/>
    <cellStyle name="Comma 33 2 2 2 2 2" xfId="26719" xr:uid="{00000000-0005-0000-0000-0000B9010000}"/>
    <cellStyle name="Comma 33 2 2 2 3" xfId="25583" xr:uid="{00000000-0005-0000-0000-0000B9010000}"/>
    <cellStyle name="Comma 33 2 2 3" xfId="23953" xr:uid="{00000000-0005-0000-0000-0000B8010000}"/>
    <cellStyle name="Comma 33 2 2 3 2" xfId="26188" xr:uid="{00000000-0005-0000-0000-0000B8010000}"/>
    <cellStyle name="Comma 33 2 2 4" xfId="25061" xr:uid="{00000000-0005-0000-0000-0000B8010000}"/>
    <cellStyle name="Comma 33 2 3" xfId="22905" xr:uid="{00000000-0005-0000-0000-0000762E0000}"/>
    <cellStyle name="Comma 33 2 3 2" xfId="24205" xr:uid="{00000000-0005-0000-0000-0000BA010000}"/>
    <cellStyle name="Comma 33 2 3 2 2" xfId="26454" xr:uid="{00000000-0005-0000-0000-0000BA010000}"/>
    <cellStyle name="Comma 33 2 3 3" xfId="25324" xr:uid="{00000000-0005-0000-0000-0000BA010000}"/>
    <cellStyle name="Comma 33 2 4" xfId="23738" xr:uid="{00000000-0005-0000-0000-0000B7010000}"/>
    <cellStyle name="Comma 33 2 4 2" xfId="25955" xr:uid="{00000000-0005-0000-0000-0000B7010000}"/>
    <cellStyle name="Comma 33 2 5" xfId="24800" xr:uid="{00000000-0005-0000-0000-0000B7010000}"/>
    <cellStyle name="Comma 33 3" xfId="22514" xr:uid="{00000000-0005-0000-0000-0000772E0000}"/>
    <cellStyle name="Comma 33 3 2" xfId="23040" xr:uid="{00000000-0005-0000-0000-0000782E0000}"/>
    <cellStyle name="Comma 33 3 2 2" xfId="24337" xr:uid="{00000000-0005-0000-0000-0000BC010000}"/>
    <cellStyle name="Comma 33 3 2 2 2" xfId="26590" xr:uid="{00000000-0005-0000-0000-0000BC010000}"/>
    <cellStyle name="Comma 33 3 2 3" xfId="25456" xr:uid="{00000000-0005-0000-0000-0000BC010000}"/>
    <cellStyle name="Comma 33 3 3" xfId="23849" xr:uid="{00000000-0005-0000-0000-0000BB010000}"/>
    <cellStyle name="Comma 33 3 3 2" xfId="26074" xr:uid="{00000000-0005-0000-0000-0000BB010000}"/>
    <cellStyle name="Comma 33 3 4" xfId="24934" xr:uid="{00000000-0005-0000-0000-0000BB010000}"/>
    <cellStyle name="Comma 33 4" xfId="22776" xr:uid="{00000000-0005-0000-0000-0000792E0000}"/>
    <cellStyle name="Comma 33 4 2" xfId="24088" xr:uid="{00000000-0005-0000-0000-0000BD010000}"/>
    <cellStyle name="Comma 33 4 2 2" xfId="26325" xr:uid="{00000000-0005-0000-0000-0000BD010000}"/>
    <cellStyle name="Comma 33 4 3" xfId="25196" xr:uid="{00000000-0005-0000-0000-0000BD010000}"/>
    <cellStyle name="Comma 33 5" xfId="22258" xr:uid="{00000000-0005-0000-0000-00007A2E0000}"/>
    <cellStyle name="Comma 33 5 2" xfId="25841" xr:uid="{00000000-0005-0000-0000-0000B6010000}"/>
    <cellStyle name="Comma 33 6" xfId="24674" xr:uid="{00000000-0005-0000-0000-0000B6010000}"/>
    <cellStyle name="Comma 34" xfId="8220" xr:uid="{00000000-0005-0000-0000-00007B2E0000}"/>
    <cellStyle name="Comma 34 2" xfId="23241" xr:uid="{00000000-0005-0000-0000-00007C2E0000}"/>
    <cellStyle name="Comma 34 2 2" xfId="26745" xr:uid="{00000000-0005-0000-0000-0000BE010000}"/>
    <cellStyle name="Comma 34 3" xfId="25653" xr:uid="{00000000-0005-0000-0000-0000BE010000}"/>
    <cellStyle name="Comma 35" xfId="8221" xr:uid="{00000000-0005-0000-0000-00007D2E0000}"/>
    <cellStyle name="Comma 35 2" xfId="23250" xr:uid="{00000000-0005-0000-0000-00007E2E0000}"/>
    <cellStyle name="Comma 35 2 2" xfId="26754" xr:uid="{00000000-0005-0000-0000-0000BF010000}"/>
    <cellStyle name="Comma 35 3" xfId="25661" xr:uid="{00000000-0005-0000-0000-0000BF010000}"/>
    <cellStyle name="Comma 36" xfId="8222" xr:uid="{00000000-0005-0000-0000-00007F2E0000}"/>
    <cellStyle name="Comma 36 2" xfId="23253" xr:uid="{00000000-0005-0000-0000-0000802E0000}"/>
    <cellStyle name="Comma 36 2 2" xfId="26757" xr:uid="{00000000-0005-0000-0000-0000C0010000}"/>
    <cellStyle name="Comma 36 3" xfId="25664" xr:uid="{00000000-0005-0000-0000-0000C0010000}"/>
    <cellStyle name="Comma 37" xfId="8223" xr:uid="{00000000-0005-0000-0000-0000812E0000}"/>
    <cellStyle name="Comma 37 2" xfId="23256" xr:uid="{00000000-0005-0000-0000-0000822E0000}"/>
    <cellStyle name="Comma 37 2 2" xfId="26760" xr:uid="{00000000-0005-0000-0000-0000C1010000}"/>
    <cellStyle name="Comma 37 3" xfId="25667" xr:uid="{00000000-0005-0000-0000-0000C1010000}"/>
    <cellStyle name="Comma 38" xfId="8224" xr:uid="{00000000-0005-0000-0000-0000832E0000}"/>
    <cellStyle name="Comma 38 2" xfId="23259" xr:uid="{00000000-0005-0000-0000-0000842E0000}"/>
    <cellStyle name="Comma 38 2 2" xfId="26763" xr:uid="{00000000-0005-0000-0000-0000C2010000}"/>
    <cellStyle name="Comma 38 3" xfId="25670" xr:uid="{00000000-0005-0000-0000-0000C2010000}"/>
    <cellStyle name="Comma 39" xfId="8225" xr:uid="{00000000-0005-0000-0000-0000852E0000}"/>
    <cellStyle name="Comma 39 2" xfId="23262" xr:uid="{00000000-0005-0000-0000-0000862E0000}"/>
    <cellStyle name="Comma 39 2 2" xfId="26766" xr:uid="{00000000-0005-0000-0000-0000C3010000}"/>
    <cellStyle name="Comma 39 3" xfId="25673" xr:uid="{00000000-0005-0000-0000-0000C3010000}"/>
    <cellStyle name="Comma 4" xfId="8226" xr:uid="{00000000-0005-0000-0000-0000872E0000}"/>
    <cellStyle name="Comma 4 10" xfId="22066" xr:uid="{00000000-0005-0000-0000-0000882E0000}"/>
    <cellStyle name="Comma 4 2" xfId="8227" xr:uid="{00000000-0005-0000-0000-0000892E0000}"/>
    <cellStyle name="Comma 4 2 2" xfId="8228" xr:uid="{00000000-0005-0000-0000-00008A2E0000}"/>
    <cellStyle name="Comma 4 2 2 2" xfId="17230" xr:uid="{00000000-0005-0000-0000-00008B2E0000}"/>
    <cellStyle name="Comma 4 2 3" xfId="21723" xr:uid="{00000000-0005-0000-0000-00008C2E0000}"/>
    <cellStyle name="Comma 4 2 4" xfId="22067" xr:uid="{00000000-0005-0000-0000-00008D2E0000}"/>
    <cellStyle name="Comma 4 3" xfId="10" xr:uid="{00000000-0005-0000-0000-00008E2E0000}"/>
    <cellStyle name="Comma 4 3 2" xfId="8229" xr:uid="{00000000-0005-0000-0000-00008F2E0000}"/>
    <cellStyle name="Comma 4 3 2 2" xfId="17231" xr:uid="{00000000-0005-0000-0000-0000902E0000}"/>
    <cellStyle name="Comma 4 4" xfId="8230" xr:uid="{00000000-0005-0000-0000-0000912E0000}"/>
    <cellStyle name="Comma 4 5" xfId="8231" xr:uid="{00000000-0005-0000-0000-0000922E0000}"/>
    <cellStyle name="Comma 4 6" xfId="8232" xr:uid="{00000000-0005-0000-0000-0000932E0000}"/>
    <cellStyle name="Comma 4 7" xfId="8233" xr:uid="{00000000-0005-0000-0000-0000942E0000}"/>
    <cellStyle name="Comma 4 8" xfId="8234" xr:uid="{00000000-0005-0000-0000-0000952E0000}"/>
    <cellStyle name="Comma 4 8 2" xfId="17232" xr:uid="{00000000-0005-0000-0000-0000962E0000}"/>
    <cellStyle name="Comma 4 9" xfId="21724" xr:uid="{00000000-0005-0000-0000-0000972E0000}"/>
    <cellStyle name="Comma 4 9 2" xfId="21853" xr:uid="{00000000-0005-0000-0000-0000982E0000}"/>
    <cellStyle name="Comma 40" xfId="8235" xr:uid="{00000000-0005-0000-0000-0000992E0000}"/>
    <cellStyle name="Comma 40 2" xfId="23266" xr:uid="{00000000-0005-0000-0000-00009A2E0000}"/>
    <cellStyle name="Comma 40 2 2" xfId="26770" xr:uid="{00000000-0005-0000-0000-0000C6010000}"/>
    <cellStyle name="Comma 40 3" xfId="25677" xr:uid="{00000000-0005-0000-0000-0000C6010000}"/>
    <cellStyle name="Comma 41" xfId="8236" xr:uid="{00000000-0005-0000-0000-00009B2E0000}"/>
    <cellStyle name="Comma 41 2" xfId="23270" xr:uid="{00000000-0005-0000-0000-00009C2E0000}"/>
    <cellStyle name="Comma 41 2 2" xfId="26774" xr:uid="{00000000-0005-0000-0000-0000C7010000}"/>
    <cellStyle name="Comma 41 3" xfId="25681" xr:uid="{00000000-0005-0000-0000-0000C7010000}"/>
    <cellStyle name="Comma 42" xfId="8237" xr:uid="{00000000-0005-0000-0000-00009D2E0000}"/>
    <cellStyle name="Comma 42 2" xfId="23280" xr:uid="{00000000-0005-0000-0000-00009E2E0000}"/>
    <cellStyle name="Comma 42 2 2" xfId="26783" xr:uid="{00000000-0005-0000-0000-0000C8010000}"/>
    <cellStyle name="Comma 42 3" xfId="25688" xr:uid="{00000000-0005-0000-0000-0000C8010000}"/>
    <cellStyle name="Comma 43" xfId="8238" xr:uid="{00000000-0005-0000-0000-00009F2E0000}"/>
    <cellStyle name="Comma 43 2" xfId="23284" xr:uid="{00000000-0005-0000-0000-0000A02E0000}"/>
    <cellStyle name="Comma 43 2 2" xfId="26787" xr:uid="{00000000-0005-0000-0000-0000C9010000}"/>
    <cellStyle name="Comma 43 3" xfId="25692" xr:uid="{00000000-0005-0000-0000-0000C9010000}"/>
    <cellStyle name="Comma 44" xfId="8239" xr:uid="{00000000-0005-0000-0000-0000A12E0000}"/>
    <cellStyle name="Comma 44 2" xfId="23286" xr:uid="{00000000-0005-0000-0000-0000A22E0000}"/>
    <cellStyle name="Comma 44 2 2" xfId="26789" xr:uid="{00000000-0005-0000-0000-0000CA010000}"/>
    <cellStyle name="Comma 44 3" xfId="25694" xr:uid="{00000000-0005-0000-0000-0000CA010000}"/>
    <cellStyle name="Comma 45" xfId="8240" xr:uid="{00000000-0005-0000-0000-0000A32E0000}"/>
    <cellStyle name="Comma 45 2" xfId="23288" xr:uid="{00000000-0005-0000-0000-0000A42E0000}"/>
    <cellStyle name="Comma 45 2 2" xfId="26791" xr:uid="{00000000-0005-0000-0000-0000CB010000}"/>
    <cellStyle name="Comma 45 3" xfId="25696" xr:uid="{00000000-0005-0000-0000-0000CB010000}"/>
    <cellStyle name="Comma 46" xfId="8241" xr:uid="{00000000-0005-0000-0000-0000A52E0000}"/>
    <cellStyle name="Comma 46 2" xfId="23297" xr:uid="{00000000-0005-0000-0000-0000A62E0000}"/>
    <cellStyle name="Comma 46 2 2" xfId="26798" xr:uid="{00000000-0005-0000-0000-0000CC010000}"/>
    <cellStyle name="Comma 46 3" xfId="25701" xr:uid="{00000000-0005-0000-0000-0000CC010000}"/>
    <cellStyle name="Comma 47" xfId="8242" xr:uid="{00000000-0005-0000-0000-0000A72E0000}"/>
    <cellStyle name="Comma 47 2" xfId="23300" xr:uid="{00000000-0005-0000-0000-0000A82E0000}"/>
    <cellStyle name="Comma 47 2 2" xfId="26801" xr:uid="{00000000-0005-0000-0000-0000CD010000}"/>
    <cellStyle name="Comma 47 3" xfId="25704" xr:uid="{00000000-0005-0000-0000-0000CD010000}"/>
    <cellStyle name="Comma 48" xfId="8243" xr:uid="{00000000-0005-0000-0000-0000A92E0000}"/>
    <cellStyle name="Comma 48 2" xfId="23307" xr:uid="{00000000-0005-0000-0000-0000AA2E0000}"/>
    <cellStyle name="Comma 48 2 2" xfId="26807" xr:uid="{00000000-0005-0000-0000-0000CE010000}"/>
    <cellStyle name="Comma 48 3" xfId="25711" xr:uid="{00000000-0005-0000-0000-0000CE010000}"/>
    <cellStyle name="Comma 49" xfId="8244" xr:uid="{00000000-0005-0000-0000-0000AB2E0000}"/>
    <cellStyle name="Comma 49 2" xfId="23322" xr:uid="{00000000-0005-0000-0000-0000AC2E0000}"/>
    <cellStyle name="Comma 49 2 2" xfId="24536" xr:uid="{00000000-0005-0000-0000-0000D0010000}"/>
    <cellStyle name="Comma 49 2 2 2" xfId="26822" xr:uid="{00000000-0005-0000-0000-0000D0010000}"/>
    <cellStyle name="Comma 49 2 3" xfId="25726" xr:uid="{00000000-0005-0000-0000-0000D0010000}"/>
    <cellStyle name="Comma 49 3" xfId="23313" xr:uid="{00000000-0005-0000-0000-0000AD2E0000}"/>
    <cellStyle name="Comma 49 3 2" xfId="26813" xr:uid="{00000000-0005-0000-0000-0000CF010000}"/>
    <cellStyle name="Comma 49 4" xfId="25717" xr:uid="{00000000-0005-0000-0000-0000CF010000}"/>
    <cellStyle name="Comma 5" xfId="8245" xr:uid="{00000000-0005-0000-0000-0000AE2E0000}"/>
    <cellStyle name="Comma 5 2" xfId="8246" xr:uid="{00000000-0005-0000-0000-0000AF2E0000}"/>
    <cellStyle name="Comma 5 2 2" xfId="21725" xr:uid="{00000000-0005-0000-0000-0000B02E0000}"/>
    <cellStyle name="Comma 5 2 2 2" xfId="22607" xr:uid="{00000000-0005-0000-0000-0000B12E0000}"/>
    <cellStyle name="Comma 5 2 2 2 2" xfId="23133" xr:uid="{00000000-0005-0000-0000-0000B22E0000}"/>
    <cellStyle name="Comma 5 2 2 2 2 2" xfId="24425" xr:uid="{00000000-0005-0000-0000-0000D5010000}"/>
    <cellStyle name="Comma 5 2 2 2 2 2 2" xfId="26683" xr:uid="{00000000-0005-0000-0000-0000D5010000}"/>
    <cellStyle name="Comma 5 2 2 2 2 3" xfId="25547" xr:uid="{00000000-0005-0000-0000-0000D5010000}"/>
    <cellStyle name="Comma 5 2 2 2 3" xfId="23920" xr:uid="{00000000-0005-0000-0000-0000D4010000}"/>
    <cellStyle name="Comma 5 2 2 2 3 2" xfId="26152" xr:uid="{00000000-0005-0000-0000-0000D4010000}"/>
    <cellStyle name="Comma 5 2 2 2 4" xfId="25025" xr:uid="{00000000-0005-0000-0000-0000D4010000}"/>
    <cellStyle name="Comma 5 2 2 3" xfId="22869" xr:uid="{00000000-0005-0000-0000-0000B32E0000}"/>
    <cellStyle name="Comma 5 2 2 3 2" xfId="24169" xr:uid="{00000000-0005-0000-0000-0000D6010000}"/>
    <cellStyle name="Comma 5 2 2 3 2 2" xfId="26418" xr:uid="{00000000-0005-0000-0000-0000D6010000}"/>
    <cellStyle name="Comma 5 2 2 3 3" xfId="25288" xr:uid="{00000000-0005-0000-0000-0000D6010000}"/>
    <cellStyle name="Comma 5 2 2 4" xfId="22347" xr:uid="{00000000-0005-0000-0000-0000B42E0000}"/>
    <cellStyle name="Comma 5 2 2 4 2" xfId="25919" xr:uid="{00000000-0005-0000-0000-0000D3010000}"/>
    <cellStyle name="Comma 5 2 2 5" xfId="24764" xr:uid="{00000000-0005-0000-0000-0000D3010000}"/>
    <cellStyle name="Comma 5 2 3" xfId="22478" xr:uid="{00000000-0005-0000-0000-0000B52E0000}"/>
    <cellStyle name="Comma 5 2 3 2" xfId="23004" xr:uid="{00000000-0005-0000-0000-0000B62E0000}"/>
    <cellStyle name="Comma 5 2 3 2 2" xfId="24302" xr:uid="{00000000-0005-0000-0000-0000D8010000}"/>
    <cellStyle name="Comma 5 2 3 2 2 2" xfId="26554" xr:uid="{00000000-0005-0000-0000-0000D8010000}"/>
    <cellStyle name="Comma 5 2 3 2 3" xfId="25420" xr:uid="{00000000-0005-0000-0000-0000D8010000}"/>
    <cellStyle name="Comma 5 2 3 3" xfId="23814" xr:uid="{00000000-0005-0000-0000-0000D7010000}"/>
    <cellStyle name="Comma 5 2 3 3 2" xfId="26038" xr:uid="{00000000-0005-0000-0000-0000D7010000}"/>
    <cellStyle name="Comma 5 2 3 4" xfId="24898" xr:uid="{00000000-0005-0000-0000-0000D7010000}"/>
    <cellStyle name="Comma 5 2 4" xfId="22740" xr:uid="{00000000-0005-0000-0000-0000B72E0000}"/>
    <cellStyle name="Comma 5 2 4 2" xfId="24053" xr:uid="{00000000-0005-0000-0000-0000D9010000}"/>
    <cellStyle name="Comma 5 2 4 2 2" xfId="26289" xr:uid="{00000000-0005-0000-0000-0000D9010000}"/>
    <cellStyle name="Comma 5 2 4 3" xfId="25160" xr:uid="{00000000-0005-0000-0000-0000D9010000}"/>
    <cellStyle name="Comma 5 2 5" xfId="22221" xr:uid="{00000000-0005-0000-0000-0000B82E0000}"/>
    <cellStyle name="Comma 5 2 5 2" xfId="25805" xr:uid="{00000000-0005-0000-0000-0000D2010000}"/>
    <cellStyle name="Comma 5 2 6" xfId="24638" xr:uid="{00000000-0005-0000-0000-0000D2010000}"/>
    <cellStyle name="Comma 5 3" xfId="8247" xr:uid="{00000000-0005-0000-0000-0000B92E0000}"/>
    <cellStyle name="Comma 5 3 2" xfId="17233" xr:uid="{00000000-0005-0000-0000-0000BA2E0000}"/>
    <cellStyle name="Comma 5 3 2 2" xfId="23072" xr:uid="{00000000-0005-0000-0000-0000BB2E0000}"/>
    <cellStyle name="Comma 5 3 2 2 2" xfId="24367" xr:uid="{00000000-0005-0000-0000-0000DC010000}"/>
    <cellStyle name="Comma 5 3 2 2 2 2" xfId="26622" xr:uid="{00000000-0005-0000-0000-0000DC010000}"/>
    <cellStyle name="Comma 5 3 2 2 3" xfId="25486" xr:uid="{00000000-0005-0000-0000-0000DC010000}"/>
    <cellStyle name="Comma 5 3 2 3" xfId="22546" xr:uid="{00000000-0005-0000-0000-0000BC2E0000}"/>
    <cellStyle name="Comma 5 3 2 3 2" xfId="26101" xr:uid="{00000000-0005-0000-0000-0000DB010000}"/>
    <cellStyle name="Comma 5 3 2 4" xfId="24964" xr:uid="{00000000-0005-0000-0000-0000DB010000}"/>
    <cellStyle name="Comma 5 3 3" xfId="22808" xr:uid="{00000000-0005-0000-0000-0000BD2E0000}"/>
    <cellStyle name="Comma 5 3 3 2" xfId="24114" xr:uid="{00000000-0005-0000-0000-0000DD010000}"/>
    <cellStyle name="Comma 5 3 3 2 2" xfId="26357" xr:uid="{00000000-0005-0000-0000-0000DD010000}"/>
    <cellStyle name="Comma 5 3 3 3" xfId="25228" xr:uid="{00000000-0005-0000-0000-0000DD010000}"/>
    <cellStyle name="Comma 5 3 4" xfId="22288" xr:uid="{00000000-0005-0000-0000-0000BE2E0000}"/>
    <cellStyle name="Comma 5 3 4 2" xfId="25868" xr:uid="{00000000-0005-0000-0000-0000DA010000}"/>
    <cellStyle name="Comma 5 3 5" xfId="24704" xr:uid="{00000000-0005-0000-0000-0000DA010000}"/>
    <cellStyle name="Comma 5 4" xfId="21726" xr:uid="{00000000-0005-0000-0000-0000BF2E0000}"/>
    <cellStyle name="Comma 5 4 2" xfId="21808" xr:uid="{00000000-0005-0000-0000-0000C02E0000}"/>
    <cellStyle name="Comma 5 4 2 2" xfId="22938" xr:uid="{00000000-0005-0000-0000-0000C12E0000}"/>
    <cellStyle name="Comma 5 4 2 2 2" xfId="26487" xr:uid="{00000000-0005-0000-0000-0000DF010000}"/>
    <cellStyle name="Comma 5 4 2 3" xfId="25356" xr:uid="{00000000-0005-0000-0000-0000DF010000}"/>
    <cellStyle name="Comma 5 4 3" xfId="21775" xr:uid="{00000000-0005-0000-0000-0000C22E0000}"/>
    <cellStyle name="Comma 5 4 3 2" xfId="25983" xr:uid="{00000000-0005-0000-0000-0000DE010000}"/>
    <cellStyle name="Comma 5 4 3 3" xfId="23763" xr:uid="{00000000-0005-0000-0000-0000DE010000}"/>
    <cellStyle name="Comma 5 4 4" xfId="21854" xr:uid="{00000000-0005-0000-0000-0000C32E0000}"/>
    <cellStyle name="Comma 5 4 4 2" xfId="24832" xr:uid="{00000000-0005-0000-0000-0000DE010000}"/>
    <cellStyle name="Comma 5 4 5" xfId="22415" xr:uid="{00000000-0005-0000-0000-0000C42E0000}"/>
    <cellStyle name="Comma 5 5" xfId="22677" xr:uid="{00000000-0005-0000-0000-0000C52E0000}"/>
    <cellStyle name="Comma 5 5 2" xfId="23986" xr:uid="{00000000-0005-0000-0000-0000E0010000}"/>
    <cellStyle name="Comma 5 5 2 2" xfId="26222" xr:uid="{00000000-0005-0000-0000-0000E0010000}"/>
    <cellStyle name="Comma 5 5 3" xfId="25094" xr:uid="{00000000-0005-0000-0000-0000E0010000}"/>
    <cellStyle name="Comma 5 6" xfId="22068" xr:uid="{00000000-0005-0000-0000-0000C62E0000}"/>
    <cellStyle name="Comma 5 6 2" xfId="25750" xr:uid="{00000000-0005-0000-0000-0000D1010000}"/>
    <cellStyle name="Comma 5 7" xfId="24571" xr:uid="{00000000-0005-0000-0000-0000D1010000}"/>
    <cellStyle name="Comma 50" xfId="8248" xr:uid="{00000000-0005-0000-0000-0000C72E0000}"/>
    <cellStyle name="Comma 50 2" xfId="23321" xr:uid="{00000000-0005-0000-0000-0000C82E0000}"/>
    <cellStyle name="Comma 50 2 2" xfId="26821" xr:uid="{00000000-0005-0000-0000-0000E1010000}"/>
    <cellStyle name="Comma 50 3" xfId="25725" xr:uid="{00000000-0005-0000-0000-0000E1010000}"/>
    <cellStyle name="Comma 51" xfId="8249" xr:uid="{00000000-0005-0000-0000-0000C92E0000}"/>
    <cellStyle name="Comma 51 2" xfId="23555" xr:uid="{B7B5D86D-74F8-4363-9CAD-DA94FC8C595C}"/>
    <cellStyle name="Comma 52" xfId="8250" xr:uid="{00000000-0005-0000-0000-0000CA2E0000}"/>
    <cellStyle name="Comma 53" xfId="8251" xr:uid="{00000000-0005-0000-0000-0000CB2E0000}"/>
    <cellStyle name="Comma 54" xfId="8252" xr:uid="{00000000-0005-0000-0000-0000CC2E0000}"/>
    <cellStyle name="Comma 55" xfId="8253" xr:uid="{00000000-0005-0000-0000-0000CD2E0000}"/>
    <cellStyle name="Comma 56" xfId="8254" xr:uid="{00000000-0005-0000-0000-0000CE2E0000}"/>
    <cellStyle name="Comma 57" xfId="8255" xr:uid="{00000000-0005-0000-0000-0000CF2E0000}"/>
    <cellStyle name="Comma 58" xfId="8256" xr:uid="{00000000-0005-0000-0000-0000D02E0000}"/>
    <cellStyle name="Comma 59" xfId="8257" xr:uid="{00000000-0005-0000-0000-0000D12E0000}"/>
    <cellStyle name="Comma 6" xfId="8258" xr:uid="{00000000-0005-0000-0000-0000D22E0000}"/>
    <cellStyle name="Comma 6 2" xfId="8259" xr:uid="{00000000-0005-0000-0000-0000D32E0000}"/>
    <cellStyle name="Comma 6 2 2" xfId="8260" xr:uid="{00000000-0005-0000-0000-0000D42E0000}"/>
    <cellStyle name="Comma 6 2 2 2" xfId="17234" xr:uid="{00000000-0005-0000-0000-0000D52E0000}"/>
    <cellStyle name="Comma 6 3" xfId="8261" xr:uid="{00000000-0005-0000-0000-0000D62E0000}"/>
    <cellStyle name="Comma 6 3 2" xfId="8262" xr:uid="{00000000-0005-0000-0000-0000D72E0000}"/>
    <cellStyle name="Comma 6 3 2 2" xfId="17235" xr:uid="{00000000-0005-0000-0000-0000D82E0000}"/>
    <cellStyle name="Comma 6 4" xfId="8263" xr:uid="{00000000-0005-0000-0000-0000D92E0000}"/>
    <cellStyle name="Comma 6 4 2" xfId="8264" xr:uid="{00000000-0005-0000-0000-0000DA2E0000}"/>
    <cellStyle name="Comma 6 4 2 2" xfId="17236" xr:uid="{00000000-0005-0000-0000-0000DB2E0000}"/>
    <cellStyle name="Comma 6 5" xfId="8265" xr:uid="{00000000-0005-0000-0000-0000DC2E0000}"/>
    <cellStyle name="Comma 6 5 2" xfId="8266" xr:uid="{00000000-0005-0000-0000-0000DD2E0000}"/>
    <cellStyle name="Comma 6 5 2 2" xfId="17237" xr:uid="{00000000-0005-0000-0000-0000DE2E0000}"/>
    <cellStyle name="Comma 6 6" xfId="8267" xr:uid="{00000000-0005-0000-0000-0000DF2E0000}"/>
    <cellStyle name="Comma 6 6 2" xfId="8268" xr:uid="{00000000-0005-0000-0000-0000E02E0000}"/>
    <cellStyle name="Comma 6 6 2 2" xfId="17238" xr:uid="{00000000-0005-0000-0000-0000E12E0000}"/>
    <cellStyle name="Comma 6 7" xfId="21727" xr:uid="{00000000-0005-0000-0000-0000E22E0000}"/>
    <cellStyle name="Comma 6 7 2" xfId="21809" xr:uid="{00000000-0005-0000-0000-0000E32E0000}"/>
    <cellStyle name="Comma 6 7 2 2" xfId="21855" xr:uid="{00000000-0005-0000-0000-0000E42E0000}"/>
    <cellStyle name="Comma 6 7 3" xfId="21776" xr:uid="{00000000-0005-0000-0000-0000E52E0000}"/>
    <cellStyle name="Comma 60" xfId="8269" xr:uid="{00000000-0005-0000-0000-0000E62E0000}"/>
    <cellStyle name="Comma 61" xfId="8270" xr:uid="{00000000-0005-0000-0000-0000E72E0000}"/>
    <cellStyle name="Comma 62" xfId="8271" xr:uid="{00000000-0005-0000-0000-0000E82E0000}"/>
    <cellStyle name="Comma 63" xfId="8272" xr:uid="{00000000-0005-0000-0000-0000E92E0000}"/>
    <cellStyle name="Comma 64" xfId="8273" xr:uid="{00000000-0005-0000-0000-0000EA2E0000}"/>
    <cellStyle name="Comma 65" xfId="8274" xr:uid="{00000000-0005-0000-0000-0000EB2E0000}"/>
    <cellStyle name="Comma 66" xfId="8275" xr:uid="{00000000-0005-0000-0000-0000EC2E0000}"/>
    <cellStyle name="Comma 67" xfId="8276" xr:uid="{00000000-0005-0000-0000-0000ED2E0000}"/>
    <cellStyle name="Comma 68" xfId="8277" xr:uid="{00000000-0005-0000-0000-0000EE2E0000}"/>
    <cellStyle name="Comma 69" xfId="8278" xr:uid="{00000000-0005-0000-0000-0000EF2E0000}"/>
    <cellStyle name="Comma 7" xfId="8279" xr:uid="{00000000-0005-0000-0000-0000F02E0000}"/>
    <cellStyle name="Comma 7 2" xfId="23274" xr:uid="{00000000-0005-0000-0000-0000F12E0000}"/>
    <cellStyle name="Comma 7 3" xfId="22069" xr:uid="{00000000-0005-0000-0000-0000F22E0000}"/>
    <cellStyle name="Comma 70" xfId="8280" xr:uid="{00000000-0005-0000-0000-0000F32E0000}"/>
    <cellStyle name="Comma 71" xfId="8281" xr:uid="{00000000-0005-0000-0000-0000F42E0000}"/>
    <cellStyle name="Comma 72" xfId="8282" xr:uid="{00000000-0005-0000-0000-0000F52E0000}"/>
    <cellStyle name="Comma 73" xfId="8283" xr:uid="{00000000-0005-0000-0000-0000F62E0000}"/>
    <cellStyle name="Comma 74" xfId="8284" xr:uid="{00000000-0005-0000-0000-0000F72E0000}"/>
    <cellStyle name="Comma 75" xfId="8285" xr:uid="{00000000-0005-0000-0000-0000F82E0000}"/>
    <cellStyle name="Comma 76" xfId="8286" xr:uid="{00000000-0005-0000-0000-0000F92E0000}"/>
    <cellStyle name="Comma 77" xfId="8287" xr:uid="{00000000-0005-0000-0000-0000FA2E0000}"/>
    <cellStyle name="Comma 78" xfId="8288" xr:uid="{00000000-0005-0000-0000-0000FB2E0000}"/>
    <cellStyle name="Comma 79" xfId="8289" xr:uid="{00000000-0005-0000-0000-0000FC2E0000}"/>
    <cellStyle name="Comma 8" xfId="8290" xr:uid="{00000000-0005-0000-0000-0000FD2E0000}"/>
    <cellStyle name="Comma 8 2" xfId="22070" xr:uid="{00000000-0005-0000-0000-0000FE2E0000}"/>
    <cellStyle name="Comma 80" xfId="8291" xr:uid="{00000000-0005-0000-0000-0000FF2E0000}"/>
    <cellStyle name="Comma 81" xfId="8292" xr:uid="{00000000-0005-0000-0000-0000002F0000}"/>
    <cellStyle name="Comma 82" xfId="8293" xr:uid="{00000000-0005-0000-0000-0000012F0000}"/>
    <cellStyle name="Comma 83" xfId="8294" xr:uid="{00000000-0005-0000-0000-0000022F0000}"/>
    <cellStyle name="Comma 84" xfId="8295" xr:uid="{00000000-0005-0000-0000-0000032F0000}"/>
    <cellStyle name="Comma 85" xfId="8296" xr:uid="{00000000-0005-0000-0000-0000042F0000}"/>
    <cellStyle name="Comma 86" xfId="8297" xr:uid="{00000000-0005-0000-0000-0000052F0000}"/>
    <cellStyle name="Comma 87" xfId="8298" xr:uid="{00000000-0005-0000-0000-0000062F0000}"/>
    <cellStyle name="Comma 88" xfId="8299" xr:uid="{00000000-0005-0000-0000-0000072F0000}"/>
    <cellStyle name="Comma 89" xfId="8300" xr:uid="{00000000-0005-0000-0000-0000082F0000}"/>
    <cellStyle name="Comma 9" xfId="8301" xr:uid="{00000000-0005-0000-0000-0000092F0000}"/>
    <cellStyle name="Comma 9 2" xfId="22071" xr:uid="{00000000-0005-0000-0000-00000A2F0000}"/>
    <cellStyle name="Comma 90" xfId="8302" xr:uid="{00000000-0005-0000-0000-00000B2F0000}"/>
    <cellStyle name="Comma 91" xfId="8303" xr:uid="{00000000-0005-0000-0000-00000C2F0000}"/>
    <cellStyle name="Comma 92" xfId="8304" xr:uid="{00000000-0005-0000-0000-00000D2F0000}"/>
    <cellStyle name="Comma 93" xfId="8305" xr:uid="{00000000-0005-0000-0000-00000E2F0000}"/>
    <cellStyle name="Comma 94" xfId="8306" xr:uid="{00000000-0005-0000-0000-00000F2F0000}"/>
    <cellStyle name="Comma 95" xfId="8307" xr:uid="{00000000-0005-0000-0000-0000102F0000}"/>
    <cellStyle name="Comma 96" xfId="8308" xr:uid="{00000000-0005-0000-0000-0000112F0000}"/>
    <cellStyle name="Comma 97" xfId="14000" xr:uid="{00000000-0005-0000-0000-0000122F0000}"/>
    <cellStyle name="Comma 98" xfId="14007" xr:uid="{00000000-0005-0000-0000-0000132F0000}"/>
    <cellStyle name="Comma 99" xfId="14012" xr:uid="{00000000-0005-0000-0000-0000142F0000}"/>
    <cellStyle name="Comma0 - Style2" xfId="22072" xr:uid="{00000000-0005-0000-0000-0000152F0000}"/>
    <cellStyle name="Currency" xfId="14128" builtinId="4"/>
    <cellStyle name="Currency [0] 2" xfId="8309" xr:uid="{00000000-0005-0000-0000-0000172F0000}"/>
    <cellStyle name="Currency 10" xfId="8310" xr:uid="{00000000-0005-0000-0000-0000182F0000}"/>
    <cellStyle name="Currency 10 10" xfId="8311" xr:uid="{00000000-0005-0000-0000-0000192F0000}"/>
    <cellStyle name="Currency 10 10 2" xfId="8312" xr:uid="{00000000-0005-0000-0000-00001A2F0000}"/>
    <cellStyle name="Currency 10 10 2 2" xfId="17239" xr:uid="{00000000-0005-0000-0000-00001B2F0000}"/>
    <cellStyle name="Currency 10 11" xfId="8313" xr:uid="{00000000-0005-0000-0000-00001C2F0000}"/>
    <cellStyle name="Currency 10 11 2" xfId="8314" xr:uid="{00000000-0005-0000-0000-00001D2F0000}"/>
    <cellStyle name="Currency 10 11 2 2" xfId="17240" xr:uid="{00000000-0005-0000-0000-00001E2F0000}"/>
    <cellStyle name="Currency 10 12" xfId="8315" xr:uid="{00000000-0005-0000-0000-00001F2F0000}"/>
    <cellStyle name="Currency 10 12 2" xfId="8316" xr:uid="{00000000-0005-0000-0000-0000202F0000}"/>
    <cellStyle name="Currency 10 12 2 2" xfId="17241" xr:uid="{00000000-0005-0000-0000-0000212F0000}"/>
    <cellStyle name="Currency 10 13" xfId="8317" xr:uid="{00000000-0005-0000-0000-0000222F0000}"/>
    <cellStyle name="Currency 10 13 2" xfId="8318" xr:uid="{00000000-0005-0000-0000-0000232F0000}"/>
    <cellStyle name="Currency 10 13 2 2" xfId="17242" xr:uid="{00000000-0005-0000-0000-0000242F0000}"/>
    <cellStyle name="Currency 10 14" xfId="8319" xr:uid="{00000000-0005-0000-0000-0000252F0000}"/>
    <cellStyle name="Currency 10 14 2" xfId="8320" xr:uid="{00000000-0005-0000-0000-0000262F0000}"/>
    <cellStyle name="Currency 10 14 2 2" xfId="17243" xr:uid="{00000000-0005-0000-0000-0000272F0000}"/>
    <cellStyle name="Currency 10 15" xfId="8321" xr:uid="{00000000-0005-0000-0000-0000282F0000}"/>
    <cellStyle name="Currency 10 15 2" xfId="8322" xr:uid="{00000000-0005-0000-0000-0000292F0000}"/>
    <cellStyle name="Currency 10 15 2 2" xfId="17244" xr:uid="{00000000-0005-0000-0000-00002A2F0000}"/>
    <cellStyle name="Currency 10 16" xfId="8323" xr:uid="{00000000-0005-0000-0000-00002B2F0000}"/>
    <cellStyle name="Currency 10 16 2" xfId="8324" xr:uid="{00000000-0005-0000-0000-00002C2F0000}"/>
    <cellStyle name="Currency 10 16 2 2" xfId="17245" xr:uid="{00000000-0005-0000-0000-00002D2F0000}"/>
    <cellStyle name="Currency 10 17" xfId="8325" xr:uid="{00000000-0005-0000-0000-00002E2F0000}"/>
    <cellStyle name="Currency 10 17 2" xfId="8326" xr:uid="{00000000-0005-0000-0000-00002F2F0000}"/>
    <cellStyle name="Currency 10 17 2 2" xfId="17246" xr:uid="{00000000-0005-0000-0000-0000302F0000}"/>
    <cellStyle name="Currency 10 18" xfId="8327" xr:uid="{00000000-0005-0000-0000-0000312F0000}"/>
    <cellStyle name="Currency 10 18 2" xfId="8328" xr:uid="{00000000-0005-0000-0000-0000322F0000}"/>
    <cellStyle name="Currency 10 18 2 2" xfId="17247" xr:uid="{00000000-0005-0000-0000-0000332F0000}"/>
    <cellStyle name="Currency 10 19" xfId="22073" xr:uid="{00000000-0005-0000-0000-0000342F0000}"/>
    <cellStyle name="Currency 10 2" xfId="8329" xr:uid="{00000000-0005-0000-0000-0000352F0000}"/>
    <cellStyle name="Currency 10 2 2" xfId="8330" xr:uid="{00000000-0005-0000-0000-0000362F0000}"/>
    <cellStyle name="Currency 10 2 2 2" xfId="17248" xr:uid="{00000000-0005-0000-0000-0000372F0000}"/>
    <cellStyle name="Currency 10 2 2 2 2" xfId="23134" xr:uid="{00000000-0005-0000-0000-0000382F0000}"/>
    <cellStyle name="Currency 10 2 2 2 2 2" xfId="24426" xr:uid="{00000000-0005-0000-0000-0000ED010000}"/>
    <cellStyle name="Currency 10 2 2 2 2 2 2" xfId="26684" xr:uid="{00000000-0005-0000-0000-0000ED010000}"/>
    <cellStyle name="Currency 10 2 2 2 2 3" xfId="25548" xr:uid="{00000000-0005-0000-0000-0000ED010000}"/>
    <cellStyle name="Currency 10 2 2 2 3" xfId="22608" xr:uid="{00000000-0005-0000-0000-0000392F0000}"/>
    <cellStyle name="Currency 10 2 2 2 3 2" xfId="26153" xr:uid="{00000000-0005-0000-0000-0000EC010000}"/>
    <cellStyle name="Currency 10 2 2 2 4" xfId="25026" xr:uid="{00000000-0005-0000-0000-0000EC010000}"/>
    <cellStyle name="Currency 10 2 2 3" xfId="22870" xr:uid="{00000000-0005-0000-0000-00003A2F0000}"/>
    <cellStyle name="Currency 10 2 2 3 2" xfId="24170" xr:uid="{00000000-0005-0000-0000-0000EE010000}"/>
    <cellStyle name="Currency 10 2 2 3 2 2" xfId="26419" xr:uid="{00000000-0005-0000-0000-0000EE010000}"/>
    <cellStyle name="Currency 10 2 2 3 3" xfId="25289" xr:uid="{00000000-0005-0000-0000-0000EE010000}"/>
    <cellStyle name="Currency 10 2 2 4" xfId="22348" xr:uid="{00000000-0005-0000-0000-00003B2F0000}"/>
    <cellStyle name="Currency 10 2 2 4 2" xfId="25920" xr:uid="{00000000-0005-0000-0000-0000EB010000}"/>
    <cellStyle name="Currency 10 2 2 5" xfId="24765" xr:uid="{00000000-0005-0000-0000-0000EB010000}"/>
    <cellStyle name="Currency 10 2 3" xfId="22479" xr:uid="{00000000-0005-0000-0000-00003C2F0000}"/>
    <cellStyle name="Currency 10 2 3 2" xfId="23005" xr:uid="{00000000-0005-0000-0000-00003D2F0000}"/>
    <cellStyle name="Currency 10 2 3 2 2" xfId="24303" xr:uid="{00000000-0005-0000-0000-0000F0010000}"/>
    <cellStyle name="Currency 10 2 3 2 2 2" xfId="26555" xr:uid="{00000000-0005-0000-0000-0000F0010000}"/>
    <cellStyle name="Currency 10 2 3 2 3" xfId="25421" xr:uid="{00000000-0005-0000-0000-0000F0010000}"/>
    <cellStyle name="Currency 10 2 3 3" xfId="23815" xr:uid="{00000000-0005-0000-0000-0000EF010000}"/>
    <cellStyle name="Currency 10 2 3 3 2" xfId="26039" xr:uid="{00000000-0005-0000-0000-0000EF010000}"/>
    <cellStyle name="Currency 10 2 3 4" xfId="24899" xr:uid="{00000000-0005-0000-0000-0000EF010000}"/>
    <cellStyle name="Currency 10 2 4" xfId="22741" xr:uid="{00000000-0005-0000-0000-00003E2F0000}"/>
    <cellStyle name="Currency 10 2 4 2" xfId="24054" xr:uid="{00000000-0005-0000-0000-0000F1010000}"/>
    <cellStyle name="Currency 10 2 4 2 2" xfId="26290" xr:uid="{00000000-0005-0000-0000-0000F1010000}"/>
    <cellStyle name="Currency 10 2 4 3" xfId="25161" xr:uid="{00000000-0005-0000-0000-0000F1010000}"/>
    <cellStyle name="Currency 10 2 5" xfId="22222" xr:uid="{00000000-0005-0000-0000-00003F2F0000}"/>
    <cellStyle name="Currency 10 2 5 2" xfId="25806" xr:uid="{00000000-0005-0000-0000-0000EA010000}"/>
    <cellStyle name="Currency 10 2 6" xfId="24639" xr:uid="{00000000-0005-0000-0000-0000EA010000}"/>
    <cellStyle name="Currency 10 3" xfId="8331" xr:uid="{00000000-0005-0000-0000-0000402F0000}"/>
    <cellStyle name="Currency 10 3 2" xfId="8332" xr:uid="{00000000-0005-0000-0000-0000412F0000}"/>
    <cellStyle name="Currency 10 3 2 2" xfId="17249" xr:uid="{00000000-0005-0000-0000-0000422F0000}"/>
    <cellStyle name="Currency 10 3 2 2 2" xfId="23073" xr:uid="{00000000-0005-0000-0000-0000432F0000}"/>
    <cellStyle name="Currency 10 3 2 2 2 2" xfId="26623" xr:uid="{00000000-0005-0000-0000-0000F4010000}"/>
    <cellStyle name="Currency 10 3 2 2 3" xfId="25487" xr:uid="{00000000-0005-0000-0000-0000F4010000}"/>
    <cellStyle name="Currency 10 3 2 3" xfId="22547" xr:uid="{00000000-0005-0000-0000-0000442F0000}"/>
    <cellStyle name="Currency 10 3 2 3 2" xfId="26102" xr:uid="{00000000-0005-0000-0000-0000F3010000}"/>
    <cellStyle name="Currency 10 3 2 4" xfId="24965" xr:uid="{00000000-0005-0000-0000-0000F3010000}"/>
    <cellStyle name="Currency 10 3 3" xfId="22809" xr:uid="{00000000-0005-0000-0000-0000452F0000}"/>
    <cellStyle name="Currency 10 3 3 2" xfId="24115" xr:uid="{00000000-0005-0000-0000-0000F5010000}"/>
    <cellStyle name="Currency 10 3 3 2 2" xfId="26358" xr:uid="{00000000-0005-0000-0000-0000F5010000}"/>
    <cellStyle name="Currency 10 3 3 3" xfId="25229" xr:uid="{00000000-0005-0000-0000-0000F5010000}"/>
    <cellStyle name="Currency 10 3 4" xfId="22289" xr:uid="{00000000-0005-0000-0000-0000462F0000}"/>
    <cellStyle name="Currency 10 3 4 2" xfId="25869" xr:uid="{00000000-0005-0000-0000-0000F2010000}"/>
    <cellStyle name="Currency 10 3 5" xfId="24705" xr:uid="{00000000-0005-0000-0000-0000F2010000}"/>
    <cellStyle name="Currency 10 4" xfId="8333" xr:uid="{00000000-0005-0000-0000-0000472F0000}"/>
    <cellStyle name="Currency 10 4 2" xfId="8334" xr:uid="{00000000-0005-0000-0000-0000482F0000}"/>
    <cellStyle name="Currency 10 4 2 2" xfId="17250" xr:uid="{00000000-0005-0000-0000-0000492F0000}"/>
    <cellStyle name="Currency 10 4 2 2 2" xfId="26488" xr:uid="{00000000-0005-0000-0000-0000F7010000}"/>
    <cellStyle name="Currency 10 4 2 2 3" xfId="24237" xr:uid="{00000000-0005-0000-0000-0000F7010000}"/>
    <cellStyle name="Currency 10 4 2 3" xfId="22939" xr:uid="{00000000-0005-0000-0000-00004A2F0000}"/>
    <cellStyle name="Currency 10 4 3" xfId="22416" xr:uid="{00000000-0005-0000-0000-00004B2F0000}"/>
    <cellStyle name="Currency 10 4 3 2" xfId="25984" xr:uid="{00000000-0005-0000-0000-0000F6010000}"/>
    <cellStyle name="Currency 10 4 4" xfId="24833" xr:uid="{00000000-0005-0000-0000-0000F6010000}"/>
    <cellStyle name="Currency 10 5" xfId="8335" xr:uid="{00000000-0005-0000-0000-00004C2F0000}"/>
    <cellStyle name="Currency 10 5 2" xfId="8336" xr:uid="{00000000-0005-0000-0000-00004D2F0000}"/>
    <cellStyle name="Currency 10 5 2 2" xfId="17251" xr:uid="{00000000-0005-0000-0000-00004E2F0000}"/>
    <cellStyle name="Currency 10 5 2 2 2" xfId="26223" xr:uid="{00000000-0005-0000-0000-0000F8010000}"/>
    <cellStyle name="Currency 10 5 2 3" xfId="23987" xr:uid="{00000000-0005-0000-0000-0000F8010000}"/>
    <cellStyle name="Currency 10 5 3" xfId="22678" xr:uid="{00000000-0005-0000-0000-00004F2F0000}"/>
    <cellStyle name="Currency 10 6" xfId="8337" xr:uid="{00000000-0005-0000-0000-0000502F0000}"/>
    <cellStyle name="Currency 10 6 2" xfId="8338" xr:uid="{00000000-0005-0000-0000-0000512F0000}"/>
    <cellStyle name="Currency 10 6 2 2" xfId="17252" xr:uid="{00000000-0005-0000-0000-0000522F0000}"/>
    <cellStyle name="Currency 10 6 2 3" xfId="25751" xr:uid="{00000000-0005-0000-0000-0000E9010000}"/>
    <cellStyle name="Currency 10 6 3" xfId="23564" xr:uid="{00000000-0005-0000-0000-0000E9010000}"/>
    <cellStyle name="Currency 10 7" xfId="8339" xr:uid="{00000000-0005-0000-0000-0000532F0000}"/>
    <cellStyle name="Currency 10 7 2" xfId="8340" xr:uid="{00000000-0005-0000-0000-0000542F0000}"/>
    <cellStyle name="Currency 10 7 2 2" xfId="17253" xr:uid="{00000000-0005-0000-0000-0000552F0000}"/>
    <cellStyle name="Currency 10 7 3" xfId="24572" xr:uid="{00000000-0005-0000-0000-0000E9010000}"/>
    <cellStyle name="Currency 10 8" xfId="8341" xr:uid="{00000000-0005-0000-0000-0000562F0000}"/>
    <cellStyle name="Currency 10 8 2" xfId="8342" xr:uid="{00000000-0005-0000-0000-0000572F0000}"/>
    <cellStyle name="Currency 10 8 2 2" xfId="17254" xr:uid="{00000000-0005-0000-0000-0000582F0000}"/>
    <cellStyle name="Currency 10 9" xfId="8343" xr:uid="{00000000-0005-0000-0000-0000592F0000}"/>
    <cellStyle name="Currency 10 9 2" xfId="8344" xr:uid="{00000000-0005-0000-0000-00005A2F0000}"/>
    <cellStyle name="Currency 10 9 2 2" xfId="17255" xr:uid="{00000000-0005-0000-0000-00005B2F0000}"/>
    <cellStyle name="Currency 100" xfId="14014" xr:uid="{00000000-0005-0000-0000-00005C2F0000}"/>
    <cellStyle name="Currency 101" xfId="14013" xr:uid="{00000000-0005-0000-0000-00005D2F0000}"/>
    <cellStyle name="Currency 102" xfId="14018" xr:uid="{00000000-0005-0000-0000-00005E2F0000}"/>
    <cellStyle name="Currency 103" xfId="14010" xr:uid="{00000000-0005-0000-0000-00005F2F0000}"/>
    <cellStyle name="Currency 104" xfId="14008" xr:uid="{00000000-0005-0000-0000-0000602F0000}"/>
    <cellStyle name="Currency 105" xfId="14016" xr:uid="{00000000-0005-0000-0000-0000612F0000}"/>
    <cellStyle name="Currency 106" xfId="14015" xr:uid="{00000000-0005-0000-0000-0000622F0000}"/>
    <cellStyle name="Currency 107" xfId="14030" xr:uid="{00000000-0005-0000-0000-0000632F0000}"/>
    <cellStyle name="Currency 108" xfId="14025" xr:uid="{00000000-0005-0000-0000-0000642F0000}"/>
    <cellStyle name="Currency 109" xfId="14028" xr:uid="{00000000-0005-0000-0000-0000652F0000}"/>
    <cellStyle name="Currency 11" xfId="8345" xr:uid="{00000000-0005-0000-0000-0000662F0000}"/>
    <cellStyle name="Currency 11 2" xfId="22384" xr:uid="{00000000-0005-0000-0000-0000672F0000}"/>
    <cellStyle name="Currency 11 2 2" xfId="22644" xr:uid="{00000000-0005-0000-0000-0000682F0000}"/>
    <cellStyle name="Currency 11 2 2 2" xfId="23170" xr:uid="{00000000-0005-0000-0000-0000692F0000}"/>
    <cellStyle name="Currency 11 2 2 2 2" xfId="24462" xr:uid="{00000000-0005-0000-0000-0000FC010000}"/>
    <cellStyle name="Currency 11 2 2 2 2 2" xfId="26720" xr:uid="{00000000-0005-0000-0000-0000FC010000}"/>
    <cellStyle name="Currency 11 2 2 2 3" xfId="25584" xr:uid="{00000000-0005-0000-0000-0000FC010000}"/>
    <cellStyle name="Currency 11 2 2 3" xfId="23954" xr:uid="{00000000-0005-0000-0000-0000FB010000}"/>
    <cellStyle name="Currency 11 2 2 3 2" xfId="26189" xr:uid="{00000000-0005-0000-0000-0000FB010000}"/>
    <cellStyle name="Currency 11 2 2 4" xfId="25062" xr:uid="{00000000-0005-0000-0000-0000FB010000}"/>
    <cellStyle name="Currency 11 2 3" xfId="22906" xr:uid="{00000000-0005-0000-0000-00006A2F0000}"/>
    <cellStyle name="Currency 11 2 3 2" xfId="24206" xr:uid="{00000000-0005-0000-0000-0000FD010000}"/>
    <cellStyle name="Currency 11 2 3 2 2" xfId="26455" xr:uid="{00000000-0005-0000-0000-0000FD010000}"/>
    <cellStyle name="Currency 11 2 3 3" xfId="25325" xr:uid="{00000000-0005-0000-0000-0000FD010000}"/>
    <cellStyle name="Currency 11 2 4" xfId="23739" xr:uid="{00000000-0005-0000-0000-0000FA010000}"/>
    <cellStyle name="Currency 11 2 4 2" xfId="25956" xr:uid="{00000000-0005-0000-0000-0000FA010000}"/>
    <cellStyle name="Currency 11 2 5" xfId="24801" xr:uid="{00000000-0005-0000-0000-0000FA010000}"/>
    <cellStyle name="Currency 11 3" xfId="22515" xr:uid="{00000000-0005-0000-0000-00006B2F0000}"/>
    <cellStyle name="Currency 11 3 2" xfId="23041" xr:uid="{00000000-0005-0000-0000-00006C2F0000}"/>
    <cellStyle name="Currency 11 3 2 2" xfId="24338" xr:uid="{00000000-0005-0000-0000-0000FF010000}"/>
    <cellStyle name="Currency 11 3 2 2 2" xfId="26591" xr:uid="{00000000-0005-0000-0000-0000FF010000}"/>
    <cellStyle name="Currency 11 3 2 3" xfId="25457" xr:uid="{00000000-0005-0000-0000-0000FF010000}"/>
    <cellStyle name="Currency 11 3 3" xfId="23850" xr:uid="{00000000-0005-0000-0000-0000FE010000}"/>
    <cellStyle name="Currency 11 3 3 2" xfId="26075" xr:uid="{00000000-0005-0000-0000-0000FE010000}"/>
    <cellStyle name="Currency 11 3 4" xfId="24935" xr:uid="{00000000-0005-0000-0000-0000FE010000}"/>
    <cellStyle name="Currency 11 4" xfId="22777" xr:uid="{00000000-0005-0000-0000-00006D2F0000}"/>
    <cellStyle name="Currency 11 4 2" xfId="24089" xr:uid="{00000000-0005-0000-0000-000000020000}"/>
    <cellStyle name="Currency 11 4 2 2" xfId="26326" xr:uid="{00000000-0005-0000-0000-000000020000}"/>
    <cellStyle name="Currency 11 4 3" xfId="25197" xr:uid="{00000000-0005-0000-0000-000000020000}"/>
    <cellStyle name="Currency 11 5" xfId="22259" xr:uid="{00000000-0005-0000-0000-00006E2F0000}"/>
    <cellStyle name="Currency 11 5 2" xfId="25842" xr:uid="{00000000-0005-0000-0000-0000F9010000}"/>
    <cellStyle name="Currency 11 6" xfId="24675" xr:uid="{00000000-0005-0000-0000-0000F9010000}"/>
    <cellStyle name="Currency 110" xfId="14027" xr:uid="{00000000-0005-0000-0000-00006F2F0000}"/>
    <cellStyle name="Currency 111" xfId="14033" xr:uid="{00000000-0005-0000-0000-0000702F0000}"/>
    <cellStyle name="Currency 112" xfId="14040" xr:uid="{00000000-0005-0000-0000-0000712F0000}"/>
    <cellStyle name="Currency 113" xfId="14035" xr:uid="{00000000-0005-0000-0000-0000722F0000}"/>
    <cellStyle name="Currency 114" xfId="14038" xr:uid="{00000000-0005-0000-0000-0000732F0000}"/>
    <cellStyle name="Currency 115" xfId="14037" xr:uid="{00000000-0005-0000-0000-0000742F0000}"/>
    <cellStyle name="Currency 116" xfId="14045" xr:uid="{00000000-0005-0000-0000-0000752F0000}"/>
    <cellStyle name="Currency 117" xfId="14047" xr:uid="{00000000-0005-0000-0000-0000762F0000}"/>
    <cellStyle name="Currency 118" xfId="14055" xr:uid="{00000000-0005-0000-0000-0000772F0000}"/>
    <cellStyle name="Currency 119" xfId="14052" xr:uid="{00000000-0005-0000-0000-0000782F0000}"/>
    <cellStyle name="Currency 12" xfId="8346" xr:uid="{00000000-0005-0000-0000-0000792F0000}"/>
    <cellStyle name="Currency 12 2" xfId="23248" xr:uid="{00000000-0005-0000-0000-00007A2F0000}"/>
    <cellStyle name="Currency 12 2 2" xfId="26752" xr:uid="{00000000-0005-0000-0000-000001020000}"/>
    <cellStyle name="Currency 12 3" xfId="25659" xr:uid="{00000000-0005-0000-0000-000001020000}"/>
    <cellStyle name="Currency 120" xfId="14050" xr:uid="{00000000-0005-0000-0000-00007B2F0000}"/>
    <cellStyle name="Currency 121" xfId="14054" xr:uid="{00000000-0005-0000-0000-00007C2F0000}"/>
    <cellStyle name="Currency 122" xfId="14048" xr:uid="{00000000-0005-0000-0000-00007D2F0000}"/>
    <cellStyle name="Currency 123" xfId="14049" xr:uid="{00000000-0005-0000-0000-00007E2F0000}"/>
    <cellStyle name="Currency 124" xfId="14065" xr:uid="{00000000-0005-0000-0000-00007F2F0000}"/>
    <cellStyle name="Currency 125" xfId="14076" xr:uid="{00000000-0005-0000-0000-0000802F0000}"/>
    <cellStyle name="Currency 126" xfId="14053" xr:uid="{00000000-0005-0000-0000-0000812F0000}"/>
    <cellStyle name="Currency 127" xfId="14077" xr:uid="{00000000-0005-0000-0000-0000822F0000}"/>
    <cellStyle name="Currency 128" xfId="14082" xr:uid="{00000000-0005-0000-0000-0000832F0000}"/>
    <cellStyle name="Currency 129" xfId="14060" xr:uid="{00000000-0005-0000-0000-0000842F0000}"/>
    <cellStyle name="Currency 13" xfId="8347" xr:uid="{00000000-0005-0000-0000-0000852F0000}"/>
    <cellStyle name="Currency 13 2" xfId="23260" xr:uid="{00000000-0005-0000-0000-0000862F0000}"/>
    <cellStyle name="Currency 13 2 2" xfId="26764" xr:uid="{00000000-0005-0000-0000-000002020000}"/>
    <cellStyle name="Currency 13 3" xfId="25671" xr:uid="{00000000-0005-0000-0000-000002020000}"/>
    <cellStyle name="Currency 130" xfId="14079" xr:uid="{00000000-0005-0000-0000-0000872F0000}"/>
    <cellStyle name="Currency 131" xfId="14072" xr:uid="{00000000-0005-0000-0000-0000882F0000}"/>
    <cellStyle name="Currency 132" xfId="14042" xr:uid="{00000000-0005-0000-0000-0000892F0000}"/>
    <cellStyle name="Currency 133" xfId="14063" xr:uid="{00000000-0005-0000-0000-00008A2F0000}"/>
    <cellStyle name="Currency 134" xfId="14066" xr:uid="{00000000-0005-0000-0000-00008B2F0000}"/>
    <cellStyle name="Currency 135" xfId="14059" xr:uid="{00000000-0005-0000-0000-00008C2F0000}"/>
    <cellStyle name="Currency 136" xfId="14046" xr:uid="{00000000-0005-0000-0000-00008D2F0000}"/>
    <cellStyle name="Currency 137" xfId="14097" xr:uid="{00000000-0005-0000-0000-00008E2F0000}"/>
    <cellStyle name="Currency 138" xfId="14074" xr:uid="{00000000-0005-0000-0000-00008F2F0000}"/>
    <cellStyle name="Currency 139" xfId="14058" xr:uid="{00000000-0005-0000-0000-0000902F0000}"/>
    <cellStyle name="Currency 14" xfId="8348" xr:uid="{00000000-0005-0000-0000-0000912F0000}"/>
    <cellStyle name="Currency 14 2" xfId="23263" xr:uid="{00000000-0005-0000-0000-0000922F0000}"/>
    <cellStyle name="Currency 14 2 2" xfId="26767" xr:uid="{00000000-0005-0000-0000-000003020000}"/>
    <cellStyle name="Currency 14 3" xfId="25674" xr:uid="{00000000-0005-0000-0000-000003020000}"/>
    <cellStyle name="Currency 140" xfId="14070" xr:uid="{00000000-0005-0000-0000-0000932F0000}"/>
    <cellStyle name="Currency 141" xfId="14090" xr:uid="{00000000-0005-0000-0000-0000942F0000}"/>
    <cellStyle name="Currency 142" xfId="14095" xr:uid="{00000000-0005-0000-0000-0000952F0000}"/>
    <cellStyle name="Currency 143" xfId="14094" xr:uid="{00000000-0005-0000-0000-0000962F0000}"/>
    <cellStyle name="Currency 144" xfId="14091" xr:uid="{00000000-0005-0000-0000-0000972F0000}"/>
    <cellStyle name="Currency 145" xfId="14081" xr:uid="{00000000-0005-0000-0000-0000982F0000}"/>
    <cellStyle name="Currency 146" xfId="14068" xr:uid="{00000000-0005-0000-0000-0000992F0000}"/>
    <cellStyle name="Currency 147" xfId="14061" xr:uid="{00000000-0005-0000-0000-00009A2F0000}"/>
    <cellStyle name="Currency 148" xfId="14110" xr:uid="{00000000-0005-0000-0000-00009B2F0000}"/>
    <cellStyle name="Currency 149" xfId="14104" xr:uid="{00000000-0005-0000-0000-00009C2F0000}"/>
    <cellStyle name="Currency 15" xfId="8349" xr:uid="{00000000-0005-0000-0000-00009D2F0000}"/>
    <cellStyle name="Currency 15 2" xfId="8350" xr:uid="{00000000-0005-0000-0000-00009E2F0000}"/>
    <cellStyle name="Currency 15 2 2" xfId="17256" xr:uid="{00000000-0005-0000-0000-00009F2F0000}"/>
    <cellStyle name="Currency 15 2 2 2" xfId="26771" xr:uid="{00000000-0005-0000-0000-000004020000}"/>
    <cellStyle name="Currency 15 2 3" xfId="24502" xr:uid="{00000000-0005-0000-0000-000004020000}"/>
    <cellStyle name="Currency 15 3" xfId="8351" xr:uid="{00000000-0005-0000-0000-0000A02F0000}"/>
    <cellStyle name="Currency 15 3 2" xfId="17257" xr:uid="{00000000-0005-0000-0000-0000A12F0000}"/>
    <cellStyle name="Currency 15 3 3" xfId="25678" xr:uid="{00000000-0005-0000-0000-000004020000}"/>
    <cellStyle name="Currency 15 4" xfId="23267" xr:uid="{00000000-0005-0000-0000-0000A22F0000}"/>
    <cellStyle name="Currency 150" xfId="14113" xr:uid="{00000000-0005-0000-0000-0000A32F0000}"/>
    <cellStyle name="Currency 151" xfId="14071" xr:uid="{00000000-0005-0000-0000-0000A42F0000}"/>
    <cellStyle name="Currency 152" xfId="14088" xr:uid="{00000000-0005-0000-0000-0000A52F0000}"/>
    <cellStyle name="Currency 153" xfId="14086" xr:uid="{00000000-0005-0000-0000-0000A62F0000}"/>
    <cellStyle name="Currency 154" xfId="14102" xr:uid="{00000000-0005-0000-0000-0000A72F0000}"/>
    <cellStyle name="Currency 155" xfId="14122" xr:uid="{00000000-0005-0000-0000-0000A82F0000}"/>
    <cellStyle name="Currency 156" xfId="14123" xr:uid="{00000000-0005-0000-0000-0000A92F0000}"/>
    <cellStyle name="Currency 157" xfId="14126" xr:uid="{00000000-0005-0000-0000-0000AA2F0000}"/>
    <cellStyle name="Currency 158" xfId="21671" xr:uid="{00000000-0005-0000-0000-0000AB2F0000}"/>
    <cellStyle name="Currency 159" xfId="14130" xr:uid="{00000000-0005-0000-0000-0000AC2F0000}"/>
    <cellStyle name="Currency 16" xfId="8352" xr:uid="{00000000-0005-0000-0000-0000AD2F0000}"/>
    <cellStyle name="Currency 16 2" xfId="23271" xr:uid="{00000000-0005-0000-0000-0000AE2F0000}"/>
    <cellStyle name="Currency 16 2 2" xfId="26775" xr:uid="{00000000-0005-0000-0000-000005020000}"/>
    <cellStyle name="Currency 16 3" xfId="25682" xr:uid="{00000000-0005-0000-0000-000005020000}"/>
    <cellStyle name="Currency 160" xfId="21728" xr:uid="{00000000-0005-0000-0000-0000AF2F0000}"/>
    <cellStyle name="Currency 160 2" xfId="21810" xr:uid="{00000000-0005-0000-0000-0000B02F0000}"/>
    <cellStyle name="Currency 160 2 2" xfId="21856" xr:uid="{00000000-0005-0000-0000-0000B12F0000}"/>
    <cellStyle name="Currency 160 3" xfId="21777" xr:uid="{00000000-0005-0000-0000-0000B22F0000}"/>
    <cellStyle name="Currency 161" xfId="21729" xr:uid="{00000000-0005-0000-0000-0000B32F0000}"/>
    <cellStyle name="Currency 161 2" xfId="21827" xr:uid="{00000000-0005-0000-0000-0000B42F0000}"/>
    <cellStyle name="Currency 161 2 2" xfId="21857" xr:uid="{00000000-0005-0000-0000-0000B52F0000}"/>
    <cellStyle name="Currency 161 3" xfId="21793" xr:uid="{00000000-0005-0000-0000-0000B62F0000}"/>
    <cellStyle name="Currency 162" xfId="21796" xr:uid="{00000000-0005-0000-0000-0000B72F0000}"/>
    <cellStyle name="Currency 162 2" xfId="21858" xr:uid="{00000000-0005-0000-0000-0000B82F0000}"/>
    <cellStyle name="Currency 162 3" xfId="21859" xr:uid="{00000000-0005-0000-0000-0000B92F0000}"/>
    <cellStyle name="Currency 163" xfId="21799" xr:uid="{00000000-0005-0000-0000-0000BA2F0000}"/>
    <cellStyle name="Currency 163 2" xfId="21860" xr:uid="{00000000-0005-0000-0000-0000BB2F0000}"/>
    <cellStyle name="Currency 163 3" xfId="21861" xr:uid="{00000000-0005-0000-0000-0000BC2F0000}"/>
    <cellStyle name="Currency 164" xfId="21797" xr:uid="{00000000-0005-0000-0000-0000BD2F0000}"/>
    <cellStyle name="Currency 164 2" xfId="21862" xr:uid="{00000000-0005-0000-0000-0000BE2F0000}"/>
    <cellStyle name="Currency 164 3" xfId="21863" xr:uid="{00000000-0005-0000-0000-0000BF2F0000}"/>
    <cellStyle name="Currency 165" xfId="21803" xr:uid="{00000000-0005-0000-0000-0000C02F0000}"/>
    <cellStyle name="Currency 165 2" xfId="21864" xr:uid="{00000000-0005-0000-0000-0000C12F0000}"/>
    <cellStyle name="Currency 165 3" xfId="21865" xr:uid="{00000000-0005-0000-0000-0000C22F0000}"/>
    <cellStyle name="Currency 166" xfId="21866" xr:uid="{00000000-0005-0000-0000-0000C32F0000}"/>
    <cellStyle name="Currency 166 2" xfId="21867" xr:uid="{00000000-0005-0000-0000-0000C42F0000}"/>
    <cellStyle name="Currency 167" xfId="21868" xr:uid="{00000000-0005-0000-0000-0000C52F0000}"/>
    <cellStyle name="Currency 167 2" xfId="21869" xr:uid="{00000000-0005-0000-0000-0000C62F0000}"/>
    <cellStyle name="Currency 168" xfId="21870" xr:uid="{00000000-0005-0000-0000-0000C72F0000}"/>
    <cellStyle name="Currency 168 2" xfId="21871" xr:uid="{00000000-0005-0000-0000-0000C82F0000}"/>
    <cellStyle name="Currency 169" xfId="21872" xr:uid="{00000000-0005-0000-0000-0000C92F0000}"/>
    <cellStyle name="Currency 169 2" xfId="21873" xr:uid="{00000000-0005-0000-0000-0000CA2F0000}"/>
    <cellStyle name="Currency 17" xfId="8353" xr:uid="{00000000-0005-0000-0000-0000CB2F0000}"/>
    <cellStyle name="Currency 17 2" xfId="23281" xr:uid="{00000000-0005-0000-0000-0000CC2F0000}"/>
    <cellStyle name="Currency 17 2 2" xfId="26784" xr:uid="{00000000-0005-0000-0000-000006020000}"/>
    <cellStyle name="Currency 17 3" xfId="25689" xr:uid="{00000000-0005-0000-0000-000006020000}"/>
    <cellStyle name="Currency 170" xfId="21874" xr:uid="{00000000-0005-0000-0000-0000CD2F0000}"/>
    <cellStyle name="Currency 171" xfId="21875" xr:uid="{00000000-0005-0000-0000-0000CE2F0000}"/>
    <cellStyle name="Currency 172" xfId="22256" xr:uid="{00000000-0005-0000-0000-0000CF2F0000}"/>
    <cellStyle name="Currency 173" xfId="23343" xr:uid="{00000000-0005-0000-0000-0000D02F0000}"/>
    <cellStyle name="Currency 174" xfId="23547" xr:uid="{00000000-0005-0000-0000-00009F5F0000}"/>
    <cellStyle name="Currency 175" xfId="27161" xr:uid="{15BCECBB-DAF7-405F-BB5C-F403969F69CE}"/>
    <cellStyle name="Currency 176" xfId="27167" xr:uid="{39E3594F-F8F9-4D5E-93DD-93F97E5A31DF}"/>
    <cellStyle name="Currency 177" xfId="27158" xr:uid="{BAFD4EF6-D9FF-47DE-BF46-E5C85F4968D4}"/>
    <cellStyle name="Currency 178" xfId="27186" xr:uid="{2B160FA5-FF35-492E-A0E2-051EAC482C63}"/>
    <cellStyle name="Currency 179" xfId="27165" xr:uid="{53C15D5A-D9B3-4447-99D7-4257CDCC70C6}"/>
    <cellStyle name="Currency 18" xfId="8354" xr:uid="{00000000-0005-0000-0000-0000D12F0000}"/>
    <cellStyle name="Currency 18 2" xfId="13" xr:uid="{00000000-0005-0000-0000-0000D22F0000}"/>
    <cellStyle name="Currency 18 2 2" xfId="14135" xr:uid="{00000000-0005-0000-0000-0000D32F0000}"/>
    <cellStyle name="Currency 18 2 2 2" xfId="26792" xr:uid="{00000000-0005-0000-0000-000007020000}"/>
    <cellStyle name="Currency 18 2 3" xfId="24516" xr:uid="{00000000-0005-0000-0000-000007020000}"/>
    <cellStyle name="Currency 18 3" xfId="17258" xr:uid="{00000000-0005-0000-0000-0000D42F0000}"/>
    <cellStyle name="Currency 18 3 2" xfId="25697" xr:uid="{00000000-0005-0000-0000-000007020000}"/>
    <cellStyle name="Currency 18 4" xfId="23289" xr:uid="{00000000-0005-0000-0000-0000D52F0000}"/>
    <cellStyle name="Currency 180" xfId="27164" xr:uid="{376BAB22-5CBF-4090-BA5E-100C53A160EB}"/>
    <cellStyle name="Currency 181" xfId="27168" xr:uid="{80EAD669-F5D4-4471-892A-B70959DD2397}"/>
    <cellStyle name="Currency 182" xfId="27162" xr:uid="{68F24170-D6AA-4321-A43C-375BA0D2D4F5}"/>
    <cellStyle name="Currency 183" xfId="27169" xr:uid="{FAA707A3-34B4-4FD1-9FA0-5CF640AC36B8}"/>
    <cellStyle name="Currency 184" xfId="27171" xr:uid="{91B47102-99D9-4D00-BD38-C742DAFA608A}"/>
    <cellStyle name="Currency 185" xfId="27189" xr:uid="{B03108F7-1B40-428D-8B31-F1CA536032DC}"/>
    <cellStyle name="Currency 186" xfId="27170" xr:uid="{14FC7FC0-F750-4613-A32C-3BAB51A33179}"/>
    <cellStyle name="Currency 187" xfId="27172" xr:uid="{7F762F5F-D90A-47A4-A4B6-07DF30B381A6}"/>
    <cellStyle name="Currency 188" xfId="27160" xr:uid="{6F5D3832-451E-471F-94AE-9696DF6B28A6}"/>
    <cellStyle name="Currency 189" xfId="27183" xr:uid="{B728E571-82A7-4BA5-9D0C-51F9D33573E2}"/>
    <cellStyle name="Currency 19" xfId="8355" xr:uid="{00000000-0005-0000-0000-0000D62F0000}"/>
    <cellStyle name="Currency 19 2" xfId="23305" xr:uid="{00000000-0005-0000-0000-0000D72F0000}"/>
    <cellStyle name="Currency 19 2 2" xfId="26805" xr:uid="{00000000-0005-0000-0000-000008020000}"/>
    <cellStyle name="Currency 19 3" xfId="25709" xr:uid="{00000000-0005-0000-0000-000008020000}"/>
    <cellStyle name="Currency 190" xfId="27195" xr:uid="{D71E3770-E2EC-4E91-8D14-3D0452C42B8B}"/>
    <cellStyle name="Currency 191" xfId="27181" xr:uid="{DD7477DF-4286-49FE-8BD9-4A07E4A903D2}"/>
    <cellStyle name="Currency 192" xfId="27194" xr:uid="{38F4120B-4E3B-4573-A6CC-FC8FF521B74A}"/>
    <cellStyle name="Currency 193" xfId="27187" xr:uid="{6706E11C-61C9-4020-A46C-199BC2A51EDE}"/>
    <cellStyle name="Currency 194" xfId="27207" xr:uid="{612C3298-F79B-4112-9DAA-045435BAE0DA}"/>
    <cellStyle name="Currency 195" xfId="27209" xr:uid="{2ABB9BC5-C8CD-4BC6-9393-EB17941DCE07}"/>
    <cellStyle name="Currency 196" xfId="27217" xr:uid="{84B9BB54-08BB-49F2-93B1-BFD7431ED747}"/>
    <cellStyle name="Currency 197" xfId="27212" xr:uid="{DF5DBC57-7D89-4E6F-BAD1-BDF4073E034A}"/>
    <cellStyle name="Currency 198" xfId="27211" xr:uid="{DA989D50-5896-4CFD-A54A-136613A40B4F}"/>
    <cellStyle name="Currency 199" xfId="27215" xr:uid="{EB824EE3-95B5-4321-896B-CB3515A4D4C6}"/>
    <cellStyle name="Currency 2" xfId="5" xr:uid="{00000000-0005-0000-0000-0000D82F0000}"/>
    <cellStyle name="Currency 2 10" xfId="24545" xr:uid="{00000000-0005-0000-0000-000009020000}"/>
    <cellStyle name="Currency 2 2" xfId="14" xr:uid="{00000000-0005-0000-0000-0000D92F0000}"/>
    <cellStyle name="Currency 2 2 2" xfId="14136" xr:uid="{00000000-0005-0000-0000-0000DA2F0000}"/>
    <cellStyle name="Currency 2 2 3" xfId="21876" xr:uid="{00000000-0005-0000-0000-0000DB2F0000}"/>
    <cellStyle name="Currency 2 3" xfId="14133" xr:uid="{00000000-0005-0000-0000-0000DC2F0000}"/>
    <cellStyle name="Currency 2 3 2" xfId="22332" xr:uid="{00000000-0005-0000-0000-0000DD2F0000}"/>
    <cellStyle name="Currency 2 3 2 2" xfId="22592" xr:uid="{00000000-0005-0000-0000-0000DE2F0000}"/>
    <cellStyle name="Currency 2 3 2 2 2" xfId="23118" xr:uid="{00000000-0005-0000-0000-0000DF2F0000}"/>
    <cellStyle name="Currency 2 3 2 2 2 2" xfId="24410" xr:uid="{00000000-0005-0000-0000-00000E020000}"/>
    <cellStyle name="Currency 2 3 2 2 2 2 2" xfId="26668" xr:uid="{00000000-0005-0000-0000-00000E020000}"/>
    <cellStyle name="Currency 2 3 2 2 2 3" xfId="25532" xr:uid="{00000000-0005-0000-0000-00000E020000}"/>
    <cellStyle name="Currency 2 3 2 2 3" xfId="23906" xr:uid="{00000000-0005-0000-0000-00000D020000}"/>
    <cellStyle name="Currency 2 3 2 2 3 2" xfId="26137" xr:uid="{00000000-0005-0000-0000-00000D020000}"/>
    <cellStyle name="Currency 2 3 2 2 4" xfId="25010" xr:uid="{00000000-0005-0000-0000-00000D020000}"/>
    <cellStyle name="Currency 2 3 2 3" xfId="22854" xr:uid="{00000000-0005-0000-0000-0000E02F0000}"/>
    <cellStyle name="Currency 2 3 2 3 2" xfId="24154" xr:uid="{00000000-0005-0000-0000-00000F020000}"/>
    <cellStyle name="Currency 2 3 2 3 2 2" xfId="26403" xr:uid="{00000000-0005-0000-0000-00000F020000}"/>
    <cellStyle name="Currency 2 3 2 3 3" xfId="25273" xr:uid="{00000000-0005-0000-0000-00000F020000}"/>
    <cellStyle name="Currency 2 3 2 4" xfId="23693" xr:uid="{00000000-0005-0000-0000-00000C020000}"/>
    <cellStyle name="Currency 2 3 2 4 2" xfId="25904" xr:uid="{00000000-0005-0000-0000-00000C020000}"/>
    <cellStyle name="Currency 2 3 2 5" xfId="24749" xr:uid="{00000000-0005-0000-0000-00000C020000}"/>
    <cellStyle name="Currency 2 3 3" xfId="22463" xr:uid="{00000000-0005-0000-0000-0000E12F0000}"/>
    <cellStyle name="Currency 2 3 3 2" xfId="22989" xr:uid="{00000000-0005-0000-0000-0000E22F0000}"/>
    <cellStyle name="Currency 2 3 3 2 2" xfId="24287" xr:uid="{00000000-0005-0000-0000-000011020000}"/>
    <cellStyle name="Currency 2 3 3 2 2 2" xfId="26539" xr:uid="{00000000-0005-0000-0000-000011020000}"/>
    <cellStyle name="Currency 2 3 3 2 3" xfId="25405" xr:uid="{00000000-0005-0000-0000-000011020000}"/>
    <cellStyle name="Currency 2 3 3 3" xfId="23800" xr:uid="{00000000-0005-0000-0000-000010020000}"/>
    <cellStyle name="Currency 2 3 3 3 2" xfId="26023" xr:uid="{00000000-0005-0000-0000-000010020000}"/>
    <cellStyle name="Currency 2 3 3 4" xfId="24883" xr:uid="{00000000-0005-0000-0000-000010020000}"/>
    <cellStyle name="Currency 2 3 4" xfId="22725" xr:uid="{00000000-0005-0000-0000-0000E32F0000}"/>
    <cellStyle name="Currency 2 3 4 2" xfId="24038" xr:uid="{00000000-0005-0000-0000-000012020000}"/>
    <cellStyle name="Currency 2 3 4 2 2" xfId="26274" xr:uid="{00000000-0005-0000-0000-000012020000}"/>
    <cellStyle name="Currency 2 3 4 3" xfId="25145" xr:uid="{00000000-0005-0000-0000-000012020000}"/>
    <cellStyle name="Currency 2 3 5" xfId="22206" xr:uid="{00000000-0005-0000-0000-0000E42F0000}"/>
    <cellStyle name="Currency 2 3 5 2" xfId="25790" xr:uid="{00000000-0005-0000-0000-00000B020000}"/>
    <cellStyle name="Currency 2 3 6" xfId="24623" xr:uid="{00000000-0005-0000-0000-00000B020000}"/>
    <cellStyle name="Currency 2 4" xfId="21730" xr:uid="{00000000-0005-0000-0000-0000E52F0000}"/>
    <cellStyle name="Currency 2 4 2" xfId="21811" xr:uid="{00000000-0005-0000-0000-0000E62F0000}"/>
    <cellStyle name="Currency 2 4 2 2" xfId="21877" xr:uid="{00000000-0005-0000-0000-0000E72F0000}"/>
    <cellStyle name="Currency 2 4 2 2 2" xfId="23050" xr:uid="{00000000-0005-0000-0000-0000E82F0000}"/>
    <cellStyle name="Currency 2 4 2 2 2 2" xfId="26600" xr:uid="{00000000-0005-0000-0000-000015020000}"/>
    <cellStyle name="Currency 2 4 2 2 3" xfId="25466" xr:uid="{00000000-0005-0000-0000-000015020000}"/>
    <cellStyle name="Currency 2 4 2 3" xfId="22524" xr:uid="{00000000-0005-0000-0000-0000E92F0000}"/>
    <cellStyle name="Currency 2 4 2 3 2" xfId="26084" xr:uid="{00000000-0005-0000-0000-000014020000}"/>
    <cellStyle name="Currency 2 4 2 4" xfId="24944" xr:uid="{00000000-0005-0000-0000-000014020000}"/>
    <cellStyle name="Currency 2 4 3" xfId="21778" xr:uid="{00000000-0005-0000-0000-0000EA2F0000}"/>
    <cellStyle name="Currency 2 4 3 2" xfId="22786" xr:uid="{00000000-0005-0000-0000-0000EB2F0000}"/>
    <cellStyle name="Currency 2 4 3 2 2" xfId="26335" xr:uid="{00000000-0005-0000-0000-000016020000}"/>
    <cellStyle name="Currency 2 4 3 3" xfId="25206" xr:uid="{00000000-0005-0000-0000-000016020000}"/>
    <cellStyle name="Currency 2 4 4" xfId="22268" xr:uid="{00000000-0005-0000-0000-0000EC2F0000}"/>
    <cellStyle name="Currency 2 4 4 2" xfId="25851" xr:uid="{00000000-0005-0000-0000-000013020000}"/>
    <cellStyle name="Currency 2 4 5" xfId="24684" xr:uid="{00000000-0005-0000-0000-000013020000}"/>
    <cellStyle name="Currency 2 5" xfId="22396" xr:uid="{00000000-0005-0000-0000-0000ED2F0000}"/>
    <cellStyle name="Currency 2 5 2" xfId="22919" xr:uid="{00000000-0005-0000-0000-0000EE2F0000}"/>
    <cellStyle name="Currency 2 5 2 2" xfId="24218" xr:uid="{00000000-0005-0000-0000-000018020000}"/>
    <cellStyle name="Currency 2 5 2 2 2" xfId="26468" xr:uid="{00000000-0005-0000-0000-000018020000}"/>
    <cellStyle name="Currency 2 5 2 3" xfId="25338" xr:uid="{00000000-0005-0000-0000-000018020000}"/>
    <cellStyle name="Currency 2 5 3" xfId="23749" xr:uid="{00000000-0005-0000-0000-000017020000}"/>
    <cellStyle name="Currency 2 5 3 2" xfId="25968" xr:uid="{00000000-0005-0000-0000-000017020000}"/>
    <cellStyle name="Currency 2 5 4" xfId="24813" xr:uid="{00000000-0005-0000-0000-000017020000}"/>
    <cellStyle name="Currency 2 6" xfId="22658" xr:uid="{00000000-0005-0000-0000-0000EF2F0000}"/>
    <cellStyle name="Currency 2 6 2" xfId="23967" xr:uid="{00000000-0005-0000-0000-000019020000}"/>
    <cellStyle name="Currency 2 6 2 2" xfId="26203" xr:uid="{00000000-0005-0000-0000-000019020000}"/>
    <cellStyle name="Currency 2 6 3" xfId="25076" xr:uid="{00000000-0005-0000-0000-000019020000}"/>
    <cellStyle name="Currency 2 7" xfId="23245" xr:uid="{00000000-0005-0000-0000-0000F02F0000}"/>
    <cellStyle name="Currency 2 7 2" xfId="24489" xr:uid="{00000000-0005-0000-0000-00001A020000}"/>
    <cellStyle name="Currency 2 7 2 2" xfId="26749" xr:uid="{00000000-0005-0000-0000-00001A020000}"/>
    <cellStyle name="Currency 2 7 3" xfId="25656" xr:uid="{00000000-0005-0000-0000-00001A020000}"/>
    <cellStyle name="Currency 2 8" xfId="23292" xr:uid="{00000000-0005-0000-0000-0000F12F0000}"/>
    <cellStyle name="Currency 2 9" xfId="21922" xr:uid="{00000000-0005-0000-0000-0000F22F0000}"/>
    <cellStyle name="Currency 2 9 2" xfId="25735" xr:uid="{00000000-0005-0000-0000-000009020000}"/>
    <cellStyle name="Currency 20" xfId="8356" xr:uid="{00000000-0005-0000-0000-0000F32F0000}"/>
    <cellStyle name="Currency 20 2" xfId="23308" xr:uid="{00000000-0005-0000-0000-0000F42F0000}"/>
    <cellStyle name="Currency 20 2 2" xfId="26808" xr:uid="{00000000-0005-0000-0000-00001C020000}"/>
    <cellStyle name="Currency 20 3" xfId="25712" xr:uid="{00000000-0005-0000-0000-00001C020000}"/>
    <cellStyle name="Currency 200" xfId="27206" xr:uid="{A438F66D-0A2B-469A-BF3E-305BD94A4E57}"/>
    <cellStyle name="Currency 201" xfId="27210" xr:uid="{B492FC1B-DD92-4F58-8583-90CDFA65C395}"/>
    <cellStyle name="Currency 202" xfId="27204" xr:uid="{BC173FA0-DEDE-450E-BEA7-ED5F38B18142}"/>
    <cellStyle name="Currency 203" xfId="27216" xr:uid="{84371D95-799D-4DAC-AB4C-2081AB878A3F}"/>
    <cellStyle name="Currency 204" xfId="27214" xr:uid="{BDBD4343-9233-4781-8F8A-4F532395F0CF}"/>
    <cellStyle name="Currency 205" xfId="27208" xr:uid="{93D611C7-95B9-4B3D-87A1-4E678CB95B6D}"/>
    <cellStyle name="Currency 206" xfId="27213" xr:uid="{3D5502F3-61DA-4B7D-A221-A0A205AC8F55}"/>
    <cellStyle name="Currency 207" xfId="27218" xr:uid="{DCDA9194-2059-40EC-8F99-B3D15DDD31BA}"/>
    <cellStyle name="Currency 208" xfId="27228" xr:uid="{EF27861C-A6C1-417E-89DE-205AE5755D5F}"/>
    <cellStyle name="Currency 209" xfId="27236" xr:uid="{BAC3ABFF-5358-4787-B34F-068C742650A4}"/>
    <cellStyle name="Currency 21" xfId="8357" xr:uid="{00000000-0005-0000-0000-0000F52F0000}"/>
    <cellStyle name="Currency 21 2" xfId="23316" xr:uid="{00000000-0005-0000-0000-0000F62F0000}"/>
    <cellStyle name="Currency 21 2 2" xfId="26816" xr:uid="{00000000-0005-0000-0000-00001D020000}"/>
    <cellStyle name="Currency 21 3" xfId="25720" xr:uid="{00000000-0005-0000-0000-00001D020000}"/>
    <cellStyle name="Currency 210" xfId="27238" xr:uid="{D639D4D9-4135-4102-B0E6-41DF12294E40}"/>
    <cellStyle name="Currency 211" xfId="27234" xr:uid="{D02E3DED-4626-44FC-A2A1-30B566182434}"/>
    <cellStyle name="Currency 212" xfId="27241" xr:uid="{3B5B659A-FD54-4FC6-8E81-B860F45DB2B2}"/>
    <cellStyle name="Currency 213" xfId="27245" xr:uid="{1E969A6E-03E1-4B8E-A7F5-2DC4FBC47083}"/>
    <cellStyle name="Currency 214" xfId="27247" xr:uid="{3163EEB5-D5F5-41F6-B8DA-F7CF2B5FC3EA}"/>
    <cellStyle name="Currency 215" xfId="27255" xr:uid="{5D05FFC2-1709-41DE-B477-C0987D727434}"/>
    <cellStyle name="Currency 216" xfId="27250" xr:uid="{F9C9C0BD-DE99-4093-9E04-FB62B3126346}"/>
    <cellStyle name="Currency 217" xfId="27249" xr:uid="{3984B27B-1173-4355-9675-BED095032AD9}"/>
    <cellStyle name="Currency 218" xfId="27253" xr:uid="{49786CD8-34E6-45AF-ADD4-FE703C33E03E}"/>
    <cellStyle name="Currency 219" xfId="27244" xr:uid="{D05C09B8-9BFD-445B-B151-D45AB2A9A845}"/>
    <cellStyle name="Currency 22" xfId="8358" xr:uid="{00000000-0005-0000-0000-0000F72F0000}"/>
    <cellStyle name="Currency 22 2" xfId="23320" xr:uid="{00000000-0005-0000-0000-0000F82F0000}"/>
    <cellStyle name="Currency 22 2 2" xfId="26820" xr:uid="{00000000-0005-0000-0000-00001E020000}"/>
    <cellStyle name="Currency 22 3" xfId="25724" xr:uid="{00000000-0005-0000-0000-00001E020000}"/>
    <cellStyle name="Currency 220" xfId="27248" xr:uid="{E3052FB6-7079-4BF5-A7FC-94367667D37B}"/>
    <cellStyle name="Currency 221" xfId="27242" xr:uid="{E7199365-AFC0-4973-BFD8-ABFCCE2CABCE}"/>
    <cellStyle name="Currency 222" xfId="27254" xr:uid="{031AABB5-9409-473D-B75A-F240C7E9A8AC}"/>
    <cellStyle name="Currency 223" xfId="27252" xr:uid="{1318209D-7EAA-450E-B87E-81439FFF2AA0}"/>
    <cellStyle name="Currency 224" xfId="27246" xr:uid="{99C4A94F-B8D0-4A7A-B5CC-B28C58967C44}"/>
    <cellStyle name="Currency 225" xfId="27251" xr:uid="{E54657A8-1A06-4B0E-8ED6-063996E41740}"/>
    <cellStyle name="Currency 226" xfId="27256" xr:uid="{67AAE0E5-529F-4513-8C00-45C0F8252FF0}"/>
    <cellStyle name="Currency 227" xfId="27273" xr:uid="{7AC30119-C6A0-4EEC-9AA2-F6DAFD09D12A}"/>
    <cellStyle name="Currency 228" xfId="27261" xr:uid="{970A8163-2090-4475-BD0F-031D20B5E28F}"/>
    <cellStyle name="Currency 229" xfId="27272" xr:uid="{954C212D-4A22-40ED-B262-BE22C5996C37}"/>
    <cellStyle name="Currency 23" xfId="8359" xr:uid="{00000000-0005-0000-0000-0000F92F0000}"/>
    <cellStyle name="Currency 23 2" xfId="23556" xr:uid="{F9567E44-5B2F-4B20-8E4C-770C8F263F74}"/>
    <cellStyle name="Currency 230" xfId="27264" xr:uid="{E0D3D787-3C9C-4A75-AD1E-3E1C088F41FD}"/>
    <cellStyle name="Currency 231" xfId="27260" xr:uid="{838EEEC8-2FB4-48BF-9DDF-A681E90F1DE5}"/>
    <cellStyle name="Currency 232" xfId="27258" xr:uid="{F42C9D7C-ED3C-4E1C-8615-8BEDDD05DBEF}"/>
    <cellStyle name="Currency 233" xfId="27267" xr:uid="{D64B633D-944E-42AC-9F5C-4E860F6C28C7}"/>
    <cellStyle name="Currency 234" xfId="27269" xr:uid="{AC80DDA4-73A1-4031-B8A1-4FA91857CCB6}"/>
    <cellStyle name="Currency 235" xfId="27289" xr:uid="{01D6083A-6252-4DE9-B774-11BE18C05DAC}"/>
    <cellStyle name="Currency 236" xfId="27291" xr:uid="{F72E4C4C-6692-4D33-8379-9989ABB6B571}"/>
    <cellStyle name="Currency 237" xfId="27299" xr:uid="{6DBE895B-FD08-434C-A2A2-32FE1791B6C5}"/>
    <cellStyle name="Currency 238" xfId="27294" xr:uid="{85AA2B5D-F7E4-4328-A03E-D37C87B40FC1}"/>
    <cellStyle name="Currency 239" xfId="27293" xr:uid="{982A52D9-99A6-498D-BCF3-34091722A824}"/>
    <cellStyle name="Currency 24" xfId="8360" xr:uid="{00000000-0005-0000-0000-0000FA2F0000}"/>
    <cellStyle name="Currency 240" xfId="27297" xr:uid="{9844A053-9D42-45DF-954B-F02CD3BE58F9}"/>
    <cellStyle name="Currency 241" xfId="27288" xr:uid="{3719FBF4-86F8-4F95-87B8-2DE6D5A3B484}"/>
    <cellStyle name="Currency 242" xfId="27292" xr:uid="{5179FF03-5D2B-44B8-AFA6-149507FF76EA}"/>
    <cellStyle name="Currency 243" xfId="27286" xr:uid="{BCEFF482-3BB2-423F-ACDA-D8E373CBBDE4}"/>
    <cellStyle name="Currency 244" xfId="27298" xr:uid="{0FAD15F7-10D3-45F7-9662-B9D1E3FE526A}"/>
    <cellStyle name="Currency 245" xfId="27296" xr:uid="{57DE121D-ED44-4671-9AC7-3D5F3762AB07}"/>
    <cellStyle name="Currency 246" xfId="27290" xr:uid="{106ED4B1-3586-43D6-851D-77A2A0593D8B}"/>
    <cellStyle name="Currency 247" xfId="27295" xr:uid="{BB9602D5-D61B-4C2F-A570-927EEB2A53A3}"/>
    <cellStyle name="Currency 248" xfId="27300" xr:uid="{F0E12816-31D6-44E6-A2A8-F8EB870D5043}"/>
    <cellStyle name="Currency 249" xfId="27317" xr:uid="{1AAE099B-727F-4406-87DA-B704A76D4FE8}"/>
    <cellStyle name="Currency 25" xfId="8361" xr:uid="{00000000-0005-0000-0000-0000FB2F0000}"/>
    <cellStyle name="Currency 250" xfId="27318" xr:uid="{63F35BE2-E069-47DB-8092-E950B5848726}"/>
    <cellStyle name="Currency 251" xfId="27325" xr:uid="{73F82DBD-F994-4C10-A7CC-AC631B9B9CB5}"/>
    <cellStyle name="Currency 252" xfId="27321" xr:uid="{5614EEBD-8225-4037-A652-68E8A45DD1EC}"/>
    <cellStyle name="Currency 253" xfId="27320" xr:uid="{ED930F93-46D0-449D-A149-A2A1952A662A}"/>
    <cellStyle name="Currency 254" xfId="27323" xr:uid="{C56750EB-7C25-40DE-A232-3820B39DAAD3}"/>
    <cellStyle name="Currency 255" xfId="27316" xr:uid="{9910C993-BF5F-4B83-9F36-B7C5C374EE20}"/>
    <cellStyle name="Currency 256" xfId="27319" xr:uid="{004CC0CB-84E7-4960-ADF3-598DE927B52D}"/>
    <cellStyle name="Currency 257" xfId="27314" xr:uid="{604456D6-13FA-4F6F-A607-9C9914A85BB7}"/>
    <cellStyle name="Currency 258" xfId="27324" xr:uid="{860937A8-29FE-45F9-BA56-7CE215821218}"/>
    <cellStyle name="Currency 259" xfId="27322" xr:uid="{C960453A-7989-4C11-980B-AC198A3790D0}"/>
    <cellStyle name="Currency 26" xfId="8362" xr:uid="{00000000-0005-0000-0000-0000FC2F0000}"/>
    <cellStyle name="Currency 260" xfId="27337" xr:uid="{89434AFE-53BB-492E-944F-0FD595CD8833}"/>
    <cellStyle name="Currency 261" xfId="27341" xr:uid="{B80300EB-92C5-425A-9E8F-2D1394FCBCF4}"/>
    <cellStyle name="Currency 262" xfId="27343" xr:uid="{FE3E710D-649E-4633-B2B4-BDDE7EEE05A6}"/>
    <cellStyle name="Currency 263" xfId="27351" xr:uid="{1C0612B9-8028-46D2-A315-A73C75200841}"/>
    <cellStyle name="Currency 264" xfId="27346" xr:uid="{9C744088-C319-4CBC-8948-316F6321C715}"/>
    <cellStyle name="Currency 265" xfId="27345" xr:uid="{BC2C3934-F3A4-4D55-BDDB-A1B7D6969124}"/>
    <cellStyle name="Currency 266" xfId="27349" xr:uid="{07131165-08A4-42E4-ACAA-DFA1EC59F2BE}"/>
    <cellStyle name="Currency 267" xfId="27340" xr:uid="{14013030-BBA9-4735-BF3F-CD2A78B83280}"/>
    <cellStyle name="Currency 268" xfId="27344" xr:uid="{D833470C-1093-487C-AF14-1D5EAEC0D2EF}"/>
    <cellStyle name="Currency 269" xfId="27338" xr:uid="{AE1778C8-E201-4D97-9534-A18E0D019DFD}"/>
    <cellStyle name="Currency 27" xfId="8363" xr:uid="{00000000-0005-0000-0000-0000FD2F0000}"/>
    <cellStyle name="Currency 270" xfId="27350" xr:uid="{EE0D3D96-EF83-4070-A3FC-89DD492CFCA6}"/>
    <cellStyle name="Currency 271" xfId="27348" xr:uid="{FEA72C3A-5FBD-4414-A6A1-8288AFC706D9}"/>
    <cellStyle name="Currency 272" xfId="27342" xr:uid="{C9AAF0C6-853B-401C-9C78-49B207E722AD}"/>
    <cellStyle name="Currency 273" xfId="27347" xr:uid="{A1B56785-93FA-463E-B65B-90823DA66206}"/>
    <cellStyle name="Currency 274" xfId="27352" xr:uid="{457B882C-6695-4F00-ACAA-9E03D0800C29}"/>
    <cellStyle name="Currency 275" xfId="27366" xr:uid="{DA5928CC-243D-4645-9FEF-996FCE4F9D54}"/>
    <cellStyle name="Currency 276" xfId="27356" xr:uid="{9100CDA5-A794-483B-9BAC-A74548A1662B}"/>
    <cellStyle name="Currency 277" xfId="27365" xr:uid="{1176FF4A-64BB-45ED-B3D3-BC3340E14739}"/>
    <cellStyle name="Currency 278" xfId="27359" xr:uid="{F5171601-5438-4D30-B722-698D3D910555}"/>
    <cellStyle name="Currency 279" xfId="27355" xr:uid="{9F1A1A7D-A965-4573-817A-EF224939603D}"/>
    <cellStyle name="Currency 28" xfId="8364" xr:uid="{00000000-0005-0000-0000-0000FE2F0000}"/>
    <cellStyle name="Currency 280" xfId="27377" xr:uid="{93FDEE6D-1900-4E1F-8907-AD77787D7433}"/>
    <cellStyle name="Currency 281" xfId="27378" xr:uid="{E6AB03F5-9D9B-4A11-BA89-2EA24B137693}"/>
    <cellStyle name="Currency 282" xfId="27382" xr:uid="{33AC1DB8-5E1E-41B4-AC2C-8ACCAC546F87}"/>
    <cellStyle name="Currency 283" xfId="27393" xr:uid="{BA891596-F25D-41C7-A7E9-A0A40BDCB8C9}"/>
    <cellStyle name="Currency 284" xfId="27386" xr:uid="{070AC403-D2C5-414A-A92C-3B848B053A4F}"/>
    <cellStyle name="Currency 285" xfId="27392" xr:uid="{A6592CA4-E379-4484-A2AD-17E78618E6CE}"/>
    <cellStyle name="Currency 286" xfId="27389" xr:uid="{BAC70040-ACF1-4FF7-9128-559F9316E690}"/>
    <cellStyle name="Currency 287" xfId="27383" xr:uid="{1F53CF11-935A-457C-A4E0-17FF1E385CD0}"/>
    <cellStyle name="Currency 288" xfId="27381" xr:uid="{B6078EB4-A75F-42E0-9D06-CA3B1FD1B739}"/>
    <cellStyle name="Currency 289" xfId="27379" xr:uid="{C0642BE6-04C1-41F1-92C9-4EB9062E1B02}"/>
    <cellStyle name="Currency 29" xfId="8365" xr:uid="{00000000-0005-0000-0000-0000FF2F0000}"/>
    <cellStyle name="Currency 290" xfId="27385" xr:uid="{EB5412AE-E0AB-49BE-ACDC-1E77E5ADCFB3}"/>
    <cellStyle name="Currency 291" xfId="27391" xr:uid="{4E1C9835-80B3-463A-8427-BD72967E45FC}"/>
    <cellStyle name="Currency 292" xfId="27403" xr:uid="{9E2D750F-CB91-4616-A5E0-FF4795D732AD}"/>
    <cellStyle name="Currency 293" xfId="27404" xr:uid="{ADB6943B-1DE5-4EF2-AE71-AE8207DE9FCE}"/>
    <cellStyle name="Currency 294" xfId="27411" xr:uid="{1770630A-2DCC-4E49-8815-627BCF472E2E}"/>
    <cellStyle name="Currency 295" xfId="27407" xr:uid="{F6A4454D-1E4E-43B2-92A9-038746DC8293}"/>
    <cellStyle name="Currency 296" xfId="27406" xr:uid="{75E12079-CB02-425B-B24E-84FDFE9A855F}"/>
    <cellStyle name="Currency 297" xfId="27409" xr:uid="{5E357572-EE37-48F1-B90C-D4494ADDD220}"/>
    <cellStyle name="Currency 298" xfId="27402" xr:uid="{6A5E77FB-8B49-4DD2-AA8E-F1083B223809}"/>
    <cellStyle name="Currency 299" xfId="27405" xr:uid="{0230B8A1-3847-4D67-B33A-5C9E23552AFF}"/>
    <cellStyle name="Currency 3" xfId="8366" xr:uid="{00000000-0005-0000-0000-000000300000}"/>
    <cellStyle name="Currency 3 2" xfId="21731" xr:uid="{00000000-0005-0000-0000-000001300000}"/>
    <cellStyle name="Currency 3 2 2" xfId="21878" xr:uid="{00000000-0005-0000-0000-000002300000}"/>
    <cellStyle name="Currency 3 3" xfId="21732" xr:uid="{00000000-0005-0000-0000-000003300000}"/>
    <cellStyle name="Currency 3 3 2" xfId="21812" xr:uid="{00000000-0005-0000-0000-000004300000}"/>
    <cellStyle name="Currency 3 3 3" xfId="21779" xr:uid="{00000000-0005-0000-0000-000005300000}"/>
    <cellStyle name="Currency 30" xfId="8367" xr:uid="{00000000-0005-0000-0000-000006300000}"/>
    <cellStyle name="Currency 300" xfId="27400" xr:uid="{4EA096F7-46F0-4466-94E3-4DDE445690CE}"/>
    <cellStyle name="Currency 301" xfId="27410" xr:uid="{BD6F968C-65A2-4D01-8218-526152DB2241}"/>
    <cellStyle name="Currency 302" xfId="27408" xr:uid="{515DE407-9124-49F1-8E6B-505AB93EE5D2}"/>
    <cellStyle name="Currency 303" xfId="27423" xr:uid="{61F409AE-1368-4EF6-95A7-D2AD478F1A0A}"/>
    <cellStyle name="Currency 304" xfId="27424" xr:uid="{3455358A-6481-48D9-A0A0-3309ECB5D4D7}"/>
    <cellStyle name="Currency 305" xfId="27425" xr:uid="{0BD6F8E5-5152-433A-ADC8-02E7C1975B05}"/>
    <cellStyle name="Currency 306" xfId="27429" xr:uid="{2A161B2E-EBC9-4593-B543-07443A0B3748}"/>
    <cellStyle name="Currency 31" xfId="8368" xr:uid="{00000000-0005-0000-0000-000007300000}"/>
    <cellStyle name="Currency 32" xfId="8369" xr:uid="{00000000-0005-0000-0000-000008300000}"/>
    <cellStyle name="Currency 33" xfId="8370" xr:uid="{00000000-0005-0000-0000-000009300000}"/>
    <cellStyle name="Currency 34" xfId="8371" xr:uid="{00000000-0005-0000-0000-00000A300000}"/>
    <cellStyle name="Currency 35" xfId="8372" xr:uid="{00000000-0005-0000-0000-00000B300000}"/>
    <cellStyle name="Currency 36" xfId="8373" xr:uid="{00000000-0005-0000-0000-00000C300000}"/>
    <cellStyle name="Currency 37" xfId="8374" xr:uid="{00000000-0005-0000-0000-00000D300000}"/>
    <cellStyle name="Currency 38" xfId="8375" xr:uid="{00000000-0005-0000-0000-00000E300000}"/>
    <cellStyle name="Currency 39" xfId="8376" xr:uid="{00000000-0005-0000-0000-00000F300000}"/>
    <cellStyle name="Currency 4" xfId="8377" xr:uid="{00000000-0005-0000-0000-000010300000}"/>
    <cellStyle name="Currency 4 2" xfId="21733" xr:uid="{00000000-0005-0000-0000-000011300000}"/>
    <cellStyle name="Currency 4 2 2" xfId="21813" xr:uid="{00000000-0005-0000-0000-000012300000}"/>
    <cellStyle name="Currency 4 2 3" xfId="21780" xr:uid="{00000000-0005-0000-0000-000013300000}"/>
    <cellStyle name="Currency 4 2 4" xfId="21879" xr:uid="{00000000-0005-0000-0000-000014300000}"/>
    <cellStyle name="Currency 4 3" xfId="21734" xr:uid="{00000000-0005-0000-0000-000015300000}"/>
    <cellStyle name="Currency 40" xfId="8378" xr:uid="{00000000-0005-0000-0000-000016300000}"/>
    <cellStyle name="Currency 41" xfId="8379" xr:uid="{00000000-0005-0000-0000-000017300000}"/>
    <cellStyle name="Currency 42" xfId="8380" xr:uid="{00000000-0005-0000-0000-000018300000}"/>
    <cellStyle name="Currency 43" xfId="8381" xr:uid="{00000000-0005-0000-0000-000019300000}"/>
    <cellStyle name="Currency 44" xfId="8382" xr:uid="{00000000-0005-0000-0000-00001A300000}"/>
    <cellStyle name="Currency 45" xfId="8383" xr:uid="{00000000-0005-0000-0000-00001B300000}"/>
    <cellStyle name="Currency 46" xfId="8384" xr:uid="{00000000-0005-0000-0000-00001C300000}"/>
    <cellStyle name="Currency 47" xfId="8385" xr:uid="{00000000-0005-0000-0000-00001D300000}"/>
    <cellStyle name="Currency 48" xfId="8386" xr:uid="{00000000-0005-0000-0000-00001E300000}"/>
    <cellStyle name="Currency 49" xfId="8387" xr:uid="{00000000-0005-0000-0000-00001F300000}"/>
    <cellStyle name="Currency 5" xfId="8388" xr:uid="{00000000-0005-0000-0000-000020300000}"/>
    <cellStyle name="Currency 5 2" xfId="21795" xr:uid="{00000000-0005-0000-0000-000021300000}"/>
    <cellStyle name="Currency 5 3" xfId="22074" xr:uid="{00000000-0005-0000-0000-000022300000}"/>
    <cellStyle name="Currency 50" xfId="8389" xr:uid="{00000000-0005-0000-0000-000023300000}"/>
    <cellStyle name="Currency 51" xfId="8390" xr:uid="{00000000-0005-0000-0000-000024300000}"/>
    <cellStyle name="Currency 52" xfId="8391" xr:uid="{00000000-0005-0000-0000-000025300000}"/>
    <cellStyle name="Currency 53" xfId="8392" xr:uid="{00000000-0005-0000-0000-000026300000}"/>
    <cellStyle name="Currency 54" xfId="8393" xr:uid="{00000000-0005-0000-0000-000027300000}"/>
    <cellStyle name="Currency 55" xfId="8394" xr:uid="{00000000-0005-0000-0000-000028300000}"/>
    <cellStyle name="Currency 56" xfId="8395" xr:uid="{00000000-0005-0000-0000-000029300000}"/>
    <cellStyle name="Currency 57" xfId="8396" xr:uid="{00000000-0005-0000-0000-00002A300000}"/>
    <cellStyle name="Currency 58" xfId="8397" xr:uid="{00000000-0005-0000-0000-00002B300000}"/>
    <cellStyle name="Currency 59" xfId="8398" xr:uid="{00000000-0005-0000-0000-00002C300000}"/>
    <cellStyle name="Currency 6" xfId="8399" xr:uid="{00000000-0005-0000-0000-00002D300000}"/>
    <cellStyle name="Currency 6 2" xfId="22223" xr:uid="{00000000-0005-0000-0000-00002E300000}"/>
    <cellStyle name="Currency 6 2 2" xfId="22349" xr:uid="{00000000-0005-0000-0000-00002F300000}"/>
    <cellStyle name="Currency 6 2 2 2" xfId="22609" xr:uid="{00000000-0005-0000-0000-000030300000}"/>
    <cellStyle name="Currency 6 2 2 2 2" xfId="23135" xr:uid="{00000000-0005-0000-0000-000031300000}"/>
    <cellStyle name="Currency 6 2 2 2 2 2" xfId="24427" xr:uid="{00000000-0005-0000-0000-000026020000}"/>
    <cellStyle name="Currency 6 2 2 2 2 2 2" xfId="26685" xr:uid="{00000000-0005-0000-0000-000026020000}"/>
    <cellStyle name="Currency 6 2 2 2 2 3" xfId="25549" xr:uid="{00000000-0005-0000-0000-000026020000}"/>
    <cellStyle name="Currency 6 2 2 2 3" xfId="23921" xr:uid="{00000000-0005-0000-0000-000025020000}"/>
    <cellStyle name="Currency 6 2 2 2 3 2" xfId="26154" xr:uid="{00000000-0005-0000-0000-000025020000}"/>
    <cellStyle name="Currency 6 2 2 2 4" xfId="25027" xr:uid="{00000000-0005-0000-0000-000025020000}"/>
    <cellStyle name="Currency 6 2 2 3" xfId="22871" xr:uid="{00000000-0005-0000-0000-000032300000}"/>
    <cellStyle name="Currency 6 2 2 3 2" xfId="24171" xr:uid="{00000000-0005-0000-0000-000027020000}"/>
    <cellStyle name="Currency 6 2 2 3 2 2" xfId="26420" xr:uid="{00000000-0005-0000-0000-000027020000}"/>
    <cellStyle name="Currency 6 2 2 3 3" xfId="25290" xr:uid="{00000000-0005-0000-0000-000027020000}"/>
    <cellStyle name="Currency 6 2 2 4" xfId="23707" xr:uid="{00000000-0005-0000-0000-000024020000}"/>
    <cellStyle name="Currency 6 2 2 4 2" xfId="25921" xr:uid="{00000000-0005-0000-0000-000024020000}"/>
    <cellStyle name="Currency 6 2 2 5" xfId="24766" xr:uid="{00000000-0005-0000-0000-000024020000}"/>
    <cellStyle name="Currency 6 2 3" xfId="22480" xr:uid="{00000000-0005-0000-0000-000033300000}"/>
    <cellStyle name="Currency 6 2 3 2" xfId="23006" xr:uid="{00000000-0005-0000-0000-000034300000}"/>
    <cellStyle name="Currency 6 2 3 2 2" xfId="24304" xr:uid="{00000000-0005-0000-0000-000029020000}"/>
    <cellStyle name="Currency 6 2 3 2 2 2" xfId="26556" xr:uid="{00000000-0005-0000-0000-000029020000}"/>
    <cellStyle name="Currency 6 2 3 2 3" xfId="25422" xr:uid="{00000000-0005-0000-0000-000029020000}"/>
    <cellStyle name="Currency 6 2 3 3" xfId="23816" xr:uid="{00000000-0005-0000-0000-000028020000}"/>
    <cellStyle name="Currency 6 2 3 3 2" xfId="26040" xr:uid="{00000000-0005-0000-0000-000028020000}"/>
    <cellStyle name="Currency 6 2 3 4" xfId="24900" xr:uid="{00000000-0005-0000-0000-000028020000}"/>
    <cellStyle name="Currency 6 2 4" xfId="22742" xr:uid="{00000000-0005-0000-0000-000035300000}"/>
    <cellStyle name="Currency 6 2 4 2" xfId="24055" xr:uid="{00000000-0005-0000-0000-00002A020000}"/>
    <cellStyle name="Currency 6 2 4 2 2" xfId="26291" xr:uid="{00000000-0005-0000-0000-00002A020000}"/>
    <cellStyle name="Currency 6 2 4 3" xfId="25162" xr:uid="{00000000-0005-0000-0000-00002A020000}"/>
    <cellStyle name="Currency 6 2 5" xfId="23609" xr:uid="{00000000-0005-0000-0000-000023020000}"/>
    <cellStyle name="Currency 6 2 5 2" xfId="25807" xr:uid="{00000000-0005-0000-0000-000023020000}"/>
    <cellStyle name="Currency 6 2 6" xfId="24640" xr:uid="{00000000-0005-0000-0000-000023020000}"/>
    <cellStyle name="Currency 6 3" xfId="22290" xr:uid="{00000000-0005-0000-0000-000036300000}"/>
    <cellStyle name="Currency 6 3 2" xfId="22548" xr:uid="{00000000-0005-0000-0000-000037300000}"/>
    <cellStyle name="Currency 6 3 2 2" xfId="23074" xr:uid="{00000000-0005-0000-0000-000038300000}"/>
    <cellStyle name="Currency 6 3 2 2 2" xfId="24368" xr:uid="{00000000-0005-0000-0000-00002D020000}"/>
    <cellStyle name="Currency 6 3 2 2 2 2" xfId="26624" xr:uid="{00000000-0005-0000-0000-00002D020000}"/>
    <cellStyle name="Currency 6 3 2 2 3" xfId="25488" xr:uid="{00000000-0005-0000-0000-00002D020000}"/>
    <cellStyle name="Currency 6 3 2 3" xfId="23874" xr:uid="{00000000-0005-0000-0000-00002C020000}"/>
    <cellStyle name="Currency 6 3 2 3 2" xfId="26103" xr:uid="{00000000-0005-0000-0000-00002C020000}"/>
    <cellStyle name="Currency 6 3 2 4" xfId="24966" xr:uid="{00000000-0005-0000-0000-00002C020000}"/>
    <cellStyle name="Currency 6 3 3" xfId="22810" xr:uid="{00000000-0005-0000-0000-000039300000}"/>
    <cellStyle name="Currency 6 3 3 2" xfId="24116" xr:uid="{00000000-0005-0000-0000-00002E020000}"/>
    <cellStyle name="Currency 6 3 3 2 2" xfId="26359" xr:uid="{00000000-0005-0000-0000-00002E020000}"/>
    <cellStyle name="Currency 6 3 3 3" xfId="25230" xr:uid="{00000000-0005-0000-0000-00002E020000}"/>
    <cellStyle name="Currency 6 3 4" xfId="23661" xr:uid="{00000000-0005-0000-0000-00002B020000}"/>
    <cellStyle name="Currency 6 3 4 2" xfId="25870" xr:uid="{00000000-0005-0000-0000-00002B020000}"/>
    <cellStyle name="Currency 6 3 5" xfId="24706" xr:uid="{00000000-0005-0000-0000-00002B020000}"/>
    <cellStyle name="Currency 6 4" xfId="22417" xr:uid="{00000000-0005-0000-0000-00003A300000}"/>
    <cellStyle name="Currency 6 4 2" xfId="22940" xr:uid="{00000000-0005-0000-0000-00003B300000}"/>
    <cellStyle name="Currency 6 4 2 2" xfId="24238" xr:uid="{00000000-0005-0000-0000-000030020000}"/>
    <cellStyle name="Currency 6 4 2 2 2" xfId="26489" xr:uid="{00000000-0005-0000-0000-000030020000}"/>
    <cellStyle name="Currency 6 4 2 3" xfId="25357" xr:uid="{00000000-0005-0000-0000-000030020000}"/>
    <cellStyle name="Currency 6 4 3" xfId="23764" xr:uid="{00000000-0005-0000-0000-00002F020000}"/>
    <cellStyle name="Currency 6 4 3 2" xfId="25985" xr:uid="{00000000-0005-0000-0000-00002F020000}"/>
    <cellStyle name="Currency 6 4 4" xfId="24834" xr:uid="{00000000-0005-0000-0000-00002F020000}"/>
    <cellStyle name="Currency 6 5" xfId="22679" xr:uid="{00000000-0005-0000-0000-00003C300000}"/>
    <cellStyle name="Currency 6 5 2" xfId="23988" xr:uid="{00000000-0005-0000-0000-000031020000}"/>
    <cellStyle name="Currency 6 5 2 2" xfId="26224" xr:uid="{00000000-0005-0000-0000-000031020000}"/>
    <cellStyle name="Currency 6 5 3" xfId="25095" xr:uid="{00000000-0005-0000-0000-000031020000}"/>
    <cellStyle name="Currency 6 6" xfId="22075" xr:uid="{00000000-0005-0000-0000-00003D300000}"/>
    <cellStyle name="Currency 6 6 2" xfId="25752" xr:uid="{00000000-0005-0000-0000-000022020000}"/>
    <cellStyle name="Currency 6 7" xfId="24573" xr:uid="{00000000-0005-0000-0000-000022020000}"/>
    <cellStyle name="Currency 60" xfId="8400" xr:uid="{00000000-0005-0000-0000-00003E300000}"/>
    <cellStyle name="Currency 61" xfId="8401" xr:uid="{00000000-0005-0000-0000-00003F300000}"/>
    <cellStyle name="Currency 62" xfId="8402" xr:uid="{00000000-0005-0000-0000-000040300000}"/>
    <cellStyle name="Currency 63" xfId="8403" xr:uid="{00000000-0005-0000-0000-000041300000}"/>
    <cellStyle name="Currency 64" xfId="8404" xr:uid="{00000000-0005-0000-0000-000042300000}"/>
    <cellStyle name="Currency 65" xfId="8405" xr:uid="{00000000-0005-0000-0000-000043300000}"/>
    <cellStyle name="Currency 66" xfId="8406" xr:uid="{00000000-0005-0000-0000-000044300000}"/>
    <cellStyle name="Currency 67" xfId="8407" xr:uid="{00000000-0005-0000-0000-000045300000}"/>
    <cellStyle name="Currency 68" xfId="8408" xr:uid="{00000000-0005-0000-0000-000046300000}"/>
    <cellStyle name="Currency 69" xfId="8409" xr:uid="{00000000-0005-0000-0000-000047300000}"/>
    <cellStyle name="Currency 7" xfId="8410" xr:uid="{00000000-0005-0000-0000-000048300000}"/>
    <cellStyle name="Currency 7 2" xfId="22076" xr:uid="{00000000-0005-0000-0000-000049300000}"/>
    <cellStyle name="Currency 70" xfId="8411" xr:uid="{00000000-0005-0000-0000-00004A300000}"/>
    <cellStyle name="Currency 71" xfId="8412" xr:uid="{00000000-0005-0000-0000-00004B300000}"/>
    <cellStyle name="Currency 72" xfId="8413" xr:uid="{00000000-0005-0000-0000-00004C300000}"/>
    <cellStyle name="Currency 73" xfId="8414" xr:uid="{00000000-0005-0000-0000-00004D300000}"/>
    <cellStyle name="Currency 74" xfId="8415" xr:uid="{00000000-0005-0000-0000-00004E300000}"/>
    <cellStyle name="Currency 75" xfId="8416" xr:uid="{00000000-0005-0000-0000-00004F300000}"/>
    <cellStyle name="Currency 76" xfId="8417" xr:uid="{00000000-0005-0000-0000-000050300000}"/>
    <cellStyle name="Currency 77" xfId="8418" xr:uid="{00000000-0005-0000-0000-000051300000}"/>
    <cellStyle name="Currency 78" xfId="8419" xr:uid="{00000000-0005-0000-0000-000052300000}"/>
    <cellStyle name="Currency 79" xfId="8420" xr:uid="{00000000-0005-0000-0000-000053300000}"/>
    <cellStyle name="Currency 8" xfId="8421" xr:uid="{00000000-0005-0000-0000-000054300000}"/>
    <cellStyle name="Currency 8 2" xfId="22077" xr:uid="{00000000-0005-0000-0000-000055300000}"/>
    <cellStyle name="Currency 80" xfId="8422" xr:uid="{00000000-0005-0000-0000-000056300000}"/>
    <cellStyle name="Currency 81" xfId="8423" xr:uid="{00000000-0005-0000-0000-000057300000}"/>
    <cellStyle name="Currency 82" xfId="8424" xr:uid="{00000000-0005-0000-0000-000058300000}"/>
    <cellStyle name="Currency 83" xfId="8425" xr:uid="{00000000-0005-0000-0000-000059300000}"/>
    <cellStyle name="Currency 84" xfId="8426" xr:uid="{00000000-0005-0000-0000-00005A300000}"/>
    <cellStyle name="Currency 85" xfId="8427" xr:uid="{00000000-0005-0000-0000-00005B300000}"/>
    <cellStyle name="Currency 86" xfId="8428" xr:uid="{00000000-0005-0000-0000-00005C300000}"/>
    <cellStyle name="Currency 87" xfId="8429" xr:uid="{00000000-0005-0000-0000-00005D300000}"/>
    <cellStyle name="Currency 88" xfId="8430" xr:uid="{00000000-0005-0000-0000-00005E300000}"/>
    <cellStyle name="Currency 89" xfId="8431" xr:uid="{00000000-0005-0000-0000-00005F300000}"/>
    <cellStyle name="Currency 9" xfId="8432" xr:uid="{00000000-0005-0000-0000-000060300000}"/>
    <cellStyle name="Currency 9 2" xfId="22224" xr:uid="{00000000-0005-0000-0000-000061300000}"/>
    <cellStyle name="Currency 9 2 2" xfId="22350" xr:uid="{00000000-0005-0000-0000-000062300000}"/>
    <cellStyle name="Currency 9 2 2 2" xfId="22610" xr:uid="{00000000-0005-0000-0000-000063300000}"/>
    <cellStyle name="Currency 9 2 2 2 2" xfId="23136" xr:uid="{00000000-0005-0000-0000-000064300000}"/>
    <cellStyle name="Currency 9 2 2 2 2 2" xfId="24428" xr:uid="{00000000-0005-0000-0000-000038020000}"/>
    <cellStyle name="Currency 9 2 2 2 2 2 2" xfId="26686" xr:uid="{00000000-0005-0000-0000-000038020000}"/>
    <cellStyle name="Currency 9 2 2 2 2 3" xfId="25550" xr:uid="{00000000-0005-0000-0000-000038020000}"/>
    <cellStyle name="Currency 9 2 2 2 3" xfId="23922" xr:uid="{00000000-0005-0000-0000-000037020000}"/>
    <cellStyle name="Currency 9 2 2 2 3 2" xfId="26155" xr:uid="{00000000-0005-0000-0000-000037020000}"/>
    <cellStyle name="Currency 9 2 2 2 4" xfId="25028" xr:uid="{00000000-0005-0000-0000-000037020000}"/>
    <cellStyle name="Currency 9 2 2 3" xfId="22872" xr:uid="{00000000-0005-0000-0000-000065300000}"/>
    <cellStyle name="Currency 9 2 2 3 2" xfId="24172" xr:uid="{00000000-0005-0000-0000-000039020000}"/>
    <cellStyle name="Currency 9 2 2 3 2 2" xfId="26421" xr:uid="{00000000-0005-0000-0000-000039020000}"/>
    <cellStyle name="Currency 9 2 2 3 3" xfId="25291" xr:uid="{00000000-0005-0000-0000-000039020000}"/>
    <cellStyle name="Currency 9 2 2 4" xfId="23708" xr:uid="{00000000-0005-0000-0000-000036020000}"/>
    <cellStyle name="Currency 9 2 2 4 2" xfId="25922" xr:uid="{00000000-0005-0000-0000-000036020000}"/>
    <cellStyle name="Currency 9 2 2 5" xfId="24767" xr:uid="{00000000-0005-0000-0000-000036020000}"/>
    <cellStyle name="Currency 9 2 3" xfId="22481" xr:uid="{00000000-0005-0000-0000-000066300000}"/>
    <cellStyle name="Currency 9 2 3 2" xfId="23007" xr:uid="{00000000-0005-0000-0000-000067300000}"/>
    <cellStyle name="Currency 9 2 3 2 2" xfId="24305" xr:uid="{00000000-0005-0000-0000-00003B020000}"/>
    <cellStyle name="Currency 9 2 3 2 2 2" xfId="26557" xr:uid="{00000000-0005-0000-0000-00003B020000}"/>
    <cellStyle name="Currency 9 2 3 2 3" xfId="25423" xr:uid="{00000000-0005-0000-0000-00003B020000}"/>
    <cellStyle name="Currency 9 2 3 3" xfId="23817" xr:uid="{00000000-0005-0000-0000-00003A020000}"/>
    <cellStyle name="Currency 9 2 3 3 2" xfId="26041" xr:uid="{00000000-0005-0000-0000-00003A020000}"/>
    <cellStyle name="Currency 9 2 3 4" xfId="24901" xr:uid="{00000000-0005-0000-0000-00003A020000}"/>
    <cellStyle name="Currency 9 2 4" xfId="22743" xr:uid="{00000000-0005-0000-0000-000068300000}"/>
    <cellStyle name="Currency 9 2 4 2" xfId="24056" xr:uid="{00000000-0005-0000-0000-00003C020000}"/>
    <cellStyle name="Currency 9 2 4 2 2" xfId="26292" xr:uid="{00000000-0005-0000-0000-00003C020000}"/>
    <cellStyle name="Currency 9 2 4 3" xfId="25163" xr:uid="{00000000-0005-0000-0000-00003C020000}"/>
    <cellStyle name="Currency 9 2 5" xfId="23610" xr:uid="{00000000-0005-0000-0000-000035020000}"/>
    <cellStyle name="Currency 9 2 5 2" xfId="25808" xr:uid="{00000000-0005-0000-0000-000035020000}"/>
    <cellStyle name="Currency 9 2 6" xfId="24641" xr:uid="{00000000-0005-0000-0000-000035020000}"/>
    <cellStyle name="Currency 9 3" xfId="22291" xr:uid="{00000000-0005-0000-0000-000069300000}"/>
    <cellStyle name="Currency 9 3 2" xfId="22549" xr:uid="{00000000-0005-0000-0000-00006A300000}"/>
    <cellStyle name="Currency 9 3 2 2" xfId="23075" xr:uid="{00000000-0005-0000-0000-00006B300000}"/>
    <cellStyle name="Currency 9 3 2 2 2" xfId="24369" xr:uid="{00000000-0005-0000-0000-00003F020000}"/>
    <cellStyle name="Currency 9 3 2 2 2 2" xfId="26625" xr:uid="{00000000-0005-0000-0000-00003F020000}"/>
    <cellStyle name="Currency 9 3 2 2 3" xfId="25489" xr:uid="{00000000-0005-0000-0000-00003F020000}"/>
    <cellStyle name="Currency 9 3 2 3" xfId="23875" xr:uid="{00000000-0005-0000-0000-00003E020000}"/>
    <cellStyle name="Currency 9 3 2 3 2" xfId="26104" xr:uid="{00000000-0005-0000-0000-00003E020000}"/>
    <cellStyle name="Currency 9 3 2 4" xfId="24967" xr:uid="{00000000-0005-0000-0000-00003E020000}"/>
    <cellStyle name="Currency 9 3 3" xfId="22811" xr:uid="{00000000-0005-0000-0000-00006C300000}"/>
    <cellStyle name="Currency 9 3 3 2" xfId="24117" xr:uid="{00000000-0005-0000-0000-000040020000}"/>
    <cellStyle name="Currency 9 3 3 2 2" xfId="26360" xr:uid="{00000000-0005-0000-0000-000040020000}"/>
    <cellStyle name="Currency 9 3 3 3" xfId="25231" xr:uid="{00000000-0005-0000-0000-000040020000}"/>
    <cellStyle name="Currency 9 3 4" xfId="23662" xr:uid="{00000000-0005-0000-0000-00003D020000}"/>
    <cellStyle name="Currency 9 3 4 2" xfId="25871" xr:uid="{00000000-0005-0000-0000-00003D020000}"/>
    <cellStyle name="Currency 9 3 5" xfId="24707" xr:uid="{00000000-0005-0000-0000-00003D020000}"/>
    <cellStyle name="Currency 9 4" xfId="22418" xr:uid="{00000000-0005-0000-0000-00006D300000}"/>
    <cellStyle name="Currency 9 4 2" xfId="22941" xr:uid="{00000000-0005-0000-0000-00006E300000}"/>
    <cellStyle name="Currency 9 4 2 2" xfId="24239" xr:uid="{00000000-0005-0000-0000-000042020000}"/>
    <cellStyle name="Currency 9 4 2 2 2" xfId="26490" xr:uid="{00000000-0005-0000-0000-000042020000}"/>
    <cellStyle name="Currency 9 4 2 3" xfId="25358" xr:uid="{00000000-0005-0000-0000-000042020000}"/>
    <cellStyle name="Currency 9 4 3" xfId="23765" xr:uid="{00000000-0005-0000-0000-000041020000}"/>
    <cellStyle name="Currency 9 4 3 2" xfId="25986" xr:uid="{00000000-0005-0000-0000-000041020000}"/>
    <cellStyle name="Currency 9 4 4" xfId="24835" xr:uid="{00000000-0005-0000-0000-000041020000}"/>
    <cellStyle name="Currency 9 5" xfId="22680" xr:uid="{00000000-0005-0000-0000-00006F300000}"/>
    <cellStyle name="Currency 9 5 2" xfId="23989" xr:uid="{00000000-0005-0000-0000-000043020000}"/>
    <cellStyle name="Currency 9 5 2 2" xfId="26225" xr:uid="{00000000-0005-0000-0000-000043020000}"/>
    <cellStyle name="Currency 9 5 3" xfId="25096" xr:uid="{00000000-0005-0000-0000-000043020000}"/>
    <cellStyle name="Currency 9 6" xfId="22078" xr:uid="{00000000-0005-0000-0000-000070300000}"/>
    <cellStyle name="Currency 9 6 2" xfId="25753" xr:uid="{00000000-0005-0000-0000-000034020000}"/>
    <cellStyle name="Currency 9 7" xfId="24574" xr:uid="{00000000-0005-0000-0000-000034020000}"/>
    <cellStyle name="Currency 90" xfId="8433" xr:uid="{00000000-0005-0000-0000-000071300000}"/>
    <cellStyle name="Currency 91" xfId="8434" xr:uid="{00000000-0005-0000-0000-000072300000}"/>
    <cellStyle name="Currency 92" xfId="8435" xr:uid="{00000000-0005-0000-0000-000073300000}"/>
    <cellStyle name="Currency 93" xfId="8436" xr:uid="{00000000-0005-0000-0000-000074300000}"/>
    <cellStyle name="Currency 94" xfId="8437" xr:uid="{00000000-0005-0000-0000-000075300000}"/>
    <cellStyle name="Currency 95" xfId="8438" xr:uid="{00000000-0005-0000-0000-000076300000}"/>
    <cellStyle name="Currency 96" xfId="14002" xr:uid="{00000000-0005-0000-0000-000077300000}"/>
    <cellStyle name="Currency 97" xfId="14006" xr:uid="{00000000-0005-0000-0000-000078300000}"/>
    <cellStyle name="Currency 98" xfId="14005" xr:uid="{00000000-0005-0000-0000-000079300000}"/>
    <cellStyle name="Currency 99" xfId="14004" xr:uid="{00000000-0005-0000-0000-00007A300000}"/>
    <cellStyle name="Explanatory Text 10" xfId="8439" xr:uid="{00000000-0005-0000-0000-00007B300000}"/>
    <cellStyle name="Explanatory Text 10 10" xfId="8440" xr:uid="{00000000-0005-0000-0000-00007C300000}"/>
    <cellStyle name="Explanatory Text 10 10 2" xfId="17259" xr:uid="{00000000-0005-0000-0000-00007D300000}"/>
    <cellStyle name="Explanatory Text 10 11" xfId="8441" xr:uid="{00000000-0005-0000-0000-00007E300000}"/>
    <cellStyle name="Explanatory Text 10 11 2" xfId="17260" xr:uid="{00000000-0005-0000-0000-00007F300000}"/>
    <cellStyle name="Explanatory Text 10 2" xfId="8442" xr:uid="{00000000-0005-0000-0000-000080300000}"/>
    <cellStyle name="Explanatory Text 10 2 2" xfId="8443" xr:uid="{00000000-0005-0000-0000-000081300000}"/>
    <cellStyle name="Explanatory Text 10 2 2 2" xfId="17261" xr:uid="{00000000-0005-0000-0000-000082300000}"/>
    <cellStyle name="Explanatory Text 10 3" xfId="8444" xr:uid="{00000000-0005-0000-0000-000083300000}"/>
    <cellStyle name="Explanatory Text 10 3 2" xfId="8445" xr:uid="{00000000-0005-0000-0000-000084300000}"/>
    <cellStyle name="Explanatory Text 10 3 2 2" xfId="17262" xr:uid="{00000000-0005-0000-0000-000085300000}"/>
    <cellStyle name="Explanatory Text 10 4" xfId="8446" xr:uid="{00000000-0005-0000-0000-000086300000}"/>
    <cellStyle name="Explanatory Text 10 4 2" xfId="8447" xr:uid="{00000000-0005-0000-0000-000087300000}"/>
    <cellStyle name="Explanatory Text 10 4 3" xfId="17263" xr:uid="{00000000-0005-0000-0000-000088300000}"/>
    <cellStyle name="Explanatory Text 10 5" xfId="8448" xr:uid="{00000000-0005-0000-0000-000089300000}"/>
    <cellStyle name="Explanatory Text 10 5 2" xfId="17264" xr:uid="{00000000-0005-0000-0000-00008A300000}"/>
    <cellStyle name="Explanatory Text 10 6" xfId="8449" xr:uid="{00000000-0005-0000-0000-00008B300000}"/>
    <cellStyle name="Explanatory Text 10 6 2" xfId="17265" xr:uid="{00000000-0005-0000-0000-00008C300000}"/>
    <cellStyle name="Explanatory Text 10 7" xfId="8450" xr:uid="{00000000-0005-0000-0000-00008D300000}"/>
    <cellStyle name="Explanatory Text 10 7 2" xfId="17266" xr:uid="{00000000-0005-0000-0000-00008E300000}"/>
    <cellStyle name="Explanatory Text 10 8" xfId="8451" xr:uid="{00000000-0005-0000-0000-00008F300000}"/>
    <cellStyle name="Explanatory Text 10 8 2" xfId="17267" xr:uid="{00000000-0005-0000-0000-000090300000}"/>
    <cellStyle name="Explanatory Text 10 9" xfId="8452" xr:uid="{00000000-0005-0000-0000-000091300000}"/>
    <cellStyle name="Explanatory Text 10 9 2" xfId="17268" xr:uid="{00000000-0005-0000-0000-000092300000}"/>
    <cellStyle name="Explanatory Text 11" xfId="8453" xr:uid="{00000000-0005-0000-0000-000093300000}"/>
    <cellStyle name="Explanatory Text 11 10" xfId="8454" xr:uid="{00000000-0005-0000-0000-000094300000}"/>
    <cellStyle name="Explanatory Text 11 10 2" xfId="17269" xr:uid="{00000000-0005-0000-0000-000095300000}"/>
    <cellStyle name="Explanatory Text 11 11" xfId="8455" xr:uid="{00000000-0005-0000-0000-000096300000}"/>
    <cellStyle name="Explanatory Text 11 11 2" xfId="17270" xr:uid="{00000000-0005-0000-0000-000097300000}"/>
    <cellStyle name="Explanatory Text 11 2" xfId="8456" xr:uid="{00000000-0005-0000-0000-000098300000}"/>
    <cellStyle name="Explanatory Text 11 2 2" xfId="8457" xr:uid="{00000000-0005-0000-0000-000099300000}"/>
    <cellStyle name="Explanatory Text 11 2 2 2" xfId="17271" xr:uid="{00000000-0005-0000-0000-00009A300000}"/>
    <cellStyle name="Explanatory Text 11 3" xfId="8458" xr:uid="{00000000-0005-0000-0000-00009B300000}"/>
    <cellStyle name="Explanatory Text 11 3 2" xfId="8459" xr:uid="{00000000-0005-0000-0000-00009C300000}"/>
    <cellStyle name="Explanatory Text 11 3 2 2" xfId="17272" xr:uid="{00000000-0005-0000-0000-00009D300000}"/>
    <cellStyle name="Explanatory Text 11 4" xfId="8460" xr:uid="{00000000-0005-0000-0000-00009E300000}"/>
    <cellStyle name="Explanatory Text 11 4 2" xfId="8461" xr:uid="{00000000-0005-0000-0000-00009F300000}"/>
    <cellStyle name="Explanatory Text 11 4 3" xfId="17273" xr:uid="{00000000-0005-0000-0000-0000A0300000}"/>
    <cellStyle name="Explanatory Text 11 5" xfId="8462" xr:uid="{00000000-0005-0000-0000-0000A1300000}"/>
    <cellStyle name="Explanatory Text 11 5 2" xfId="17274" xr:uid="{00000000-0005-0000-0000-0000A2300000}"/>
    <cellStyle name="Explanatory Text 11 6" xfId="8463" xr:uid="{00000000-0005-0000-0000-0000A3300000}"/>
    <cellStyle name="Explanatory Text 11 6 2" xfId="17275" xr:uid="{00000000-0005-0000-0000-0000A4300000}"/>
    <cellStyle name="Explanatory Text 11 7" xfId="8464" xr:uid="{00000000-0005-0000-0000-0000A5300000}"/>
    <cellStyle name="Explanatory Text 11 7 2" xfId="17276" xr:uid="{00000000-0005-0000-0000-0000A6300000}"/>
    <cellStyle name="Explanatory Text 11 8" xfId="8465" xr:uid="{00000000-0005-0000-0000-0000A7300000}"/>
    <cellStyle name="Explanatory Text 11 8 2" xfId="17277" xr:uid="{00000000-0005-0000-0000-0000A8300000}"/>
    <cellStyle name="Explanatory Text 11 9" xfId="8466" xr:uid="{00000000-0005-0000-0000-0000A9300000}"/>
    <cellStyle name="Explanatory Text 11 9 2" xfId="17278" xr:uid="{00000000-0005-0000-0000-0000AA300000}"/>
    <cellStyle name="Explanatory Text 12" xfId="8467" xr:uid="{00000000-0005-0000-0000-0000AB300000}"/>
    <cellStyle name="Explanatory Text 12 10" xfId="8468" xr:uid="{00000000-0005-0000-0000-0000AC300000}"/>
    <cellStyle name="Explanatory Text 12 10 2" xfId="17279" xr:uid="{00000000-0005-0000-0000-0000AD300000}"/>
    <cellStyle name="Explanatory Text 12 11" xfId="8469" xr:uid="{00000000-0005-0000-0000-0000AE300000}"/>
    <cellStyle name="Explanatory Text 12 11 2" xfId="17280" xr:uid="{00000000-0005-0000-0000-0000AF300000}"/>
    <cellStyle name="Explanatory Text 12 2" xfId="8470" xr:uid="{00000000-0005-0000-0000-0000B0300000}"/>
    <cellStyle name="Explanatory Text 12 2 2" xfId="8471" xr:uid="{00000000-0005-0000-0000-0000B1300000}"/>
    <cellStyle name="Explanatory Text 12 2 2 2" xfId="17281" xr:uid="{00000000-0005-0000-0000-0000B2300000}"/>
    <cellStyle name="Explanatory Text 12 3" xfId="8472" xr:uid="{00000000-0005-0000-0000-0000B3300000}"/>
    <cellStyle name="Explanatory Text 12 3 2" xfId="8473" xr:uid="{00000000-0005-0000-0000-0000B4300000}"/>
    <cellStyle name="Explanatory Text 12 3 2 2" xfId="17282" xr:uid="{00000000-0005-0000-0000-0000B5300000}"/>
    <cellStyle name="Explanatory Text 12 4" xfId="8474" xr:uid="{00000000-0005-0000-0000-0000B6300000}"/>
    <cellStyle name="Explanatory Text 12 4 2" xfId="8475" xr:uid="{00000000-0005-0000-0000-0000B7300000}"/>
    <cellStyle name="Explanatory Text 12 4 3" xfId="17283" xr:uid="{00000000-0005-0000-0000-0000B8300000}"/>
    <cellStyle name="Explanatory Text 12 5" xfId="8476" xr:uid="{00000000-0005-0000-0000-0000B9300000}"/>
    <cellStyle name="Explanatory Text 12 5 2" xfId="17284" xr:uid="{00000000-0005-0000-0000-0000BA300000}"/>
    <cellStyle name="Explanatory Text 12 6" xfId="8477" xr:uid="{00000000-0005-0000-0000-0000BB300000}"/>
    <cellStyle name="Explanatory Text 12 6 2" xfId="17285" xr:uid="{00000000-0005-0000-0000-0000BC300000}"/>
    <cellStyle name="Explanatory Text 12 7" xfId="8478" xr:uid="{00000000-0005-0000-0000-0000BD300000}"/>
    <cellStyle name="Explanatory Text 12 7 2" xfId="17286" xr:uid="{00000000-0005-0000-0000-0000BE300000}"/>
    <cellStyle name="Explanatory Text 12 8" xfId="8479" xr:uid="{00000000-0005-0000-0000-0000BF300000}"/>
    <cellStyle name="Explanatory Text 12 8 2" xfId="17287" xr:uid="{00000000-0005-0000-0000-0000C0300000}"/>
    <cellStyle name="Explanatory Text 12 9" xfId="8480" xr:uid="{00000000-0005-0000-0000-0000C1300000}"/>
    <cellStyle name="Explanatory Text 12 9 2" xfId="17288" xr:uid="{00000000-0005-0000-0000-0000C2300000}"/>
    <cellStyle name="Explanatory Text 13" xfId="8481" xr:uid="{00000000-0005-0000-0000-0000C3300000}"/>
    <cellStyle name="Explanatory Text 13 10" xfId="8482" xr:uid="{00000000-0005-0000-0000-0000C4300000}"/>
    <cellStyle name="Explanatory Text 13 10 2" xfId="17289" xr:uid="{00000000-0005-0000-0000-0000C5300000}"/>
    <cellStyle name="Explanatory Text 13 11" xfId="8483" xr:uid="{00000000-0005-0000-0000-0000C6300000}"/>
    <cellStyle name="Explanatory Text 13 11 2" xfId="17290" xr:uid="{00000000-0005-0000-0000-0000C7300000}"/>
    <cellStyle name="Explanatory Text 13 2" xfId="8484" xr:uid="{00000000-0005-0000-0000-0000C8300000}"/>
    <cellStyle name="Explanatory Text 13 2 2" xfId="8485" xr:uid="{00000000-0005-0000-0000-0000C9300000}"/>
    <cellStyle name="Explanatory Text 13 2 2 2" xfId="17291" xr:uid="{00000000-0005-0000-0000-0000CA300000}"/>
    <cellStyle name="Explanatory Text 13 3" xfId="8486" xr:uid="{00000000-0005-0000-0000-0000CB300000}"/>
    <cellStyle name="Explanatory Text 13 3 2" xfId="8487" xr:uid="{00000000-0005-0000-0000-0000CC300000}"/>
    <cellStyle name="Explanatory Text 13 3 2 2" xfId="17292" xr:uid="{00000000-0005-0000-0000-0000CD300000}"/>
    <cellStyle name="Explanatory Text 13 4" xfId="8488" xr:uid="{00000000-0005-0000-0000-0000CE300000}"/>
    <cellStyle name="Explanatory Text 13 4 2" xfId="17293" xr:uid="{00000000-0005-0000-0000-0000CF300000}"/>
    <cellStyle name="Explanatory Text 13 5" xfId="8489" xr:uid="{00000000-0005-0000-0000-0000D0300000}"/>
    <cellStyle name="Explanatory Text 13 5 2" xfId="17294" xr:uid="{00000000-0005-0000-0000-0000D1300000}"/>
    <cellStyle name="Explanatory Text 13 6" xfId="8490" xr:uid="{00000000-0005-0000-0000-0000D2300000}"/>
    <cellStyle name="Explanatory Text 13 6 2" xfId="17295" xr:uid="{00000000-0005-0000-0000-0000D3300000}"/>
    <cellStyle name="Explanatory Text 13 7" xfId="8491" xr:uid="{00000000-0005-0000-0000-0000D4300000}"/>
    <cellStyle name="Explanatory Text 13 7 2" xfId="17296" xr:uid="{00000000-0005-0000-0000-0000D5300000}"/>
    <cellStyle name="Explanatory Text 13 8" xfId="8492" xr:uid="{00000000-0005-0000-0000-0000D6300000}"/>
    <cellStyle name="Explanatory Text 13 8 2" xfId="17297" xr:uid="{00000000-0005-0000-0000-0000D7300000}"/>
    <cellStyle name="Explanatory Text 13 9" xfId="8493" xr:uid="{00000000-0005-0000-0000-0000D8300000}"/>
    <cellStyle name="Explanatory Text 13 9 2" xfId="17298" xr:uid="{00000000-0005-0000-0000-0000D9300000}"/>
    <cellStyle name="Explanatory Text 14" xfId="8494" xr:uid="{00000000-0005-0000-0000-0000DA300000}"/>
    <cellStyle name="Explanatory Text 14 10" xfId="8495" xr:uid="{00000000-0005-0000-0000-0000DB300000}"/>
    <cellStyle name="Explanatory Text 14 10 2" xfId="17299" xr:uid="{00000000-0005-0000-0000-0000DC300000}"/>
    <cellStyle name="Explanatory Text 14 11" xfId="8496" xr:uid="{00000000-0005-0000-0000-0000DD300000}"/>
    <cellStyle name="Explanatory Text 14 11 2" xfId="17300" xr:uid="{00000000-0005-0000-0000-0000DE300000}"/>
    <cellStyle name="Explanatory Text 14 2" xfId="8497" xr:uid="{00000000-0005-0000-0000-0000DF300000}"/>
    <cellStyle name="Explanatory Text 14 2 2" xfId="8498" xr:uid="{00000000-0005-0000-0000-0000E0300000}"/>
    <cellStyle name="Explanatory Text 14 2 2 2" xfId="17301" xr:uid="{00000000-0005-0000-0000-0000E1300000}"/>
    <cellStyle name="Explanatory Text 14 3" xfId="8499" xr:uid="{00000000-0005-0000-0000-0000E2300000}"/>
    <cellStyle name="Explanatory Text 14 3 2" xfId="8500" xr:uid="{00000000-0005-0000-0000-0000E3300000}"/>
    <cellStyle name="Explanatory Text 14 3 2 2" xfId="17302" xr:uid="{00000000-0005-0000-0000-0000E4300000}"/>
    <cellStyle name="Explanatory Text 14 4" xfId="8501" xr:uid="{00000000-0005-0000-0000-0000E5300000}"/>
    <cellStyle name="Explanatory Text 14 4 2" xfId="17303" xr:uid="{00000000-0005-0000-0000-0000E6300000}"/>
    <cellStyle name="Explanatory Text 14 5" xfId="8502" xr:uid="{00000000-0005-0000-0000-0000E7300000}"/>
    <cellStyle name="Explanatory Text 14 5 2" xfId="17304" xr:uid="{00000000-0005-0000-0000-0000E8300000}"/>
    <cellStyle name="Explanatory Text 14 6" xfId="8503" xr:uid="{00000000-0005-0000-0000-0000E9300000}"/>
    <cellStyle name="Explanatory Text 14 6 2" xfId="17305" xr:uid="{00000000-0005-0000-0000-0000EA300000}"/>
    <cellStyle name="Explanatory Text 14 7" xfId="8504" xr:uid="{00000000-0005-0000-0000-0000EB300000}"/>
    <cellStyle name="Explanatory Text 14 7 2" xfId="17306" xr:uid="{00000000-0005-0000-0000-0000EC300000}"/>
    <cellStyle name="Explanatory Text 14 8" xfId="8505" xr:uid="{00000000-0005-0000-0000-0000ED300000}"/>
    <cellStyle name="Explanatory Text 14 8 2" xfId="17307" xr:uid="{00000000-0005-0000-0000-0000EE300000}"/>
    <cellStyle name="Explanatory Text 14 9" xfId="8506" xr:uid="{00000000-0005-0000-0000-0000EF300000}"/>
    <cellStyle name="Explanatory Text 14 9 2" xfId="17308" xr:uid="{00000000-0005-0000-0000-0000F0300000}"/>
    <cellStyle name="Explanatory Text 15" xfId="8507" xr:uid="{00000000-0005-0000-0000-0000F1300000}"/>
    <cellStyle name="Explanatory Text 15 10" xfId="8508" xr:uid="{00000000-0005-0000-0000-0000F2300000}"/>
    <cellStyle name="Explanatory Text 15 10 2" xfId="17309" xr:uid="{00000000-0005-0000-0000-0000F3300000}"/>
    <cellStyle name="Explanatory Text 15 11" xfId="8509" xr:uid="{00000000-0005-0000-0000-0000F4300000}"/>
    <cellStyle name="Explanatory Text 15 11 2" xfId="17310" xr:uid="{00000000-0005-0000-0000-0000F5300000}"/>
    <cellStyle name="Explanatory Text 15 2" xfId="8510" xr:uid="{00000000-0005-0000-0000-0000F6300000}"/>
    <cellStyle name="Explanatory Text 15 2 2" xfId="8511" xr:uid="{00000000-0005-0000-0000-0000F7300000}"/>
    <cellStyle name="Explanatory Text 15 2 2 2" xfId="17311" xr:uid="{00000000-0005-0000-0000-0000F8300000}"/>
    <cellStyle name="Explanatory Text 15 3" xfId="8512" xr:uid="{00000000-0005-0000-0000-0000F9300000}"/>
    <cellStyle name="Explanatory Text 15 3 2" xfId="8513" xr:uid="{00000000-0005-0000-0000-0000FA300000}"/>
    <cellStyle name="Explanatory Text 15 3 2 2" xfId="17312" xr:uid="{00000000-0005-0000-0000-0000FB300000}"/>
    <cellStyle name="Explanatory Text 15 4" xfId="8514" xr:uid="{00000000-0005-0000-0000-0000FC300000}"/>
    <cellStyle name="Explanatory Text 15 4 2" xfId="17313" xr:uid="{00000000-0005-0000-0000-0000FD300000}"/>
    <cellStyle name="Explanatory Text 15 5" xfId="8515" xr:uid="{00000000-0005-0000-0000-0000FE300000}"/>
    <cellStyle name="Explanatory Text 15 5 2" xfId="17314" xr:uid="{00000000-0005-0000-0000-0000FF300000}"/>
    <cellStyle name="Explanatory Text 15 6" xfId="8516" xr:uid="{00000000-0005-0000-0000-000000310000}"/>
    <cellStyle name="Explanatory Text 15 6 2" xfId="17315" xr:uid="{00000000-0005-0000-0000-000001310000}"/>
    <cellStyle name="Explanatory Text 15 7" xfId="8517" xr:uid="{00000000-0005-0000-0000-000002310000}"/>
    <cellStyle name="Explanatory Text 15 7 2" xfId="17316" xr:uid="{00000000-0005-0000-0000-000003310000}"/>
    <cellStyle name="Explanatory Text 15 8" xfId="8518" xr:uid="{00000000-0005-0000-0000-000004310000}"/>
    <cellStyle name="Explanatory Text 15 8 2" xfId="17317" xr:uid="{00000000-0005-0000-0000-000005310000}"/>
    <cellStyle name="Explanatory Text 15 9" xfId="8519" xr:uid="{00000000-0005-0000-0000-000006310000}"/>
    <cellStyle name="Explanatory Text 15 9 2" xfId="17318" xr:uid="{00000000-0005-0000-0000-000007310000}"/>
    <cellStyle name="Explanatory Text 16" xfId="8520" xr:uid="{00000000-0005-0000-0000-000008310000}"/>
    <cellStyle name="Explanatory Text 16 10" xfId="8521" xr:uid="{00000000-0005-0000-0000-000009310000}"/>
    <cellStyle name="Explanatory Text 16 10 2" xfId="17319" xr:uid="{00000000-0005-0000-0000-00000A310000}"/>
    <cellStyle name="Explanatory Text 16 11" xfId="8522" xr:uid="{00000000-0005-0000-0000-00000B310000}"/>
    <cellStyle name="Explanatory Text 16 11 2" xfId="17320" xr:uid="{00000000-0005-0000-0000-00000C310000}"/>
    <cellStyle name="Explanatory Text 16 2" xfId="8523" xr:uid="{00000000-0005-0000-0000-00000D310000}"/>
    <cellStyle name="Explanatory Text 16 2 2" xfId="8524" xr:uid="{00000000-0005-0000-0000-00000E310000}"/>
    <cellStyle name="Explanatory Text 16 2 2 2" xfId="17321" xr:uid="{00000000-0005-0000-0000-00000F310000}"/>
    <cellStyle name="Explanatory Text 16 3" xfId="8525" xr:uid="{00000000-0005-0000-0000-000010310000}"/>
    <cellStyle name="Explanatory Text 16 3 2" xfId="8526" xr:uid="{00000000-0005-0000-0000-000011310000}"/>
    <cellStyle name="Explanatory Text 16 3 2 2" xfId="17322" xr:uid="{00000000-0005-0000-0000-000012310000}"/>
    <cellStyle name="Explanatory Text 16 4" xfId="8527" xr:uid="{00000000-0005-0000-0000-000013310000}"/>
    <cellStyle name="Explanatory Text 16 4 2" xfId="17323" xr:uid="{00000000-0005-0000-0000-000014310000}"/>
    <cellStyle name="Explanatory Text 16 5" xfId="8528" xr:uid="{00000000-0005-0000-0000-000015310000}"/>
    <cellStyle name="Explanatory Text 16 5 2" xfId="17324" xr:uid="{00000000-0005-0000-0000-000016310000}"/>
    <cellStyle name="Explanatory Text 16 6" xfId="8529" xr:uid="{00000000-0005-0000-0000-000017310000}"/>
    <cellStyle name="Explanatory Text 16 6 2" xfId="17325" xr:uid="{00000000-0005-0000-0000-000018310000}"/>
    <cellStyle name="Explanatory Text 16 7" xfId="8530" xr:uid="{00000000-0005-0000-0000-000019310000}"/>
    <cellStyle name="Explanatory Text 16 7 2" xfId="17326" xr:uid="{00000000-0005-0000-0000-00001A310000}"/>
    <cellStyle name="Explanatory Text 16 8" xfId="8531" xr:uid="{00000000-0005-0000-0000-00001B310000}"/>
    <cellStyle name="Explanatory Text 16 8 2" xfId="17327" xr:uid="{00000000-0005-0000-0000-00001C310000}"/>
    <cellStyle name="Explanatory Text 16 9" xfId="8532" xr:uid="{00000000-0005-0000-0000-00001D310000}"/>
    <cellStyle name="Explanatory Text 16 9 2" xfId="17328" xr:uid="{00000000-0005-0000-0000-00001E310000}"/>
    <cellStyle name="Explanatory Text 17" xfId="8533" xr:uid="{00000000-0005-0000-0000-00001F310000}"/>
    <cellStyle name="Explanatory Text 17 10" xfId="8534" xr:uid="{00000000-0005-0000-0000-000020310000}"/>
    <cellStyle name="Explanatory Text 17 10 2" xfId="17329" xr:uid="{00000000-0005-0000-0000-000021310000}"/>
    <cellStyle name="Explanatory Text 17 11" xfId="8535" xr:uid="{00000000-0005-0000-0000-000022310000}"/>
    <cellStyle name="Explanatory Text 17 11 2" xfId="17330" xr:uid="{00000000-0005-0000-0000-000023310000}"/>
    <cellStyle name="Explanatory Text 17 2" xfId="8536" xr:uid="{00000000-0005-0000-0000-000024310000}"/>
    <cellStyle name="Explanatory Text 17 2 2" xfId="8537" xr:uid="{00000000-0005-0000-0000-000025310000}"/>
    <cellStyle name="Explanatory Text 17 2 2 2" xfId="17331" xr:uid="{00000000-0005-0000-0000-000026310000}"/>
    <cellStyle name="Explanatory Text 17 3" xfId="8538" xr:uid="{00000000-0005-0000-0000-000027310000}"/>
    <cellStyle name="Explanatory Text 17 3 2" xfId="8539" xr:uid="{00000000-0005-0000-0000-000028310000}"/>
    <cellStyle name="Explanatory Text 17 3 2 2" xfId="17332" xr:uid="{00000000-0005-0000-0000-000029310000}"/>
    <cellStyle name="Explanatory Text 17 4" xfId="8540" xr:uid="{00000000-0005-0000-0000-00002A310000}"/>
    <cellStyle name="Explanatory Text 17 4 2" xfId="17333" xr:uid="{00000000-0005-0000-0000-00002B310000}"/>
    <cellStyle name="Explanatory Text 17 5" xfId="8541" xr:uid="{00000000-0005-0000-0000-00002C310000}"/>
    <cellStyle name="Explanatory Text 17 5 2" xfId="17334" xr:uid="{00000000-0005-0000-0000-00002D310000}"/>
    <cellStyle name="Explanatory Text 17 6" xfId="8542" xr:uid="{00000000-0005-0000-0000-00002E310000}"/>
    <cellStyle name="Explanatory Text 17 6 2" xfId="17335" xr:uid="{00000000-0005-0000-0000-00002F310000}"/>
    <cellStyle name="Explanatory Text 17 7" xfId="8543" xr:uid="{00000000-0005-0000-0000-000030310000}"/>
    <cellStyle name="Explanatory Text 17 7 2" xfId="17336" xr:uid="{00000000-0005-0000-0000-000031310000}"/>
    <cellStyle name="Explanatory Text 17 8" xfId="8544" xr:uid="{00000000-0005-0000-0000-000032310000}"/>
    <cellStyle name="Explanatory Text 17 8 2" xfId="17337" xr:uid="{00000000-0005-0000-0000-000033310000}"/>
    <cellStyle name="Explanatory Text 17 9" xfId="8545" xr:uid="{00000000-0005-0000-0000-000034310000}"/>
    <cellStyle name="Explanatory Text 17 9 2" xfId="17338" xr:uid="{00000000-0005-0000-0000-000035310000}"/>
    <cellStyle name="Explanatory Text 18" xfId="8546" xr:uid="{00000000-0005-0000-0000-000036310000}"/>
    <cellStyle name="Explanatory Text 18 2" xfId="8547" xr:uid="{00000000-0005-0000-0000-000037310000}"/>
    <cellStyle name="Explanatory Text 18 2 2" xfId="8548" xr:uid="{00000000-0005-0000-0000-000038310000}"/>
    <cellStyle name="Explanatory Text 18 2 2 2" xfId="17339" xr:uid="{00000000-0005-0000-0000-000039310000}"/>
    <cellStyle name="Explanatory Text 18 3" xfId="8549" xr:uid="{00000000-0005-0000-0000-00003A310000}"/>
    <cellStyle name="Explanatory Text 18 3 2" xfId="17340" xr:uid="{00000000-0005-0000-0000-00003B310000}"/>
    <cellStyle name="Explanatory Text 18 4" xfId="8550" xr:uid="{00000000-0005-0000-0000-00003C310000}"/>
    <cellStyle name="Explanatory Text 18 4 2" xfId="17341" xr:uid="{00000000-0005-0000-0000-00003D310000}"/>
    <cellStyle name="Explanatory Text 18 5" xfId="8551" xr:uid="{00000000-0005-0000-0000-00003E310000}"/>
    <cellStyle name="Explanatory Text 18 5 2" xfId="17342" xr:uid="{00000000-0005-0000-0000-00003F310000}"/>
    <cellStyle name="Explanatory Text 18 6" xfId="8552" xr:uid="{00000000-0005-0000-0000-000040310000}"/>
    <cellStyle name="Explanatory Text 18 6 2" xfId="17343" xr:uid="{00000000-0005-0000-0000-000041310000}"/>
    <cellStyle name="Explanatory Text 18 7" xfId="8553" xr:uid="{00000000-0005-0000-0000-000042310000}"/>
    <cellStyle name="Explanatory Text 18 7 2" xfId="17344" xr:uid="{00000000-0005-0000-0000-000043310000}"/>
    <cellStyle name="Explanatory Text 18 8" xfId="8554" xr:uid="{00000000-0005-0000-0000-000044310000}"/>
    <cellStyle name="Explanatory Text 18 8 2" xfId="17345" xr:uid="{00000000-0005-0000-0000-000045310000}"/>
    <cellStyle name="Explanatory Text 18 9" xfId="8555" xr:uid="{00000000-0005-0000-0000-000046310000}"/>
    <cellStyle name="Explanatory Text 18 9 2" xfId="17346" xr:uid="{00000000-0005-0000-0000-000047310000}"/>
    <cellStyle name="Explanatory Text 19" xfId="8556" xr:uid="{00000000-0005-0000-0000-000048310000}"/>
    <cellStyle name="Explanatory Text 19 2" xfId="8557" xr:uid="{00000000-0005-0000-0000-000049310000}"/>
    <cellStyle name="Explanatory Text 19 2 2" xfId="8558" xr:uid="{00000000-0005-0000-0000-00004A310000}"/>
    <cellStyle name="Explanatory Text 19 2 2 2" xfId="17347" xr:uid="{00000000-0005-0000-0000-00004B310000}"/>
    <cellStyle name="Explanatory Text 19 3" xfId="8559" xr:uid="{00000000-0005-0000-0000-00004C310000}"/>
    <cellStyle name="Explanatory Text 19 3 2" xfId="17348" xr:uid="{00000000-0005-0000-0000-00004D310000}"/>
    <cellStyle name="Explanatory Text 19 4" xfId="8560" xr:uid="{00000000-0005-0000-0000-00004E310000}"/>
    <cellStyle name="Explanatory Text 19 4 2" xfId="17349" xr:uid="{00000000-0005-0000-0000-00004F310000}"/>
    <cellStyle name="Explanatory Text 19 5" xfId="8561" xr:uid="{00000000-0005-0000-0000-000050310000}"/>
    <cellStyle name="Explanatory Text 19 5 2" xfId="17350" xr:uid="{00000000-0005-0000-0000-000051310000}"/>
    <cellStyle name="Explanatory Text 19 6" xfId="8562" xr:uid="{00000000-0005-0000-0000-000052310000}"/>
    <cellStyle name="Explanatory Text 19 6 2" xfId="17351" xr:uid="{00000000-0005-0000-0000-000053310000}"/>
    <cellStyle name="Explanatory Text 19 7" xfId="8563" xr:uid="{00000000-0005-0000-0000-000054310000}"/>
    <cellStyle name="Explanatory Text 19 7 2" xfId="17352" xr:uid="{00000000-0005-0000-0000-000055310000}"/>
    <cellStyle name="Explanatory Text 19 8" xfId="8564" xr:uid="{00000000-0005-0000-0000-000056310000}"/>
    <cellStyle name="Explanatory Text 19 8 2" xfId="17353" xr:uid="{00000000-0005-0000-0000-000057310000}"/>
    <cellStyle name="Explanatory Text 19 9" xfId="8565" xr:uid="{00000000-0005-0000-0000-000058310000}"/>
    <cellStyle name="Explanatory Text 19 9 2" xfId="17354" xr:uid="{00000000-0005-0000-0000-000059310000}"/>
    <cellStyle name="Explanatory Text 2" xfId="8566" xr:uid="{00000000-0005-0000-0000-00005A310000}"/>
    <cellStyle name="Explanatory Text 2 10" xfId="8567" xr:uid="{00000000-0005-0000-0000-00005B310000}"/>
    <cellStyle name="Explanatory Text 2 10 2" xfId="17355" xr:uid="{00000000-0005-0000-0000-00005C310000}"/>
    <cellStyle name="Explanatory Text 2 11" xfId="8568" xr:uid="{00000000-0005-0000-0000-00005D310000}"/>
    <cellStyle name="Explanatory Text 2 11 2" xfId="17356" xr:uid="{00000000-0005-0000-0000-00005E310000}"/>
    <cellStyle name="Explanatory Text 2 2" xfId="8569" xr:uid="{00000000-0005-0000-0000-00005F310000}"/>
    <cellStyle name="Explanatory Text 2 2 2" xfId="8570" xr:uid="{00000000-0005-0000-0000-000060310000}"/>
    <cellStyle name="Explanatory Text 2 2 2 2" xfId="17357" xr:uid="{00000000-0005-0000-0000-000061310000}"/>
    <cellStyle name="Explanatory Text 2 3" xfId="8571" xr:uid="{00000000-0005-0000-0000-000062310000}"/>
    <cellStyle name="Explanatory Text 2 3 2" xfId="8572" xr:uid="{00000000-0005-0000-0000-000063310000}"/>
    <cellStyle name="Explanatory Text 2 3 2 2" xfId="17358" xr:uid="{00000000-0005-0000-0000-000064310000}"/>
    <cellStyle name="Explanatory Text 2 4" xfId="8573" xr:uid="{00000000-0005-0000-0000-000065310000}"/>
    <cellStyle name="Explanatory Text 2 4 2" xfId="8574" xr:uid="{00000000-0005-0000-0000-000066310000}"/>
    <cellStyle name="Explanatory Text 2 4 3" xfId="17359" xr:uid="{00000000-0005-0000-0000-000067310000}"/>
    <cellStyle name="Explanatory Text 2 5" xfId="8575" xr:uid="{00000000-0005-0000-0000-000068310000}"/>
    <cellStyle name="Explanatory Text 2 5 2" xfId="17360" xr:uid="{00000000-0005-0000-0000-000069310000}"/>
    <cellStyle name="Explanatory Text 2 6" xfId="8576" xr:uid="{00000000-0005-0000-0000-00006A310000}"/>
    <cellStyle name="Explanatory Text 2 6 2" xfId="17361" xr:uid="{00000000-0005-0000-0000-00006B310000}"/>
    <cellStyle name="Explanatory Text 2 7" xfId="8577" xr:uid="{00000000-0005-0000-0000-00006C310000}"/>
    <cellStyle name="Explanatory Text 2 7 2" xfId="17362" xr:uid="{00000000-0005-0000-0000-00006D310000}"/>
    <cellStyle name="Explanatory Text 2 8" xfId="8578" xr:uid="{00000000-0005-0000-0000-00006E310000}"/>
    <cellStyle name="Explanatory Text 2 8 2" xfId="17363" xr:uid="{00000000-0005-0000-0000-00006F310000}"/>
    <cellStyle name="Explanatory Text 2 9" xfId="8579" xr:uid="{00000000-0005-0000-0000-000070310000}"/>
    <cellStyle name="Explanatory Text 2 9 2" xfId="17364" xr:uid="{00000000-0005-0000-0000-000071310000}"/>
    <cellStyle name="Explanatory Text 20" xfId="8580" xr:uid="{00000000-0005-0000-0000-000072310000}"/>
    <cellStyle name="Explanatory Text 20 2" xfId="8581" xr:uid="{00000000-0005-0000-0000-000073310000}"/>
    <cellStyle name="Explanatory Text 20 2 2" xfId="17365" xr:uid="{00000000-0005-0000-0000-000074310000}"/>
    <cellStyle name="Explanatory Text 20 3" xfId="8582" xr:uid="{00000000-0005-0000-0000-000075310000}"/>
    <cellStyle name="Explanatory Text 20 3 2" xfId="17366" xr:uid="{00000000-0005-0000-0000-000076310000}"/>
    <cellStyle name="Explanatory Text 20 4" xfId="8583" xr:uid="{00000000-0005-0000-0000-000077310000}"/>
    <cellStyle name="Explanatory Text 20 4 2" xfId="17367" xr:uid="{00000000-0005-0000-0000-000078310000}"/>
    <cellStyle name="Explanatory Text 20 5" xfId="8584" xr:uid="{00000000-0005-0000-0000-000079310000}"/>
    <cellStyle name="Explanatory Text 20 5 2" xfId="17368" xr:uid="{00000000-0005-0000-0000-00007A310000}"/>
    <cellStyle name="Explanatory Text 20 6" xfId="8585" xr:uid="{00000000-0005-0000-0000-00007B310000}"/>
    <cellStyle name="Explanatory Text 20 6 2" xfId="17369" xr:uid="{00000000-0005-0000-0000-00007C310000}"/>
    <cellStyle name="Explanatory Text 20 7" xfId="8586" xr:uid="{00000000-0005-0000-0000-00007D310000}"/>
    <cellStyle name="Explanatory Text 20 7 2" xfId="17370" xr:uid="{00000000-0005-0000-0000-00007E310000}"/>
    <cellStyle name="Explanatory Text 20 8" xfId="8587" xr:uid="{00000000-0005-0000-0000-00007F310000}"/>
    <cellStyle name="Explanatory Text 20 8 2" xfId="17371" xr:uid="{00000000-0005-0000-0000-000080310000}"/>
    <cellStyle name="Explanatory Text 20 9" xfId="8588" xr:uid="{00000000-0005-0000-0000-000081310000}"/>
    <cellStyle name="Explanatory Text 20 9 2" xfId="17372" xr:uid="{00000000-0005-0000-0000-000082310000}"/>
    <cellStyle name="Explanatory Text 21" xfId="8589" xr:uid="{00000000-0005-0000-0000-000083310000}"/>
    <cellStyle name="Explanatory Text 21 2" xfId="8590" xr:uid="{00000000-0005-0000-0000-000084310000}"/>
    <cellStyle name="Explanatory Text 21 2 2" xfId="17373" xr:uid="{00000000-0005-0000-0000-000085310000}"/>
    <cellStyle name="Explanatory Text 21 3" xfId="8591" xr:uid="{00000000-0005-0000-0000-000086310000}"/>
    <cellStyle name="Explanatory Text 21 3 2" xfId="17374" xr:uid="{00000000-0005-0000-0000-000087310000}"/>
    <cellStyle name="Explanatory Text 21 4" xfId="8592" xr:uid="{00000000-0005-0000-0000-000088310000}"/>
    <cellStyle name="Explanatory Text 21 4 2" xfId="17375" xr:uid="{00000000-0005-0000-0000-000089310000}"/>
    <cellStyle name="Explanatory Text 21 5" xfId="8593" xr:uid="{00000000-0005-0000-0000-00008A310000}"/>
    <cellStyle name="Explanatory Text 21 5 2" xfId="17376" xr:uid="{00000000-0005-0000-0000-00008B310000}"/>
    <cellStyle name="Explanatory Text 21 6" xfId="8594" xr:uid="{00000000-0005-0000-0000-00008C310000}"/>
    <cellStyle name="Explanatory Text 21 6 2" xfId="17377" xr:uid="{00000000-0005-0000-0000-00008D310000}"/>
    <cellStyle name="Explanatory Text 21 7" xfId="8595" xr:uid="{00000000-0005-0000-0000-00008E310000}"/>
    <cellStyle name="Explanatory Text 21 7 2" xfId="17378" xr:uid="{00000000-0005-0000-0000-00008F310000}"/>
    <cellStyle name="Explanatory Text 21 8" xfId="8596" xr:uid="{00000000-0005-0000-0000-000090310000}"/>
    <cellStyle name="Explanatory Text 21 8 2" xfId="17379" xr:uid="{00000000-0005-0000-0000-000091310000}"/>
    <cellStyle name="Explanatory Text 21 9" xfId="8597" xr:uid="{00000000-0005-0000-0000-000092310000}"/>
    <cellStyle name="Explanatory Text 21 9 2" xfId="17380" xr:uid="{00000000-0005-0000-0000-000093310000}"/>
    <cellStyle name="Explanatory Text 22" xfId="8598" xr:uid="{00000000-0005-0000-0000-000094310000}"/>
    <cellStyle name="Explanatory Text 22 2" xfId="8599" xr:uid="{00000000-0005-0000-0000-000095310000}"/>
    <cellStyle name="Explanatory Text 22 2 2" xfId="17381" xr:uid="{00000000-0005-0000-0000-000096310000}"/>
    <cellStyle name="Explanatory Text 22 3" xfId="8600" xr:uid="{00000000-0005-0000-0000-000097310000}"/>
    <cellStyle name="Explanatory Text 22 3 2" xfId="17382" xr:uid="{00000000-0005-0000-0000-000098310000}"/>
    <cellStyle name="Explanatory Text 22 4" xfId="8601" xr:uid="{00000000-0005-0000-0000-000099310000}"/>
    <cellStyle name="Explanatory Text 22 4 2" xfId="17383" xr:uid="{00000000-0005-0000-0000-00009A310000}"/>
    <cellStyle name="Explanatory Text 22 5" xfId="8602" xr:uid="{00000000-0005-0000-0000-00009B310000}"/>
    <cellStyle name="Explanatory Text 22 5 2" xfId="17384" xr:uid="{00000000-0005-0000-0000-00009C310000}"/>
    <cellStyle name="Explanatory Text 22 6" xfId="8603" xr:uid="{00000000-0005-0000-0000-00009D310000}"/>
    <cellStyle name="Explanatory Text 22 6 2" xfId="17385" xr:uid="{00000000-0005-0000-0000-00009E310000}"/>
    <cellStyle name="Explanatory Text 22 7" xfId="8604" xr:uid="{00000000-0005-0000-0000-00009F310000}"/>
    <cellStyle name="Explanatory Text 22 7 2" xfId="17386" xr:uid="{00000000-0005-0000-0000-0000A0310000}"/>
    <cellStyle name="Explanatory Text 22 8" xfId="8605" xr:uid="{00000000-0005-0000-0000-0000A1310000}"/>
    <cellStyle name="Explanatory Text 22 8 2" xfId="17387" xr:uid="{00000000-0005-0000-0000-0000A2310000}"/>
    <cellStyle name="Explanatory Text 22 9" xfId="8606" xr:uid="{00000000-0005-0000-0000-0000A3310000}"/>
    <cellStyle name="Explanatory Text 22 9 2" xfId="17388" xr:uid="{00000000-0005-0000-0000-0000A4310000}"/>
    <cellStyle name="Explanatory Text 23" xfId="8607" xr:uid="{00000000-0005-0000-0000-0000A5310000}"/>
    <cellStyle name="Explanatory Text 23 2" xfId="8608" xr:uid="{00000000-0005-0000-0000-0000A6310000}"/>
    <cellStyle name="Explanatory Text 23 2 2" xfId="17389" xr:uid="{00000000-0005-0000-0000-0000A7310000}"/>
    <cellStyle name="Explanatory Text 23 3" xfId="8609" xr:uid="{00000000-0005-0000-0000-0000A8310000}"/>
    <cellStyle name="Explanatory Text 23 3 2" xfId="17390" xr:uid="{00000000-0005-0000-0000-0000A9310000}"/>
    <cellStyle name="Explanatory Text 23 4" xfId="8610" xr:uid="{00000000-0005-0000-0000-0000AA310000}"/>
    <cellStyle name="Explanatory Text 23 4 2" xfId="17391" xr:uid="{00000000-0005-0000-0000-0000AB310000}"/>
    <cellStyle name="Explanatory Text 23 5" xfId="8611" xr:uid="{00000000-0005-0000-0000-0000AC310000}"/>
    <cellStyle name="Explanatory Text 23 5 2" xfId="17392" xr:uid="{00000000-0005-0000-0000-0000AD310000}"/>
    <cellStyle name="Explanatory Text 23 6" xfId="8612" xr:uid="{00000000-0005-0000-0000-0000AE310000}"/>
    <cellStyle name="Explanatory Text 23 6 2" xfId="17393" xr:uid="{00000000-0005-0000-0000-0000AF310000}"/>
    <cellStyle name="Explanatory Text 23 7" xfId="8613" xr:uid="{00000000-0005-0000-0000-0000B0310000}"/>
    <cellStyle name="Explanatory Text 23 7 2" xfId="17394" xr:uid="{00000000-0005-0000-0000-0000B1310000}"/>
    <cellStyle name="Explanatory Text 23 8" xfId="8614" xr:uid="{00000000-0005-0000-0000-0000B2310000}"/>
    <cellStyle name="Explanatory Text 23 8 2" xfId="17395" xr:uid="{00000000-0005-0000-0000-0000B3310000}"/>
    <cellStyle name="Explanatory Text 23 9" xfId="8615" xr:uid="{00000000-0005-0000-0000-0000B4310000}"/>
    <cellStyle name="Explanatory Text 23 9 2" xfId="17396" xr:uid="{00000000-0005-0000-0000-0000B5310000}"/>
    <cellStyle name="Explanatory Text 24" xfId="8616" xr:uid="{00000000-0005-0000-0000-0000B6310000}"/>
    <cellStyle name="Explanatory Text 24 2" xfId="8617" xr:uid="{00000000-0005-0000-0000-0000B7310000}"/>
    <cellStyle name="Explanatory Text 24 2 2" xfId="17397" xr:uid="{00000000-0005-0000-0000-0000B8310000}"/>
    <cellStyle name="Explanatory Text 24 3" xfId="8618" xr:uid="{00000000-0005-0000-0000-0000B9310000}"/>
    <cellStyle name="Explanatory Text 24 3 2" xfId="17398" xr:uid="{00000000-0005-0000-0000-0000BA310000}"/>
    <cellStyle name="Explanatory Text 24 4" xfId="8619" xr:uid="{00000000-0005-0000-0000-0000BB310000}"/>
    <cellStyle name="Explanatory Text 24 4 2" xfId="17399" xr:uid="{00000000-0005-0000-0000-0000BC310000}"/>
    <cellStyle name="Explanatory Text 24 5" xfId="8620" xr:uid="{00000000-0005-0000-0000-0000BD310000}"/>
    <cellStyle name="Explanatory Text 24 5 2" xfId="17400" xr:uid="{00000000-0005-0000-0000-0000BE310000}"/>
    <cellStyle name="Explanatory Text 24 6" xfId="8621" xr:uid="{00000000-0005-0000-0000-0000BF310000}"/>
    <cellStyle name="Explanatory Text 24 6 2" xfId="17401" xr:uid="{00000000-0005-0000-0000-0000C0310000}"/>
    <cellStyle name="Explanatory Text 24 7" xfId="8622" xr:uid="{00000000-0005-0000-0000-0000C1310000}"/>
    <cellStyle name="Explanatory Text 24 7 2" xfId="17402" xr:uid="{00000000-0005-0000-0000-0000C2310000}"/>
    <cellStyle name="Explanatory Text 24 8" xfId="8623" xr:uid="{00000000-0005-0000-0000-0000C3310000}"/>
    <cellStyle name="Explanatory Text 24 8 2" xfId="17403" xr:uid="{00000000-0005-0000-0000-0000C4310000}"/>
    <cellStyle name="Explanatory Text 24 9" xfId="8624" xr:uid="{00000000-0005-0000-0000-0000C5310000}"/>
    <cellStyle name="Explanatory Text 24 9 2" xfId="17404" xr:uid="{00000000-0005-0000-0000-0000C6310000}"/>
    <cellStyle name="Explanatory Text 25" xfId="8625" xr:uid="{00000000-0005-0000-0000-0000C7310000}"/>
    <cellStyle name="Explanatory Text 25 2" xfId="8626" xr:uid="{00000000-0005-0000-0000-0000C8310000}"/>
    <cellStyle name="Explanatory Text 25 2 2" xfId="17405" xr:uid="{00000000-0005-0000-0000-0000C9310000}"/>
    <cellStyle name="Explanatory Text 25 3" xfId="8627" xr:uid="{00000000-0005-0000-0000-0000CA310000}"/>
    <cellStyle name="Explanatory Text 25 3 2" xfId="17406" xr:uid="{00000000-0005-0000-0000-0000CB310000}"/>
    <cellStyle name="Explanatory Text 25 4" xfId="8628" xr:uid="{00000000-0005-0000-0000-0000CC310000}"/>
    <cellStyle name="Explanatory Text 25 4 2" xfId="17407" xr:uid="{00000000-0005-0000-0000-0000CD310000}"/>
    <cellStyle name="Explanatory Text 25 5" xfId="8629" xr:uid="{00000000-0005-0000-0000-0000CE310000}"/>
    <cellStyle name="Explanatory Text 25 5 2" xfId="17408" xr:uid="{00000000-0005-0000-0000-0000CF310000}"/>
    <cellStyle name="Explanatory Text 25 6" xfId="8630" xr:uid="{00000000-0005-0000-0000-0000D0310000}"/>
    <cellStyle name="Explanatory Text 25 6 2" xfId="17409" xr:uid="{00000000-0005-0000-0000-0000D1310000}"/>
    <cellStyle name="Explanatory Text 25 7" xfId="8631" xr:uid="{00000000-0005-0000-0000-0000D2310000}"/>
    <cellStyle name="Explanatory Text 25 7 2" xfId="17410" xr:uid="{00000000-0005-0000-0000-0000D3310000}"/>
    <cellStyle name="Explanatory Text 25 8" xfId="8632" xr:uid="{00000000-0005-0000-0000-0000D4310000}"/>
    <cellStyle name="Explanatory Text 25 8 2" xfId="17411" xr:uid="{00000000-0005-0000-0000-0000D5310000}"/>
    <cellStyle name="Explanatory Text 25 9" xfId="8633" xr:uid="{00000000-0005-0000-0000-0000D6310000}"/>
    <cellStyle name="Explanatory Text 25 9 2" xfId="17412" xr:uid="{00000000-0005-0000-0000-0000D7310000}"/>
    <cellStyle name="Explanatory Text 26" xfId="8634" xr:uid="{00000000-0005-0000-0000-0000D8310000}"/>
    <cellStyle name="Explanatory Text 26 2" xfId="8635" xr:uid="{00000000-0005-0000-0000-0000D9310000}"/>
    <cellStyle name="Explanatory Text 26 2 2" xfId="17413" xr:uid="{00000000-0005-0000-0000-0000DA310000}"/>
    <cellStyle name="Explanatory Text 26 3" xfId="8636" xr:uid="{00000000-0005-0000-0000-0000DB310000}"/>
    <cellStyle name="Explanatory Text 26 3 2" xfId="17414" xr:uid="{00000000-0005-0000-0000-0000DC310000}"/>
    <cellStyle name="Explanatory Text 26 4" xfId="8637" xr:uid="{00000000-0005-0000-0000-0000DD310000}"/>
    <cellStyle name="Explanatory Text 26 4 2" xfId="17415" xr:uid="{00000000-0005-0000-0000-0000DE310000}"/>
    <cellStyle name="Explanatory Text 26 5" xfId="8638" xr:uid="{00000000-0005-0000-0000-0000DF310000}"/>
    <cellStyle name="Explanatory Text 26 5 2" xfId="17416" xr:uid="{00000000-0005-0000-0000-0000E0310000}"/>
    <cellStyle name="Explanatory Text 26 6" xfId="8639" xr:uid="{00000000-0005-0000-0000-0000E1310000}"/>
    <cellStyle name="Explanatory Text 26 6 2" xfId="17417" xr:uid="{00000000-0005-0000-0000-0000E2310000}"/>
    <cellStyle name="Explanatory Text 26 7" xfId="8640" xr:uid="{00000000-0005-0000-0000-0000E3310000}"/>
    <cellStyle name="Explanatory Text 26 7 2" xfId="17418" xr:uid="{00000000-0005-0000-0000-0000E4310000}"/>
    <cellStyle name="Explanatory Text 26 8" xfId="8641" xr:uid="{00000000-0005-0000-0000-0000E5310000}"/>
    <cellStyle name="Explanatory Text 26 8 2" xfId="17419" xr:uid="{00000000-0005-0000-0000-0000E6310000}"/>
    <cellStyle name="Explanatory Text 26 9" xfId="8642" xr:uid="{00000000-0005-0000-0000-0000E7310000}"/>
    <cellStyle name="Explanatory Text 26 9 2" xfId="17420" xr:uid="{00000000-0005-0000-0000-0000E8310000}"/>
    <cellStyle name="Explanatory Text 27" xfId="8643" xr:uid="{00000000-0005-0000-0000-0000E9310000}"/>
    <cellStyle name="Explanatory Text 27 2" xfId="8644" xr:uid="{00000000-0005-0000-0000-0000EA310000}"/>
    <cellStyle name="Explanatory Text 27 2 2" xfId="17421" xr:uid="{00000000-0005-0000-0000-0000EB310000}"/>
    <cellStyle name="Explanatory Text 27 3" xfId="8645" xr:uid="{00000000-0005-0000-0000-0000EC310000}"/>
    <cellStyle name="Explanatory Text 27 3 2" xfId="17422" xr:uid="{00000000-0005-0000-0000-0000ED310000}"/>
    <cellStyle name="Explanatory Text 27 4" xfId="8646" xr:uid="{00000000-0005-0000-0000-0000EE310000}"/>
    <cellStyle name="Explanatory Text 27 4 2" xfId="17423" xr:uid="{00000000-0005-0000-0000-0000EF310000}"/>
    <cellStyle name="Explanatory Text 27 5" xfId="8647" xr:uid="{00000000-0005-0000-0000-0000F0310000}"/>
    <cellStyle name="Explanatory Text 27 5 2" xfId="17424" xr:uid="{00000000-0005-0000-0000-0000F1310000}"/>
    <cellStyle name="Explanatory Text 27 6" xfId="8648" xr:uid="{00000000-0005-0000-0000-0000F2310000}"/>
    <cellStyle name="Explanatory Text 27 6 2" xfId="17425" xr:uid="{00000000-0005-0000-0000-0000F3310000}"/>
    <cellStyle name="Explanatory Text 27 7" xfId="8649" xr:uid="{00000000-0005-0000-0000-0000F4310000}"/>
    <cellStyle name="Explanatory Text 27 7 2" xfId="17426" xr:uid="{00000000-0005-0000-0000-0000F5310000}"/>
    <cellStyle name="Explanatory Text 27 8" xfId="8650" xr:uid="{00000000-0005-0000-0000-0000F6310000}"/>
    <cellStyle name="Explanatory Text 27 8 2" xfId="17427" xr:uid="{00000000-0005-0000-0000-0000F7310000}"/>
    <cellStyle name="Explanatory Text 27 9" xfId="8651" xr:uid="{00000000-0005-0000-0000-0000F8310000}"/>
    <cellStyle name="Explanatory Text 27 9 2" xfId="17428" xr:uid="{00000000-0005-0000-0000-0000F9310000}"/>
    <cellStyle name="Explanatory Text 28" xfId="8652" xr:uid="{00000000-0005-0000-0000-0000FA310000}"/>
    <cellStyle name="Explanatory Text 28 2" xfId="8653" xr:uid="{00000000-0005-0000-0000-0000FB310000}"/>
    <cellStyle name="Explanatory Text 28 2 2" xfId="17429" xr:uid="{00000000-0005-0000-0000-0000FC310000}"/>
    <cellStyle name="Explanatory Text 28 3" xfId="8654" xr:uid="{00000000-0005-0000-0000-0000FD310000}"/>
    <cellStyle name="Explanatory Text 28 3 2" xfId="17430" xr:uid="{00000000-0005-0000-0000-0000FE310000}"/>
    <cellStyle name="Explanatory Text 28 4" xfId="8655" xr:uid="{00000000-0005-0000-0000-0000FF310000}"/>
    <cellStyle name="Explanatory Text 28 4 2" xfId="17431" xr:uid="{00000000-0005-0000-0000-000000320000}"/>
    <cellStyle name="Explanatory Text 28 5" xfId="8656" xr:uid="{00000000-0005-0000-0000-000001320000}"/>
    <cellStyle name="Explanatory Text 28 5 2" xfId="17432" xr:uid="{00000000-0005-0000-0000-000002320000}"/>
    <cellStyle name="Explanatory Text 28 6" xfId="8657" xr:uid="{00000000-0005-0000-0000-000003320000}"/>
    <cellStyle name="Explanatory Text 28 6 2" xfId="17433" xr:uid="{00000000-0005-0000-0000-000004320000}"/>
    <cellStyle name="Explanatory Text 28 7" xfId="8658" xr:uid="{00000000-0005-0000-0000-000005320000}"/>
    <cellStyle name="Explanatory Text 28 7 2" xfId="17434" xr:uid="{00000000-0005-0000-0000-000006320000}"/>
    <cellStyle name="Explanatory Text 28 8" xfId="8659" xr:uid="{00000000-0005-0000-0000-000007320000}"/>
    <cellStyle name="Explanatory Text 28 8 2" xfId="17435" xr:uid="{00000000-0005-0000-0000-000008320000}"/>
    <cellStyle name="Explanatory Text 28 9" xfId="8660" xr:uid="{00000000-0005-0000-0000-000009320000}"/>
    <cellStyle name="Explanatory Text 28 9 2" xfId="17436" xr:uid="{00000000-0005-0000-0000-00000A320000}"/>
    <cellStyle name="Explanatory Text 29" xfId="8661" xr:uid="{00000000-0005-0000-0000-00000B320000}"/>
    <cellStyle name="Explanatory Text 29 2" xfId="8662" xr:uid="{00000000-0005-0000-0000-00000C320000}"/>
    <cellStyle name="Explanatory Text 29 2 2" xfId="17437" xr:uid="{00000000-0005-0000-0000-00000D320000}"/>
    <cellStyle name="Explanatory Text 29 3" xfId="8663" xr:uid="{00000000-0005-0000-0000-00000E320000}"/>
    <cellStyle name="Explanatory Text 29 3 2" xfId="17438" xr:uid="{00000000-0005-0000-0000-00000F320000}"/>
    <cellStyle name="Explanatory Text 29 4" xfId="8664" xr:uid="{00000000-0005-0000-0000-000010320000}"/>
    <cellStyle name="Explanatory Text 29 4 2" xfId="17439" xr:uid="{00000000-0005-0000-0000-000011320000}"/>
    <cellStyle name="Explanatory Text 29 5" xfId="8665" xr:uid="{00000000-0005-0000-0000-000012320000}"/>
    <cellStyle name="Explanatory Text 29 5 2" xfId="17440" xr:uid="{00000000-0005-0000-0000-000013320000}"/>
    <cellStyle name="Explanatory Text 29 6" xfId="8666" xr:uid="{00000000-0005-0000-0000-000014320000}"/>
    <cellStyle name="Explanatory Text 29 6 2" xfId="17441" xr:uid="{00000000-0005-0000-0000-000015320000}"/>
    <cellStyle name="Explanatory Text 29 7" xfId="8667" xr:uid="{00000000-0005-0000-0000-000016320000}"/>
    <cellStyle name="Explanatory Text 29 7 2" xfId="17442" xr:uid="{00000000-0005-0000-0000-000017320000}"/>
    <cellStyle name="Explanatory Text 29 8" xfId="8668" xr:uid="{00000000-0005-0000-0000-000018320000}"/>
    <cellStyle name="Explanatory Text 29 8 2" xfId="17443" xr:uid="{00000000-0005-0000-0000-000019320000}"/>
    <cellStyle name="Explanatory Text 29 9" xfId="8669" xr:uid="{00000000-0005-0000-0000-00001A320000}"/>
    <cellStyle name="Explanatory Text 29 9 2" xfId="17444" xr:uid="{00000000-0005-0000-0000-00001B320000}"/>
    <cellStyle name="Explanatory Text 3" xfId="8670" xr:uid="{00000000-0005-0000-0000-00001C320000}"/>
    <cellStyle name="Explanatory Text 3 10" xfId="8671" xr:uid="{00000000-0005-0000-0000-00001D320000}"/>
    <cellStyle name="Explanatory Text 3 10 2" xfId="17445" xr:uid="{00000000-0005-0000-0000-00001E320000}"/>
    <cellStyle name="Explanatory Text 3 11" xfId="8672" xr:uid="{00000000-0005-0000-0000-00001F320000}"/>
    <cellStyle name="Explanatory Text 3 11 2" xfId="17446" xr:uid="{00000000-0005-0000-0000-000020320000}"/>
    <cellStyle name="Explanatory Text 3 12" xfId="22079" xr:uid="{00000000-0005-0000-0000-000021320000}"/>
    <cellStyle name="Explanatory Text 3 2" xfId="8673" xr:uid="{00000000-0005-0000-0000-000022320000}"/>
    <cellStyle name="Explanatory Text 3 2 2" xfId="8674" xr:uid="{00000000-0005-0000-0000-000023320000}"/>
    <cellStyle name="Explanatory Text 3 2 2 2" xfId="17447" xr:uid="{00000000-0005-0000-0000-000024320000}"/>
    <cellStyle name="Explanatory Text 3 3" xfId="8675" xr:uid="{00000000-0005-0000-0000-000025320000}"/>
    <cellStyle name="Explanatory Text 3 3 2" xfId="8676" xr:uid="{00000000-0005-0000-0000-000026320000}"/>
    <cellStyle name="Explanatory Text 3 3 2 2" xfId="17448" xr:uid="{00000000-0005-0000-0000-000027320000}"/>
    <cellStyle name="Explanatory Text 3 4" xfId="8677" xr:uid="{00000000-0005-0000-0000-000028320000}"/>
    <cellStyle name="Explanatory Text 3 4 2" xfId="8678" xr:uid="{00000000-0005-0000-0000-000029320000}"/>
    <cellStyle name="Explanatory Text 3 4 3" xfId="17449" xr:uid="{00000000-0005-0000-0000-00002A320000}"/>
    <cellStyle name="Explanatory Text 3 5" xfId="8679" xr:uid="{00000000-0005-0000-0000-00002B320000}"/>
    <cellStyle name="Explanatory Text 3 5 2" xfId="17450" xr:uid="{00000000-0005-0000-0000-00002C320000}"/>
    <cellStyle name="Explanatory Text 3 6" xfId="8680" xr:uid="{00000000-0005-0000-0000-00002D320000}"/>
    <cellStyle name="Explanatory Text 3 6 2" xfId="17451" xr:uid="{00000000-0005-0000-0000-00002E320000}"/>
    <cellStyle name="Explanatory Text 3 7" xfId="8681" xr:uid="{00000000-0005-0000-0000-00002F320000}"/>
    <cellStyle name="Explanatory Text 3 7 2" xfId="17452" xr:uid="{00000000-0005-0000-0000-000030320000}"/>
    <cellStyle name="Explanatory Text 3 8" xfId="8682" xr:uid="{00000000-0005-0000-0000-000031320000}"/>
    <cellStyle name="Explanatory Text 3 8 2" xfId="17453" xr:uid="{00000000-0005-0000-0000-000032320000}"/>
    <cellStyle name="Explanatory Text 3 9" xfId="8683" xr:uid="{00000000-0005-0000-0000-000033320000}"/>
    <cellStyle name="Explanatory Text 3 9 2" xfId="17454" xr:uid="{00000000-0005-0000-0000-000034320000}"/>
    <cellStyle name="Explanatory Text 30" xfId="8684" xr:uid="{00000000-0005-0000-0000-000035320000}"/>
    <cellStyle name="Explanatory Text 30 2" xfId="8685" xr:uid="{00000000-0005-0000-0000-000036320000}"/>
    <cellStyle name="Explanatory Text 30 2 2" xfId="17455" xr:uid="{00000000-0005-0000-0000-000037320000}"/>
    <cellStyle name="Explanatory Text 31" xfId="8686" xr:uid="{00000000-0005-0000-0000-000038320000}"/>
    <cellStyle name="Explanatory Text 31 2" xfId="8687" xr:uid="{00000000-0005-0000-0000-000039320000}"/>
    <cellStyle name="Explanatory Text 31 2 2" xfId="17456" xr:uid="{00000000-0005-0000-0000-00003A320000}"/>
    <cellStyle name="Explanatory Text 32" xfId="8688" xr:uid="{00000000-0005-0000-0000-00003B320000}"/>
    <cellStyle name="Explanatory Text 32 2" xfId="8689" xr:uid="{00000000-0005-0000-0000-00003C320000}"/>
    <cellStyle name="Explanatory Text 32 2 2" xfId="17457" xr:uid="{00000000-0005-0000-0000-00003D320000}"/>
    <cellStyle name="Explanatory Text 33" xfId="8690" xr:uid="{00000000-0005-0000-0000-00003E320000}"/>
    <cellStyle name="Explanatory Text 33 2" xfId="8691" xr:uid="{00000000-0005-0000-0000-00003F320000}"/>
    <cellStyle name="Explanatory Text 33 2 2" xfId="17458" xr:uid="{00000000-0005-0000-0000-000040320000}"/>
    <cellStyle name="Explanatory Text 34" xfId="8692" xr:uid="{00000000-0005-0000-0000-000041320000}"/>
    <cellStyle name="Explanatory Text 34 2" xfId="8693" xr:uid="{00000000-0005-0000-0000-000042320000}"/>
    <cellStyle name="Explanatory Text 34 2 2" xfId="17459" xr:uid="{00000000-0005-0000-0000-000043320000}"/>
    <cellStyle name="Explanatory Text 35" xfId="8694" xr:uid="{00000000-0005-0000-0000-000044320000}"/>
    <cellStyle name="Explanatory Text 35 2" xfId="8695" xr:uid="{00000000-0005-0000-0000-000045320000}"/>
    <cellStyle name="Explanatory Text 35 2 2" xfId="17460" xr:uid="{00000000-0005-0000-0000-000046320000}"/>
    <cellStyle name="Explanatory Text 36" xfId="8696" xr:uid="{00000000-0005-0000-0000-000047320000}"/>
    <cellStyle name="Explanatory Text 37" xfId="8697" xr:uid="{00000000-0005-0000-0000-000048320000}"/>
    <cellStyle name="Explanatory Text 38" xfId="8698" xr:uid="{00000000-0005-0000-0000-000049320000}"/>
    <cellStyle name="Explanatory Text 39" xfId="8699" xr:uid="{00000000-0005-0000-0000-00004A320000}"/>
    <cellStyle name="Explanatory Text 4" xfId="8700" xr:uid="{00000000-0005-0000-0000-00004B320000}"/>
    <cellStyle name="Explanatory Text 4 10" xfId="8701" xr:uid="{00000000-0005-0000-0000-00004C320000}"/>
    <cellStyle name="Explanatory Text 4 10 2" xfId="17461" xr:uid="{00000000-0005-0000-0000-00004D320000}"/>
    <cellStyle name="Explanatory Text 4 11" xfId="8702" xr:uid="{00000000-0005-0000-0000-00004E320000}"/>
    <cellStyle name="Explanatory Text 4 11 2" xfId="17462" xr:uid="{00000000-0005-0000-0000-00004F320000}"/>
    <cellStyle name="Explanatory Text 4 2" xfId="8703" xr:uid="{00000000-0005-0000-0000-000050320000}"/>
    <cellStyle name="Explanatory Text 4 2 2" xfId="8704" xr:uid="{00000000-0005-0000-0000-000051320000}"/>
    <cellStyle name="Explanatory Text 4 2 2 2" xfId="17463" xr:uid="{00000000-0005-0000-0000-000052320000}"/>
    <cellStyle name="Explanatory Text 4 3" xfId="8705" xr:uid="{00000000-0005-0000-0000-000053320000}"/>
    <cellStyle name="Explanatory Text 4 3 2" xfId="8706" xr:uid="{00000000-0005-0000-0000-000054320000}"/>
    <cellStyle name="Explanatory Text 4 3 2 2" xfId="17464" xr:uid="{00000000-0005-0000-0000-000055320000}"/>
    <cellStyle name="Explanatory Text 4 4" xfId="8707" xr:uid="{00000000-0005-0000-0000-000056320000}"/>
    <cellStyle name="Explanatory Text 4 4 2" xfId="8708" xr:uid="{00000000-0005-0000-0000-000057320000}"/>
    <cellStyle name="Explanatory Text 4 4 3" xfId="17465" xr:uid="{00000000-0005-0000-0000-000058320000}"/>
    <cellStyle name="Explanatory Text 4 5" xfId="8709" xr:uid="{00000000-0005-0000-0000-000059320000}"/>
    <cellStyle name="Explanatory Text 4 5 2" xfId="17466" xr:uid="{00000000-0005-0000-0000-00005A320000}"/>
    <cellStyle name="Explanatory Text 4 6" xfId="8710" xr:uid="{00000000-0005-0000-0000-00005B320000}"/>
    <cellStyle name="Explanatory Text 4 6 2" xfId="17467" xr:uid="{00000000-0005-0000-0000-00005C320000}"/>
    <cellStyle name="Explanatory Text 4 7" xfId="8711" xr:uid="{00000000-0005-0000-0000-00005D320000}"/>
    <cellStyle name="Explanatory Text 4 7 2" xfId="17468" xr:uid="{00000000-0005-0000-0000-00005E320000}"/>
    <cellStyle name="Explanatory Text 4 8" xfId="8712" xr:uid="{00000000-0005-0000-0000-00005F320000}"/>
    <cellStyle name="Explanatory Text 4 8 2" xfId="17469" xr:uid="{00000000-0005-0000-0000-000060320000}"/>
    <cellStyle name="Explanatory Text 4 9" xfId="8713" xr:uid="{00000000-0005-0000-0000-000061320000}"/>
    <cellStyle name="Explanatory Text 4 9 2" xfId="17470" xr:uid="{00000000-0005-0000-0000-000062320000}"/>
    <cellStyle name="Explanatory Text 5" xfId="8714" xr:uid="{00000000-0005-0000-0000-000063320000}"/>
    <cellStyle name="Explanatory Text 5 10" xfId="8715" xr:uid="{00000000-0005-0000-0000-000064320000}"/>
    <cellStyle name="Explanatory Text 5 10 2" xfId="17471" xr:uid="{00000000-0005-0000-0000-000065320000}"/>
    <cellStyle name="Explanatory Text 5 11" xfId="8716" xr:uid="{00000000-0005-0000-0000-000066320000}"/>
    <cellStyle name="Explanatory Text 5 11 2" xfId="17472" xr:uid="{00000000-0005-0000-0000-000067320000}"/>
    <cellStyle name="Explanatory Text 5 2" xfId="8717" xr:uid="{00000000-0005-0000-0000-000068320000}"/>
    <cellStyle name="Explanatory Text 5 2 2" xfId="8718" xr:uid="{00000000-0005-0000-0000-000069320000}"/>
    <cellStyle name="Explanatory Text 5 2 2 2" xfId="17473" xr:uid="{00000000-0005-0000-0000-00006A320000}"/>
    <cellStyle name="Explanatory Text 5 3" xfId="8719" xr:uid="{00000000-0005-0000-0000-00006B320000}"/>
    <cellStyle name="Explanatory Text 5 3 2" xfId="8720" xr:uid="{00000000-0005-0000-0000-00006C320000}"/>
    <cellStyle name="Explanatory Text 5 3 2 2" xfId="17474" xr:uid="{00000000-0005-0000-0000-00006D320000}"/>
    <cellStyle name="Explanatory Text 5 4" xfId="8721" xr:uid="{00000000-0005-0000-0000-00006E320000}"/>
    <cellStyle name="Explanatory Text 5 4 2" xfId="8722" xr:uid="{00000000-0005-0000-0000-00006F320000}"/>
    <cellStyle name="Explanatory Text 5 4 3" xfId="17475" xr:uid="{00000000-0005-0000-0000-000070320000}"/>
    <cellStyle name="Explanatory Text 5 5" xfId="8723" xr:uid="{00000000-0005-0000-0000-000071320000}"/>
    <cellStyle name="Explanatory Text 5 5 2" xfId="17476" xr:uid="{00000000-0005-0000-0000-000072320000}"/>
    <cellStyle name="Explanatory Text 5 6" xfId="8724" xr:uid="{00000000-0005-0000-0000-000073320000}"/>
    <cellStyle name="Explanatory Text 5 6 2" xfId="17477" xr:uid="{00000000-0005-0000-0000-000074320000}"/>
    <cellStyle name="Explanatory Text 5 7" xfId="8725" xr:uid="{00000000-0005-0000-0000-000075320000}"/>
    <cellStyle name="Explanatory Text 5 7 2" xfId="17478" xr:uid="{00000000-0005-0000-0000-000076320000}"/>
    <cellStyle name="Explanatory Text 5 8" xfId="8726" xr:uid="{00000000-0005-0000-0000-000077320000}"/>
    <cellStyle name="Explanatory Text 5 8 2" xfId="17479" xr:uid="{00000000-0005-0000-0000-000078320000}"/>
    <cellStyle name="Explanatory Text 5 9" xfId="8727" xr:uid="{00000000-0005-0000-0000-000079320000}"/>
    <cellStyle name="Explanatory Text 5 9 2" xfId="17480" xr:uid="{00000000-0005-0000-0000-00007A320000}"/>
    <cellStyle name="Explanatory Text 6" xfId="8728" xr:uid="{00000000-0005-0000-0000-00007B320000}"/>
    <cellStyle name="Explanatory Text 6 10" xfId="8729" xr:uid="{00000000-0005-0000-0000-00007C320000}"/>
    <cellStyle name="Explanatory Text 6 10 2" xfId="17481" xr:uid="{00000000-0005-0000-0000-00007D320000}"/>
    <cellStyle name="Explanatory Text 6 11" xfId="8730" xr:uid="{00000000-0005-0000-0000-00007E320000}"/>
    <cellStyle name="Explanatory Text 6 11 2" xfId="17482" xr:uid="{00000000-0005-0000-0000-00007F320000}"/>
    <cellStyle name="Explanatory Text 6 2" xfId="8731" xr:uid="{00000000-0005-0000-0000-000080320000}"/>
    <cellStyle name="Explanatory Text 6 2 2" xfId="8732" xr:uid="{00000000-0005-0000-0000-000081320000}"/>
    <cellStyle name="Explanatory Text 6 2 2 2" xfId="17483" xr:uid="{00000000-0005-0000-0000-000082320000}"/>
    <cellStyle name="Explanatory Text 6 3" xfId="8733" xr:uid="{00000000-0005-0000-0000-000083320000}"/>
    <cellStyle name="Explanatory Text 6 3 2" xfId="8734" xr:uid="{00000000-0005-0000-0000-000084320000}"/>
    <cellStyle name="Explanatory Text 6 3 2 2" xfId="17484" xr:uid="{00000000-0005-0000-0000-000085320000}"/>
    <cellStyle name="Explanatory Text 6 4" xfId="8735" xr:uid="{00000000-0005-0000-0000-000086320000}"/>
    <cellStyle name="Explanatory Text 6 4 2" xfId="8736" xr:uid="{00000000-0005-0000-0000-000087320000}"/>
    <cellStyle name="Explanatory Text 6 4 3" xfId="17485" xr:uid="{00000000-0005-0000-0000-000088320000}"/>
    <cellStyle name="Explanatory Text 6 5" xfId="8737" xr:uid="{00000000-0005-0000-0000-000089320000}"/>
    <cellStyle name="Explanatory Text 6 5 2" xfId="17486" xr:uid="{00000000-0005-0000-0000-00008A320000}"/>
    <cellStyle name="Explanatory Text 6 6" xfId="8738" xr:uid="{00000000-0005-0000-0000-00008B320000}"/>
    <cellStyle name="Explanatory Text 6 6 2" xfId="17487" xr:uid="{00000000-0005-0000-0000-00008C320000}"/>
    <cellStyle name="Explanatory Text 6 7" xfId="8739" xr:uid="{00000000-0005-0000-0000-00008D320000}"/>
    <cellStyle name="Explanatory Text 6 7 2" xfId="17488" xr:uid="{00000000-0005-0000-0000-00008E320000}"/>
    <cellStyle name="Explanatory Text 6 8" xfId="8740" xr:uid="{00000000-0005-0000-0000-00008F320000}"/>
    <cellStyle name="Explanatory Text 6 8 2" xfId="17489" xr:uid="{00000000-0005-0000-0000-000090320000}"/>
    <cellStyle name="Explanatory Text 6 9" xfId="8741" xr:uid="{00000000-0005-0000-0000-000091320000}"/>
    <cellStyle name="Explanatory Text 6 9 2" xfId="17490" xr:uid="{00000000-0005-0000-0000-000092320000}"/>
    <cellStyle name="Explanatory Text 7" xfId="8742" xr:uid="{00000000-0005-0000-0000-000093320000}"/>
    <cellStyle name="Explanatory Text 7 10" xfId="8743" xr:uid="{00000000-0005-0000-0000-000094320000}"/>
    <cellStyle name="Explanatory Text 7 10 2" xfId="17491" xr:uid="{00000000-0005-0000-0000-000095320000}"/>
    <cellStyle name="Explanatory Text 7 11" xfId="8744" xr:uid="{00000000-0005-0000-0000-000096320000}"/>
    <cellStyle name="Explanatory Text 7 11 2" xfId="17492" xr:uid="{00000000-0005-0000-0000-000097320000}"/>
    <cellStyle name="Explanatory Text 7 2" xfId="8745" xr:uid="{00000000-0005-0000-0000-000098320000}"/>
    <cellStyle name="Explanatory Text 7 2 2" xfId="8746" xr:uid="{00000000-0005-0000-0000-000099320000}"/>
    <cellStyle name="Explanatory Text 7 2 2 2" xfId="17493" xr:uid="{00000000-0005-0000-0000-00009A320000}"/>
    <cellStyle name="Explanatory Text 7 3" xfId="8747" xr:uid="{00000000-0005-0000-0000-00009B320000}"/>
    <cellStyle name="Explanatory Text 7 3 2" xfId="8748" xr:uid="{00000000-0005-0000-0000-00009C320000}"/>
    <cellStyle name="Explanatory Text 7 3 2 2" xfId="17494" xr:uid="{00000000-0005-0000-0000-00009D320000}"/>
    <cellStyle name="Explanatory Text 7 4" xfId="8749" xr:uid="{00000000-0005-0000-0000-00009E320000}"/>
    <cellStyle name="Explanatory Text 7 4 2" xfId="8750" xr:uid="{00000000-0005-0000-0000-00009F320000}"/>
    <cellStyle name="Explanatory Text 7 4 3" xfId="17495" xr:uid="{00000000-0005-0000-0000-0000A0320000}"/>
    <cellStyle name="Explanatory Text 7 5" xfId="8751" xr:uid="{00000000-0005-0000-0000-0000A1320000}"/>
    <cellStyle name="Explanatory Text 7 5 2" xfId="17496" xr:uid="{00000000-0005-0000-0000-0000A2320000}"/>
    <cellStyle name="Explanatory Text 7 6" xfId="8752" xr:uid="{00000000-0005-0000-0000-0000A3320000}"/>
    <cellStyle name="Explanatory Text 7 6 2" xfId="17497" xr:uid="{00000000-0005-0000-0000-0000A4320000}"/>
    <cellStyle name="Explanatory Text 7 7" xfId="8753" xr:uid="{00000000-0005-0000-0000-0000A5320000}"/>
    <cellStyle name="Explanatory Text 7 7 2" xfId="17498" xr:uid="{00000000-0005-0000-0000-0000A6320000}"/>
    <cellStyle name="Explanatory Text 7 8" xfId="8754" xr:uid="{00000000-0005-0000-0000-0000A7320000}"/>
    <cellStyle name="Explanatory Text 7 8 2" xfId="17499" xr:uid="{00000000-0005-0000-0000-0000A8320000}"/>
    <cellStyle name="Explanatory Text 7 9" xfId="8755" xr:uid="{00000000-0005-0000-0000-0000A9320000}"/>
    <cellStyle name="Explanatory Text 7 9 2" xfId="17500" xr:uid="{00000000-0005-0000-0000-0000AA320000}"/>
    <cellStyle name="Explanatory Text 8" xfId="8756" xr:uid="{00000000-0005-0000-0000-0000AB320000}"/>
    <cellStyle name="Explanatory Text 8 10" xfId="8757" xr:uid="{00000000-0005-0000-0000-0000AC320000}"/>
    <cellStyle name="Explanatory Text 8 10 2" xfId="17501" xr:uid="{00000000-0005-0000-0000-0000AD320000}"/>
    <cellStyle name="Explanatory Text 8 11" xfId="8758" xr:uid="{00000000-0005-0000-0000-0000AE320000}"/>
    <cellStyle name="Explanatory Text 8 11 2" xfId="17502" xr:uid="{00000000-0005-0000-0000-0000AF320000}"/>
    <cellStyle name="Explanatory Text 8 2" xfId="8759" xr:uid="{00000000-0005-0000-0000-0000B0320000}"/>
    <cellStyle name="Explanatory Text 8 2 2" xfId="8760" xr:uid="{00000000-0005-0000-0000-0000B1320000}"/>
    <cellStyle name="Explanatory Text 8 2 2 2" xfId="17503" xr:uid="{00000000-0005-0000-0000-0000B2320000}"/>
    <cellStyle name="Explanatory Text 8 3" xfId="8761" xr:uid="{00000000-0005-0000-0000-0000B3320000}"/>
    <cellStyle name="Explanatory Text 8 3 2" xfId="8762" xr:uid="{00000000-0005-0000-0000-0000B4320000}"/>
    <cellStyle name="Explanatory Text 8 3 2 2" xfId="17504" xr:uid="{00000000-0005-0000-0000-0000B5320000}"/>
    <cellStyle name="Explanatory Text 8 4" xfId="8763" xr:uid="{00000000-0005-0000-0000-0000B6320000}"/>
    <cellStyle name="Explanatory Text 8 4 2" xfId="8764" xr:uid="{00000000-0005-0000-0000-0000B7320000}"/>
    <cellStyle name="Explanatory Text 8 4 3" xfId="17505" xr:uid="{00000000-0005-0000-0000-0000B8320000}"/>
    <cellStyle name="Explanatory Text 8 5" xfId="8765" xr:uid="{00000000-0005-0000-0000-0000B9320000}"/>
    <cellStyle name="Explanatory Text 8 5 2" xfId="17506" xr:uid="{00000000-0005-0000-0000-0000BA320000}"/>
    <cellStyle name="Explanatory Text 8 6" xfId="8766" xr:uid="{00000000-0005-0000-0000-0000BB320000}"/>
    <cellStyle name="Explanatory Text 8 6 2" xfId="17507" xr:uid="{00000000-0005-0000-0000-0000BC320000}"/>
    <cellStyle name="Explanatory Text 8 7" xfId="8767" xr:uid="{00000000-0005-0000-0000-0000BD320000}"/>
    <cellStyle name="Explanatory Text 8 7 2" xfId="17508" xr:uid="{00000000-0005-0000-0000-0000BE320000}"/>
    <cellStyle name="Explanatory Text 8 8" xfId="8768" xr:uid="{00000000-0005-0000-0000-0000BF320000}"/>
    <cellStyle name="Explanatory Text 8 8 2" xfId="17509" xr:uid="{00000000-0005-0000-0000-0000C0320000}"/>
    <cellStyle name="Explanatory Text 8 9" xfId="8769" xr:uid="{00000000-0005-0000-0000-0000C1320000}"/>
    <cellStyle name="Explanatory Text 8 9 2" xfId="17510" xr:uid="{00000000-0005-0000-0000-0000C2320000}"/>
    <cellStyle name="Explanatory Text 9" xfId="8770" xr:uid="{00000000-0005-0000-0000-0000C3320000}"/>
    <cellStyle name="Explanatory Text 9 10" xfId="8771" xr:uid="{00000000-0005-0000-0000-0000C4320000}"/>
    <cellStyle name="Explanatory Text 9 10 2" xfId="17511" xr:uid="{00000000-0005-0000-0000-0000C5320000}"/>
    <cellStyle name="Explanatory Text 9 11" xfId="8772" xr:uid="{00000000-0005-0000-0000-0000C6320000}"/>
    <cellStyle name="Explanatory Text 9 11 2" xfId="17512" xr:uid="{00000000-0005-0000-0000-0000C7320000}"/>
    <cellStyle name="Explanatory Text 9 2" xfId="8773" xr:uid="{00000000-0005-0000-0000-0000C8320000}"/>
    <cellStyle name="Explanatory Text 9 2 2" xfId="8774" xr:uid="{00000000-0005-0000-0000-0000C9320000}"/>
    <cellStyle name="Explanatory Text 9 2 2 2" xfId="17513" xr:uid="{00000000-0005-0000-0000-0000CA320000}"/>
    <cellStyle name="Explanatory Text 9 3" xfId="8775" xr:uid="{00000000-0005-0000-0000-0000CB320000}"/>
    <cellStyle name="Explanatory Text 9 3 2" xfId="8776" xr:uid="{00000000-0005-0000-0000-0000CC320000}"/>
    <cellStyle name="Explanatory Text 9 3 2 2" xfId="17514" xr:uid="{00000000-0005-0000-0000-0000CD320000}"/>
    <cellStyle name="Explanatory Text 9 4" xfId="8777" xr:uid="{00000000-0005-0000-0000-0000CE320000}"/>
    <cellStyle name="Explanatory Text 9 4 2" xfId="8778" xr:uid="{00000000-0005-0000-0000-0000CF320000}"/>
    <cellStyle name="Explanatory Text 9 4 3" xfId="17515" xr:uid="{00000000-0005-0000-0000-0000D0320000}"/>
    <cellStyle name="Explanatory Text 9 5" xfId="8779" xr:uid="{00000000-0005-0000-0000-0000D1320000}"/>
    <cellStyle name="Explanatory Text 9 5 2" xfId="17516" xr:uid="{00000000-0005-0000-0000-0000D2320000}"/>
    <cellStyle name="Explanatory Text 9 6" xfId="8780" xr:uid="{00000000-0005-0000-0000-0000D3320000}"/>
    <cellStyle name="Explanatory Text 9 6 2" xfId="17517" xr:uid="{00000000-0005-0000-0000-0000D4320000}"/>
    <cellStyle name="Explanatory Text 9 7" xfId="8781" xr:uid="{00000000-0005-0000-0000-0000D5320000}"/>
    <cellStyle name="Explanatory Text 9 7 2" xfId="17518" xr:uid="{00000000-0005-0000-0000-0000D6320000}"/>
    <cellStyle name="Explanatory Text 9 8" xfId="8782" xr:uid="{00000000-0005-0000-0000-0000D7320000}"/>
    <cellStyle name="Explanatory Text 9 8 2" xfId="17519" xr:uid="{00000000-0005-0000-0000-0000D8320000}"/>
    <cellStyle name="Explanatory Text 9 9" xfId="8783" xr:uid="{00000000-0005-0000-0000-0000D9320000}"/>
    <cellStyle name="Explanatory Text 9 9 2" xfId="17520" xr:uid="{00000000-0005-0000-0000-0000DA320000}"/>
    <cellStyle name="Fixed1 - Style1" xfId="22080" xr:uid="{00000000-0005-0000-0000-0000DB320000}"/>
    <cellStyle name="Followed Hyperlink 2" xfId="21880" xr:uid="{00000000-0005-0000-0000-0000DC320000}"/>
    <cellStyle name="Followed Hyperlink 3" xfId="21881" xr:uid="{00000000-0005-0000-0000-0000DD320000}"/>
    <cellStyle name="Followed Hyperlink 4" xfId="21882" xr:uid="{00000000-0005-0000-0000-0000DE320000}"/>
    <cellStyle name="Followed Hyperlink 5" xfId="21883" xr:uid="{00000000-0005-0000-0000-0000DF320000}"/>
    <cellStyle name="Followed Hyperlink 6" xfId="21884" xr:uid="{00000000-0005-0000-0000-0000E0320000}"/>
    <cellStyle name="Followed Hyperlink 7" xfId="21885" xr:uid="{00000000-0005-0000-0000-0000E1320000}"/>
    <cellStyle name="Followed Hyperlink 8" xfId="21886" xr:uid="{00000000-0005-0000-0000-0000E2320000}"/>
    <cellStyle name="Followed Hyperlink 9" xfId="21887" xr:uid="{00000000-0005-0000-0000-0000E3320000}"/>
    <cellStyle name="Good 10" xfId="8784" xr:uid="{00000000-0005-0000-0000-0000E4320000}"/>
    <cellStyle name="Good 10 10" xfId="8785" xr:uid="{00000000-0005-0000-0000-0000E5320000}"/>
    <cellStyle name="Good 10 10 2" xfId="17521" xr:uid="{00000000-0005-0000-0000-0000E6320000}"/>
    <cellStyle name="Good 10 11" xfId="8786" xr:uid="{00000000-0005-0000-0000-0000E7320000}"/>
    <cellStyle name="Good 10 11 2" xfId="17522" xr:uid="{00000000-0005-0000-0000-0000E8320000}"/>
    <cellStyle name="Good 10 2" xfId="8787" xr:uid="{00000000-0005-0000-0000-0000E9320000}"/>
    <cellStyle name="Good 10 2 2" xfId="8788" xr:uid="{00000000-0005-0000-0000-0000EA320000}"/>
    <cellStyle name="Good 10 2 2 2" xfId="17523" xr:uid="{00000000-0005-0000-0000-0000EB320000}"/>
    <cellStyle name="Good 10 3" xfId="8789" xr:uid="{00000000-0005-0000-0000-0000EC320000}"/>
    <cellStyle name="Good 10 3 2" xfId="8790" xr:uid="{00000000-0005-0000-0000-0000ED320000}"/>
    <cellStyle name="Good 10 3 2 2" xfId="17524" xr:uid="{00000000-0005-0000-0000-0000EE320000}"/>
    <cellStyle name="Good 10 4" xfId="8791" xr:uid="{00000000-0005-0000-0000-0000EF320000}"/>
    <cellStyle name="Good 10 4 2" xfId="8792" xr:uid="{00000000-0005-0000-0000-0000F0320000}"/>
    <cellStyle name="Good 10 4 3" xfId="17525" xr:uid="{00000000-0005-0000-0000-0000F1320000}"/>
    <cellStyle name="Good 10 5" xfId="8793" xr:uid="{00000000-0005-0000-0000-0000F2320000}"/>
    <cellStyle name="Good 10 5 2" xfId="17526" xr:uid="{00000000-0005-0000-0000-0000F3320000}"/>
    <cellStyle name="Good 10 6" xfId="8794" xr:uid="{00000000-0005-0000-0000-0000F4320000}"/>
    <cellStyle name="Good 10 6 2" xfId="17527" xr:uid="{00000000-0005-0000-0000-0000F5320000}"/>
    <cellStyle name="Good 10 7" xfId="8795" xr:uid="{00000000-0005-0000-0000-0000F6320000}"/>
    <cellStyle name="Good 10 7 2" xfId="17528" xr:uid="{00000000-0005-0000-0000-0000F7320000}"/>
    <cellStyle name="Good 10 8" xfId="8796" xr:uid="{00000000-0005-0000-0000-0000F8320000}"/>
    <cellStyle name="Good 10 8 2" xfId="17529" xr:uid="{00000000-0005-0000-0000-0000F9320000}"/>
    <cellStyle name="Good 10 9" xfId="8797" xr:uid="{00000000-0005-0000-0000-0000FA320000}"/>
    <cellStyle name="Good 10 9 2" xfId="17530" xr:uid="{00000000-0005-0000-0000-0000FB320000}"/>
    <cellStyle name="Good 11" xfId="8798" xr:uid="{00000000-0005-0000-0000-0000FC320000}"/>
    <cellStyle name="Good 11 10" xfId="8799" xr:uid="{00000000-0005-0000-0000-0000FD320000}"/>
    <cellStyle name="Good 11 10 2" xfId="17531" xr:uid="{00000000-0005-0000-0000-0000FE320000}"/>
    <cellStyle name="Good 11 11" xfId="8800" xr:uid="{00000000-0005-0000-0000-0000FF320000}"/>
    <cellStyle name="Good 11 11 2" xfId="17532" xr:uid="{00000000-0005-0000-0000-000000330000}"/>
    <cellStyle name="Good 11 2" xfId="8801" xr:uid="{00000000-0005-0000-0000-000001330000}"/>
    <cellStyle name="Good 11 2 2" xfId="8802" xr:uid="{00000000-0005-0000-0000-000002330000}"/>
    <cellStyle name="Good 11 2 2 2" xfId="17533" xr:uid="{00000000-0005-0000-0000-000003330000}"/>
    <cellStyle name="Good 11 3" xfId="8803" xr:uid="{00000000-0005-0000-0000-000004330000}"/>
    <cellStyle name="Good 11 3 2" xfId="8804" xr:uid="{00000000-0005-0000-0000-000005330000}"/>
    <cellStyle name="Good 11 3 2 2" xfId="17534" xr:uid="{00000000-0005-0000-0000-000006330000}"/>
    <cellStyle name="Good 11 4" xfId="8805" xr:uid="{00000000-0005-0000-0000-000007330000}"/>
    <cellStyle name="Good 11 4 2" xfId="8806" xr:uid="{00000000-0005-0000-0000-000008330000}"/>
    <cellStyle name="Good 11 4 3" xfId="17535" xr:uid="{00000000-0005-0000-0000-000009330000}"/>
    <cellStyle name="Good 11 5" xfId="8807" xr:uid="{00000000-0005-0000-0000-00000A330000}"/>
    <cellStyle name="Good 11 5 2" xfId="17536" xr:uid="{00000000-0005-0000-0000-00000B330000}"/>
    <cellStyle name="Good 11 6" xfId="8808" xr:uid="{00000000-0005-0000-0000-00000C330000}"/>
    <cellStyle name="Good 11 6 2" xfId="17537" xr:uid="{00000000-0005-0000-0000-00000D330000}"/>
    <cellStyle name="Good 11 7" xfId="8809" xr:uid="{00000000-0005-0000-0000-00000E330000}"/>
    <cellStyle name="Good 11 7 2" xfId="17538" xr:uid="{00000000-0005-0000-0000-00000F330000}"/>
    <cellStyle name="Good 11 8" xfId="8810" xr:uid="{00000000-0005-0000-0000-000010330000}"/>
    <cellStyle name="Good 11 8 2" xfId="17539" xr:uid="{00000000-0005-0000-0000-000011330000}"/>
    <cellStyle name="Good 11 9" xfId="8811" xr:uid="{00000000-0005-0000-0000-000012330000}"/>
    <cellStyle name="Good 11 9 2" xfId="17540" xr:uid="{00000000-0005-0000-0000-000013330000}"/>
    <cellStyle name="Good 12" xfId="8812" xr:uid="{00000000-0005-0000-0000-000014330000}"/>
    <cellStyle name="Good 12 10" xfId="8813" xr:uid="{00000000-0005-0000-0000-000015330000}"/>
    <cellStyle name="Good 12 10 2" xfId="17541" xr:uid="{00000000-0005-0000-0000-000016330000}"/>
    <cellStyle name="Good 12 11" xfId="8814" xr:uid="{00000000-0005-0000-0000-000017330000}"/>
    <cellStyle name="Good 12 11 2" xfId="17542" xr:uid="{00000000-0005-0000-0000-000018330000}"/>
    <cellStyle name="Good 12 2" xfId="8815" xr:uid="{00000000-0005-0000-0000-000019330000}"/>
    <cellStyle name="Good 12 2 2" xfId="8816" xr:uid="{00000000-0005-0000-0000-00001A330000}"/>
    <cellStyle name="Good 12 2 2 2" xfId="17543" xr:uid="{00000000-0005-0000-0000-00001B330000}"/>
    <cellStyle name="Good 12 3" xfId="8817" xr:uid="{00000000-0005-0000-0000-00001C330000}"/>
    <cellStyle name="Good 12 3 2" xfId="8818" xr:uid="{00000000-0005-0000-0000-00001D330000}"/>
    <cellStyle name="Good 12 3 2 2" xfId="17544" xr:uid="{00000000-0005-0000-0000-00001E330000}"/>
    <cellStyle name="Good 12 4" xfId="8819" xr:uid="{00000000-0005-0000-0000-00001F330000}"/>
    <cellStyle name="Good 12 4 2" xfId="8820" xr:uid="{00000000-0005-0000-0000-000020330000}"/>
    <cellStyle name="Good 12 4 3" xfId="17545" xr:uid="{00000000-0005-0000-0000-000021330000}"/>
    <cellStyle name="Good 12 5" xfId="8821" xr:uid="{00000000-0005-0000-0000-000022330000}"/>
    <cellStyle name="Good 12 5 2" xfId="17546" xr:uid="{00000000-0005-0000-0000-000023330000}"/>
    <cellStyle name="Good 12 6" xfId="8822" xr:uid="{00000000-0005-0000-0000-000024330000}"/>
    <cellStyle name="Good 12 6 2" xfId="17547" xr:uid="{00000000-0005-0000-0000-000025330000}"/>
    <cellStyle name="Good 12 7" xfId="8823" xr:uid="{00000000-0005-0000-0000-000026330000}"/>
    <cellStyle name="Good 12 7 2" xfId="17548" xr:uid="{00000000-0005-0000-0000-000027330000}"/>
    <cellStyle name="Good 12 8" xfId="8824" xr:uid="{00000000-0005-0000-0000-000028330000}"/>
    <cellStyle name="Good 12 8 2" xfId="17549" xr:uid="{00000000-0005-0000-0000-000029330000}"/>
    <cellStyle name="Good 12 9" xfId="8825" xr:uid="{00000000-0005-0000-0000-00002A330000}"/>
    <cellStyle name="Good 12 9 2" xfId="17550" xr:uid="{00000000-0005-0000-0000-00002B330000}"/>
    <cellStyle name="Good 13" xfId="8826" xr:uid="{00000000-0005-0000-0000-00002C330000}"/>
    <cellStyle name="Good 13 10" xfId="8827" xr:uid="{00000000-0005-0000-0000-00002D330000}"/>
    <cellStyle name="Good 13 10 2" xfId="17551" xr:uid="{00000000-0005-0000-0000-00002E330000}"/>
    <cellStyle name="Good 13 11" xfId="8828" xr:uid="{00000000-0005-0000-0000-00002F330000}"/>
    <cellStyle name="Good 13 11 2" xfId="17552" xr:uid="{00000000-0005-0000-0000-000030330000}"/>
    <cellStyle name="Good 13 2" xfId="8829" xr:uid="{00000000-0005-0000-0000-000031330000}"/>
    <cellStyle name="Good 13 2 2" xfId="8830" xr:uid="{00000000-0005-0000-0000-000032330000}"/>
    <cellStyle name="Good 13 2 2 2" xfId="17553" xr:uid="{00000000-0005-0000-0000-000033330000}"/>
    <cellStyle name="Good 13 3" xfId="8831" xr:uid="{00000000-0005-0000-0000-000034330000}"/>
    <cellStyle name="Good 13 3 2" xfId="8832" xr:uid="{00000000-0005-0000-0000-000035330000}"/>
    <cellStyle name="Good 13 3 2 2" xfId="17554" xr:uid="{00000000-0005-0000-0000-000036330000}"/>
    <cellStyle name="Good 13 4" xfId="8833" xr:uid="{00000000-0005-0000-0000-000037330000}"/>
    <cellStyle name="Good 13 4 2" xfId="17555" xr:uid="{00000000-0005-0000-0000-000038330000}"/>
    <cellStyle name="Good 13 5" xfId="8834" xr:uid="{00000000-0005-0000-0000-000039330000}"/>
    <cellStyle name="Good 13 5 2" xfId="17556" xr:uid="{00000000-0005-0000-0000-00003A330000}"/>
    <cellStyle name="Good 13 6" xfId="8835" xr:uid="{00000000-0005-0000-0000-00003B330000}"/>
    <cellStyle name="Good 13 6 2" xfId="17557" xr:uid="{00000000-0005-0000-0000-00003C330000}"/>
    <cellStyle name="Good 13 7" xfId="8836" xr:uid="{00000000-0005-0000-0000-00003D330000}"/>
    <cellStyle name="Good 13 7 2" xfId="17558" xr:uid="{00000000-0005-0000-0000-00003E330000}"/>
    <cellStyle name="Good 13 8" xfId="8837" xr:uid="{00000000-0005-0000-0000-00003F330000}"/>
    <cellStyle name="Good 13 8 2" xfId="17559" xr:uid="{00000000-0005-0000-0000-000040330000}"/>
    <cellStyle name="Good 13 9" xfId="8838" xr:uid="{00000000-0005-0000-0000-000041330000}"/>
    <cellStyle name="Good 13 9 2" xfId="17560" xr:uid="{00000000-0005-0000-0000-000042330000}"/>
    <cellStyle name="Good 14" xfId="8839" xr:uid="{00000000-0005-0000-0000-000043330000}"/>
    <cellStyle name="Good 14 10" xfId="8840" xr:uid="{00000000-0005-0000-0000-000044330000}"/>
    <cellStyle name="Good 14 10 2" xfId="17561" xr:uid="{00000000-0005-0000-0000-000045330000}"/>
    <cellStyle name="Good 14 11" xfId="8841" xr:uid="{00000000-0005-0000-0000-000046330000}"/>
    <cellStyle name="Good 14 11 2" xfId="17562" xr:uid="{00000000-0005-0000-0000-000047330000}"/>
    <cellStyle name="Good 14 2" xfId="8842" xr:uid="{00000000-0005-0000-0000-000048330000}"/>
    <cellStyle name="Good 14 2 2" xfId="8843" xr:uid="{00000000-0005-0000-0000-000049330000}"/>
    <cellStyle name="Good 14 2 2 2" xfId="17563" xr:uid="{00000000-0005-0000-0000-00004A330000}"/>
    <cellStyle name="Good 14 3" xfId="8844" xr:uid="{00000000-0005-0000-0000-00004B330000}"/>
    <cellStyle name="Good 14 3 2" xfId="8845" xr:uid="{00000000-0005-0000-0000-00004C330000}"/>
    <cellStyle name="Good 14 3 2 2" xfId="17564" xr:uid="{00000000-0005-0000-0000-00004D330000}"/>
    <cellStyle name="Good 14 4" xfId="8846" xr:uid="{00000000-0005-0000-0000-00004E330000}"/>
    <cellStyle name="Good 14 4 2" xfId="17565" xr:uid="{00000000-0005-0000-0000-00004F330000}"/>
    <cellStyle name="Good 14 5" xfId="8847" xr:uid="{00000000-0005-0000-0000-000050330000}"/>
    <cellStyle name="Good 14 5 2" xfId="17566" xr:uid="{00000000-0005-0000-0000-000051330000}"/>
    <cellStyle name="Good 14 6" xfId="8848" xr:uid="{00000000-0005-0000-0000-000052330000}"/>
    <cellStyle name="Good 14 6 2" xfId="17567" xr:uid="{00000000-0005-0000-0000-000053330000}"/>
    <cellStyle name="Good 14 7" xfId="8849" xr:uid="{00000000-0005-0000-0000-000054330000}"/>
    <cellStyle name="Good 14 7 2" xfId="17568" xr:uid="{00000000-0005-0000-0000-000055330000}"/>
    <cellStyle name="Good 14 8" xfId="8850" xr:uid="{00000000-0005-0000-0000-000056330000}"/>
    <cellStyle name="Good 14 8 2" xfId="17569" xr:uid="{00000000-0005-0000-0000-000057330000}"/>
    <cellStyle name="Good 14 9" xfId="8851" xr:uid="{00000000-0005-0000-0000-000058330000}"/>
    <cellStyle name="Good 14 9 2" xfId="17570" xr:uid="{00000000-0005-0000-0000-000059330000}"/>
    <cellStyle name="Good 15" xfId="8852" xr:uid="{00000000-0005-0000-0000-00005A330000}"/>
    <cellStyle name="Good 15 10" xfId="8853" xr:uid="{00000000-0005-0000-0000-00005B330000}"/>
    <cellStyle name="Good 15 10 2" xfId="17571" xr:uid="{00000000-0005-0000-0000-00005C330000}"/>
    <cellStyle name="Good 15 11" xfId="8854" xr:uid="{00000000-0005-0000-0000-00005D330000}"/>
    <cellStyle name="Good 15 11 2" xfId="17572" xr:uid="{00000000-0005-0000-0000-00005E330000}"/>
    <cellStyle name="Good 15 2" xfId="8855" xr:uid="{00000000-0005-0000-0000-00005F330000}"/>
    <cellStyle name="Good 15 2 2" xfId="8856" xr:uid="{00000000-0005-0000-0000-000060330000}"/>
    <cellStyle name="Good 15 2 2 2" xfId="17573" xr:uid="{00000000-0005-0000-0000-000061330000}"/>
    <cellStyle name="Good 15 3" xfId="8857" xr:uid="{00000000-0005-0000-0000-000062330000}"/>
    <cellStyle name="Good 15 3 2" xfId="8858" xr:uid="{00000000-0005-0000-0000-000063330000}"/>
    <cellStyle name="Good 15 3 2 2" xfId="17574" xr:uid="{00000000-0005-0000-0000-000064330000}"/>
    <cellStyle name="Good 15 4" xfId="8859" xr:uid="{00000000-0005-0000-0000-000065330000}"/>
    <cellStyle name="Good 15 4 2" xfId="17575" xr:uid="{00000000-0005-0000-0000-000066330000}"/>
    <cellStyle name="Good 15 5" xfId="8860" xr:uid="{00000000-0005-0000-0000-000067330000}"/>
    <cellStyle name="Good 15 5 2" xfId="17576" xr:uid="{00000000-0005-0000-0000-000068330000}"/>
    <cellStyle name="Good 15 6" xfId="8861" xr:uid="{00000000-0005-0000-0000-000069330000}"/>
    <cellStyle name="Good 15 6 2" xfId="17577" xr:uid="{00000000-0005-0000-0000-00006A330000}"/>
    <cellStyle name="Good 15 7" xfId="8862" xr:uid="{00000000-0005-0000-0000-00006B330000}"/>
    <cellStyle name="Good 15 7 2" xfId="17578" xr:uid="{00000000-0005-0000-0000-00006C330000}"/>
    <cellStyle name="Good 15 8" xfId="8863" xr:uid="{00000000-0005-0000-0000-00006D330000}"/>
    <cellStyle name="Good 15 8 2" xfId="17579" xr:uid="{00000000-0005-0000-0000-00006E330000}"/>
    <cellStyle name="Good 15 9" xfId="8864" xr:uid="{00000000-0005-0000-0000-00006F330000}"/>
    <cellStyle name="Good 15 9 2" xfId="17580" xr:uid="{00000000-0005-0000-0000-000070330000}"/>
    <cellStyle name="Good 16" xfId="8865" xr:uid="{00000000-0005-0000-0000-000071330000}"/>
    <cellStyle name="Good 16 10" xfId="8866" xr:uid="{00000000-0005-0000-0000-000072330000}"/>
    <cellStyle name="Good 16 10 2" xfId="17581" xr:uid="{00000000-0005-0000-0000-000073330000}"/>
    <cellStyle name="Good 16 11" xfId="8867" xr:uid="{00000000-0005-0000-0000-000074330000}"/>
    <cellStyle name="Good 16 11 2" xfId="17582" xr:uid="{00000000-0005-0000-0000-000075330000}"/>
    <cellStyle name="Good 16 2" xfId="8868" xr:uid="{00000000-0005-0000-0000-000076330000}"/>
    <cellStyle name="Good 16 2 2" xfId="8869" xr:uid="{00000000-0005-0000-0000-000077330000}"/>
    <cellStyle name="Good 16 2 2 2" xfId="17583" xr:uid="{00000000-0005-0000-0000-000078330000}"/>
    <cellStyle name="Good 16 3" xfId="8870" xr:uid="{00000000-0005-0000-0000-000079330000}"/>
    <cellStyle name="Good 16 3 2" xfId="8871" xr:uid="{00000000-0005-0000-0000-00007A330000}"/>
    <cellStyle name="Good 16 3 2 2" xfId="17584" xr:uid="{00000000-0005-0000-0000-00007B330000}"/>
    <cellStyle name="Good 16 4" xfId="8872" xr:uid="{00000000-0005-0000-0000-00007C330000}"/>
    <cellStyle name="Good 16 4 2" xfId="17585" xr:uid="{00000000-0005-0000-0000-00007D330000}"/>
    <cellStyle name="Good 16 5" xfId="8873" xr:uid="{00000000-0005-0000-0000-00007E330000}"/>
    <cellStyle name="Good 16 5 2" xfId="17586" xr:uid="{00000000-0005-0000-0000-00007F330000}"/>
    <cellStyle name="Good 16 6" xfId="8874" xr:uid="{00000000-0005-0000-0000-000080330000}"/>
    <cellStyle name="Good 16 6 2" xfId="17587" xr:uid="{00000000-0005-0000-0000-000081330000}"/>
    <cellStyle name="Good 16 7" xfId="8875" xr:uid="{00000000-0005-0000-0000-000082330000}"/>
    <cellStyle name="Good 16 7 2" xfId="17588" xr:uid="{00000000-0005-0000-0000-000083330000}"/>
    <cellStyle name="Good 16 8" xfId="8876" xr:uid="{00000000-0005-0000-0000-000084330000}"/>
    <cellStyle name="Good 16 8 2" xfId="17589" xr:uid="{00000000-0005-0000-0000-000085330000}"/>
    <cellStyle name="Good 16 9" xfId="8877" xr:uid="{00000000-0005-0000-0000-000086330000}"/>
    <cellStyle name="Good 16 9 2" xfId="17590" xr:uid="{00000000-0005-0000-0000-000087330000}"/>
    <cellStyle name="Good 17" xfId="8878" xr:uid="{00000000-0005-0000-0000-000088330000}"/>
    <cellStyle name="Good 17 10" xfId="8879" xr:uid="{00000000-0005-0000-0000-000089330000}"/>
    <cellStyle name="Good 17 10 2" xfId="17591" xr:uid="{00000000-0005-0000-0000-00008A330000}"/>
    <cellStyle name="Good 17 11" xfId="8880" xr:uid="{00000000-0005-0000-0000-00008B330000}"/>
    <cellStyle name="Good 17 11 2" xfId="17592" xr:uid="{00000000-0005-0000-0000-00008C330000}"/>
    <cellStyle name="Good 17 2" xfId="8881" xr:uid="{00000000-0005-0000-0000-00008D330000}"/>
    <cellStyle name="Good 17 2 2" xfId="8882" xr:uid="{00000000-0005-0000-0000-00008E330000}"/>
    <cellStyle name="Good 17 2 2 2" xfId="17593" xr:uid="{00000000-0005-0000-0000-00008F330000}"/>
    <cellStyle name="Good 17 3" xfId="8883" xr:uid="{00000000-0005-0000-0000-000090330000}"/>
    <cellStyle name="Good 17 3 2" xfId="8884" xr:uid="{00000000-0005-0000-0000-000091330000}"/>
    <cellStyle name="Good 17 3 2 2" xfId="17594" xr:uid="{00000000-0005-0000-0000-000092330000}"/>
    <cellStyle name="Good 17 4" xfId="8885" xr:uid="{00000000-0005-0000-0000-000093330000}"/>
    <cellStyle name="Good 17 4 2" xfId="17595" xr:uid="{00000000-0005-0000-0000-000094330000}"/>
    <cellStyle name="Good 17 5" xfId="8886" xr:uid="{00000000-0005-0000-0000-000095330000}"/>
    <cellStyle name="Good 17 5 2" xfId="17596" xr:uid="{00000000-0005-0000-0000-000096330000}"/>
    <cellStyle name="Good 17 6" xfId="8887" xr:uid="{00000000-0005-0000-0000-000097330000}"/>
    <cellStyle name="Good 17 6 2" xfId="17597" xr:uid="{00000000-0005-0000-0000-000098330000}"/>
    <cellStyle name="Good 17 7" xfId="8888" xr:uid="{00000000-0005-0000-0000-000099330000}"/>
    <cellStyle name="Good 17 7 2" xfId="17598" xr:uid="{00000000-0005-0000-0000-00009A330000}"/>
    <cellStyle name="Good 17 8" xfId="8889" xr:uid="{00000000-0005-0000-0000-00009B330000}"/>
    <cellStyle name="Good 17 8 2" xfId="17599" xr:uid="{00000000-0005-0000-0000-00009C330000}"/>
    <cellStyle name="Good 17 9" xfId="8890" xr:uid="{00000000-0005-0000-0000-00009D330000}"/>
    <cellStyle name="Good 17 9 2" xfId="17600" xr:uid="{00000000-0005-0000-0000-00009E330000}"/>
    <cellStyle name="Good 18" xfId="8891" xr:uid="{00000000-0005-0000-0000-00009F330000}"/>
    <cellStyle name="Good 18 2" xfId="8892" xr:uid="{00000000-0005-0000-0000-0000A0330000}"/>
    <cellStyle name="Good 18 2 2" xfId="8893" xr:uid="{00000000-0005-0000-0000-0000A1330000}"/>
    <cellStyle name="Good 18 2 2 2" xfId="17601" xr:uid="{00000000-0005-0000-0000-0000A2330000}"/>
    <cellStyle name="Good 18 3" xfId="8894" xr:uid="{00000000-0005-0000-0000-0000A3330000}"/>
    <cellStyle name="Good 18 3 2" xfId="17602" xr:uid="{00000000-0005-0000-0000-0000A4330000}"/>
    <cellStyle name="Good 18 4" xfId="8895" xr:uid="{00000000-0005-0000-0000-0000A5330000}"/>
    <cellStyle name="Good 18 4 2" xfId="17603" xr:uid="{00000000-0005-0000-0000-0000A6330000}"/>
    <cellStyle name="Good 18 5" xfId="8896" xr:uid="{00000000-0005-0000-0000-0000A7330000}"/>
    <cellStyle name="Good 18 5 2" xfId="17604" xr:uid="{00000000-0005-0000-0000-0000A8330000}"/>
    <cellStyle name="Good 18 6" xfId="8897" xr:uid="{00000000-0005-0000-0000-0000A9330000}"/>
    <cellStyle name="Good 18 6 2" xfId="17605" xr:uid="{00000000-0005-0000-0000-0000AA330000}"/>
    <cellStyle name="Good 18 7" xfId="8898" xr:uid="{00000000-0005-0000-0000-0000AB330000}"/>
    <cellStyle name="Good 18 7 2" xfId="17606" xr:uid="{00000000-0005-0000-0000-0000AC330000}"/>
    <cellStyle name="Good 18 8" xfId="8899" xr:uid="{00000000-0005-0000-0000-0000AD330000}"/>
    <cellStyle name="Good 18 8 2" xfId="17607" xr:uid="{00000000-0005-0000-0000-0000AE330000}"/>
    <cellStyle name="Good 18 9" xfId="8900" xr:uid="{00000000-0005-0000-0000-0000AF330000}"/>
    <cellStyle name="Good 18 9 2" xfId="17608" xr:uid="{00000000-0005-0000-0000-0000B0330000}"/>
    <cellStyle name="Good 19" xfId="8901" xr:uid="{00000000-0005-0000-0000-0000B1330000}"/>
    <cellStyle name="Good 19 2" xfId="8902" xr:uid="{00000000-0005-0000-0000-0000B2330000}"/>
    <cellStyle name="Good 19 2 2" xfId="8903" xr:uid="{00000000-0005-0000-0000-0000B3330000}"/>
    <cellStyle name="Good 19 2 2 2" xfId="17609" xr:uid="{00000000-0005-0000-0000-0000B4330000}"/>
    <cellStyle name="Good 19 3" xfId="8904" xr:uid="{00000000-0005-0000-0000-0000B5330000}"/>
    <cellStyle name="Good 19 3 2" xfId="17610" xr:uid="{00000000-0005-0000-0000-0000B6330000}"/>
    <cellStyle name="Good 19 4" xfId="8905" xr:uid="{00000000-0005-0000-0000-0000B7330000}"/>
    <cellStyle name="Good 19 4 2" xfId="17611" xr:uid="{00000000-0005-0000-0000-0000B8330000}"/>
    <cellStyle name="Good 19 5" xfId="8906" xr:uid="{00000000-0005-0000-0000-0000B9330000}"/>
    <cellStyle name="Good 19 5 2" xfId="17612" xr:uid="{00000000-0005-0000-0000-0000BA330000}"/>
    <cellStyle name="Good 19 6" xfId="8907" xr:uid="{00000000-0005-0000-0000-0000BB330000}"/>
    <cellStyle name="Good 19 6 2" xfId="17613" xr:uid="{00000000-0005-0000-0000-0000BC330000}"/>
    <cellStyle name="Good 19 7" xfId="8908" xr:uid="{00000000-0005-0000-0000-0000BD330000}"/>
    <cellStyle name="Good 19 7 2" xfId="17614" xr:uid="{00000000-0005-0000-0000-0000BE330000}"/>
    <cellStyle name="Good 19 8" xfId="8909" xr:uid="{00000000-0005-0000-0000-0000BF330000}"/>
    <cellStyle name="Good 19 8 2" xfId="17615" xr:uid="{00000000-0005-0000-0000-0000C0330000}"/>
    <cellStyle name="Good 19 9" xfId="8910" xr:uid="{00000000-0005-0000-0000-0000C1330000}"/>
    <cellStyle name="Good 19 9 2" xfId="17616" xr:uid="{00000000-0005-0000-0000-0000C2330000}"/>
    <cellStyle name="Good 2" xfId="8911" xr:uid="{00000000-0005-0000-0000-0000C3330000}"/>
    <cellStyle name="Good 2 10" xfId="8912" xr:uid="{00000000-0005-0000-0000-0000C4330000}"/>
    <cellStyle name="Good 2 10 2" xfId="17617" xr:uid="{00000000-0005-0000-0000-0000C5330000}"/>
    <cellStyle name="Good 2 11" xfId="8913" xr:uid="{00000000-0005-0000-0000-0000C6330000}"/>
    <cellStyle name="Good 2 11 2" xfId="17618" xr:uid="{00000000-0005-0000-0000-0000C7330000}"/>
    <cellStyle name="Good 2 2" xfId="8914" xr:uid="{00000000-0005-0000-0000-0000C8330000}"/>
    <cellStyle name="Good 2 2 2" xfId="8915" xr:uid="{00000000-0005-0000-0000-0000C9330000}"/>
    <cellStyle name="Good 2 2 2 2" xfId="17619" xr:uid="{00000000-0005-0000-0000-0000CA330000}"/>
    <cellStyle name="Good 2 3" xfId="8916" xr:uid="{00000000-0005-0000-0000-0000CB330000}"/>
    <cellStyle name="Good 2 3 2" xfId="8917" xr:uid="{00000000-0005-0000-0000-0000CC330000}"/>
    <cellStyle name="Good 2 3 2 2" xfId="17620" xr:uid="{00000000-0005-0000-0000-0000CD330000}"/>
    <cellStyle name="Good 2 4" xfId="8918" xr:uid="{00000000-0005-0000-0000-0000CE330000}"/>
    <cellStyle name="Good 2 4 2" xfId="8919" xr:uid="{00000000-0005-0000-0000-0000CF330000}"/>
    <cellStyle name="Good 2 4 3" xfId="17621" xr:uid="{00000000-0005-0000-0000-0000D0330000}"/>
    <cellStyle name="Good 2 5" xfId="8920" xr:uid="{00000000-0005-0000-0000-0000D1330000}"/>
    <cellStyle name="Good 2 5 2" xfId="17622" xr:uid="{00000000-0005-0000-0000-0000D2330000}"/>
    <cellStyle name="Good 2 6" xfId="8921" xr:uid="{00000000-0005-0000-0000-0000D3330000}"/>
    <cellStyle name="Good 2 6 2" xfId="17623" xr:uid="{00000000-0005-0000-0000-0000D4330000}"/>
    <cellStyle name="Good 2 7" xfId="8922" xr:uid="{00000000-0005-0000-0000-0000D5330000}"/>
    <cellStyle name="Good 2 7 2" xfId="17624" xr:uid="{00000000-0005-0000-0000-0000D6330000}"/>
    <cellStyle name="Good 2 8" xfId="8923" xr:uid="{00000000-0005-0000-0000-0000D7330000}"/>
    <cellStyle name="Good 2 8 2" xfId="17625" xr:uid="{00000000-0005-0000-0000-0000D8330000}"/>
    <cellStyle name="Good 2 9" xfId="8924" xr:uid="{00000000-0005-0000-0000-0000D9330000}"/>
    <cellStyle name="Good 2 9 2" xfId="17626" xr:uid="{00000000-0005-0000-0000-0000DA330000}"/>
    <cellStyle name="Good 20" xfId="8925" xr:uid="{00000000-0005-0000-0000-0000DB330000}"/>
    <cellStyle name="Good 20 2" xfId="8926" xr:uid="{00000000-0005-0000-0000-0000DC330000}"/>
    <cellStyle name="Good 20 2 2" xfId="17627" xr:uid="{00000000-0005-0000-0000-0000DD330000}"/>
    <cellStyle name="Good 20 3" xfId="8927" xr:uid="{00000000-0005-0000-0000-0000DE330000}"/>
    <cellStyle name="Good 20 3 2" xfId="17628" xr:uid="{00000000-0005-0000-0000-0000DF330000}"/>
    <cellStyle name="Good 20 4" xfId="8928" xr:uid="{00000000-0005-0000-0000-0000E0330000}"/>
    <cellStyle name="Good 20 4 2" xfId="17629" xr:uid="{00000000-0005-0000-0000-0000E1330000}"/>
    <cellStyle name="Good 20 5" xfId="8929" xr:uid="{00000000-0005-0000-0000-0000E2330000}"/>
    <cellStyle name="Good 20 5 2" xfId="17630" xr:uid="{00000000-0005-0000-0000-0000E3330000}"/>
    <cellStyle name="Good 20 6" xfId="8930" xr:uid="{00000000-0005-0000-0000-0000E4330000}"/>
    <cellStyle name="Good 20 6 2" xfId="17631" xr:uid="{00000000-0005-0000-0000-0000E5330000}"/>
    <cellStyle name="Good 20 7" xfId="8931" xr:uid="{00000000-0005-0000-0000-0000E6330000}"/>
    <cellStyle name="Good 20 7 2" xfId="17632" xr:uid="{00000000-0005-0000-0000-0000E7330000}"/>
    <cellStyle name="Good 20 8" xfId="8932" xr:uid="{00000000-0005-0000-0000-0000E8330000}"/>
    <cellStyle name="Good 20 8 2" xfId="17633" xr:uid="{00000000-0005-0000-0000-0000E9330000}"/>
    <cellStyle name="Good 20 9" xfId="8933" xr:uid="{00000000-0005-0000-0000-0000EA330000}"/>
    <cellStyle name="Good 20 9 2" xfId="17634" xr:uid="{00000000-0005-0000-0000-0000EB330000}"/>
    <cellStyle name="Good 21" xfId="8934" xr:uid="{00000000-0005-0000-0000-0000EC330000}"/>
    <cellStyle name="Good 21 2" xfId="8935" xr:uid="{00000000-0005-0000-0000-0000ED330000}"/>
    <cellStyle name="Good 21 2 2" xfId="17635" xr:uid="{00000000-0005-0000-0000-0000EE330000}"/>
    <cellStyle name="Good 21 3" xfId="8936" xr:uid="{00000000-0005-0000-0000-0000EF330000}"/>
    <cellStyle name="Good 21 3 2" xfId="17636" xr:uid="{00000000-0005-0000-0000-0000F0330000}"/>
    <cellStyle name="Good 21 4" xfId="8937" xr:uid="{00000000-0005-0000-0000-0000F1330000}"/>
    <cellStyle name="Good 21 4 2" xfId="17637" xr:uid="{00000000-0005-0000-0000-0000F2330000}"/>
    <cellStyle name="Good 21 5" xfId="8938" xr:uid="{00000000-0005-0000-0000-0000F3330000}"/>
    <cellStyle name="Good 21 5 2" xfId="17638" xr:uid="{00000000-0005-0000-0000-0000F4330000}"/>
    <cellStyle name="Good 21 6" xfId="8939" xr:uid="{00000000-0005-0000-0000-0000F5330000}"/>
    <cellStyle name="Good 21 6 2" xfId="17639" xr:uid="{00000000-0005-0000-0000-0000F6330000}"/>
    <cellStyle name="Good 21 7" xfId="8940" xr:uid="{00000000-0005-0000-0000-0000F7330000}"/>
    <cellStyle name="Good 21 7 2" xfId="17640" xr:uid="{00000000-0005-0000-0000-0000F8330000}"/>
    <cellStyle name="Good 21 8" xfId="8941" xr:uid="{00000000-0005-0000-0000-0000F9330000}"/>
    <cellStyle name="Good 21 8 2" xfId="17641" xr:uid="{00000000-0005-0000-0000-0000FA330000}"/>
    <cellStyle name="Good 21 9" xfId="8942" xr:uid="{00000000-0005-0000-0000-0000FB330000}"/>
    <cellStyle name="Good 21 9 2" xfId="17642" xr:uid="{00000000-0005-0000-0000-0000FC330000}"/>
    <cellStyle name="Good 22" xfId="8943" xr:uid="{00000000-0005-0000-0000-0000FD330000}"/>
    <cellStyle name="Good 22 2" xfId="8944" xr:uid="{00000000-0005-0000-0000-0000FE330000}"/>
    <cellStyle name="Good 22 2 2" xfId="17643" xr:uid="{00000000-0005-0000-0000-0000FF330000}"/>
    <cellStyle name="Good 22 3" xfId="8945" xr:uid="{00000000-0005-0000-0000-000000340000}"/>
    <cellStyle name="Good 22 3 2" xfId="17644" xr:uid="{00000000-0005-0000-0000-000001340000}"/>
    <cellStyle name="Good 22 4" xfId="8946" xr:uid="{00000000-0005-0000-0000-000002340000}"/>
    <cellStyle name="Good 22 4 2" xfId="17645" xr:uid="{00000000-0005-0000-0000-000003340000}"/>
    <cellStyle name="Good 22 5" xfId="8947" xr:uid="{00000000-0005-0000-0000-000004340000}"/>
    <cellStyle name="Good 22 5 2" xfId="17646" xr:uid="{00000000-0005-0000-0000-000005340000}"/>
    <cellStyle name="Good 22 6" xfId="8948" xr:uid="{00000000-0005-0000-0000-000006340000}"/>
    <cellStyle name="Good 22 6 2" xfId="17647" xr:uid="{00000000-0005-0000-0000-000007340000}"/>
    <cellStyle name="Good 22 7" xfId="8949" xr:uid="{00000000-0005-0000-0000-000008340000}"/>
    <cellStyle name="Good 22 7 2" xfId="17648" xr:uid="{00000000-0005-0000-0000-000009340000}"/>
    <cellStyle name="Good 22 8" xfId="8950" xr:uid="{00000000-0005-0000-0000-00000A340000}"/>
    <cellStyle name="Good 22 8 2" xfId="17649" xr:uid="{00000000-0005-0000-0000-00000B340000}"/>
    <cellStyle name="Good 22 9" xfId="8951" xr:uid="{00000000-0005-0000-0000-00000C340000}"/>
    <cellStyle name="Good 22 9 2" xfId="17650" xr:uid="{00000000-0005-0000-0000-00000D340000}"/>
    <cellStyle name="Good 23" xfId="8952" xr:uid="{00000000-0005-0000-0000-00000E340000}"/>
    <cellStyle name="Good 23 2" xfId="8953" xr:uid="{00000000-0005-0000-0000-00000F340000}"/>
    <cellStyle name="Good 23 2 2" xfId="17651" xr:uid="{00000000-0005-0000-0000-000010340000}"/>
    <cellStyle name="Good 23 3" xfId="8954" xr:uid="{00000000-0005-0000-0000-000011340000}"/>
    <cellStyle name="Good 23 3 2" xfId="17652" xr:uid="{00000000-0005-0000-0000-000012340000}"/>
    <cellStyle name="Good 23 4" xfId="8955" xr:uid="{00000000-0005-0000-0000-000013340000}"/>
    <cellStyle name="Good 23 4 2" xfId="17653" xr:uid="{00000000-0005-0000-0000-000014340000}"/>
    <cellStyle name="Good 23 5" xfId="8956" xr:uid="{00000000-0005-0000-0000-000015340000}"/>
    <cellStyle name="Good 23 5 2" xfId="17654" xr:uid="{00000000-0005-0000-0000-000016340000}"/>
    <cellStyle name="Good 23 6" xfId="8957" xr:uid="{00000000-0005-0000-0000-000017340000}"/>
    <cellStyle name="Good 23 6 2" xfId="17655" xr:uid="{00000000-0005-0000-0000-000018340000}"/>
    <cellStyle name="Good 23 7" xfId="8958" xr:uid="{00000000-0005-0000-0000-000019340000}"/>
    <cellStyle name="Good 23 7 2" xfId="17656" xr:uid="{00000000-0005-0000-0000-00001A340000}"/>
    <cellStyle name="Good 23 8" xfId="8959" xr:uid="{00000000-0005-0000-0000-00001B340000}"/>
    <cellStyle name="Good 23 8 2" xfId="17657" xr:uid="{00000000-0005-0000-0000-00001C340000}"/>
    <cellStyle name="Good 23 9" xfId="8960" xr:uid="{00000000-0005-0000-0000-00001D340000}"/>
    <cellStyle name="Good 23 9 2" xfId="17658" xr:uid="{00000000-0005-0000-0000-00001E340000}"/>
    <cellStyle name="Good 24" xfId="8961" xr:uid="{00000000-0005-0000-0000-00001F340000}"/>
    <cellStyle name="Good 24 2" xfId="8962" xr:uid="{00000000-0005-0000-0000-000020340000}"/>
    <cellStyle name="Good 24 2 2" xfId="17659" xr:uid="{00000000-0005-0000-0000-000021340000}"/>
    <cellStyle name="Good 24 3" xfId="8963" xr:uid="{00000000-0005-0000-0000-000022340000}"/>
    <cellStyle name="Good 24 3 2" xfId="17660" xr:uid="{00000000-0005-0000-0000-000023340000}"/>
    <cellStyle name="Good 24 4" xfId="8964" xr:uid="{00000000-0005-0000-0000-000024340000}"/>
    <cellStyle name="Good 24 4 2" xfId="17661" xr:uid="{00000000-0005-0000-0000-000025340000}"/>
    <cellStyle name="Good 24 5" xfId="8965" xr:uid="{00000000-0005-0000-0000-000026340000}"/>
    <cellStyle name="Good 24 5 2" xfId="17662" xr:uid="{00000000-0005-0000-0000-000027340000}"/>
    <cellStyle name="Good 24 6" xfId="8966" xr:uid="{00000000-0005-0000-0000-000028340000}"/>
    <cellStyle name="Good 24 6 2" xfId="17663" xr:uid="{00000000-0005-0000-0000-000029340000}"/>
    <cellStyle name="Good 24 7" xfId="8967" xr:uid="{00000000-0005-0000-0000-00002A340000}"/>
    <cellStyle name="Good 24 7 2" xfId="17664" xr:uid="{00000000-0005-0000-0000-00002B340000}"/>
    <cellStyle name="Good 24 8" xfId="8968" xr:uid="{00000000-0005-0000-0000-00002C340000}"/>
    <cellStyle name="Good 24 8 2" xfId="17665" xr:uid="{00000000-0005-0000-0000-00002D340000}"/>
    <cellStyle name="Good 24 9" xfId="8969" xr:uid="{00000000-0005-0000-0000-00002E340000}"/>
    <cellStyle name="Good 24 9 2" xfId="17666" xr:uid="{00000000-0005-0000-0000-00002F340000}"/>
    <cellStyle name="Good 25" xfId="8970" xr:uid="{00000000-0005-0000-0000-000030340000}"/>
    <cellStyle name="Good 25 2" xfId="8971" xr:uid="{00000000-0005-0000-0000-000031340000}"/>
    <cellStyle name="Good 25 2 2" xfId="17667" xr:uid="{00000000-0005-0000-0000-000032340000}"/>
    <cellStyle name="Good 25 3" xfId="8972" xr:uid="{00000000-0005-0000-0000-000033340000}"/>
    <cellStyle name="Good 25 3 2" xfId="17668" xr:uid="{00000000-0005-0000-0000-000034340000}"/>
    <cellStyle name="Good 25 4" xfId="8973" xr:uid="{00000000-0005-0000-0000-000035340000}"/>
    <cellStyle name="Good 25 4 2" xfId="17669" xr:uid="{00000000-0005-0000-0000-000036340000}"/>
    <cellStyle name="Good 25 5" xfId="8974" xr:uid="{00000000-0005-0000-0000-000037340000}"/>
    <cellStyle name="Good 25 5 2" xfId="17670" xr:uid="{00000000-0005-0000-0000-000038340000}"/>
    <cellStyle name="Good 25 6" xfId="8975" xr:uid="{00000000-0005-0000-0000-000039340000}"/>
    <cellStyle name="Good 25 6 2" xfId="17671" xr:uid="{00000000-0005-0000-0000-00003A340000}"/>
    <cellStyle name="Good 25 7" xfId="8976" xr:uid="{00000000-0005-0000-0000-00003B340000}"/>
    <cellStyle name="Good 25 7 2" xfId="17672" xr:uid="{00000000-0005-0000-0000-00003C340000}"/>
    <cellStyle name="Good 25 8" xfId="8977" xr:uid="{00000000-0005-0000-0000-00003D340000}"/>
    <cellStyle name="Good 25 8 2" xfId="17673" xr:uid="{00000000-0005-0000-0000-00003E340000}"/>
    <cellStyle name="Good 25 9" xfId="8978" xr:uid="{00000000-0005-0000-0000-00003F340000}"/>
    <cellStyle name="Good 25 9 2" xfId="17674" xr:uid="{00000000-0005-0000-0000-000040340000}"/>
    <cellStyle name="Good 26" xfId="8979" xr:uid="{00000000-0005-0000-0000-000041340000}"/>
    <cellStyle name="Good 26 2" xfId="8980" xr:uid="{00000000-0005-0000-0000-000042340000}"/>
    <cellStyle name="Good 26 2 2" xfId="17675" xr:uid="{00000000-0005-0000-0000-000043340000}"/>
    <cellStyle name="Good 26 3" xfId="8981" xr:uid="{00000000-0005-0000-0000-000044340000}"/>
    <cellStyle name="Good 26 3 2" xfId="17676" xr:uid="{00000000-0005-0000-0000-000045340000}"/>
    <cellStyle name="Good 26 4" xfId="8982" xr:uid="{00000000-0005-0000-0000-000046340000}"/>
    <cellStyle name="Good 26 4 2" xfId="17677" xr:uid="{00000000-0005-0000-0000-000047340000}"/>
    <cellStyle name="Good 26 5" xfId="8983" xr:uid="{00000000-0005-0000-0000-000048340000}"/>
    <cellStyle name="Good 26 5 2" xfId="17678" xr:uid="{00000000-0005-0000-0000-000049340000}"/>
    <cellStyle name="Good 26 6" xfId="8984" xr:uid="{00000000-0005-0000-0000-00004A340000}"/>
    <cellStyle name="Good 26 6 2" xfId="17679" xr:uid="{00000000-0005-0000-0000-00004B340000}"/>
    <cellStyle name="Good 26 7" xfId="8985" xr:uid="{00000000-0005-0000-0000-00004C340000}"/>
    <cellStyle name="Good 26 7 2" xfId="17680" xr:uid="{00000000-0005-0000-0000-00004D340000}"/>
    <cellStyle name="Good 26 8" xfId="8986" xr:uid="{00000000-0005-0000-0000-00004E340000}"/>
    <cellStyle name="Good 26 8 2" xfId="17681" xr:uid="{00000000-0005-0000-0000-00004F340000}"/>
    <cellStyle name="Good 26 9" xfId="8987" xr:uid="{00000000-0005-0000-0000-000050340000}"/>
    <cellStyle name="Good 26 9 2" xfId="17682" xr:uid="{00000000-0005-0000-0000-000051340000}"/>
    <cellStyle name="Good 27" xfId="8988" xr:uid="{00000000-0005-0000-0000-000052340000}"/>
    <cellStyle name="Good 27 2" xfId="8989" xr:uid="{00000000-0005-0000-0000-000053340000}"/>
    <cellStyle name="Good 27 2 2" xfId="17683" xr:uid="{00000000-0005-0000-0000-000054340000}"/>
    <cellStyle name="Good 27 3" xfId="8990" xr:uid="{00000000-0005-0000-0000-000055340000}"/>
    <cellStyle name="Good 27 3 2" xfId="17684" xr:uid="{00000000-0005-0000-0000-000056340000}"/>
    <cellStyle name="Good 27 4" xfId="8991" xr:uid="{00000000-0005-0000-0000-000057340000}"/>
    <cellStyle name="Good 27 4 2" xfId="17685" xr:uid="{00000000-0005-0000-0000-000058340000}"/>
    <cellStyle name="Good 27 5" xfId="8992" xr:uid="{00000000-0005-0000-0000-000059340000}"/>
    <cellStyle name="Good 27 5 2" xfId="17686" xr:uid="{00000000-0005-0000-0000-00005A340000}"/>
    <cellStyle name="Good 27 6" xfId="8993" xr:uid="{00000000-0005-0000-0000-00005B340000}"/>
    <cellStyle name="Good 27 6 2" xfId="17687" xr:uid="{00000000-0005-0000-0000-00005C340000}"/>
    <cellStyle name="Good 27 7" xfId="8994" xr:uid="{00000000-0005-0000-0000-00005D340000}"/>
    <cellStyle name="Good 27 7 2" xfId="17688" xr:uid="{00000000-0005-0000-0000-00005E340000}"/>
    <cellStyle name="Good 27 8" xfId="8995" xr:uid="{00000000-0005-0000-0000-00005F340000}"/>
    <cellStyle name="Good 27 8 2" xfId="17689" xr:uid="{00000000-0005-0000-0000-000060340000}"/>
    <cellStyle name="Good 27 9" xfId="8996" xr:uid="{00000000-0005-0000-0000-000061340000}"/>
    <cellStyle name="Good 27 9 2" xfId="17690" xr:uid="{00000000-0005-0000-0000-000062340000}"/>
    <cellStyle name="Good 28" xfId="8997" xr:uid="{00000000-0005-0000-0000-000063340000}"/>
    <cellStyle name="Good 28 2" xfId="8998" xr:uid="{00000000-0005-0000-0000-000064340000}"/>
    <cellStyle name="Good 28 2 2" xfId="17691" xr:uid="{00000000-0005-0000-0000-000065340000}"/>
    <cellStyle name="Good 28 3" xfId="8999" xr:uid="{00000000-0005-0000-0000-000066340000}"/>
    <cellStyle name="Good 28 3 2" xfId="17692" xr:uid="{00000000-0005-0000-0000-000067340000}"/>
    <cellStyle name="Good 28 4" xfId="9000" xr:uid="{00000000-0005-0000-0000-000068340000}"/>
    <cellStyle name="Good 28 4 2" xfId="17693" xr:uid="{00000000-0005-0000-0000-000069340000}"/>
    <cellStyle name="Good 28 5" xfId="9001" xr:uid="{00000000-0005-0000-0000-00006A340000}"/>
    <cellStyle name="Good 28 5 2" xfId="17694" xr:uid="{00000000-0005-0000-0000-00006B340000}"/>
    <cellStyle name="Good 28 6" xfId="9002" xr:uid="{00000000-0005-0000-0000-00006C340000}"/>
    <cellStyle name="Good 28 6 2" xfId="17695" xr:uid="{00000000-0005-0000-0000-00006D340000}"/>
    <cellStyle name="Good 28 7" xfId="9003" xr:uid="{00000000-0005-0000-0000-00006E340000}"/>
    <cellStyle name="Good 28 7 2" xfId="17696" xr:uid="{00000000-0005-0000-0000-00006F340000}"/>
    <cellStyle name="Good 28 8" xfId="9004" xr:uid="{00000000-0005-0000-0000-000070340000}"/>
    <cellStyle name="Good 28 8 2" xfId="17697" xr:uid="{00000000-0005-0000-0000-000071340000}"/>
    <cellStyle name="Good 28 9" xfId="9005" xr:uid="{00000000-0005-0000-0000-000072340000}"/>
    <cellStyle name="Good 28 9 2" xfId="17698" xr:uid="{00000000-0005-0000-0000-000073340000}"/>
    <cellStyle name="Good 29" xfId="9006" xr:uid="{00000000-0005-0000-0000-000074340000}"/>
    <cellStyle name="Good 29 2" xfId="9007" xr:uid="{00000000-0005-0000-0000-000075340000}"/>
    <cellStyle name="Good 29 2 2" xfId="17699" xr:uid="{00000000-0005-0000-0000-000076340000}"/>
    <cellStyle name="Good 29 3" xfId="9008" xr:uid="{00000000-0005-0000-0000-000077340000}"/>
    <cellStyle name="Good 29 3 2" xfId="17700" xr:uid="{00000000-0005-0000-0000-000078340000}"/>
    <cellStyle name="Good 29 4" xfId="9009" xr:uid="{00000000-0005-0000-0000-000079340000}"/>
    <cellStyle name="Good 29 4 2" xfId="17701" xr:uid="{00000000-0005-0000-0000-00007A340000}"/>
    <cellStyle name="Good 29 5" xfId="9010" xr:uid="{00000000-0005-0000-0000-00007B340000}"/>
    <cellStyle name="Good 29 5 2" xfId="17702" xr:uid="{00000000-0005-0000-0000-00007C340000}"/>
    <cellStyle name="Good 29 6" xfId="9011" xr:uid="{00000000-0005-0000-0000-00007D340000}"/>
    <cellStyle name="Good 29 6 2" xfId="17703" xr:uid="{00000000-0005-0000-0000-00007E340000}"/>
    <cellStyle name="Good 29 7" xfId="9012" xr:uid="{00000000-0005-0000-0000-00007F340000}"/>
    <cellStyle name="Good 29 7 2" xfId="17704" xr:uid="{00000000-0005-0000-0000-000080340000}"/>
    <cellStyle name="Good 29 8" xfId="9013" xr:uid="{00000000-0005-0000-0000-000081340000}"/>
    <cellStyle name="Good 29 8 2" xfId="17705" xr:uid="{00000000-0005-0000-0000-000082340000}"/>
    <cellStyle name="Good 29 9" xfId="9014" xr:uid="{00000000-0005-0000-0000-000083340000}"/>
    <cellStyle name="Good 29 9 2" xfId="17706" xr:uid="{00000000-0005-0000-0000-000084340000}"/>
    <cellStyle name="Good 3" xfId="9015" xr:uid="{00000000-0005-0000-0000-000085340000}"/>
    <cellStyle name="Good 3 10" xfId="9016" xr:uid="{00000000-0005-0000-0000-000086340000}"/>
    <cellStyle name="Good 3 10 2" xfId="17707" xr:uid="{00000000-0005-0000-0000-000087340000}"/>
    <cellStyle name="Good 3 11" xfId="9017" xr:uid="{00000000-0005-0000-0000-000088340000}"/>
    <cellStyle name="Good 3 11 2" xfId="17708" xr:uid="{00000000-0005-0000-0000-000089340000}"/>
    <cellStyle name="Good 3 12" xfId="22081" xr:uid="{00000000-0005-0000-0000-00008A340000}"/>
    <cellStyle name="Good 3 2" xfId="9018" xr:uid="{00000000-0005-0000-0000-00008B340000}"/>
    <cellStyle name="Good 3 2 2" xfId="9019" xr:uid="{00000000-0005-0000-0000-00008C340000}"/>
    <cellStyle name="Good 3 2 2 2" xfId="17709" xr:uid="{00000000-0005-0000-0000-00008D340000}"/>
    <cellStyle name="Good 3 3" xfId="9020" xr:uid="{00000000-0005-0000-0000-00008E340000}"/>
    <cellStyle name="Good 3 3 2" xfId="9021" xr:uid="{00000000-0005-0000-0000-00008F340000}"/>
    <cellStyle name="Good 3 3 2 2" xfId="17710" xr:uid="{00000000-0005-0000-0000-000090340000}"/>
    <cellStyle name="Good 3 4" xfId="9022" xr:uid="{00000000-0005-0000-0000-000091340000}"/>
    <cellStyle name="Good 3 4 2" xfId="9023" xr:uid="{00000000-0005-0000-0000-000092340000}"/>
    <cellStyle name="Good 3 4 3" xfId="17711" xr:uid="{00000000-0005-0000-0000-000093340000}"/>
    <cellStyle name="Good 3 5" xfId="9024" xr:uid="{00000000-0005-0000-0000-000094340000}"/>
    <cellStyle name="Good 3 5 2" xfId="17712" xr:uid="{00000000-0005-0000-0000-000095340000}"/>
    <cellStyle name="Good 3 6" xfId="9025" xr:uid="{00000000-0005-0000-0000-000096340000}"/>
    <cellStyle name="Good 3 6 2" xfId="17713" xr:uid="{00000000-0005-0000-0000-000097340000}"/>
    <cellStyle name="Good 3 7" xfId="9026" xr:uid="{00000000-0005-0000-0000-000098340000}"/>
    <cellStyle name="Good 3 7 2" xfId="17714" xr:uid="{00000000-0005-0000-0000-000099340000}"/>
    <cellStyle name="Good 3 8" xfId="9027" xr:uid="{00000000-0005-0000-0000-00009A340000}"/>
    <cellStyle name="Good 3 8 2" xfId="17715" xr:uid="{00000000-0005-0000-0000-00009B340000}"/>
    <cellStyle name="Good 3 9" xfId="9028" xr:uid="{00000000-0005-0000-0000-00009C340000}"/>
    <cellStyle name="Good 3 9 2" xfId="17716" xr:uid="{00000000-0005-0000-0000-00009D340000}"/>
    <cellStyle name="Good 30" xfId="9029" xr:uid="{00000000-0005-0000-0000-00009E340000}"/>
    <cellStyle name="Good 30 2" xfId="9030" xr:uid="{00000000-0005-0000-0000-00009F340000}"/>
    <cellStyle name="Good 30 2 2" xfId="17717" xr:uid="{00000000-0005-0000-0000-0000A0340000}"/>
    <cellStyle name="Good 31" xfId="9031" xr:uid="{00000000-0005-0000-0000-0000A1340000}"/>
    <cellStyle name="Good 31 2" xfId="9032" xr:uid="{00000000-0005-0000-0000-0000A2340000}"/>
    <cellStyle name="Good 31 2 2" xfId="17718" xr:uid="{00000000-0005-0000-0000-0000A3340000}"/>
    <cellStyle name="Good 32" xfId="9033" xr:uid="{00000000-0005-0000-0000-0000A4340000}"/>
    <cellStyle name="Good 32 2" xfId="9034" xr:uid="{00000000-0005-0000-0000-0000A5340000}"/>
    <cellStyle name="Good 32 2 2" xfId="17719" xr:uid="{00000000-0005-0000-0000-0000A6340000}"/>
    <cellStyle name="Good 33" xfId="9035" xr:uid="{00000000-0005-0000-0000-0000A7340000}"/>
    <cellStyle name="Good 33 2" xfId="9036" xr:uid="{00000000-0005-0000-0000-0000A8340000}"/>
    <cellStyle name="Good 33 2 2" xfId="17720" xr:uid="{00000000-0005-0000-0000-0000A9340000}"/>
    <cellStyle name="Good 34" xfId="9037" xr:uid="{00000000-0005-0000-0000-0000AA340000}"/>
    <cellStyle name="Good 34 2" xfId="9038" xr:uid="{00000000-0005-0000-0000-0000AB340000}"/>
    <cellStyle name="Good 34 2 2" xfId="17721" xr:uid="{00000000-0005-0000-0000-0000AC340000}"/>
    <cellStyle name="Good 35" xfId="9039" xr:uid="{00000000-0005-0000-0000-0000AD340000}"/>
    <cellStyle name="Good 35 2" xfId="9040" xr:uid="{00000000-0005-0000-0000-0000AE340000}"/>
    <cellStyle name="Good 35 2 2" xfId="17722" xr:uid="{00000000-0005-0000-0000-0000AF340000}"/>
    <cellStyle name="Good 36" xfId="9041" xr:uid="{00000000-0005-0000-0000-0000B0340000}"/>
    <cellStyle name="Good 37" xfId="9042" xr:uid="{00000000-0005-0000-0000-0000B1340000}"/>
    <cellStyle name="Good 38" xfId="9043" xr:uid="{00000000-0005-0000-0000-0000B2340000}"/>
    <cellStyle name="Good 39" xfId="9044" xr:uid="{00000000-0005-0000-0000-0000B3340000}"/>
    <cellStyle name="Good 4" xfId="9045" xr:uid="{00000000-0005-0000-0000-0000B4340000}"/>
    <cellStyle name="Good 4 10" xfId="9046" xr:uid="{00000000-0005-0000-0000-0000B5340000}"/>
    <cellStyle name="Good 4 10 2" xfId="17723" xr:uid="{00000000-0005-0000-0000-0000B6340000}"/>
    <cellStyle name="Good 4 11" xfId="9047" xr:uid="{00000000-0005-0000-0000-0000B7340000}"/>
    <cellStyle name="Good 4 11 2" xfId="17724" xr:uid="{00000000-0005-0000-0000-0000B8340000}"/>
    <cellStyle name="Good 4 2" xfId="9048" xr:uid="{00000000-0005-0000-0000-0000B9340000}"/>
    <cellStyle name="Good 4 2 2" xfId="9049" xr:uid="{00000000-0005-0000-0000-0000BA340000}"/>
    <cellStyle name="Good 4 2 2 2" xfId="17725" xr:uid="{00000000-0005-0000-0000-0000BB340000}"/>
    <cellStyle name="Good 4 3" xfId="9050" xr:uid="{00000000-0005-0000-0000-0000BC340000}"/>
    <cellStyle name="Good 4 3 2" xfId="9051" xr:uid="{00000000-0005-0000-0000-0000BD340000}"/>
    <cellStyle name="Good 4 3 2 2" xfId="17726" xr:uid="{00000000-0005-0000-0000-0000BE340000}"/>
    <cellStyle name="Good 4 4" xfId="9052" xr:uid="{00000000-0005-0000-0000-0000BF340000}"/>
    <cellStyle name="Good 4 4 2" xfId="9053" xr:uid="{00000000-0005-0000-0000-0000C0340000}"/>
    <cellStyle name="Good 4 4 3" xfId="17727" xr:uid="{00000000-0005-0000-0000-0000C1340000}"/>
    <cellStyle name="Good 4 5" xfId="9054" xr:uid="{00000000-0005-0000-0000-0000C2340000}"/>
    <cellStyle name="Good 4 5 2" xfId="17728" xr:uid="{00000000-0005-0000-0000-0000C3340000}"/>
    <cellStyle name="Good 4 6" xfId="9055" xr:uid="{00000000-0005-0000-0000-0000C4340000}"/>
    <cellStyle name="Good 4 6 2" xfId="17729" xr:uid="{00000000-0005-0000-0000-0000C5340000}"/>
    <cellStyle name="Good 4 7" xfId="9056" xr:uid="{00000000-0005-0000-0000-0000C6340000}"/>
    <cellStyle name="Good 4 7 2" xfId="17730" xr:uid="{00000000-0005-0000-0000-0000C7340000}"/>
    <cellStyle name="Good 4 8" xfId="9057" xr:uid="{00000000-0005-0000-0000-0000C8340000}"/>
    <cellStyle name="Good 4 8 2" xfId="17731" xr:uid="{00000000-0005-0000-0000-0000C9340000}"/>
    <cellStyle name="Good 4 9" xfId="9058" xr:uid="{00000000-0005-0000-0000-0000CA340000}"/>
    <cellStyle name="Good 4 9 2" xfId="17732" xr:uid="{00000000-0005-0000-0000-0000CB340000}"/>
    <cellStyle name="Good 5" xfId="9059" xr:uid="{00000000-0005-0000-0000-0000CC340000}"/>
    <cellStyle name="Good 5 10" xfId="9060" xr:uid="{00000000-0005-0000-0000-0000CD340000}"/>
    <cellStyle name="Good 5 10 2" xfId="17733" xr:uid="{00000000-0005-0000-0000-0000CE340000}"/>
    <cellStyle name="Good 5 11" xfId="9061" xr:uid="{00000000-0005-0000-0000-0000CF340000}"/>
    <cellStyle name="Good 5 11 2" xfId="17734" xr:uid="{00000000-0005-0000-0000-0000D0340000}"/>
    <cellStyle name="Good 5 2" xfId="9062" xr:uid="{00000000-0005-0000-0000-0000D1340000}"/>
    <cellStyle name="Good 5 2 2" xfId="9063" xr:uid="{00000000-0005-0000-0000-0000D2340000}"/>
    <cellStyle name="Good 5 2 2 2" xfId="17735" xr:uid="{00000000-0005-0000-0000-0000D3340000}"/>
    <cellStyle name="Good 5 3" xfId="9064" xr:uid="{00000000-0005-0000-0000-0000D4340000}"/>
    <cellStyle name="Good 5 3 2" xfId="9065" xr:uid="{00000000-0005-0000-0000-0000D5340000}"/>
    <cellStyle name="Good 5 3 2 2" xfId="17736" xr:uid="{00000000-0005-0000-0000-0000D6340000}"/>
    <cellStyle name="Good 5 4" xfId="9066" xr:uid="{00000000-0005-0000-0000-0000D7340000}"/>
    <cellStyle name="Good 5 4 2" xfId="9067" xr:uid="{00000000-0005-0000-0000-0000D8340000}"/>
    <cellStyle name="Good 5 4 3" xfId="17737" xr:uid="{00000000-0005-0000-0000-0000D9340000}"/>
    <cellStyle name="Good 5 5" xfId="9068" xr:uid="{00000000-0005-0000-0000-0000DA340000}"/>
    <cellStyle name="Good 5 5 2" xfId="17738" xr:uid="{00000000-0005-0000-0000-0000DB340000}"/>
    <cellStyle name="Good 5 6" xfId="9069" xr:uid="{00000000-0005-0000-0000-0000DC340000}"/>
    <cellStyle name="Good 5 6 2" xfId="17739" xr:uid="{00000000-0005-0000-0000-0000DD340000}"/>
    <cellStyle name="Good 5 7" xfId="9070" xr:uid="{00000000-0005-0000-0000-0000DE340000}"/>
    <cellStyle name="Good 5 7 2" xfId="17740" xr:uid="{00000000-0005-0000-0000-0000DF340000}"/>
    <cellStyle name="Good 5 8" xfId="9071" xr:uid="{00000000-0005-0000-0000-0000E0340000}"/>
    <cellStyle name="Good 5 8 2" xfId="17741" xr:uid="{00000000-0005-0000-0000-0000E1340000}"/>
    <cellStyle name="Good 5 9" xfId="9072" xr:uid="{00000000-0005-0000-0000-0000E2340000}"/>
    <cellStyle name="Good 5 9 2" xfId="17742" xr:uid="{00000000-0005-0000-0000-0000E3340000}"/>
    <cellStyle name="Good 6" xfId="9073" xr:uid="{00000000-0005-0000-0000-0000E4340000}"/>
    <cellStyle name="Good 6 10" xfId="9074" xr:uid="{00000000-0005-0000-0000-0000E5340000}"/>
    <cellStyle name="Good 6 10 2" xfId="17743" xr:uid="{00000000-0005-0000-0000-0000E6340000}"/>
    <cellStyle name="Good 6 11" xfId="9075" xr:uid="{00000000-0005-0000-0000-0000E7340000}"/>
    <cellStyle name="Good 6 11 2" xfId="17744" xr:uid="{00000000-0005-0000-0000-0000E8340000}"/>
    <cellStyle name="Good 6 2" xfId="9076" xr:uid="{00000000-0005-0000-0000-0000E9340000}"/>
    <cellStyle name="Good 6 2 2" xfId="9077" xr:uid="{00000000-0005-0000-0000-0000EA340000}"/>
    <cellStyle name="Good 6 2 2 2" xfId="17745" xr:uid="{00000000-0005-0000-0000-0000EB340000}"/>
    <cellStyle name="Good 6 3" xfId="9078" xr:uid="{00000000-0005-0000-0000-0000EC340000}"/>
    <cellStyle name="Good 6 3 2" xfId="9079" xr:uid="{00000000-0005-0000-0000-0000ED340000}"/>
    <cellStyle name="Good 6 3 2 2" xfId="17746" xr:uid="{00000000-0005-0000-0000-0000EE340000}"/>
    <cellStyle name="Good 6 4" xfId="9080" xr:uid="{00000000-0005-0000-0000-0000EF340000}"/>
    <cellStyle name="Good 6 4 2" xfId="9081" xr:uid="{00000000-0005-0000-0000-0000F0340000}"/>
    <cellStyle name="Good 6 4 3" xfId="17747" xr:uid="{00000000-0005-0000-0000-0000F1340000}"/>
    <cellStyle name="Good 6 5" xfId="9082" xr:uid="{00000000-0005-0000-0000-0000F2340000}"/>
    <cellStyle name="Good 6 5 2" xfId="17748" xr:uid="{00000000-0005-0000-0000-0000F3340000}"/>
    <cellStyle name="Good 6 6" xfId="9083" xr:uid="{00000000-0005-0000-0000-0000F4340000}"/>
    <cellStyle name="Good 6 6 2" xfId="17749" xr:uid="{00000000-0005-0000-0000-0000F5340000}"/>
    <cellStyle name="Good 6 7" xfId="9084" xr:uid="{00000000-0005-0000-0000-0000F6340000}"/>
    <cellStyle name="Good 6 7 2" xfId="17750" xr:uid="{00000000-0005-0000-0000-0000F7340000}"/>
    <cellStyle name="Good 6 8" xfId="9085" xr:uid="{00000000-0005-0000-0000-0000F8340000}"/>
    <cellStyle name="Good 6 8 2" xfId="17751" xr:uid="{00000000-0005-0000-0000-0000F9340000}"/>
    <cellStyle name="Good 6 9" xfId="9086" xr:uid="{00000000-0005-0000-0000-0000FA340000}"/>
    <cellStyle name="Good 6 9 2" xfId="17752" xr:uid="{00000000-0005-0000-0000-0000FB340000}"/>
    <cellStyle name="Good 7" xfId="9087" xr:uid="{00000000-0005-0000-0000-0000FC340000}"/>
    <cellStyle name="Good 7 10" xfId="9088" xr:uid="{00000000-0005-0000-0000-0000FD340000}"/>
    <cellStyle name="Good 7 10 2" xfId="17753" xr:uid="{00000000-0005-0000-0000-0000FE340000}"/>
    <cellStyle name="Good 7 11" xfId="9089" xr:uid="{00000000-0005-0000-0000-0000FF340000}"/>
    <cellStyle name="Good 7 11 2" xfId="17754" xr:uid="{00000000-0005-0000-0000-000000350000}"/>
    <cellStyle name="Good 7 2" xfId="9090" xr:uid="{00000000-0005-0000-0000-000001350000}"/>
    <cellStyle name="Good 7 2 2" xfId="9091" xr:uid="{00000000-0005-0000-0000-000002350000}"/>
    <cellStyle name="Good 7 2 2 2" xfId="17755" xr:uid="{00000000-0005-0000-0000-000003350000}"/>
    <cellStyle name="Good 7 3" xfId="9092" xr:uid="{00000000-0005-0000-0000-000004350000}"/>
    <cellStyle name="Good 7 3 2" xfId="9093" xr:uid="{00000000-0005-0000-0000-000005350000}"/>
    <cellStyle name="Good 7 3 2 2" xfId="17756" xr:uid="{00000000-0005-0000-0000-000006350000}"/>
    <cellStyle name="Good 7 4" xfId="9094" xr:uid="{00000000-0005-0000-0000-000007350000}"/>
    <cellStyle name="Good 7 4 2" xfId="9095" xr:uid="{00000000-0005-0000-0000-000008350000}"/>
    <cellStyle name="Good 7 4 3" xfId="17757" xr:uid="{00000000-0005-0000-0000-000009350000}"/>
    <cellStyle name="Good 7 5" xfId="9096" xr:uid="{00000000-0005-0000-0000-00000A350000}"/>
    <cellStyle name="Good 7 5 2" xfId="17758" xr:uid="{00000000-0005-0000-0000-00000B350000}"/>
    <cellStyle name="Good 7 6" xfId="9097" xr:uid="{00000000-0005-0000-0000-00000C350000}"/>
    <cellStyle name="Good 7 6 2" xfId="17759" xr:uid="{00000000-0005-0000-0000-00000D350000}"/>
    <cellStyle name="Good 7 7" xfId="9098" xr:uid="{00000000-0005-0000-0000-00000E350000}"/>
    <cellStyle name="Good 7 7 2" xfId="17760" xr:uid="{00000000-0005-0000-0000-00000F350000}"/>
    <cellStyle name="Good 7 8" xfId="9099" xr:uid="{00000000-0005-0000-0000-000010350000}"/>
    <cellStyle name="Good 7 8 2" xfId="17761" xr:uid="{00000000-0005-0000-0000-000011350000}"/>
    <cellStyle name="Good 7 9" xfId="9100" xr:uid="{00000000-0005-0000-0000-000012350000}"/>
    <cellStyle name="Good 7 9 2" xfId="17762" xr:uid="{00000000-0005-0000-0000-000013350000}"/>
    <cellStyle name="Good 8" xfId="9101" xr:uid="{00000000-0005-0000-0000-000014350000}"/>
    <cellStyle name="Good 8 10" xfId="9102" xr:uid="{00000000-0005-0000-0000-000015350000}"/>
    <cellStyle name="Good 8 10 2" xfId="17763" xr:uid="{00000000-0005-0000-0000-000016350000}"/>
    <cellStyle name="Good 8 11" xfId="9103" xr:uid="{00000000-0005-0000-0000-000017350000}"/>
    <cellStyle name="Good 8 11 2" xfId="17764" xr:uid="{00000000-0005-0000-0000-000018350000}"/>
    <cellStyle name="Good 8 2" xfId="9104" xr:uid="{00000000-0005-0000-0000-000019350000}"/>
    <cellStyle name="Good 8 2 2" xfId="9105" xr:uid="{00000000-0005-0000-0000-00001A350000}"/>
    <cellStyle name="Good 8 2 2 2" xfId="17765" xr:uid="{00000000-0005-0000-0000-00001B350000}"/>
    <cellStyle name="Good 8 3" xfId="9106" xr:uid="{00000000-0005-0000-0000-00001C350000}"/>
    <cellStyle name="Good 8 3 2" xfId="9107" xr:uid="{00000000-0005-0000-0000-00001D350000}"/>
    <cellStyle name="Good 8 3 2 2" xfId="17766" xr:uid="{00000000-0005-0000-0000-00001E350000}"/>
    <cellStyle name="Good 8 4" xfId="9108" xr:uid="{00000000-0005-0000-0000-00001F350000}"/>
    <cellStyle name="Good 8 4 2" xfId="9109" xr:uid="{00000000-0005-0000-0000-000020350000}"/>
    <cellStyle name="Good 8 4 3" xfId="17767" xr:uid="{00000000-0005-0000-0000-000021350000}"/>
    <cellStyle name="Good 8 5" xfId="9110" xr:uid="{00000000-0005-0000-0000-000022350000}"/>
    <cellStyle name="Good 8 5 2" xfId="17768" xr:uid="{00000000-0005-0000-0000-000023350000}"/>
    <cellStyle name="Good 8 6" xfId="9111" xr:uid="{00000000-0005-0000-0000-000024350000}"/>
    <cellStyle name="Good 8 6 2" xfId="17769" xr:uid="{00000000-0005-0000-0000-000025350000}"/>
    <cellStyle name="Good 8 7" xfId="9112" xr:uid="{00000000-0005-0000-0000-000026350000}"/>
    <cellStyle name="Good 8 7 2" xfId="17770" xr:uid="{00000000-0005-0000-0000-000027350000}"/>
    <cellStyle name="Good 8 8" xfId="9113" xr:uid="{00000000-0005-0000-0000-000028350000}"/>
    <cellStyle name="Good 8 8 2" xfId="17771" xr:uid="{00000000-0005-0000-0000-000029350000}"/>
    <cellStyle name="Good 8 9" xfId="9114" xr:uid="{00000000-0005-0000-0000-00002A350000}"/>
    <cellStyle name="Good 8 9 2" xfId="17772" xr:uid="{00000000-0005-0000-0000-00002B350000}"/>
    <cellStyle name="Good 9" xfId="9115" xr:uid="{00000000-0005-0000-0000-00002C350000}"/>
    <cellStyle name="Good 9 10" xfId="9116" xr:uid="{00000000-0005-0000-0000-00002D350000}"/>
    <cellStyle name="Good 9 10 2" xfId="17773" xr:uid="{00000000-0005-0000-0000-00002E350000}"/>
    <cellStyle name="Good 9 11" xfId="9117" xr:uid="{00000000-0005-0000-0000-00002F350000}"/>
    <cellStyle name="Good 9 11 2" xfId="17774" xr:uid="{00000000-0005-0000-0000-000030350000}"/>
    <cellStyle name="Good 9 2" xfId="9118" xr:uid="{00000000-0005-0000-0000-000031350000}"/>
    <cellStyle name="Good 9 2 2" xfId="9119" xr:uid="{00000000-0005-0000-0000-000032350000}"/>
    <cellStyle name="Good 9 2 2 2" xfId="17775" xr:uid="{00000000-0005-0000-0000-000033350000}"/>
    <cellStyle name="Good 9 3" xfId="9120" xr:uid="{00000000-0005-0000-0000-000034350000}"/>
    <cellStyle name="Good 9 3 2" xfId="9121" xr:uid="{00000000-0005-0000-0000-000035350000}"/>
    <cellStyle name="Good 9 3 2 2" xfId="17776" xr:uid="{00000000-0005-0000-0000-000036350000}"/>
    <cellStyle name="Good 9 4" xfId="9122" xr:uid="{00000000-0005-0000-0000-000037350000}"/>
    <cellStyle name="Good 9 4 2" xfId="9123" xr:uid="{00000000-0005-0000-0000-000038350000}"/>
    <cellStyle name="Good 9 4 3" xfId="17777" xr:uid="{00000000-0005-0000-0000-000039350000}"/>
    <cellStyle name="Good 9 5" xfId="9124" xr:uid="{00000000-0005-0000-0000-00003A350000}"/>
    <cellStyle name="Good 9 5 2" xfId="17778" xr:uid="{00000000-0005-0000-0000-00003B350000}"/>
    <cellStyle name="Good 9 6" xfId="9125" xr:uid="{00000000-0005-0000-0000-00003C350000}"/>
    <cellStyle name="Good 9 6 2" xfId="17779" xr:uid="{00000000-0005-0000-0000-00003D350000}"/>
    <cellStyle name="Good 9 7" xfId="9126" xr:uid="{00000000-0005-0000-0000-00003E350000}"/>
    <cellStyle name="Good 9 7 2" xfId="17780" xr:uid="{00000000-0005-0000-0000-00003F350000}"/>
    <cellStyle name="Good 9 8" xfId="9127" xr:uid="{00000000-0005-0000-0000-000040350000}"/>
    <cellStyle name="Good 9 8 2" xfId="17781" xr:uid="{00000000-0005-0000-0000-000041350000}"/>
    <cellStyle name="Good 9 9" xfId="9128" xr:uid="{00000000-0005-0000-0000-000042350000}"/>
    <cellStyle name="Good 9 9 2" xfId="17782" xr:uid="{00000000-0005-0000-0000-000043350000}"/>
    <cellStyle name="Heading 1 10" xfId="9129" xr:uid="{00000000-0005-0000-0000-000044350000}"/>
    <cellStyle name="Heading 1 10 10" xfId="9130" xr:uid="{00000000-0005-0000-0000-000045350000}"/>
    <cellStyle name="Heading 1 10 10 2" xfId="17783" xr:uid="{00000000-0005-0000-0000-000046350000}"/>
    <cellStyle name="Heading 1 10 11" xfId="9131" xr:uid="{00000000-0005-0000-0000-000047350000}"/>
    <cellStyle name="Heading 1 10 11 2" xfId="17784" xr:uid="{00000000-0005-0000-0000-000048350000}"/>
    <cellStyle name="Heading 1 10 2" xfId="9132" xr:uid="{00000000-0005-0000-0000-000049350000}"/>
    <cellStyle name="Heading 1 10 2 2" xfId="9133" xr:uid="{00000000-0005-0000-0000-00004A350000}"/>
    <cellStyle name="Heading 1 10 2 2 2" xfId="17785" xr:uid="{00000000-0005-0000-0000-00004B350000}"/>
    <cellStyle name="Heading 1 10 3" xfId="9134" xr:uid="{00000000-0005-0000-0000-00004C350000}"/>
    <cellStyle name="Heading 1 10 3 2" xfId="9135" xr:uid="{00000000-0005-0000-0000-00004D350000}"/>
    <cellStyle name="Heading 1 10 3 2 2" xfId="17786" xr:uid="{00000000-0005-0000-0000-00004E350000}"/>
    <cellStyle name="Heading 1 10 4" xfId="9136" xr:uid="{00000000-0005-0000-0000-00004F350000}"/>
    <cellStyle name="Heading 1 10 4 2" xfId="9137" xr:uid="{00000000-0005-0000-0000-000050350000}"/>
    <cellStyle name="Heading 1 10 4 3" xfId="17787" xr:uid="{00000000-0005-0000-0000-000051350000}"/>
    <cellStyle name="Heading 1 10 5" xfId="9138" xr:uid="{00000000-0005-0000-0000-000052350000}"/>
    <cellStyle name="Heading 1 10 5 2" xfId="17788" xr:uid="{00000000-0005-0000-0000-000053350000}"/>
    <cellStyle name="Heading 1 10 6" xfId="9139" xr:uid="{00000000-0005-0000-0000-000054350000}"/>
    <cellStyle name="Heading 1 10 6 2" xfId="17789" xr:uid="{00000000-0005-0000-0000-000055350000}"/>
    <cellStyle name="Heading 1 10 7" xfId="9140" xr:uid="{00000000-0005-0000-0000-000056350000}"/>
    <cellStyle name="Heading 1 10 7 2" xfId="17790" xr:uid="{00000000-0005-0000-0000-000057350000}"/>
    <cellStyle name="Heading 1 10 8" xfId="9141" xr:uid="{00000000-0005-0000-0000-000058350000}"/>
    <cellStyle name="Heading 1 10 8 2" xfId="17791" xr:uid="{00000000-0005-0000-0000-000059350000}"/>
    <cellStyle name="Heading 1 10 9" xfId="9142" xr:uid="{00000000-0005-0000-0000-00005A350000}"/>
    <cellStyle name="Heading 1 10 9 2" xfId="17792" xr:uid="{00000000-0005-0000-0000-00005B350000}"/>
    <cellStyle name="Heading 1 11" xfId="9143" xr:uid="{00000000-0005-0000-0000-00005C350000}"/>
    <cellStyle name="Heading 1 11 10" xfId="9144" xr:uid="{00000000-0005-0000-0000-00005D350000}"/>
    <cellStyle name="Heading 1 11 10 2" xfId="17793" xr:uid="{00000000-0005-0000-0000-00005E350000}"/>
    <cellStyle name="Heading 1 11 11" xfId="9145" xr:uid="{00000000-0005-0000-0000-00005F350000}"/>
    <cellStyle name="Heading 1 11 11 2" xfId="17794" xr:uid="{00000000-0005-0000-0000-000060350000}"/>
    <cellStyle name="Heading 1 11 2" xfId="9146" xr:uid="{00000000-0005-0000-0000-000061350000}"/>
    <cellStyle name="Heading 1 11 2 2" xfId="9147" xr:uid="{00000000-0005-0000-0000-000062350000}"/>
    <cellStyle name="Heading 1 11 2 2 2" xfId="17795" xr:uid="{00000000-0005-0000-0000-000063350000}"/>
    <cellStyle name="Heading 1 11 3" xfId="9148" xr:uid="{00000000-0005-0000-0000-000064350000}"/>
    <cellStyle name="Heading 1 11 3 2" xfId="9149" xr:uid="{00000000-0005-0000-0000-000065350000}"/>
    <cellStyle name="Heading 1 11 3 2 2" xfId="17796" xr:uid="{00000000-0005-0000-0000-000066350000}"/>
    <cellStyle name="Heading 1 11 4" xfId="9150" xr:uid="{00000000-0005-0000-0000-000067350000}"/>
    <cellStyle name="Heading 1 11 4 2" xfId="9151" xr:uid="{00000000-0005-0000-0000-000068350000}"/>
    <cellStyle name="Heading 1 11 4 3" xfId="17797" xr:uid="{00000000-0005-0000-0000-000069350000}"/>
    <cellStyle name="Heading 1 11 5" xfId="9152" xr:uid="{00000000-0005-0000-0000-00006A350000}"/>
    <cellStyle name="Heading 1 11 5 2" xfId="17798" xr:uid="{00000000-0005-0000-0000-00006B350000}"/>
    <cellStyle name="Heading 1 11 6" xfId="9153" xr:uid="{00000000-0005-0000-0000-00006C350000}"/>
    <cellStyle name="Heading 1 11 6 2" xfId="17799" xr:uid="{00000000-0005-0000-0000-00006D350000}"/>
    <cellStyle name="Heading 1 11 7" xfId="9154" xr:uid="{00000000-0005-0000-0000-00006E350000}"/>
    <cellStyle name="Heading 1 11 7 2" xfId="17800" xr:uid="{00000000-0005-0000-0000-00006F350000}"/>
    <cellStyle name="Heading 1 11 8" xfId="9155" xr:uid="{00000000-0005-0000-0000-000070350000}"/>
    <cellStyle name="Heading 1 11 8 2" xfId="17801" xr:uid="{00000000-0005-0000-0000-000071350000}"/>
    <cellStyle name="Heading 1 11 9" xfId="9156" xr:uid="{00000000-0005-0000-0000-000072350000}"/>
    <cellStyle name="Heading 1 11 9 2" xfId="17802" xr:uid="{00000000-0005-0000-0000-000073350000}"/>
    <cellStyle name="Heading 1 12" xfId="9157" xr:uid="{00000000-0005-0000-0000-000074350000}"/>
    <cellStyle name="Heading 1 12 10" xfId="9158" xr:uid="{00000000-0005-0000-0000-000075350000}"/>
    <cellStyle name="Heading 1 12 10 2" xfId="17803" xr:uid="{00000000-0005-0000-0000-000076350000}"/>
    <cellStyle name="Heading 1 12 11" xfId="9159" xr:uid="{00000000-0005-0000-0000-000077350000}"/>
    <cellStyle name="Heading 1 12 11 2" xfId="17804" xr:uid="{00000000-0005-0000-0000-000078350000}"/>
    <cellStyle name="Heading 1 12 2" xfId="9160" xr:uid="{00000000-0005-0000-0000-000079350000}"/>
    <cellStyle name="Heading 1 12 2 2" xfId="9161" xr:uid="{00000000-0005-0000-0000-00007A350000}"/>
    <cellStyle name="Heading 1 12 2 2 2" xfId="17805" xr:uid="{00000000-0005-0000-0000-00007B350000}"/>
    <cellStyle name="Heading 1 12 3" xfId="9162" xr:uid="{00000000-0005-0000-0000-00007C350000}"/>
    <cellStyle name="Heading 1 12 3 2" xfId="9163" xr:uid="{00000000-0005-0000-0000-00007D350000}"/>
    <cellStyle name="Heading 1 12 3 2 2" xfId="17806" xr:uid="{00000000-0005-0000-0000-00007E350000}"/>
    <cellStyle name="Heading 1 12 4" xfId="9164" xr:uid="{00000000-0005-0000-0000-00007F350000}"/>
    <cellStyle name="Heading 1 12 4 2" xfId="9165" xr:uid="{00000000-0005-0000-0000-000080350000}"/>
    <cellStyle name="Heading 1 12 4 3" xfId="17807" xr:uid="{00000000-0005-0000-0000-000081350000}"/>
    <cellStyle name="Heading 1 12 5" xfId="9166" xr:uid="{00000000-0005-0000-0000-000082350000}"/>
    <cellStyle name="Heading 1 12 5 2" xfId="17808" xr:uid="{00000000-0005-0000-0000-000083350000}"/>
    <cellStyle name="Heading 1 12 6" xfId="9167" xr:uid="{00000000-0005-0000-0000-000084350000}"/>
    <cellStyle name="Heading 1 12 6 2" xfId="17809" xr:uid="{00000000-0005-0000-0000-000085350000}"/>
    <cellStyle name="Heading 1 12 7" xfId="9168" xr:uid="{00000000-0005-0000-0000-000086350000}"/>
    <cellStyle name="Heading 1 12 7 2" xfId="17810" xr:uid="{00000000-0005-0000-0000-000087350000}"/>
    <cellStyle name="Heading 1 12 8" xfId="9169" xr:uid="{00000000-0005-0000-0000-000088350000}"/>
    <cellStyle name="Heading 1 12 8 2" xfId="17811" xr:uid="{00000000-0005-0000-0000-000089350000}"/>
    <cellStyle name="Heading 1 12 9" xfId="9170" xr:uid="{00000000-0005-0000-0000-00008A350000}"/>
    <cellStyle name="Heading 1 12 9 2" xfId="17812" xr:uid="{00000000-0005-0000-0000-00008B350000}"/>
    <cellStyle name="Heading 1 13" xfId="9171" xr:uid="{00000000-0005-0000-0000-00008C350000}"/>
    <cellStyle name="Heading 1 13 10" xfId="9172" xr:uid="{00000000-0005-0000-0000-00008D350000}"/>
    <cellStyle name="Heading 1 13 10 2" xfId="17813" xr:uid="{00000000-0005-0000-0000-00008E350000}"/>
    <cellStyle name="Heading 1 13 11" xfId="9173" xr:uid="{00000000-0005-0000-0000-00008F350000}"/>
    <cellStyle name="Heading 1 13 11 2" xfId="17814" xr:uid="{00000000-0005-0000-0000-000090350000}"/>
    <cellStyle name="Heading 1 13 2" xfId="9174" xr:uid="{00000000-0005-0000-0000-000091350000}"/>
    <cellStyle name="Heading 1 13 2 2" xfId="9175" xr:uid="{00000000-0005-0000-0000-000092350000}"/>
    <cellStyle name="Heading 1 13 2 2 2" xfId="17815" xr:uid="{00000000-0005-0000-0000-000093350000}"/>
    <cellStyle name="Heading 1 13 3" xfId="9176" xr:uid="{00000000-0005-0000-0000-000094350000}"/>
    <cellStyle name="Heading 1 13 3 2" xfId="9177" xr:uid="{00000000-0005-0000-0000-000095350000}"/>
    <cellStyle name="Heading 1 13 3 2 2" xfId="17816" xr:uid="{00000000-0005-0000-0000-000096350000}"/>
    <cellStyle name="Heading 1 13 4" xfId="9178" xr:uid="{00000000-0005-0000-0000-000097350000}"/>
    <cellStyle name="Heading 1 13 4 2" xfId="17817" xr:uid="{00000000-0005-0000-0000-000098350000}"/>
    <cellStyle name="Heading 1 13 5" xfId="9179" xr:uid="{00000000-0005-0000-0000-000099350000}"/>
    <cellStyle name="Heading 1 13 5 2" xfId="17818" xr:uid="{00000000-0005-0000-0000-00009A350000}"/>
    <cellStyle name="Heading 1 13 6" xfId="9180" xr:uid="{00000000-0005-0000-0000-00009B350000}"/>
    <cellStyle name="Heading 1 13 6 2" xfId="17819" xr:uid="{00000000-0005-0000-0000-00009C350000}"/>
    <cellStyle name="Heading 1 13 7" xfId="9181" xr:uid="{00000000-0005-0000-0000-00009D350000}"/>
    <cellStyle name="Heading 1 13 7 2" xfId="17820" xr:uid="{00000000-0005-0000-0000-00009E350000}"/>
    <cellStyle name="Heading 1 13 8" xfId="9182" xr:uid="{00000000-0005-0000-0000-00009F350000}"/>
    <cellStyle name="Heading 1 13 8 2" xfId="17821" xr:uid="{00000000-0005-0000-0000-0000A0350000}"/>
    <cellStyle name="Heading 1 13 9" xfId="9183" xr:uid="{00000000-0005-0000-0000-0000A1350000}"/>
    <cellStyle name="Heading 1 13 9 2" xfId="17822" xr:uid="{00000000-0005-0000-0000-0000A2350000}"/>
    <cellStyle name="Heading 1 14" xfId="9184" xr:uid="{00000000-0005-0000-0000-0000A3350000}"/>
    <cellStyle name="Heading 1 14 10" xfId="9185" xr:uid="{00000000-0005-0000-0000-0000A4350000}"/>
    <cellStyle name="Heading 1 14 10 2" xfId="17823" xr:uid="{00000000-0005-0000-0000-0000A5350000}"/>
    <cellStyle name="Heading 1 14 11" xfId="9186" xr:uid="{00000000-0005-0000-0000-0000A6350000}"/>
    <cellStyle name="Heading 1 14 11 2" xfId="17824" xr:uid="{00000000-0005-0000-0000-0000A7350000}"/>
    <cellStyle name="Heading 1 14 2" xfId="9187" xr:uid="{00000000-0005-0000-0000-0000A8350000}"/>
    <cellStyle name="Heading 1 14 2 2" xfId="9188" xr:uid="{00000000-0005-0000-0000-0000A9350000}"/>
    <cellStyle name="Heading 1 14 2 2 2" xfId="17825" xr:uid="{00000000-0005-0000-0000-0000AA350000}"/>
    <cellStyle name="Heading 1 14 3" xfId="9189" xr:uid="{00000000-0005-0000-0000-0000AB350000}"/>
    <cellStyle name="Heading 1 14 3 2" xfId="9190" xr:uid="{00000000-0005-0000-0000-0000AC350000}"/>
    <cellStyle name="Heading 1 14 3 2 2" xfId="17826" xr:uid="{00000000-0005-0000-0000-0000AD350000}"/>
    <cellStyle name="Heading 1 14 4" xfId="9191" xr:uid="{00000000-0005-0000-0000-0000AE350000}"/>
    <cellStyle name="Heading 1 14 4 2" xfId="17827" xr:uid="{00000000-0005-0000-0000-0000AF350000}"/>
    <cellStyle name="Heading 1 14 5" xfId="9192" xr:uid="{00000000-0005-0000-0000-0000B0350000}"/>
    <cellStyle name="Heading 1 14 5 2" xfId="17828" xr:uid="{00000000-0005-0000-0000-0000B1350000}"/>
    <cellStyle name="Heading 1 14 6" xfId="9193" xr:uid="{00000000-0005-0000-0000-0000B2350000}"/>
    <cellStyle name="Heading 1 14 6 2" xfId="17829" xr:uid="{00000000-0005-0000-0000-0000B3350000}"/>
    <cellStyle name="Heading 1 14 7" xfId="9194" xr:uid="{00000000-0005-0000-0000-0000B4350000}"/>
    <cellStyle name="Heading 1 14 7 2" xfId="17830" xr:uid="{00000000-0005-0000-0000-0000B5350000}"/>
    <cellStyle name="Heading 1 14 8" xfId="9195" xr:uid="{00000000-0005-0000-0000-0000B6350000}"/>
    <cellStyle name="Heading 1 14 8 2" xfId="17831" xr:uid="{00000000-0005-0000-0000-0000B7350000}"/>
    <cellStyle name="Heading 1 14 9" xfId="9196" xr:uid="{00000000-0005-0000-0000-0000B8350000}"/>
    <cellStyle name="Heading 1 14 9 2" xfId="17832" xr:uid="{00000000-0005-0000-0000-0000B9350000}"/>
    <cellStyle name="Heading 1 15" xfId="9197" xr:uid="{00000000-0005-0000-0000-0000BA350000}"/>
    <cellStyle name="Heading 1 15 10" xfId="9198" xr:uid="{00000000-0005-0000-0000-0000BB350000}"/>
    <cellStyle name="Heading 1 15 10 2" xfId="17833" xr:uid="{00000000-0005-0000-0000-0000BC350000}"/>
    <cellStyle name="Heading 1 15 11" xfId="9199" xr:uid="{00000000-0005-0000-0000-0000BD350000}"/>
    <cellStyle name="Heading 1 15 11 2" xfId="17834" xr:uid="{00000000-0005-0000-0000-0000BE350000}"/>
    <cellStyle name="Heading 1 15 2" xfId="9200" xr:uid="{00000000-0005-0000-0000-0000BF350000}"/>
    <cellStyle name="Heading 1 15 2 2" xfId="9201" xr:uid="{00000000-0005-0000-0000-0000C0350000}"/>
    <cellStyle name="Heading 1 15 2 2 2" xfId="17835" xr:uid="{00000000-0005-0000-0000-0000C1350000}"/>
    <cellStyle name="Heading 1 15 3" xfId="9202" xr:uid="{00000000-0005-0000-0000-0000C2350000}"/>
    <cellStyle name="Heading 1 15 3 2" xfId="9203" xr:uid="{00000000-0005-0000-0000-0000C3350000}"/>
    <cellStyle name="Heading 1 15 3 2 2" xfId="17836" xr:uid="{00000000-0005-0000-0000-0000C4350000}"/>
    <cellStyle name="Heading 1 15 4" xfId="9204" xr:uid="{00000000-0005-0000-0000-0000C5350000}"/>
    <cellStyle name="Heading 1 15 4 2" xfId="17837" xr:uid="{00000000-0005-0000-0000-0000C6350000}"/>
    <cellStyle name="Heading 1 15 5" xfId="9205" xr:uid="{00000000-0005-0000-0000-0000C7350000}"/>
    <cellStyle name="Heading 1 15 5 2" xfId="17838" xr:uid="{00000000-0005-0000-0000-0000C8350000}"/>
    <cellStyle name="Heading 1 15 6" xfId="9206" xr:uid="{00000000-0005-0000-0000-0000C9350000}"/>
    <cellStyle name="Heading 1 15 6 2" xfId="17839" xr:uid="{00000000-0005-0000-0000-0000CA350000}"/>
    <cellStyle name="Heading 1 15 7" xfId="9207" xr:uid="{00000000-0005-0000-0000-0000CB350000}"/>
    <cellStyle name="Heading 1 15 7 2" xfId="17840" xr:uid="{00000000-0005-0000-0000-0000CC350000}"/>
    <cellStyle name="Heading 1 15 8" xfId="9208" xr:uid="{00000000-0005-0000-0000-0000CD350000}"/>
    <cellStyle name="Heading 1 15 8 2" xfId="17841" xr:uid="{00000000-0005-0000-0000-0000CE350000}"/>
    <cellStyle name="Heading 1 15 9" xfId="9209" xr:uid="{00000000-0005-0000-0000-0000CF350000}"/>
    <cellStyle name="Heading 1 15 9 2" xfId="17842" xr:uid="{00000000-0005-0000-0000-0000D0350000}"/>
    <cellStyle name="Heading 1 16" xfId="9210" xr:uid="{00000000-0005-0000-0000-0000D1350000}"/>
    <cellStyle name="Heading 1 16 10" xfId="9211" xr:uid="{00000000-0005-0000-0000-0000D2350000}"/>
    <cellStyle name="Heading 1 16 10 2" xfId="17843" xr:uid="{00000000-0005-0000-0000-0000D3350000}"/>
    <cellStyle name="Heading 1 16 11" xfId="9212" xr:uid="{00000000-0005-0000-0000-0000D4350000}"/>
    <cellStyle name="Heading 1 16 11 2" xfId="17844" xr:uid="{00000000-0005-0000-0000-0000D5350000}"/>
    <cellStyle name="Heading 1 16 2" xfId="9213" xr:uid="{00000000-0005-0000-0000-0000D6350000}"/>
    <cellStyle name="Heading 1 16 2 2" xfId="9214" xr:uid="{00000000-0005-0000-0000-0000D7350000}"/>
    <cellStyle name="Heading 1 16 2 2 2" xfId="17845" xr:uid="{00000000-0005-0000-0000-0000D8350000}"/>
    <cellStyle name="Heading 1 16 3" xfId="9215" xr:uid="{00000000-0005-0000-0000-0000D9350000}"/>
    <cellStyle name="Heading 1 16 3 2" xfId="9216" xr:uid="{00000000-0005-0000-0000-0000DA350000}"/>
    <cellStyle name="Heading 1 16 3 2 2" xfId="17846" xr:uid="{00000000-0005-0000-0000-0000DB350000}"/>
    <cellStyle name="Heading 1 16 4" xfId="9217" xr:uid="{00000000-0005-0000-0000-0000DC350000}"/>
    <cellStyle name="Heading 1 16 4 2" xfId="17847" xr:uid="{00000000-0005-0000-0000-0000DD350000}"/>
    <cellStyle name="Heading 1 16 5" xfId="9218" xr:uid="{00000000-0005-0000-0000-0000DE350000}"/>
    <cellStyle name="Heading 1 16 5 2" xfId="17848" xr:uid="{00000000-0005-0000-0000-0000DF350000}"/>
    <cellStyle name="Heading 1 16 6" xfId="9219" xr:uid="{00000000-0005-0000-0000-0000E0350000}"/>
    <cellStyle name="Heading 1 16 6 2" xfId="17849" xr:uid="{00000000-0005-0000-0000-0000E1350000}"/>
    <cellStyle name="Heading 1 16 7" xfId="9220" xr:uid="{00000000-0005-0000-0000-0000E2350000}"/>
    <cellStyle name="Heading 1 16 7 2" xfId="17850" xr:uid="{00000000-0005-0000-0000-0000E3350000}"/>
    <cellStyle name="Heading 1 16 8" xfId="9221" xr:uid="{00000000-0005-0000-0000-0000E4350000}"/>
    <cellStyle name="Heading 1 16 8 2" xfId="17851" xr:uid="{00000000-0005-0000-0000-0000E5350000}"/>
    <cellStyle name="Heading 1 16 9" xfId="9222" xr:uid="{00000000-0005-0000-0000-0000E6350000}"/>
    <cellStyle name="Heading 1 16 9 2" xfId="17852" xr:uid="{00000000-0005-0000-0000-0000E7350000}"/>
    <cellStyle name="Heading 1 17" xfId="9223" xr:uid="{00000000-0005-0000-0000-0000E8350000}"/>
    <cellStyle name="Heading 1 17 10" xfId="9224" xr:uid="{00000000-0005-0000-0000-0000E9350000}"/>
    <cellStyle name="Heading 1 17 10 2" xfId="17853" xr:uid="{00000000-0005-0000-0000-0000EA350000}"/>
    <cellStyle name="Heading 1 17 11" xfId="9225" xr:uid="{00000000-0005-0000-0000-0000EB350000}"/>
    <cellStyle name="Heading 1 17 11 2" xfId="17854" xr:uid="{00000000-0005-0000-0000-0000EC350000}"/>
    <cellStyle name="Heading 1 17 2" xfId="9226" xr:uid="{00000000-0005-0000-0000-0000ED350000}"/>
    <cellStyle name="Heading 1 17 2 2" xfId="9227" xr:uid="{00000000-0005-0000-0000-0000EE350000}"/>
    <cellStyle name="Heading 1 17 2 2 2" xfId="17855" xr:uid="{00000000-0005-0000-0000-0000EF350000}"/>
    <cellStyle name="Heading 1 17 3" xfId="9228" xr:uid="{00000000-0005-0000-0000-0000F0350000}"/>
    <cellStyle name="Heading 1 17 3 2" xfId="9229" xr:uid="{00000000-0005-0000-0000-0000F1350000}"/>
    <cellStyle name="Heading 1 17 3 2 2" xfId="17856" xr:uid="{00000000-0005-0000-0000-0000F2350000}"/>
    <cellStyle name="Heading 1 17 4" xfId="9230" xr:uid="{00000000-0005-0000-0000-0000F3350000}"/>
    <cellStyle name="Heading 1 17 4 2" xfId="17857" xr:uid="{00000000-0005-0000-0000-0000F4350000}"/>
    <cellStyle name="Heading 1 17 5" xfId="9231" xr:uid="{00000000-0005-0000-0000-0000F5350000}"/>
    <cellStyle name="Heading 1 17 5 2" xfId="17858" xr:uid="{00000000-0005-0000-0000-0000F6350000}"/>
    <cellStyle name="Heading 1 17 6" xfId="9232" xr:uid="{00000000-0005-0000-0000-0000F7350000}"/>
    <cellStyle name="Heading 1 17 6 2" xfId="17859" xr:uid="{00000000-0005-0000-0000-0000F8350000}"/>
    <cellStyle name="Heading 1 17 7" xfId="9233" xr:uid="{00000000-0005-0000-0000-0000F9350000}"/>
    <cellStyle name="Heading 1 17 7 2" xfId="17860" xr:uid="{00000000-0005-0000-0000-0000FA350000}"/>
    <cellStyle name="Heading 1 17 8" xfId="9234" xr:uid="{00000000-0005-0000-0000-0000FB350000}"/>
    <cellStyle name="Heading 1 17 8 2" xfId="17861" xr:uid="{00000000-0005-0000-0000-0000FC350000}"/>
    <cellStyle name="Heading 1 17 9" xfId="9235" xr:uid="{00000000-0005-0000-0000-0000FD350000}"/>
    <cellStyle name="Heading 1 17 9 2" xfId="17862" xr:uid="{00000000-0005-0000-0000-0000FE350000}"/>
    <cellStyle name="Heading 1 18" xfId="9236" xr:uid="{00000000-0005-0000-0000-0000FF350000}"/>
    <cellStyle name="Heading 1 18 2" xfId="9237" xr:uid="{00000000-0005-0000-0000-000000360000}"/>
    <cellStyle name="Heading 1 18 2 2" xfId="9238" xr:uid="{00000000-0005-0000-0000-000001360000}"/>
    <cellStyle name="Heading 1 18 2 2 2" xfId="17863" xr:uid="{00000000-0005-0000-0000-000002360000}"/>
    <cellStyle name="Heading 1 18 3" xfId="9239" xr:uid="{00000000-0005-0000-0000-000003360000}"/>
    <cellStyle name="Heading 1 18 3 2" xfId="17864" xr:uid="{00000000-0005-0000-0000-000004360000}"/>
    <cellStyle name="Heading 1 18 4" xfId="9240" xr:uid="{00000000-0005-0000-0000-000005360000}"/>
    <cellStyle name="Heading 1 18 4 2" xfId="17865" xr:uid="{00000000-0005-0000-0000-000006360000}"/>
    <cellStyle name="Heading 1 18 5" xfId="9241" xr:uid="{00000000-0005-0000-0000-000007360000}"/>
    <cellStyle name="Heading 1 18 5 2" xfId="17866" xr:uid="{00000000-0005-0000-0000-000008360000}"/>
    <cellStyle name="Heading 1 18 6" xfId="9242" xr:uid="{00000000-0005-0000-0000-000009360000}"/>
    <cellStyle name="Heading 1 18 6 2" xfId="17867" xr:uid="{00000000-0005-0000-0000-00000A360000}"/>
    <cellStyle name="Heading 1 18 7" xfId="9243" xr:uid="{00000000-0005-0000-0000-00000B360000}"/>
    <cellStyle name="Heading 1 18 7 2" xfId="17868" xr:uid="{00000000-0005-0000-0000-00000C360000}"/>
    <cellStyle name="Heading 1 18 8" xfId="9244" xr:uid="{00000000-0005-0000-0000-00000D360000}"/>
    <cellStyle name="Heading 1 18 8 2" xfId="17869" xr:uid="{00000000-0005-0000-0000-00000E360000}"/>
    <cellStyle name="Heading 1 18 9" xfId="9245" xr:uid="{00000000-0005-0000-0000-00000F360000}"/>
    <cellStyle name="Heading 1 18 9 2" xfId="17870" xr:uid="{00000000-0005-0000-0000-000010360000}"/>
    <cellStyle name="Heading 1 19" xfId="9246" xr:uid="{00000000-0005-0000-0000-000011360000}"/>
    <cellStyle name="Heading 1 19 2" xfId="9247" xr:uid="{00000000-0005-0000-0000-000012360000}"/>
    <cellStyle name="Heading 1 19 2 2" xfId="9248" xr:uid="{00000000-0005-0000-0000-000013360000}"/>
    <cellStyle name="Heading 1 19 2 2 2" xfId="17871" xr:uid="{00000000-0005-0000-0000-000014360000}"/>
    <cellStyle name="Heading 1 19 3" xfId="9249" xr:uid="{00000000-0005-0000-0000-000015360000}"/>
    <cellStyle name="Heading 1 19 3 2" xfId="17872" xr:uid="{00000000-0005-0000-0000-000016360000}"/>
    <cellStyle name="Heading 1 19 4" xfId="9250" xr:uid="{00000000-0005-0000-0000-000017360000}"/>
    <cellStyle name="Heading 1 19 4 2" xfId="17873" xr:uid="{00000000-0005-0000-0000-000018360000}"/>
    <cellStyle name="Heading 1 19 5" xfId="9251" xr:uid="{00000000-0005-0000-0000-000019360000}"/>
    <cellStyle name="Heading 1 19 5 2" xfId="17874" xr:uid="{00000000-0005-0000-0000-00001A360000}"/>
    <cellStyle name="Heading 1 19 6" xfId="9252" xr:uid="{00000000-0005-0000-0000-00001B360000}"/>
    <cellStyle name="Heading 1 19 6 2" xfId="17875" xr:uid="{00000000-0005-0000-0000-00001C360000}"/>
    <cellStyle name="Heading 1 19 7" xfId="9253" xr:uid="{00000000-0005-0000-0000-00001D360000}"/>
    <cellStyle name="Heading 1 19 7 2" xfId="17876" xr:uid="{00000000-0005-0000-0000-00001E360000}"/>
    <cellStyle name="Heading 1 19 8" xfId="9254" xr:uid="{00000000-0005-0000-0000-00001F360000}"/>
    <cellStyle name="Heading 1 19 8 2" xfId="17877" xr:uid="{00000000-0005-0000-0000-000020360000}"/>
    <cellStyle name="Heading 1 19 9" xfId="9255" xr:uid="{00000000-0005-0000-0000-000021360000}"/>
    <cellStyle name="Heading 1 19 9 2" xfId="17878" xr:uid="{00000000-0005-0000-0000-000022360000}"/>
    <cellStyle name="Heading 1 2" xfId="9256" xr:uid="{00000000-0005-0000-0000-000023360000}"/>
    <cellStyle name="Heading 1 2 10" xfId="9257" xr:uid="{00000000-0005-0000-0000-000024360000}"/>
    <cellStyle name="Heading 1 2 10 2" xfId="17879" xr:uid="{00000000-0005-0000-0000-000025360000}"/>
    <cellStyle name="Heading 1 2 11" xfId="9258" xr:uid="{00000000-0005-0000-0000-000026360000}"/>
    <cellStyle name="Heading 1 2 11 2" xfId="17880" xr:uid="{00000000-0005-0000-0000-000027360000}"/>
    <cellStyle name="Heading 1 2 12" xfId="21735" xr:uid="{00000000-0005-0000-0000-000028360000}"/>
    <cellStyle name="Heading 1 2 2" xfId="9259" xr:uid="{00000000-0005-0000-0000-000029360000}"/>
    <cellStyle name="Heading 1 2 2 2" xfId="9260" xr:uid="{00000000-0005-0000-0000-00002A360000}"/>
    <cellStyle name="Heading 1 2 2 2 2" xfId="17881" xr:uid="{00000000-0005-0000-0000-00002B360000}"/>
    <cellStyle name="Heading 1 2 3" xfId="9261" xr:uid="{00000000-0005-0000-0000-00002C360000}"/>
    <cellStyle name="Heading 1 2 3 2" xfId="9262" xr:uid="{00000000-0005-0000-0000-00002D360000}"/>
    <cellStyle name="Heading 1 2 3 2 2" xfId="17882" xr:uid="{00000000-0005-0000-0000-00002E360000}"/>
    <cellStyle name="Heading 1 2 4" xfId="9263" xr:uid="{00000000-0005-0000-0000-00002F360000}"/>
    <cellStyle name="Heading 1 2 4 2" xfId="9264" xr:uid="{00000000-0005-0000-0000-000030360000}"/>
    <cellStyle name="Heading 1 2 4 3" xfId="17883" xr:uid="{00000000-0005-0000-0000-000031360000}"/>
    <cellStyle name="Heading 1 2 5" xfId="9265" xr:uid="{00000000-0005-0000-0000-000032360000}"/>
    <cellStyle name="Heading 1 2 5 2" xfId="17884" xr:uid="{00000000-0005-0000-0000-000033360000}"/>
    <cellStyle name="Heading 1 2 6" xfId="9266" xr:uid="{00000000-0005-0000-0000-000034360000}"/>
    <cellStyle name="Heading 1 2 6 2" xfId="17885" xr:uid="{00000000-0005-0000-0000-000035360000}"/>
    <cellStyle name="Heading 1 2 7" xfId="9267" xr:uid="{00000000-0005-0000-0000-000036360000}"/>
    <cellStyle name="Heading 1 2 7 2" xfId="17886" xr:uid="{00000000-0005-0000-0000-000037360000}"/>
    <cellStyle name="Heading 1 2 8" xfId="9268" xr:uid="{00000000-0005-0000-0000-000038360000}"/>
    <cellStyle name="Heading 1 2 8 2" xfId="17887" xr:uid="{00000000-0005-0000-0000-000039360000}"/>
    <cellStyle name="Heading 1 2 9" xfId="9269" xr:uid="{00000000-0005-0000-0000-00003A360000}"/>
    <cellStyle name="Heading 1 2 9 2" xfId="17888" xr:uid="{00000000-0005-0000-0000-00003B360000}"/>
    <cellStyle name="Heading 1 20" xfId="9270" xr:uid="{00000000-0005-0000-0000-00003C360000}"/>
    <cellStyle name="Heading 1 20 2" xfId="9271" xr:uid="{00000000-0005-0000-0000-00003D360000}"/>
    <cellStyle name="Heading 1 20 2 2" xfId="17889" xr:uid="{00000000-0005-0000-0000-00003E360000}"/>
    <cellStyle name="Heading 1 20 3" xfId="9272" xr:uid="{00000000-0005-0000-0000-00003F360000}"/>
    <cellStyle name="Heading 1 20 3 2" xfId="17890" xr:uid="{00000000-0005-0000-0000-000040360000}"/>
    <cellStyle name="Heading 1 20 4" xfId="9273" xr:uid="{00000000-0005-0000-0000-000041360000}"/>
    <cellStyle name="Heading 1 20 4 2" xfId="17891" xr:uid="{00000000-0005-0000-0000-000042360000}"/>
    <cellStyle name="Heading 1 20 5" xfId="9274" xr:uid="{00000000-0005-0000-0000-000043360000}"/>
    <cellStyle name="Heading 1 20 5 2" xfId="17892" xr:uid="{00000000-0005-0000-0000-000044360000}"/>
    <cellStyle name="Heading 1 20 6" xfId="9275" xr:uid="{00000000-0005-0000-0000-000045360000}"/>
    <cellStyle name="Heading 1 20 6 2" xfId="17893" xr:uid="{00000000-0005-0000-0000-000046360000}"/>
    <cellStyle name="Heading 1 20 7" xfId="9276" xr:uid="{00000000-0005-0000-0000-000047360000}"/>
    <cellStyle name="Heading 1 20 7 2" xfId="17894" xr:uid="{00000000-0005-0000-0000-000048360000}"/>
    <cellStyle name="Heading 1 20 8" xfId="9277" xr:uid="{00000000-0005-0000-0000-000049360000}"/>
    <cellStyle name="Heading 1 20 8 2" xfId="17895" xr:uid="{00000000-0005-0000-0000-00004A360000}"/>
    <cellStyle name="Heading 1 20 9" xfId="9278" xr:uid="{00000000-0005-0000-0000-00004B360000}"/>
    <cellStyle name="Heading 1 20 9 2" xfId="17896" xr:uid="{00000000-0005-0000-0000-00004C360000}"/>
    <cellStyle name="Heading 1 21" xfId="9279" xr:uid="{00000000-0005-0000-0000-00004D360000}"/>
    <cellStyle name="Heading 1 21 2" xfId="9280" xr:uid="{00000000-0005-0000-0000-00004E360000}"/>
    <cellStyle name="Heading 1 21 2 2" xfId="17897" xr:uid="{00000000-0005-0000-0000-00004F360000}"/>
    <cellStyle name="Heading 1 21 3" xfId="9281" xr:uid="{00000000-0005-0000-0000-000050360000}"/>
    <cellStyle name="Heading 1 21 3 2" xfId="17898" xr:uid="{00000000-0005-0000-0000-000051360000}"/>
    <cellStyle name="Heading 1 21 4" xfId="9282" xr:uid="{00000000-0005-0000-0000-000052360000}"/>
    <cellStyle name="Heading 1 21 4 2" xfId="17899" xr:uid="{00000000-0005-0000-0000-000053360000}"/>
    <cellStyle name="Heading 1 21 5" xfId="9283" xr:uid="{00000000-0005-0000-0000-000054360000}"/>
    <cellStyle name="Heading 1 21 5 2" xfId="17900" xr:uid="{00000000-0005-0000-0000-000055360000}"/>
    <cellStyle name="Heading 1 21 6" xfId="9284" xr:uid="{00000000-0005-0000-0000-000056360000}"/>
    <cellStyle name="Heading 1 21 6 2" xfId="17901" xr:uid="{00000000-0005-0000-0000-000057360000}"/>
    <cellStyle name="Heading 1 21 7" xfId="9285" xr:uid="{00000000-0005-0000-0000-000058360000}"/>
    <cellStyle name="Heading 1 21 7 2" xfId="17902" xr:uid="{00000000-0005-0000-0000-000059360000}"/>
    <cellStyle name="Heading 1 21 8" xfId="9286" xr:uid="{00000000-0005-0000-0000-00005A360000}"/>
    <cellStyle name="Heading 1 21 8 2" xfId="17903" xr:uid="{00000000-0005-0000-0000-00005B360000}"/>
    <cellStyle name="Heading 1 21 9" xfId="9287" xr:uid="{00000000-0005-0000-0000-00005C360000}"/>
    <cellStyle name="Heading 1 21 9 2" xfId="17904" xr:uid="{00000000-0005-0000-0000-00005D360000}"/>
    <cellStyle name="Heading 1 22" xfId="9288" xr:uid="{00000000-0005-0000-0000-00005E360000}"/>
    <cellStyle name="Heading 1 22 2" xfId="9289" xr:uid="{00000000-0005-0000-0000-00005F360000}"/>
    <cellStyle name="Heading 1 22 2 2" xfId="17905" xr:uid="{00000000-0005-0000-0000-000060360000}"/>
    <cellStyle name="Heading 1 22 3" xfId="9290" xr:uid="{00000000-0005-0000-0000-000061360000}"/>
    <cellStyle name="Heading 1 22 3 2" xfId="17906" xr:uid="{00000000-0005-0000-0000-000062360000}"/>
    <cellStyle name="Heading 1 22 4" xfId="9291" xr:uid="{00000000-0005-0000-0000-000063360000}"/>
    <cellStyle name="Heading 1 22 4 2" xfId="17907" xr:uid="{00000000-0005-0000-0000-000064360000}"/>
    <cellStyle name="Heading 1 22 5" xfId="9292" xr:uid="{00000000-0005-0000-0000-000065360000}"/>
    <cellStyle name="Heading 1 22 5 2" xfId="17908" xr:uid="{00000000-0005-0000-0000-000066360000}"/>
    <cellStyle name="Heading 1 22 6" xfId="9293" xr:uid="{00000000-0005-0000-0000-000067360000}"/>
    <cellStyle name="Heading 1 22 6 2" xfId="17909" xr:uid="{00000000-0005-0000-0000-000068360000}"/>
    <cellStyle name="Heading 1 22 7" xfId="9294" xr:uid="{00000000-0005-0000-0000-000069360000}"/>
    <cellStyle name="Heading 1 22 7 2" xfId="17910" xr:uid="{00000000-0005-0000-0000-00006A360000}"/>
    <cellStyle name="Heading 1 22 8" xfId="9295" xr:uid="{00000000-0005-0000-0000-00006B360000}"/>
    <cellStyle name="Heading 1 22 8 2" xfId="17911" xr:uid="{00000000-0005-0000-0000-00006C360000}"/>
    <cellStyle name="Heading 1 22 9" xfId="9296" xr:uid="{00000000-0005-0000-0000-00006D360000}"/>
    <cellStyle name="Heading 1 22 9 2" xfId="17912" xr:uid="{00000000-0005-0000-0000-00006E360000}"/>
    <cellStyle name="Heading 1 23" xfId="9297" xr:uid="{00000000-0005-0000-0000-00006F360000}"/>
    <cellStyle name="Heading 1 23 2" xfId="9298" xr:uid="{00000000-0005-0000-0000-000070360000}"/>
    <cellStyle name="Heading 1 23 2 2" xfId="17913" xr:uid="{00000000-0005-0000-0000-000071360000}"/>
    <cellStyle name="Heading 1 23 3" xfId="9299" xr:uid="{00000000-0005-0000-0000-000072360000}"/>
    <cellStyle name="Heading 1 23 3 2" xfId="17914" xr:uid="{00000000-0005-0000-0000-000073360000}"/>
    <cellStyle name="Heading 1 23 4" xfId="9300" xr:uid="{00000000-0005-0000-0000-000074360000}"/>
    <cellStyle name="Heading 1 23 4 2" xfId="17915" xr:uid="{00000000-0005-0000-0000-000075360000}"/>
    <cellStyle name="Heading 1 23 5" xfId="9301" xr:uid="{00000000-0005-0000-0000-000076360000}"/>
    <cellStyle name="Heading 1 23 5 2" xfId="17916" xr:uid="{00000000-0005-0000-0000-000077360000}"/>
    <cellStyle name="Heading 1 23 6" xfId="9302" xr:uid="{00000000-0005-0000-0000-000078360000}"/>
    <cellStyle name="Heading 1 23 6 2" xfId="17917" xr:uid="{00000000-0005-0000-0000-000079360000}"/>
    <cellStyle name="Heading 1 23 7" xfId="9303" xr:uid="{00000000-0005-0000-0000-00007A360000}"/>
    <cellStyle name="Heading 1 23 7 2" xfId="17918" xr:uid="{00000000-0005-0000-0000-00007B360000}"/>
    <cellStyle name="Heading 1 23 8" xfId="9304" xr:uid="{00000000-0005-0000-0000-00007C360000}"/>
    <cellStyle name="Heading 1 23 8 2" xfId="17919" xr:uid="{00000000-0005-0000-0000-00007D360000}"/>
    <cellStyle name="Heading 1 23 9" xfId="9305" xr:uid="{00000000-0005-0000-0000-00007E360000}"/>
    <cellStyle name="Heading 1 23 9 2" xfId="17920" xr:uid="{00000000-0005-0000-0000-00007F360000}"/>
    <cellStyle name="Heading 1 24" xfId="9306" xr:uid="{00000000-0005-0000-0000-000080360000}"/>
    <cellStyle name="Heading 1 24 2" xfId="9307" xr:uid="{00000000-0005-0000-0000-000081360000}"/>
    <cellStyle name="Heading 1 24 2 2" xfId="17921" xr:uid="{00000000-0005-0000-0000-000082360000}"/>
    <cellStyle name="Heading 1 24 3" xfId="9308" xr:uid="{00000000-0005-0000-0000-000083360000}"/>
    <cellStyle name="Heading 1 24 3 2" xfId="17922" xr:uid="{00000000-0005-0000-0000-000084360000}"/>
    <cellStyle name="Heading 1 24 4" xfId="9309" xr:uid="{00000000-0005-0000-0000-000085360000}"/>
    <cellStyle name="Heading 1 24 4 2" xfId="17923" xr:uid="{00000000-0005-0000-0000-000086360000}"/>
    <cellStyle name="Heading 1 24 5" xfId="9310" xr:uid="{00000000-0005-0000-0000-000087360000}"/>
    <cellStyle name="Heading 1 24 5 2" xfId="17924" xr:uid="{00000000-0005-0000-0000-000088360000}"/>
    <cellStyle name="Heading 1 24 6" xfId="9311" xr:uid="{00000000-0005-0000-0000-000089360000}"/>
    <cellStyle name="Heading 1 24 6 2" xfId="17925" xr:uid="{00000000-0005-0000-0000-00008A360000}"/>
    <cellStyle name="Heading 1 24 7" xfId="9312" xr:uid="{00000000-0005-0000-0000-00008B360000}"/>
    <cellStyle name="Heading 1 24 7 2" xfId="17926" xr:uid="{00000000-0005-0000-0000-00008C360000}"/>
    <cellStyle name="Heading 1 24 8" xfId="9313" xr:uid="{00000000-0005-0000-0000-00008D360000}"/>
    <cellStyle name="Heading 1 24 8 2" xfId="17927" xr:uid="{00000000-0005-0000-0000-00008E360000}"/>
    <cellStyle name="Heading 1 24 9" xfId="9314" xr:uid="{00000000-0005-0000-0000-00008F360000}"/>
    <cellStyle name="Heading 1 24 9 2" xfId="17928" xr:uid="{00000000-0005-0000-0000-000090360000}"/>
    <cellStyle name="Heading 1 25" xfId="9315" xr:uid="{00000000-0005-0000-0000-000091360000}"/>
    <cellStyle name="Heading 1 25 2" xfId="9316" xr:uid="{00000000-0005-0000-0000-000092360000}"/>
    <cellStyle name="Heading 1 25 2 2" xfId="17929" xr:uid="{00000000-0005-0000-0000-000093360000}"/>
    <cellStyle name="Heading 1 25 3" xfId="9317" xr:uid="{00000000-0005-0000-0000-000094360000}"/>
    <cellStyle name="Heading 1 25 3 2" xfId="17930" xr:uid="{00000000-0005-0000-0000-000095360000}"/>
    <cellStyle name="Heading 1 25 4" xfId="9318" xr:uid="{00000000-0005-0000-0000-000096360000}"/>
    <cellStyle name="Heading 1 25 4 2" xfId="17931" xr:uid="{00000000-0005-0000-0000-000097360000}"/>
    <cellStyle name="Heading 1 25 5" xfId="9319" xr:uid="{00000000-0005-0000-0000-000098360000}"/>
    <cellStyle name="Heading 1 25 5 2" xfId="17932" xr:uid="{00000000-0005-0000-0000-000099360000}"/>
    <cellStyle name="Heading 1 25 6" xfId="9320" xr:uid="{00000000-0005-0000-0000-00009A360000}"/>
    <cellStyle name="Heading 1 25 6 2" xfId="17933" xr:uid="{00000000-0005-0000-0000-00009B360000}"/>
    <cellStyle name="Heading 1 25 7" xfId="9321" xr:uid="{00000000-0005-0000-0000-00009C360000}"/>
    <cellStyle name="Heading 1 25 7 2" xfId="17934" xr:uid="{00000000-0005-0000-0000-00009D360000}"/>
    <cellStyle name="Heading 1 25 8" xfId="9322" xr:uid="{00000000-0005-0000-0000-00009E360000}"/>
    <cellStyle name="Heading 1 25 8 2" xfId="17935" xr:uid="{00000000-0005-0000-0000-00009F360000}"/>
    <cellStyle name="Heading 1 25 9" xfId="9323" xr:uid="{00000000-0005-0000-0000-0000A0360000}"/>
    <cellStyle name="Heading 1 25 9 2" xfId="17936" xr:uid="{00000000-0005-0000-0000-0000A1360000}"/>
    <cellStyle name="Heading 1 26" xfId="9324" xr:uid="{00000000-0005-0000-0000-0000A2360000}"/>
    <cellStyle name="Heading 1 26 2" xfId="9325" xr:uid="{00000000-0005-0000-0000-0000A3360000}"/>
    <cellStyle name="Heading 1 26 2 2" xfId="17937" xr:uid="{00000000-0005-0000-0000-0000A4360000}"/>
    <cellStyle name="Heading 1 26 3" xfId="9326" xr:uid="{00000000-0005-0000-0000-0000A5360000}"/>
    <cellStyle name="Heading 1 26 3 2" xfId="17938" xr:uid="{00000000-0005-0000-0000-0000A6360000}"/>
    <cellStyle name="Heading 1 26 4" xfId="9327" xr:uid="{00000000-0005-0000-0000-0000A7360000}"/>
    <cellStyle name="Heading 1 26 4 2" xfId="17939" xr:uid="{00000000-0005-0000-0000-0000A8360000}"/>
    <cellStyle name="Heading 1 26 5" xfId="9328" xr:uid="{00000000-0005-0000-0000-0000A9360000}"/>
    <cellStyle name="Heading 1 26 5 2" xfId="17940" xr:uid="{00000000-0005-0000-0000-0000AA360000}"/>
    <cellStyle name="Heading 1 26 6" xfId="9329" xr:uid="{00000000-0005-0000-0000-0000AB360000}"/>
    <cellStyle name="Heading 1 26 6 2" xfId="17941" xr:uid="{00000000-0005-0000-0000-0000AC360000}"/>
    <cellStyle name="Heading 1 26 7" xfId="9330" xr:uid="{00000000-0005-0000-0000-0000AD360000}"/>
    <cellStyle name="Heading 1 26 7 2" xfId="17942" xr:uid="{00000000-0005-0000-0000-0000AE360000}"/>
    <cellStyle name="Heading 1 26 8" xfId="9331" xr:uid="{00000000-0005-0000-0000-0000AF360000}"/>
    <cellStyle name="Heading 1 26 8 2" xfId="17943" xr:uid="{00000000-0005-0000-0000-0000B0360000}"/>
    <cellStyle name="Heading 1 26 9" xfId="9332" xr:uid="{00000000-0005-0000-0000-0000B1360000}"/>
    <cellStyle name="Heading 1 26 9 2" xfId="17944" xr:uid="{00000000-0005-0000-0000-0000B2360000}"/>
    <cellStyle name="Heading 1 27" xfId="9333" xr:uid="{00000000-0005-0000-0000-0000B3360000}"/>
    <cellStyle name="Heading 1 27 2" xfId="9334" xr:uid="{00000000-0005-0000-0000-0000B4360000}"/>
    <cellStyle name="Heading 1 27 2 2" xfId="17945" xr:uid="{00000000-0005-0000-0000-0000B5360000}"/>
    <cellStyle name="Heading 1 27 3" xfId="9335" xr:uid="{00000000-0005-0000-0000-0000B6360000}"/>
    <cellStyle name="Heading 1 27 3 2" xfId="17946" xr:uid="{00000000-0005-0000-0000-0000B7360000}"/>
    <cellStyle name="Heading 1 27 4" xfId="9336" xr:uid="{00000000-0005-0000-0000-0000B8360000}"/>
    <cellStyle name="Heading 1 27 4 2" xfId="17947" xr:uid="{00000000-0005-0000-0000-0000B9360000}"/>
    <cellStyle name="Heading 1 27 5" xfId="9337" xr:uid="{00000000-0005-0000-0000-0000BA360000}"/>
    <cellStyle name="Heading 1 27 5 2" xfId="17948" xr:uid="{00000000-0005-0000-0000-0000BB360000}"/>
    <cellStyle name="Heading 1 27 6" xfId="9338" xr:uid="{00000000-0005-0000-0000-0000BC360000}"/>
    <cellStyle name="Heading 1 27 6 2" xfId="17949" xr:uid="{00000000-0005-0000-0000-0000BD360000}"/>
    <cellStyle name="Heading 1 27 7" xfId="9339" xr:uid="{00000000-0005-0000-0000-0000BE360000}"/>
    <cellStyle name="Heading 1 27 7 2" xfId="17950" xr:uid="{00000000-0005-0000-0000-0000BF360000}"/>
    <cellStyle name="Heading 1 27 8" xfId="9340" xr:uid="{00000000-0005-0000-0000-0000C0360000}"/>
    <cellStyle name="Heading 1 27 8 2" xfId="17951" xr:uid="{00000000-0005-0000-0000-0000C1360000}"/>
    <cellStyle name="Heading 1 27 9" xfId="9341" xr:uid="{00000000-0005-0000-0000-0000C2360000}"/>
    <cellStyle name="Heading 1 27 9 2" xfId="17952" xr:uid="{00000000-0005-0000-0000-0000C3360000}"/>
    <cellStyle name="Heading 1 28" xfId="9342" xr:uid="{00000000-0005-0000-0000-0000C4360000}"/>
    <cellStyle name="Heading 1 28 2" xfId="9343" xr:uid="{00000000-0005-0000-0000-0000C5360000}"/>
    <cellStyle name="Heading 1 28 2 2" xfId="17953" xr:uid="{00000000-0005-0000-0000-0000C6360000}"/>
    <cellStyle name="Heading 1 28 3" xfId="9344" xr:uid="{00000000-0005-0000-0000-0000C7360000}"/>
    <cellStyle name="Heading 1 28 3 2" xfId="17954" xr:uid="{00000000-0005-0000-0000-0000C8360000}"/>
    <cellStyle name="Heading 1 28 4" xfId="9345" xr:uid="{00000000-0005-0000-0000-0000C9360000}"/>
    <cellStyle name="Heading 1 28 4 2" xfId="17955" xr:uid="{00000000-0005-0000-0000-0000CA360000}"/>
    <cellStyle name="Heading 1 28 5" xfId="9346" xr:uid="{00000000-0005-0000-0000-0000CB360000}"/>
    <cellStyle name="Heading 1 28 5 2" xfId="17956" xr:uid="{00000000-0005-0000-0000-0000CC360000}"/>
    <cellStyle name="Heading 1 28 6" xfId="9347" xr:uid="{00000000-0005-0000-0000-0000CD360000}"/>
    <cellStyle name="Heading 1 28 6 2" xfId="17957" xr:uid="{00000000-0005-0000-0000-0000CE360000}"/>
    <cellStyle name="Heading 1 28 7" xfId="9348" xr:uid="{00000000-0005-0000-0000-0000CF360000}"/>
    <cellStyle name="Heading 1 28 7 2" xfId="17958" xr:uid="{00000000-0005-0000-0000-0000D0360000}"/>
    <cellStyle name="Heading 1 28 8" xfId="9349" xr:uid="{00000000-0005-0000-0000-0000D1360000}"/>
    <cellStyle name="Heading 1 28 8 2" xfId="17959" xr:uid="{00000000-0005-0000-0000-0000D2360000}"/>
    <cellStyle name="Heading 1 28 9" xfId="9350" xr:uid="{00000000-0005-0000-0000-0000D3360000}"/>
    <cellStyle name="Heading 1 28 9 2" xfId="17960" xr:uid="{00000000-0005-0000-0000-0000D4360000}"/>
    <cellStyle name="Heading 1 29" xfId="9351" xr:uid="{00000000-0005-0000-0000-0000D5360000}"/>
    <cellStyle name="Heading 1 29 2" xfId="9352" xr:uid="{00000000-0005-0000-0000-0000D6360000}"/>
    <cellStyle name="Heading 1 29 2 2" xfId="17961" xr:uid="{00000000-0005-0000-0000-0000D7360000}"/>
    <cellStyle name="Heading 1 29 3" xfId="9353" xr:uid="{00000000-0005-0000-0000-0000D8360000}"/>
    <cellStyle name="Heading 1 29 3 2" xfId="17962" xr:uid="{00000000-0005-0000-0000-0000D9360000}"/>
    <cellStyle name="Heading 1 29 4" xfId="9354" xr:uid="{00000000-0005-0000-0000-0000DA360000}"/>
    <cellStyle name="Heading 1 29 4 2" xfId="17963" xr:uid="{00000000-0005-0000-0000-0000DB360000}"/>
    <cellStyle name="Heading 1 29 5" xfId="9355" xr:uid="{00000000-0005-0000-0000-0000DC360000}"/>
    <cellStyle name="Heading 1 29 5 2" xfId="17964" xr:uid="{00000000-0005-0000-0000-0000DD360000}"/>
    <cellStyle name="Heading 1 29 6" xfId="9356" xr:uid="{00000000-0005-0000-0000-0000DE360000}"/>
    <cellStyle name="Heading 1 29 6 2" xfId="17965" xr:uid="{00000000-0005-0000-0000-0000DF360000}"/>
    <cellStyle name="Heading 1 29 7" xfId="9357" xr:uid="{00000000-0005-0000-0000-0000E0360000}"/>
    <cellStyle name="Heading 1 29 7 2" xfId="17966" xr:uid="{00000000-0005-0000-0000-0000E1360000}"/>
    <cellStyle name="Heading 1 29 8" xfId="9358" xr:uid="{00000000-0005-0000-0000-0000E2360000}"/>
    <cellStyle name="Heading 1 29 8 2" xfId="17967" xr:uid="{00000000-0005-0000-0000-0000E3360000}"/>
    <cellStyle name="Heading 1 29 9" xfId="9359" xr:uid="{00000000-0005-0000-0000-0000E4360000}"/>
    <cellStyle name="Heading 1 29 9 2" xfId="17968" xr:uid="{00000000-0005-0000-0000-0000E5360000}"/>
    <cellStyle name="Heading 1 3" xfId="9360" xr:uid="{00000000-0005-0000-0000-0000E6360000}"/>
    <cellStyle name="Heading 1 3 10" xfId="9361" xr:uid="{00000000-0005-0000-0000-0000E7360000}"/>
    <cellStyle name="Heading 1 3 10 2" xfId="17969" xr:uid="{00000000-0005-0000-0000-0000E8360000}"/>
    <cellStyle name="Heading 1 3 11" xfId="9362" xr:uid="{00000000-0005-0000-0000-0000E9360000}"/>
    <cellStyle name="Heading 1 3 11 2" xfId="17970" xr:uid="{00000000-0005-0000-0000-0000EA360000}"/>
    <cellStyle name="Heading 1 3 12" xfId="22082" xr:uid="{00000000-0005-0000-0000-0000EB360000}"/>
    <cellStyle name="Heading 1 3 2" xfId="9363" xr:uid="{00000000-0005-0000-0000-0000EC360000}"/>
    <cellStyle name="Heading 1 3 2 2" xfId="9364" xr:uid="{00000000-0005-0000-0000-0000ED360000}"/>
    <cellStyle name="Heading 1 3 2 2 2" xfId="17971" xr:uid="{00000000-0005-0000-0000-0000EE360000}"/>
    <cellStyle name="Heading 1 3 3" xfId="9365" xr:uid="{00000000-0005-0000-0000-0000EF360000}"/>
    <cellStyle name="Heading 1 3 3 2" xfId="9366" xr:uid="{00000000-0005-0000-0000-0000F0360000}"/>
    <cellStyle name="Heading 1 3 3 2 2" xfId="17972" xr:uid="{00000000-0005-0000-0000-0000F1360000}"/>
    <cellStyle name="Heading 1 3 4" xfId="9367" xr:uid="{00000000-0005-0000-0000-0000F2360000}"/>
    <cellStyle name="Heading 1 3 4 2" xfId="9368" xr:uid="{00000000-0005-0000-0000-0000F3360000}"/>
    <cellStyle name="Heading 1 3 4 3" xfId="17973" xr:uid="{00000000-0005-0000-0000-0000F4360000}"/>
    <cellStyle name="Heading 1 3 5" xfId="9369" xr:uid="{00000000-0005-0000-0000-0000F5360000}"/>
    <cellStyle name="Heading 1 3 5 2" xfId="17974" xr:uid="{00000000-0005-0000-0000-0000F6360000}"/>
    <cellStyle name="Heading 1 3 6" xfId="9370" xr:uid="{00000000-0005-0000-0000-0000F7360000}"/>
    <cellStyle name="Heading 1 3 6 2" xfId="17975" xr:uid="{00000000-0005-0000-0000-0000F8360000}"/>
    <cellStyle name="Heading 1 3 7" xfId="9371" xr:uid="{00000000-0005-0000-0000-0000F9360000}"/>
    <cellStyle name="Heading 1 3 7 2" xfId="17976" xr:uid="{00000000-0005-0000-0000-0000FA360000}"/>
    <cellStyle name="Heading 1 3 8" xfId="9372" xr:uid="{00000000-0005-0000-0000-0000FB360000}"/>
    <cellStyle name="Heading 1 3 8 2" xfId="17977" xr:uid="{00000000-0005-0000-0000-0000FC360000}"/>
    <cellStyle name="Heading 1 3 9" xfId="9373" xr:uid="{00000000-0005-0000-0000-0000FD360000}"/>
    <cellStyle name="Heading 1 3 9 2" xfId="17978" xr:uid="{00000000-0005-0000-0000-0000FE360000}"/>
    <cellStyle name="Heading 1 30" xfId="9374" xr:uid="{00000000-0005-0000-0000-0000FF360000}"/>
    <cellStyle name="Heading 1 30 2" xfId="9375" xr:uid="{00000000-0005-0000-0000-000000370000}"/>
    <cellStyle name="Heading 1 30 2 2" xfId="17979" xr:uid="{00000000-0005-0000-0000-000001370000}"/>
    <cellStyle name="Heading 1 31" xfId="9376" xr:uid="{00000000-0005-0000-0000-000002370000}"/>
    <cellStyle name="Heading 1 31 2" xfId="9377" xr:uid="{00000000-0005-0000-0000-000003370000}"/>
    <cellStyle name="Heading 1 31 2 2" xfId="17980" xr:uid="{00000000-0005-0000-0000-000004370000}"/>
    <cellStyle name="Heading 1 32" xfId="9378" xr:uid="{00000000-0005-0000-0000-000005370000}"/>
    <cellStyle name="Heading 1 32 2" xfId="9379" xr:uid="{00000000-0005-0000-0000-000006370000}"/>
    <cellStyle name="Heading 1 32 2 2" xfId="17981" xr:uid="{00000000-0005-0000-0000-000007370000}"/>
    <cellStyle name="Heading 1 33" xfId="9380" xr:uid="{00000000-0005-0000-0000-000008370000}"/>
    <cellStyle name="Heading 1 33 2" xfId="9381" xr:uid="{00000000-0005-0000-0000-000009370000}"/>
    <cellStyle name="Heading 1 33 2 2" xfId="17982" xr:uid="{00000000-0005-0000-0000-00000A370000}"/>
    <cellStyle name="Heading 1 34" xfId="9382" xr:uid="{00000000-0005-0000-0000-00000B370000}"/>
    <cellStyle name="Heading 1 34 2" xfId="9383" xr:uid="{00000000-0005-0000-0000-00000C370000}"/>
    <cellStyle name="Heading 1 34 2 2" xfId="17983" xr:uid="{00000000-0005-0000-0000-00000D370000}"/>
    <cellStyle name="Heading 1 35" xfId="9384" xr:uid="{00000000-0005-0000-0000-00000E370000}"/>
    <cellStyle name="Heading 1 35 2" xfId="9385" xr:uid="{00000000-0005-0000-0000-00000F370000}"/>
    <cellStyle name="Heading 1 35 2 2" xfId="17984" xr:uid="{00000000-0005-0000-0000-000010370000}"/>
    <cellStyle name="Heading 1 36" xfId="9386" xr:uid="{00000000-0005-0000-0000-000011370000}"/>
    <cellStyle name="Heading 1 37" xfId="9387" xr:uid="{00000000-0005-0000-0000-000012370000}"/>
    <cellStyle name="Heading 1 38" xfId="9388" xr:uid="{00000000-0005-0000-0000-000013370000}"/>
    <cellStyle name="Heading 1 39" xfId="9389" xr:uid="{00000000-0005-0000-0000-000014370000}"/>
    <cellStyle name="Heading 1 4" xfId="9390" xr:uid="{00000000-0005-0000-0000-000015370000}"/>
    <cellStyle name="Heading 1 4 10" xfId="9391" xr:uid="{00000000-0005-0000-0000-000016370000}"/>
    <cellStyle name="Heading 1 4 10 2" xfId="17985" xr:uid="{00000000-0005-0000-0000-000017370000}"/>
    <cellStyle name="Heading 1 4 11" xfId="9392" xr:uid="{00000000-0005-0000-0000-000018370000}"/>
    <cellStyle name="Heading 1 4 11 2" xfId="17986" xr:uid="{00000000-0005-0000-0000-000019370000}"/>
    <cellStyle name="Heading 1 4 12" xfId="22083" xr:uid="{00000000-0005-0000-0000-00001A370000}"/>
    <cellStyle name="Heading 1 4 2" xfId="9393" xr:uid="{00000000-0005-0000-0000-00001B370000}"/>
    <cellStyle name="Heading 1 4 2 2" xfId="9394" xr:uid="{00000000-0005-0000-0000-00001C370000}"/>
    <cellStyle name="Heading 1 4 2 2 2" xfId="17987" xr:uid="{00000000-0005-0000-0000-00001D370000}"/>
    <cellStyle name="Heading 1 4 3" xfId="9395" xr:uid="{00000000-0005-0000-0000-00001E370000}"/>
    <cellStyle name="Heading 1 4 3 2" xfId="9396" xr:uid="{00000000-0005-0000-0000-00001F370000}"/>
    <cellStyle name="Heading 1 4 3 2 2" xfId="17988" xr:uid="{00000000-0005-0000-0000-000020370000}"/>
    <cellStyle name="Heading 1 4 4" xfId="9397" xr:uid="{00000000-0005-0000-0000-000021370000}"/>
    <cellStyle name="Heading 1 4 4 2" xfId="9398" xr:uid="{00000000-0005-0000-0000-000022370000}"/>
    <cellStyle name="Heading 1 4 4 3" xfId="17989" xr:uid="{00000000-0005-0000-0000-000023370000}"/>
    <cellStyle name="Heading 1 4 5" xfId="9399" xr:uid="{00000000-0005-0000-0000-000024370000}"/>
    <cellStyle name="Heading 1 4 5 2" xfId="17990" xr:uid="{00000000-0005-0000-0000-000025370000}"/>
    <cellStyle name="Heading 1 4 6" xfId="9400" xr:uid="{00000000-0005-0000-0000-000026370000}"/>
    <cellStyle name="Heading 1 4 6 2" xfId="17991" xr:uid="{00000000-0005-0000-0000-000027370000}"/>
    <cellStyle name="Heading 1 4 7" xfId="9401" xr:uid="{00000000-0005-0000-0000-000028370000}"/>
    <cellStyle name="Heading 1 4 7 2" xfId="17992" xr:uid="{00000000-0005-0000-0000-000029370000}"/>
    <cellStyle name="Heading 1 4 8" xfId="9402" xr:uid="{00000000-0005-0000-0000-00002A370000}"/>
    <cellStyle name="Heading 1 4 8 2" xfId="17993" xr:uid="{00000000-0005-0000-0000-00002B370000}"/>
    <cellStyle name="Heading 1 4 9" xfId="9403" xr:uid="{00000000-0005-0000-0000-00002C370000}"/>
    <cellStyle name="Heading 1 4 9 2" xfId="17994" xr:uid="{00000000-0005-0000-0000-00002D370000}"/>
    <cellStyle name="Heading 1 40" xfId="21736" xr:uid="{00000000-0005-0000-0000-00002E370000}"/>
    <cellStyle name="Heading 1 5" xfId="9404" xr:uid="{00000000-0005-0000-0000-00002F370000}"/>
    <cellStyle name="Heading 1 5 10" xfId="9405" xr:uid="{00000000-0005-0000-0000-000030370000}"/>
    <cellStyle name="Heading 1 5 10 2" xfId="17995" xr:uid="{00000000-0005-0000-0000-000031370000}"/>
    <cellStyle name="Heading 1 5 11" xfId="9406" xr:uid="{00000000-0005-0000-0000-000032370000}"/>
    <cellStyle name="Heading 1 5 11 2" xfId="17996" xr:uid="{00000000-0005-0000-0000-000033370000}"/>
    <cellStyle name="Heading 1 5 12" xfId="22084" xr:uid="{00000000-0005-0000-0000-000034370000}"/>
    <cellStyle name="Heading 1 5 2" xfId="9407" xr:uid="{00000000-0005-0000-0000-000035370000}"/>
    <cellStyle name="Heading 1 5 2 2" xfId="9408" xr:uid="{00000000-0005-0000-0000-000036370000}"/>
    <cellStyle name="Heading 1 5 2 2 2" xfId="17997" xr:uid="{00000000-0005-0000-0000-000037370000}"/>
    <cellStyle name="Heading 1 5 3" xfId="9409" xr:uid="{00000000-0005-0000-0000-000038370000}"/>
    <cellStyle name="Heading 1 5 3 2" xfId="9410" xr:uid="{00000000-0005-0000-0000-000039370000}"/>
    <cellStyle name="Heading 1 5 3 2 2" xfId="17998" xr:uid="{00000000-0005-0000-0000-00003A370000}"/>
    <cellStyle name="Heading 1 5 4" xfId="9411" xr:uid="{00000000-0005-0000-0000-00003B370000}"/>
    <cellStyle name="Heading 1 5 4 2" xfId="9412" xr:uid="{00000000-0005-0000-0000-00003C370000}"/>
    <cellStyle name="Heading 1 5 4 3" xfId="17999" xr:uid="{00000000-0005-0000-0000-00003D370000}"/>
    <cellStyle name="Heading 1 5 5" xfId="9413" xr:uid="{00000000-0005-0000-0000-00003E370000}"/>
    <cellStyle name="Heading 1 5 5 2" xfId="18000" xr:uid="{00000000-0005-0000-0000-00003F370000}"/>
    <cellStyle name="Heading 1 5 6" xfId="9414" xr:uid="{00000000-0005-0000-0000-000040370000}"/>
    <cellStyle name="Heading 1 5 6 2" xfId="18001" xr:uid="{00000000-0005-0000-0000-000041370000}"/>
    <cellStyle name="Heading 1 5 7" xfId="9415" xr:uid="{00000000-0005-0000-0000-000042370000}"/>
    <cellStyle name="Heading 1 5 7 2" xfId="18002" xr:uid="{00000000-0005-0000-0000-000043370000}"/>
    <cellStyle name="Heading 1 5 8" xfId="9416" xr:uid="{00000000-0005-0000-0000-000044370000}"/>
    <cellStyle name="Heading 1 5 8 2" xfId="18003" xr:uid="{00000000-0005-0000-0000-000045370000}"/>
    <cellStyle name="Heading 1 5 9" xfId="9417" xr:uid="{00000000-0005-0000-0000-000046370000}"/>
    <cellStyle name="Heading 1 5 9 2" xfId="18004" xr:uid="{00000000-0005-0000-0000-000047370000}"/>
    <cellStyle name="Heading 1 6" xfId="9418" xr:uid="{00000000-0005-0000-0000-000048370000}"/>
    <cellStyle name="Heading 1 6 10" xfId="9419" xr:uid="{00000000-0005-0000-0000-000049370000}"/>
    <cellStyle name="Heading 1 6 10 2" xfId="18005" xr:uid="{00000000-0005-0000-0000-00004A370000}"/>
    <cellStyle name="Heading 1 6 11" xfId="9420" xr:uid="{00000000-0005-0000-0000-00004B370000}"/>
    <cellStyle name="Heading 1 6 11 2" xfId="18006" xr:uid="{00000000-0005-0000-0000-00004C370000}"/>
    <cellStyle name="Heading 1 6 12" xfId="23554" xr:uid="{AFF8AA34-839B-4792-A798-14D5EE340707}"/>
    <cellStyle name="Heading 1 6 2" xfId="9421" xr:uid="{00000000-0005-0000-0000-00004D370000}"/>
    <cellStyle name="Heading 1 6 2 2" xfId="9422" xr:uid="{00000000-0005-0000-0000-00004E370000}"/>
    <cellStyle name="Heading 1 6 2 2 2" xfId="18007" xr:uid="{00000000-0005-0000-0000-00004F370000}"/>
    <cellStyle name="Heading 1 6 3" xfId="9423" xr:uid="{00000000-0005-0000-0000-000050370000}"/>
    <cellStyle name="Heading 1 6 3 2" xfId="9424" xr:uid="{00000000-0005-0000-0000-000051370000}"/>
    <cellStyle name="Heading 1 6 3 2 2" xfId="18008" xr:uid="{00000000-0005-0000-0000-000052370000}"/>
    <cellStyle name="Heading 1 6 4" xfId="9425" xr:uid="{00000000-0005-0000-0000-000053370000}"/>
    <cellStyle name="Heading 1 6 4 2" xfId="9426" xr:uid="{00000000-0005-0000-0000-000054370000}"/>
    <cellStyle name="Heading 1 6 4 3" xfId="18009" xr:uid="{00000000-0005-0000-0000-000055370000}"/>
    <cellStyle name="Heading 1 6 5" xfId="9427" xr:uid="{00000000-0005-0000-0000-000056370000}"/>
    <cellStyle name="Heading 1 6 5 2" xfId="18010" xr:uid="{00000000-0005-0000-0000-000057370000}"/>
    <cellStyle name="Heading 1 6 6" xfId="9428" xr:uid="{00000000-0005-0000-0000-000058370000}"/>
    <cellStyle name="Heading 1 6 6 2" xfId="18011" xr:uid="{00000000-0005-0000-0000-000059370000}"/>
    <cellStyle name="Heading 1 6 7" xfId="9429" xr:uid="{00000000-0005-0000-0000-00005A370000}"/>
    <cellStyle name="Heading 1 6 7 2" xfId="18012" xr:uid="{00000000-0005-0000-0000-00005B370000}"/>
    <cellStyle name="Heading 1 6 8" xfId="9430" xr:uid="{00000000-0005-0000-0000-00005C370000}"/>
    <cellStyle name="Heading 1 6 8 2" xfId="18013" xr:uid="{00000000-0005-0000-0000-00005D370000}"/>
    <cellStyle name="Heading 1 6 9" xfId="9431" xr:uid="{00000000-0005-0000-0000-00005E370000}"/>
    <cellStyle name="Heading 1 6 9 2" xfId="18014" xr:uid="{00000000-0005-0000-0000-00005F370000}"/>
    <cellStyle name="Heading 1 7" xfId="9432" xr:uid="{00000000-0005-0000-0000-000060370000}"/>
    <cellStyle name="Heading 1 7 10" xfId="9433" xr:uid="{00000000-0005-0000-0000-000061370000}"/>
    <cellStyle name="Heading 1 7 10 2" xfId="18015" xr:uid="{00000000-0005-0000-0000-000062370000}"/>
    <cellStyle name="Heading 1 7 11" xfId="9434" xr:uid="{00000000-0005-0000-0000-000063370000}"/>
    <cellStyle name="Heading 1 7 11 2" xfId="18016" xr:uid="{00000000-0005-0000-0000-000064370000}"/>
    <cellStyle name="Heading 1 7 2" xfId="9435" xr:uid="{00000000-0005-0000-0000-000065370000}"/>
    <cellStyle name="Heading 1 7 2 2" xfId="9436" xr:uid="{00000000-0005-0000-0000-000066370000}"/>
    <cellStyle name="Heading 1 7 2 2 2" xfId="18017" xr:uid="{00000000-0005-0000-0000-000067370000}"/>
    <cellStyle name="Heading 1 7 3" xfId="9437" xr:uid="{00000000-0005-0000-0000-000068370000}"/>
    <cellStyle name="Heading 1 7 3 2" xfId="9438" xr:uid="{00000000-0005-0000-0000-000069370000}"/>
    <cellStyle name="Heading 1 7 3 2 2" xfId="18018" xr:uid="{00000000-0005-0000-0000-00006A370000}"/>
    <cellStyle name="Heading 1 7 4" xfId="9439" xr:uid="{00000000-0005-0000-0000-00006B370000}"/>
    <cellStyle name="Heading 1 7 4 2" xfId="9440" xr:uid="{00000000-0005-0000-0000-00006C370000}"/>
    <cellStyle name="Heading 1 7 4 3" xfId="18019" xr:uid="{00000000-0005-0000-0000-00006D370000}"/>
    <cellStyle name="Heading 1 7 5" xfId="9441" xr:uid="{00000000-0005-0000-0000-00006E370000}"/>
    <cellStyle name="Heading 1 7 5 2" xfId="18020" xr:uid="{00000000-0005-0000-0000-00006F370000}"/>
    <cellStyle name="Heading 1 7 6" xfId="9442" xr:uid="{00000000-0005-0000-0000-000070370000}"/>
    <cellStyle name="Heading 1 7 6 2" xfId="18021" xr:uid="{00000000-0005-0000-0000-000071370000}"/>
    <cellStyle name="Heading 1 7 7" xfId="9443" xr:uid="{00000000-0005-0000-0000-000072370000}"/>
    <cellStyle name="Heading 1 7 7 2" xfId="18022" xr:uid="{00000000-0005-0000-0000-000073370000}"/>
    <cellStyle name="Heading 1 7 8" xfId="9444" xr:uid="{00000000-0005-0000-0000-000074370000}"/>
    <cellStyle name="Heading 1 7 8 2" xfId="18023" xr:uid="{00000000-0005-0000-0000-000075370000}"/>
    <cellStyle name="Heading 1 7 9" xfId="9445" xr:uid="{00000000-0005-0000-0000-000076370000}"/>
    <cellStyle name="Heading 1 7 9 2" xfId="18024" xr:uid="{00000000-0005-0000-0000-000077370000}"/>
    <cellStyle name="Heading 1 8" xfId="9446" xr:uid="{00000000-0005-0000-0000-000078370000}"/>
    <cellStyle name="Heading 1 8 10" xfId="9447" xr:uid="{00000000-0005-0000-0000-000079370000}"/>
    <cellStyle name="Heading 1 8 10 2" xfId="18025" xr:uid="{00000000-0005-0000-0000-00007A370000}"/>
    <cellStyle name="Heading 1 8 11" xfId="9448" xr:uid="{00000000-0005-0000-0000-00007B370000}"/>
    <cellStyle name="Heading 1 8 11 2" xfId="18026" xr:uid="{00000000-0005-0000-0000-00007C370000}"/>
    <cellStyle name="Heading 1 8 2" xfId="9449" xr:uid="{00000000-0005-0000-0000-00007D370000}"/>
    <cellStyle name="Heading 1 8 2 2" xfId="9450" xr:uid="{00000000-0005-0000-0000-00007E370000}"/>
    <cellStyle name="Heading 1 8 2 2 2" xfId="18027" xr:uid="{00000000-0005-0000-0000-00007F370000}"/>
    <cellStyle name="Heading 1 8 3" xfId="9451" xr:uid="{00000000-0005-0000-0000-000080370000}"/>
    <cellStyle name="Heading 1 8 3 2" xfId="9452" xr:uid="{00000000-0005-0000-0000-000081370000}"/>
    <cellStyle name="Heading 1 8 3 2 2" xfId="18028" xr:uid="{00000000-0005-0000-0000-000082370000}"/>
    <cellStyle name="Heading 1 8 4" xfId="9453" xr:uid="{00000000-0005-0000-0000-000083370000}"/>
    <cellStyle name="Heading 1 8 4 2" xfId="9454" xr:uid="{00000000-0005-0000-0000-000084370000}"/>
    <cellStyle name="Heading 1 8 4 3" xfId="18029" xr:uid="{00000000-0005-0000-0000-000085370000}"/>
    <cellStyle name="Heading 1 8 5" xfId="9455" xr:uid="{00000000-0005-0000-0000-000086370000}"/>
    <cellStyle name="Heading 1 8 5 2" xfId="18030" xr:uid="{00000000-0005-0000-0000-000087370000}"/>
    <cellStyle name="Heading 1 8 6" xfId="9456" xr:uid="{00000000-0005-0000-0000-000088370000}"/>
    <cellStyle name="Heading 1 8 6 2" xfId="18031" xr:uid="{00000000-0005-0000-0000-000089370000}"/>
    <cellStyle name="Heading 1 8 7" xfId="9457" xr:uid="{00000000-0005-0000-0000-00008A370000}"/>
    <cellStyle name="Heading 1 8 7 2" xfId="18032" xr:uid="{00000000-0005-0000-0000-00008B370000}"/>
    <cellStyle name="Heading 1 8 8" xfId="9458" xr:uid="{00000000-0005-0000-0000-00008C370000}"/>
    <cellStyle name="Heading 1 8 8 2" xfId="18033" xr:uid="{00000000-0005-0000-0000-00008D370000}"/>
    <cellStyle name="Heading 1 8 9" xfId="9459" xr:uid="{00000000-0005-0000-0000-00008E370000}"/>
    <cellStyle name="Heading 1 8 9 2" xfId="18034" xr:uid="{00000000-0005-0000-0000-00008F370000}"/>
    <cellStyle name="Heading 1 9" xfId="9460" xr:uid="{00000000-0005-0000-0000-000090370000}"/>
    <cellStyle name="Heading 1 9 10" xfId="9461" xr:uid="{00000000-0005-0000-0000-000091370000}"/>
    <cellStyle name="Heading 1 9 10 2" xfId="18035" xr:uid="{00000000-0005-0000-0000-000092370000}"/>
    <cellStyle name="Heading 1 9 11" xfId="9462" xr:uid="{00000000-0005-0000-0000-000093370000}"/>
    <cellStyle name="Heading 1 9 11 2" xfId="18036" xr:uid="{00000000-0005-0000-0000-000094370000}"/>
    <cellStyle name="Heading 1 9 2" xfId="9463" xr:uid="{00000000-0005-0000-0000-000095370000}"/>
    <cellStyle name="Heading 1 9 2 2" xfId="9464" xr:uid="{00000000-0005-0000-0000-000096370000}"/>
    <cellStyle name="Heading 1 9 2 2 2" xfId="18037" xr:uid="{00000000-0005-0000-0000-000097370000}"/>
    <cellStyle name="Heading 1 9 3" xfId="9465" xr:uid="{00000000-0005-0000-0000-000098370000}"/>
    <cellStyle name="Heading 1 9 3 2" xfId="9466" xr:uid="{00000000-0005-0000-0000-000099370000}"/>
    <cellStyle name="Heading 1 9 3 2 2" xfId="18038" xr:uid="{00000000-0005-0000-0000-00009A370000}"/>
    <cellStyle name="Heading 1 9 4" xfId="9467" xr:uid="{00000000-0005-0000-0000-00009B370000}"/>
    <cellStyle name="Heading 1 9 4 2" xfId="9468" xr:uid="{00000000-0005-0000-0000-00009C370000}"/>
    <cellStyle name="Heading 1 9 4 3" xfId="18039" xr:uid="{00000000-0005-0000-0000-00009D370000}"/>
    <cellStyle name="Heading 1 9 5" xfId="9469" xr:uid="{00000000-0005-0000-0000-00009E370000}"/>
    <cellStyle name="Heading 1 9 5 2" xfId="18040" xr:uid="{00000000-0005-0000-0000-00009F370000}"/>
    <cellStyle name="Heading 1 9 6" xfId="9470" xr:uid="{00000000-0005-0000-0000-0000A0370000}"/>
    <cellStyle name="Heading 1 9 6 2" xfId="18041" xr:uid="{00000000-0005-0000-0000-0000A1370000}"/>
    <cellStyle name="Heading 1 9 7" xfId="9471" xr:uid="{00000000-0005-0000-0000-0000A2370000}"/>
    <cellStyle name="Heading 1 9 7 2" xfId="18042" xr:uid="{00000000-0005-0000-0000-0000A3370000}"/>
    <cellStyle name="Heading 1 9 8" xfId="9472" xr:uid="{00000000-0005-0000-0000-0000A4370000}"/>
    <cellStyle name="Heading 1 9 8 2" xfId="18043" xr:uid="{00000000-0005-0000-0000-0000A5370000}"/>
    <cellStyle name="Heading 1 9 9" xfId="9473" xr:uid="{00000000-0005-0000-0000-0000A6370000}"/>
    <cellStyle name="Heading 1 9 9 2" xfId="18044" xr:uid="{00000000-0005-0000-0000-0000A7370000}"/>
    <cellStyle name="Heading 2 10" xfId="9474" xr:uid="{00000000-0005-0000-0000-0000A8370000}"/>
    <cellStyle name="Heading 2 10 10" xfId="9475" xr:uid="{00000000-0005-0000-0000-0000A9370000}"/>
    <cellStyle name="Heading 2 10 10 2" xfId="18045" xr:uid="{00000000-0005-0000-0000-0000AA370000}"/>
    <cellStyle name="Heading 2 10 11" xfId="9476" xr:uid="{00000000-0005-0000-0000-0000AB370000}"/>
    <cellStyle name="Heading 2 10 11 2" xfId="18046" xr:uid="{00000000-0005-0000-0000-0000AC370000}"/>
    <cellStyle name="Heading 2 10 2" xfId="9477" xr:uid="{00000000-0005-0000-0000-0000AD370000}"/>
    <cellStyle name="Heading 2 10 2 2" xfId="9478" xr:uid="{00000000-0005-0000-0000-0000AE370000}"/>
    <cellStyle name="Heading 2 10 2 2 2" xfId="18047" xr:uid="{00000000-0005-0000-0000-0000AF370000}"/>
    <cellStyle name="Heading 2 10 3" xfId="9479" xr:uid="{00000000-0005-0000-0000-0000B0370000}"/>
    <cellStyle name="Heading 2 10 3 2" xfId="9480" xr:uid="{00000000-0005-0000-0000-0000B1370000}"/>
    <cellStyle name="Heading 2 10 3 2 2" xfId="18048" xr:uid="{00000000-0005-0000-0000-0000B2370000}"/>
    <cellStyle name="Heading 2 10 4" xfId="9481" xr:uid="{00000000-0005-0000-0000-0000B3370000}"/>
    <cellStyle name="Heading 2 10 4 2" xfId="9482" xr:uid="{00000000-0005-0000-0000-0000B4370000}"/>
    <cellStyle name="Heading 2 10 4 3" xfId="18049" xr:uid="{00000000-0005-0000-0000-0000B5370000}"/>
    <cellStyle name="Heading 2 10 5" xfId="9483" xr:uid="{00000000-0005-0000-0000-0000B6370000}"/>
    <cellStyle name="Heading 2 10 5 2" xfId="18050" xr:uid="{00000000-0005-0000-0000-0000B7370000}"/>
    <cellStyle name="Heading 2 10 6" xfId="9484" xr:uid="{00000000-0005-0000-0000-0000B8370000}"/>
    <cellStyle name="Heading 2 10 6 2" xfId="18051" xr:uid="{00000000-0005-0000-0000-0000B9370000}"/>
    <cellStyle name="Heading 2 10 7" xfId="9485" xr:uid="{00000000-0005-0000-0000-0000BA370000}"/>
    <cellStyle name="Heading 2 10 7 2" xfId="18052" xr:uid="{00000000-0005-0000-0000-0000BB370000}"/>
    <cellStyle name="Heading 2 10 8" xfId="9486" xr:uid="{00000000-0005-0000-0000-0000BC370000}"/>
    <cellStyle name="Heading 2 10 8 2" xfId="18053" xr:uid="{00000000-0005-0000-0000-0000BD370000}"/>
    <cellStyle name="Heading 2 10 9" xfId="9487" xr:uid="{00000000-0005-0000-0000-0000BE370000}"/>
    <cellStyle name="Heading 2 10 9 2" xfId="18054" xr:uid="{00000000-0005-0000-0000-0000BF370000}"/>
    <cellStyle name="Heading 2 11" xfId="9488" xr:uid="{00000000-0005-0000-0000-0000C0370000}"/>
    <cellStyle name="Heading 2 11 10" xfId="9489" xr:uid="{00000000-0005-0000-0000-0000C1370000}"/>
    <cellStyle name="Heading 2 11 10 2" xfId="18055" xr:uid="{00000000-0005-0000-0000-0000C2370000}"/>
    <cellStyle name="Heading 2 11 11" xfId="9490" xr:uid="{00000000-0005-0000-0000-0000C3370000}"/>
    <cellStyle name="Heading 2 11 11 2" xfId="18056" xr:uid="{00000000-0005-0000-0000-0000C4370000}"/>
    <cellStyle name="Heading 2 11 2" xfId="9491" xr:uid="{00000000-0005-0000-0000-0000C5370000}"/>
    <cellStyle name="Heading 2 11 2 2" xfId="9492" xr:uid="{00000000-0005-0000-0000-0000C6370000}"/>
    <cellStyle name="Heading 2 11 2 2 2" xfId="18057" xr:uid="{00000000-0005-0000-0000-0000C7370000}"/>
    <cellStyle name="Heading 2 11 3" xfId="9493" xr:uid="{00000000-0005-0000-0000-0000C8370000}"/>
    <cellStyle name="Heading 2 11 3 2" xfId="9494" xr:uid="{00000000-0005-0000-0000-0000C9370000}"/>
    <cellStyle name="Heading 2 11 3 2 2" xfId="18058" xr:uid="{00000000-0005-0000-0000-0000CA370000}"/>
    <cellStyle name="Heading 2 11 4" xfId="9495" xr:uid="{00000000-0005-0000-0000-0000CB370000}"/>
    <cellStyle name="Heading 2 11 4 2" xfId="9496" xr:uid="{00000000-0005-0000-0000-0000CC370000}"/>
    <cellStyle name="Heading 2 11 4 3" xfId="18059" xr:uid="{00000000-0005-0000-0000-0000CD370000}"/>
    <cellStyle name="Heading 2 11 5" xfId="9497" xr:uid="{00000000-0005-0000-0000-0000CE370000}"/>
    <cellStyle name="Heading 2 11 5 2" xfId="18060" xr:uid="{00000000-0005-0000-0000-0000CF370000}"/>
    <cellStyle name="Heading 2 11 6" xfId="9498" xr:uid="{00000000-0005-0000-0000-0000D0370000}"/>
    <cellStyle name="Heading 2 11 6 2" xfId="18061" xr:uid="{00000000-0005-0000-0000-0000D1370000}"/>
    <cellStyle name="Heading 2 11 7" xfId="9499" xr:uid="{00000000-0005-0000-0000-0000D2370000}"/>
    <cellStyle name="Heading 2 11 7 2" xfId="18062" xr:uid="{00000000-0005-0000-0000-0000D3370000}"/>
    <cellStyle name="Heading 2 11 8" xfId="9500" xr:uid="{00000000-0005-0000-0000-0000D4370000}"/>
    <cellStyle name="Heading 2 11 8 2" xfId="18063" xr:uid="{00000000-0005-0000-0000-0000D5370000}"/>
    <cellStyle name="Heading 2 11 9" xfId="9501" xr:uid="{00000000-0005-0000-0000-0000D6370000}"/>
    <cellStyle name="Heading 2 11 9 2" xfId="18064" xr:uid="{00000000-0005-0000-0000-0000D7370000}"/>
    <cellStyle name="Heading 2 12" xfId="9502" xr:uid="{00000000-0005-0000-0000-0000D8370000}"/>
    <cellStyle name="Heading 2 12 10" xfId="9503" xr:uid="{00000000-0005-0000-0000-0000D9370000}"/>
    <cellStyle name="Heading 2 12 10 2" xfId="18065" xr:uid="{00000000-0005-0000-0000-0000DA370000}"/>
    <cellStyle name="Heading 2 12 11" xfId="9504" xr:uid="{00000000-0005-0000-0000-0000DB370000}"/>
    <cellStyle name="Heading 2 12 11 2" xfId="18066" xr:uid="{00000000-0005-0000-0000-0000DC370000}"/>
    <cellStyle name="Heading 2 12 2" xfId="9505" xr:uid="{00000000-0005-0000-0000-0000DD370000}"/>
    <cellStyle name="Heading 2 12 2 2" xfId="9506" xr:uid="{00000000-0005-0000-0000-0000DE370000}"/>
    <cellStyle name="Heading 2 12 2 2 2" xfId="18067" xr:uid="{00000000-0005-0000-0000-0000DF370000}"/>
    <cellStyle name="Heading 2 12 3" xfId="9507" xr:uid="{00000000-0005-0000-0000-0000E0370000}"/>
    <cellStyle name="Heading 2 12 3 2" xfId="9508" xr:uid="{00000000-0005-0000-0000-0000E1370000}"/>
    <cellStyle name="Heading 2 12 3 2 2" xfId="18068" xr:uid="{00000000-0005-0000-0000-0000E2370000}"/>
    <cellStyle name="Heading 2 12 4" xfId="9509" xr:uid="{00000000-0005-0000-0000-0000E3370000}"/>
    <cellStyle name="Heading 2 12 4 2" xfId="9510" xr:uid="{00000000-0005-0000-0000-0000E4370000}"/>
    <cellStyle name="Heading 2 12 4 3" xfId="18069" xr:uid="{00000000-0005-0000-0000-0000E5370000}"/>
    <cellStyle name="Heading 2 12 5" xfId="9511" xr:uid="{00000000-0005-0000-0000-0000E6370000}"/>
    <cellStyle name="Heading 2 12 5 2" xfId="18070" xr:uid="{00000000-0005-0000-0000-0000E7370000}"/>
    <cellStyle name="Heading 2 12 6" xfId="9512" xr:uid="{00000000-0005-0000-0000-0000E8370000}"/>
    <cellStyle name="Heading 2 12 6 2" xfId="18071" xr:uid="{00000000-0005-0000-0000-0000E9370000}"/>
    <cellStyle name="Heading 2 12 7" xfId="9513" xr:uid="{00000000-0005-0000-0000-0000EA370000}"/>
    <cellStyle name="Heading 2 12 7 2" xfId="18072" xr:uid="{00000000-0005-0000-0000-0000EB370000}"/>
    <cellStyle name="Heading 2 12 8" xfId="9514" xr:uid="{00000000-0005-0000-0000-0000EC370000}"/>
    <cellStyle name="Heading 2 12 8 2" xfId="18073" xr:uid="{00000000-0005-0000-0000-0000ED370000}"/>
    <cellStyle name="Heading 2 12 9" xfId="9515" xr:uid="{00000000-0005-0000-0000-0000EE370000}"/>
    <cellStyle name="Heading 2 12 9 2" xfId="18074" xr:uid="{00000000-0005-0000-0000-0000EF370000}"/>
    <cellStyle name="Heading 2 13" xfId="9516" xr:uid="{00000000-0005-0000-0000-0000F0370000}"/>
    <cellStyle name="Heading 2 13 10" xfId="9517" xr:uid="{00000000-0005-0000-0000-0000F1370000}"/>
    <cellStyle name="Heading 2 13 10 2" xfId="18075" xr:uid="{00000000-0005-0000-0000-0000F2370000}"/>
    <cellStyle name="Heading 2 13 11" xfId="9518" xr:uid="{00000000-0005-0000-0000-0000F3370000}"/>
    <cellStyle name="Heading 2 13 11 2" xfId="18076" xr:uid="{00000000-0005-0000-0000-0000F4370000}"/>
    <cellStyle name="Heading 2 13 2" xfId="9519" xr:uid="{00000000-0005-0000-0000-0000F5370000}"/>
    <cellStyle name="Heading 2 13 2 2" xfId="9520" xr:uid="{00000000-0005-0000-0000-0000F6370000}"/>
    <cellStyle name="Heading 2 13 2 2 2" xfId="18077" xr:uid="{00000000-0005-0000-0000-0000F7370000}"/>
    <cellStyle name="Heading 2 13 3" xfId="9521" xr:uid="{00000000-0005-0000-0000-0000F8370000}"/>
    <cellStyle name="Heading 2 13 3 2" xfId="9522" xr:uid="{00000000-0005-0000-0000-0000F9370000}"/>
    <cellStyle name="Heading 2 13 3 2 2" xfId="18078" xr:uid="{00000000-0005-0000-0000-0000FA370000}"/>
    <cellStyle name="Heading 2 13 4" xfId="9523" xr:uid="{00000000-0005-0000-0000-0000FB370000}"/>
    <cellStyle name="Heading 2 13 4 2" xfId="18079" xr:uid="{00000000-0005-0000-0000-0000FC370000}"/>
    <cellStyle name="Heading 2 13 5" xfId="9524" xr:uid="{00000000-0005-0000-0000-0000FD370000}"/>
    <cellStyle name="Heading 2 13 5 2" xfId="18080" xr:uid="{00000000-0005-0000-0000-0000FE370000}"/>
    <cellStyle name="Heading 2 13 6" xfId="9525" xr:uid="{00000000-0005-0000-0000-0000FF370000}"/>
    <cellStyle name="Heading 2 13 6 2" xfId="18081" xr:uid="{00000000-0005-0000-0000-000000380000}"/>
    <cellStyle name="Heading 2 13 7" xfId="9526" xr:uid="{00000000-0005-0000-0000-000001380000}"/>
    <cellStyle name="Heading 2 13 7 2" xfId="18082" xr:uid="{00000000-0005-0000-0000-000002380000}"/>
    <cellStyle name="Heading 2 13 8" xfId="9527" xr:uid="{00000000-0005-0000-0000-000003380000}"/>
    <cellStyle name="Heading 2 13 8 2" xfId="18083" xr:uid="{00000000-0005-0000-0000-000004380000}"/>
    <cellStyle name="Heading 2 13 9" xfId="9528" xr:uid="{00000000-0005-0000-0000-000005380000}"/>
    <cellStyle name="Heading 2 13 9 2" xfId="18084" xr:uid="{00000000-0005-0000-0000-000006380000}"/>
    <cellStyle name="Heading 2 14" xfId="9529" xr:uid="{00000000-0005-0000-0000-000007380000}"/>
    <cellStyle name="Heading 2 14 10" xfId="9530" xr:uid="{00000000-0005-0000-0000-000008380000}"/>
    <cellStyle name="Heading 2 14 10 2" xfId="18085" xr:uid="{00000000-0005-0000-0000-000009380000}"/>
    <cellStyle name="Heading 2 14 11" xfId="9531" xr:uid="{00000000-0005-0000-0000-00000A380000}"/>
    <cellStyle name="Heading 2 14 11 2" xfId="18086" xr:uid="{00000000-0005-0000-0000-00000B380000}"/>
    <cellStyle name="Heading 2 14 2" xfId="9532" xr:uid="{00000000-0005-0000-0000-00000C380000}"/>
    <cellStyle name="Heading 2 14 2 2" xfId="9533" xr:uid="{00000000-0005-0000-0000-00000D380000}"/>
    <cellStyle name="Heading 2 14 2 2 2" xfId="18087" xr:uid="{00000000-0005-0000-0000-00000E380000}"/>
    <cellStyle name="Heading 2 14 3" xfId="9534" xr:uid="{00000000-0005-0000-0000-00000F380000}"/>
    <cellStyle name="Heading 2 14 3 2" xfId="9535" xr:uid="{00000000-0005-0000-0000-000010380000}"/>
    <cellStyle name="Heading 2 14 3 2 2" xfId="18088" xr:uid="{00000000-0005-0000-0000-000011380000}"/>
    <cellStyle name="Heading 2 14 4" xfId="9536" xr:uid="{00000000-0005-0000-0000-000012380000}"/>
    <cellStyle name="Heading 2 14 4 2" xfId="18089" xr:uid="{00000000-0005-0000-0000-000013380000}"/>
    <cellStyle name="Heading 2 14 5" xfId="9537" xr:uid="{00000000-0005-0000-0000-000014380000}"/>
    <cellStyle name="Heading 2 14 5 2" xfId="18090" xr:uid="{00000000-0005-0000-0000-000015380000}"/>
    <cellStyle name="Heading 2 14 6" xfId="9538" xr:uid="{00000000-0005-0000-0000-000016380000}"/>
    <cellStyle name="Heading 2 14 6 2" xfId="18091" xr:uid="{00000000-0005-0000-0000-000017380000}"/>
    <cellStyle name="Heading 2 14 7" xfId="9539" xr:uid="{00000000-0005-0000-0000-000018380000}"/>
    <cellStyle name="Heading 2 14 7 2" xfId="18092" xr:uid="{00000000-0005-0000-0000-000019380000}"/>
    <cellStyle name="Heading 2 14 8" xfId="9540" xr:uid="{00000000-0005-0000-0000-00001A380000}"/>
    <cellStyle name="Heading 2 14 8 2" xfId="18093" xr:uid="{00000000-0005-0000-0000-00001B380000}"/>
    <cellStyle name="Heading 2 14 9" xfId="9541" xr:uid="{00000000-0005-0000-0000-00001C380000}"/>
    <cellStyle name="Heading 2 14 9 2" xfId="18094" xr:uid="{00000000-0005-0000-0000-00001D380000}"/>
    <cellStyle name="Heading 2 15" xfId="9542" xr:uid="{00000000-0005-0000-0000-00001E380000}"/>
    <cellStyle name="Heading 2 15 10" xfId="9543" xr:uid="{00000000-0005-0000-0000-00001F380000}"/>
    <cellStyle name="Heading 2 15 10 2" xfId="18095" xr:uid="{00000000-0005-0000-0000-000020380000}"/>
    <cellStyle name="Heading 2 15 11" xfId="9544" xr:uid="{00000000-0005-0000-0000-000021380000}"/>
    <cellStyle name="Heading 2 15 11 2" xfId="18096" xr:uid="{00000000-0005-0000-0000-000022380000}"/>
    <cellStyle name="Heading 2 15 2" xfId="9545" xr:uid="{00000000-0005-0000-0000-000023380000}"/>
    <cellStyle name="Heading 2 15 2 2" xfId="9546" xr:uid="{00000000-0005-0000-0000-000024380000}"/>
    <cellStyle name="Heading 2 15 2 2 2" xfId="18097" xr:uid="{00000000-0005-0000-0000-000025380000}"/>
    <cellStyle name="Heading 2 15 3" xfId="9547" xr:uid="{00000000-0005-0000-0000-000026380000}"/>
    <cellStyle name="Heading 2 15 3 2" xfId="9548" xr:uid="{00000000-0005-0000-0000-000027380000}"/>
    <cellStyle name="Heading 2 15 3 2 2" xfId="18098" xr:uid="{00000000-0005-0000-0000-000028380000}"/>
    <cellStyle name="Heading 2 15 4" xfId="9549" xr:uid="{00000000-0005-0000-0000-000029380000}"/>
    <cellStyle name="Heading 2 15 4 2" xfId="18099" xr:uid="{00000000-0005-0000-0000-00002A380000}"/>
    <cellStyle name="Heading 2 15 5" xfId="9550" xr:uid="{00000000-0005-0000-0000-00002B380000}"/>
    <cellStyle name="Heading 2 15 5 2" xfId="18100" xr:uid="{00000000-0005-0000-0000-00002C380000}"/>
    <cellStyle name="Heading 2 15 6" xfId="9551" xr:uid="{00000000-0005-0000-0000-00002D380000}"/>
    <cellStyle name="Heading 2 15 6 2" xfId="18101" xr:uid="{00000000-0005-0000-0000-00002E380000}"/>
    <cellStyle name="Heading 2 15 7" xfId="9552" xr:uid="{00000000-0005-0000-0000-00002F380000}"/>
    <cellStyle name="Heading 2 15 7 2" xfId="18102" xr:uid="{00000000-0005-0000-0000-000030380000}"/>
    <cellStyle name="Heading 2 15 8" xfId="9553" xr:uid="{00000000-0005-0000-0000-000031380000}"/>
    <cellStyle name="Heading 2 15 8 2" xfId="18103" xr:uid="{00000000-0005-0000-0000-000032380000}"/>
    <cellStyle name="Heading 2 15 9" xfId="9554" xr:uid="{00000000-0005-0000-0000-000033380000}"/>
    <cellStyle name="Heading 2 15 9 2" xfId="18104" xr:uid="{00000000-0005-0000-0000-000034380000}"/>
    <cellStyle name="Heading 2 16" xfId="9555" xr:uid="{00000000-0005-0000-0000-000035380000}"/>
    <cellStyle name="Heading 2 16 10" xfId="9556" xr:uid="{00000000-0005-0000-0000-000036380000}"/>
    <cellStyle name="Heading 2 16 10 2" xfId="18105" xr:uid="{00000000-0005-0000-0000-000037380000}"/>
    <cellStyle name="Heading 2 16 11" xfId="9557" xr:uid="{00000000-0005-0000-0000-000038380000}"/>
    <cellStyle name="Heading 2 16 11 2" xfId="18106" xr:uid="{00000000-0005-0000-0000-000039380000}"/>
    <cellStyle name="Heading 2 16 2" xfId="9558" xr:uid="{00000000-0005-0000-0000-00003A380000}"/>
    <cellStyle name="Heading 2 16 2 2" xfId="9559" xr:uid="{00000000-0005-0000-0000-00003B380000}"/>
    <cellStyle name="Heading 2 16 2 2 2" xfId="18107" xr:uid="{00000000-0005-0000-0000-00003C380000}"/>
    <cellStyle name="Heading 2 16 3" xfId="9560" xr:uid="{00000000-0005-0000-0000-00003D380000}"/>
    <cellStyle name="Heading 2 16 3 2" xfId="9561" xr:uid="{00000000-0005-0000-0000-00003E380000}"/>
    <cellStyle name="Heading 2 16 3 2 2" xfId="18108" xr:uid="{00000000-0005-0000-0000-00003F380000}"/>
    <cellStyle name="Heading 2 16 4" xfId="9562" xr:uid="{00000000-0005-0000-0000-000040380000}"/>
    <cellStyle name="Heading 2 16 4 2" xfId="18109" xr:uid="{00000000-0005-0000-0000-000041380000}"/>
    <cellStyle name="Heading 2 16 5" xfId="9563" xr:uid="{00000000-0005-0000-0000-000042380000}"/>
    <cellStyle name="Heading 2 16 5 2" xfId="18110" xr:uid="{00000000-0005-0000-0000-000043380000}"/>
    <cellStyle name="Heading 2 16 6" xfId="9564" xr:uid="{00000000-0005-0000-0000-000044380000}"/>
    <cellStyle name="Heading 2 16 6 2" xfId="18111" xr:uid="{00000000-0005-0000-0000-000045380000}"/>
    <cellStyle name="Heading 2 16 7" xfId="9565" xr:uid="{00000000-0005-0000-0000-000046380000}"/>
    <cellStyle name="Heading 2 16 7 2" xfId="18112" xr:uid="{00000000-0005-0000-0000-000047380000}"/>
    <cellStyle name="Heading 2 16 8" xfId="9566" xr:uid="{00000000-0005-0000-0000-000048380000}"/>
    <cellStyle name="Heading 2 16 8 2" xfId="18113" xr:uid="{00000000-0005-0000-0000-000049380000}"/>
    <cellStyle name="Heading 2 16 9" xfId="9567" xr:uid="{00000000-0005-0000-0000-00004A380000}"/>
    <cellStyle name="Heading 2 16 9 2" xfId="18114" xr:uid="{00000000-0005-0000-0000-00004B380000}"/>
    <cellStyle name="Heading 2 17" xfId="9568" xr:uid="{00000000-0005-0000-0000-00004C380000}"/>
    <cellStyle name="Heading 2 17 10" xfId="9569" xr:uid="{00000000-0005-0000-0000-00004D380000}"/>
    <cellStyle name="Heading 2 17 10 2" xfId="18115" xr:uid="{00000000-0005-0000-0000-00004E380000}"/>
    <cellStyle name="Heading 2 17 11" xfId="9570" xr:uid="{00000000-0005-0000-0000-00004F380000}"/>
    <cellStyle name="Heading 2 17 11 2" xfId="18116" xr:uid="{00000000-0005-0000-0000-000050380000}"/>
    <cellStyle name="Heading 2 17 2" xfId="9571" xr:uid="{00000000-0005-0000-0000-000051380000}"/>
    <cellStyle name="Heading 2 17 2 2" xfId="9572" xr:uid="{00000000-0005-0000-0000-000052380000}"/>
    <cellStyle name="Heading 2 17 2 2 2" xfId="18117" xr:uid="{00000000-0005-0000-0000-000053380000}"/>
    <cellStyle name="Heading 2 17 3" xfId="9573" xr:uid="{00000000-0005-0000-0000-000054380000}"/>
    <cellStyle name="Heading 2 17 3 2" xfId="9574" xr:uid="{00000000-0005-0000-0000-000055380000}"/>
    <cellStyle name="Heading 2 17 3 2 2" xfId="18118" xr:uid="{00000000-0005-0000-0000-000056380000}"/>
    <cellStyle name="Heading 2 17 4" xfId="9575" xr:uid="{00000000-0005-0000-0000-000057380000}"/>
    <cellStyle name="Heading 2 17 4 2" xfId="18119" xr:uid="{00000000-0005-0000-0000-000058380000}"/>
    <cellStyle name="Heading 2 17 5" xfId="9576" xr:uid="{00000000-0005-0000-0000-000059380000}"/>
    <cellStyle name="Heading 2 17 5 2" xfId="18120" xr:uid="{00000000-0005-0000-0000-00005A380000}"/>
    <cellStyle name="Heading 2 17 6" xfId="9577" xr:uid="{00000000-0005-0000-0000-00005B380000}"/>
    <cellStyle name="Heading 2 17 6 2" xfId="18121" xr:uid="{00000000-0005-0000-0000-00005C380000}"/>
    <cellStyle name="Heading 2 17 7" xfId="9578" xr:uid="{00000000-0005-0000-0000-00005D380000}"/>
    <cellStyle name="Heading 2 17 7 2" xfId="18122" xr:uid="{00000000-0005-0000-0000-00005E380000}"/>
    <cellStyle name="Heading 2 17 8" xfId="9579" xr:uid="{00000000-0005-0000-0000-00005F380000}"/>
    <cellStyle name="Heading 2 17 8 2" xfId="18123" xr:uid="{00000000-0005-0000-0000-000060380000}"/>
    <cellStyle name="Heading 2 17 9" xfId="9580" xr:uid="{00000000-0005-0000-0000-000061380000}"/>
    <cellStyle name="Heading 2 17 9 2" xfId="18124" xr:uid="{00000000-0005-0000-0000-000062380000}"/>
    <cellStyle name="Heading 2 18" xfId="9581" xr:uid="{00000000-0005-0000-0000-000063380000}"/>
    <cellStyle name="Heading 2 18 2" xfId="9582" xr:uid="{00000000-0005-0000-0000-000064380000}"/>
    <cellStyle name="Heading 2 18 2 2" xfId="9583" xr:uid="{00000000-0005-0000-0000-000065380000}"/>
    <cellStyle name="Heading 2 18 2 2 2" xfId="18125" xr:uid="{00000000-0005-0000-0000-000066380000}"/>
    <cellStyle name="Heading 2 18 3" xfId="9584" xr:uid="{00000000-0005-0000-0000-000067380000}"/>
    <cellStyle name="Heading 2 18 3 2" xfId="18126" xr:uid="{00000000-0005-0000-0000-000068380000}"/>
    <cellStyle name="Heading 2 18 4" xfId="9585" xr:uid="{00000000-0005-0000-0000-000069380000}"/>
    <cellStyle name="Heading 2 18 4 2" xfId="18127" xr:uid="{00000000-0005-0000-0000-00006A380000}"/>
    <cellStyle name="Heading 2 18 5" xfId="9586" xr:uid="{00000000-0005-0000-0000-00006B380000}"/>
    <cellStyle name="Heading 2 18 5 2" xfId="18128" xr:uid="{00000000-0005-0000-0000-00006C380000}"/>
    <cellStyle name="Heading 2 18 6" xfId="9587" xr:uid="{00000000-0005-0000-0000-00006D380000}"/>
    <cellStyle name="Heading 2 18 6 2" xfId="18129" xr:uid="{00000000-0005-0000-0000-00006E380000}"/>
    <cellStyle name="Heading 2 18 7" xfId="9588" xr:uid="{00000000-0005-0000-0000-00006F380000}"/>
    <cellStyle name="Heading 2 18 7 2" xfId="18130" xr:uid="{00000000-0005-0000-0000-000070380000}"/>
    <cellStyle name="Heading 2 18 8" xfId="9589" xr:uid="{00000000-0005-0000-0000-000071380000}"/>
    <cellStyle name="Heading 2 18 8 2" xfId="18131" xr:uid="{00000000-0005-0000-0000-000072380000}"/>
    <cellStyle name="Heading 2 18 9" xfId="9590" xr:uid="{00000000-0005-0000-0000-000073380000}"/>
    <cellStyle name="Heading 2 18 9 2" xfId="18132" xr:uid="{00000000-0005-0000-0000-000074380000}"/>
    <cellStyle name="Heading 2 19" xfId="9591" xr:uid="{00000000-0005-0000-0000-000075380000}"/>
    <cellStyle name="Heading 2 19 2" xfId="9592" xr:uid="{00000000-0005-0000-0000-000076380000}"/>
    <cellStyle name="Heading 2 19 2 2" xfId="9593" xr:uid="{00000000-0005-0000-0000-000077380000}"/>
    <cellStyle name="Heading 2 19 2 2 2" xfId="18133" xr:uid="{00000000-0005-0000-0000-000078380000}"/>
    <cellStyle name="Heading 2 19 3" xfId="9594" xr:uid="{00000000-0005-0000-0000-000079380000}"/>
    <cellStyle name="Heading 2 19 3 2" xfId="18134" xr:uid="{00000000-0005-0000-0000-00007A380000}"/>
    <cellStyle name="Heading 2 19 4" xfId="9595" xr:uid="{00000000-0005-0000-0000-00007B380000}"/>
    <cellStyle name="Heading 2 19 4 2" xfId="18135" xr:uid="{00000000-0005-0000-0000-00007C380000}"/>
    <cellStyle name="Heading 2 19 5" xfId="9596" xr:uid="{00000000-0005-0000-0000-00007D380000}"/>
    <cellStyle name="Heading 2 19 5 2" xfId="18136" xr:uid="{00000000-0005-0000-0000-00007E380000}"/>
    <cellStyle name="Heading 2 19 6" xfId="9597" xr:uid="{00000000-0005-0000-0000-00007F380000}"/>
    <cellStyle name="Heading 2 19 6 2" xfId="18137" xr:uid="{00000000-0005-0000-0000-000080380000}"/>
    <cellStyle name="Heading 2 19 7" xfId="9598" xr:uid="{00000000-0005-0000-0000-000081380000}"/>
    <cellStyle name="Heading 2 19 7 2" xfId="18138" xr:uid="{00000000-0005-0000-0000-000082380000}"/>
    <cellStyle name="Heading 2 19 8" xfId="9599" xr:uid="{00000000-0005-0000-0000-000083380000}"/>
    <cellStyle name="Heading 2 19 8 2" xfId="18139" xr:uid="{00000000-0005-0000-0000-000084380000}"/>
    <cellStyle name="Heading 2 19 9" xfId="9600" xr:uid="{00000000-0005-0000-0000-000085380000}"/>
    <cellStyle name="Heading 2 19 9 2" xfId="18140" xr:uid="{00000000-0005-0000-0000-000086380000}"/>
    <cellStyle name="Heading 2 2" xfId="9601" xr:uid="{00000000-0005-0000-0000-000087380000}"/>
    <cellStyle name="Heading 2 2 10" xfId="9602" xr:uid="{00000000-0005-0000-0000-000088380000}"/>
    <cellStyle name="Heading 2 2 10 2" xfId="18141" xr:uid="{00000000-0005-0000-0000-000089380000}"/>
    <cellStyle name="Heading 2 2 11" xfId="9603" xr:uid="{00000000-0005-0000-0000-00008A380000}"/>
    <cellStyle name="Heading 2 2 11 2" xfId="18142" xr:uid="{00000000-0005-0000-0000-00008B380000}"/>
    <cellStyle name="Heading 2 2 12" xfId="21737" xr:uid="{00000000-0005-0000-0000-00008C380000}"/>
    <cellStyle name="Heading 2 2 2" xfId="9604" xr:uid="{00000000-0005-0000-0000-00008D380000}"/>
    <cellStyle name="Heading 2 2 2 2" xfId="9605" xr:uid="{00000000-0005-0000-0000-00008E380000}"/>
    <cellStyle name="Heading 2 2 2 2 2" xfId="18143" xr:uid="{00000000-0005-0000-0000-00008F380000}"/>
    <cellStyle name="Heading 2 2 3" xfId="9606" xr:uid="{00000000-0005-0000-0000-000090380000}"/>
    <cellStyle name="Heading 2 2 3 2" xfId="9607" xr:uid="{00000000-0005-0000-0000-000091380000}"/>
    <cellStyle name="Heading 2 2 3 2 2" xfId="18144" xr:uid="{00000000-0005-0000-0000-000092380000}"/>
    <cellStyle name="Heading 2 2 4" xfId="9608" xr:uid="{00000000-0005-0000-0000-000093380000}"/>
    <cellStyle name="Heading 2 2 4 2" xfId="9609" xr:uid="{00000000-0005-0000-0000-000094380000}"/>
    <cellStyle name="Heading 2 2 4 3" xfId="18145" xr:uid="{00000000-0005-0000-0000-000095380000}"/>
    <cellStyle name="Heading 2 2 5" xfId="9610" xr:uid="{00000000-0005-0000-0000-000096380000}"/>
    <cellStyle name="Heading 2 2 5 2" xfId="18146" xr:uid="{00000000-0005-0000-0000-000097380000}"/>
    <cellStyle name="Heading 2 2 6" xfId="9611" xr:uid="{00000000-0005-0000-0000-000098380000}"/>
    <cellStyle name="Heading 2 2 6 2" xfId="18147" xr:uid="{00000000-0005-0000-0000-000099380000}"/>
    <cellStyle name="Heading 2 2 7" xfId="9612" xr:uid="{00000000-0005-0000-0000-00009A380000}"/>
    <cellStyle name="Heading 2 2 7 2" xfId="18148" xr:uid="{00000000-0005-0000-0000-00009B380000}"/>
    <cellStyle name="Heading 2 2 8" xfId="9613" xr:uid="{00000000-0005-0000-0000-00009C380000}"/>
    <cellStyle name="Heading 2 2 8 2" xfId="18149" xr:uid="{00000000-0005-0000-0000-00009D380000}"/>
    <cellStyle name="Heading 2 2 9" xfId="9614" xr:uid="{00000000-0005-0000-0000-00009E380000}"/>
    <cellStyle name="Heading 2 2 9 2" xfId="18150" xr:uid="{00000000-0005-0000-0000-00009F380000}"/>
    <cellStyle name="Heading 2 20" xfId="9615" xr:uid="{00000000-0005-0000-0000-0000A0380000}"/>
    <cellStyle name="Heading 2 20 2" xfId="9616" xr:uid="{00000000-0005-0000-0000-0000A1380000}"/>
    <cellStyle name="Heading 2 20 2 2" xfId="18151" xr:uid="{00000000-0005-0000-0000-0000A2380000}"/>
    <cellStyle name="Heading 2 20 3" xfId="9617" xr:uid="{00000000-0005-0000-0000-0000A3380000}"/>
    <cellStyle name="Heading 2 20 3 2" xfId="18152" xr:uid="{00000000-0005-0000-0000-0000A4380000}"/>
    <cellStyle name="Heading 2 20 4" xfId="9618" xr:uid="{00000000-0005-0000-0000-0000A5380000}"/>
    <cellStyle name="Heading 2 20 4 2" xfId="18153" xr:uid="{00000000-0005-0000-0000-0000A6380000}"/>
    <cellStyle name="Heading 2 20 5" xfId="9619" xr:uid="{00000000-0005-0000-0000-0000A7380000}"/>
    <cellStyle name="Heading 2 20 5 2" xfId="18154" xr:uid="{00000000-0005-0000-0000-0000A8380000}"/>
    <cellStyle name="Heading 2 20 6" xfId="9620" xr:uid="{00000000-0005-0000-0000-0000A9380000}"/>
    <cellStyle name="Heading 2 20 6 2" xfId="18155" xr:uid="{00000000-0005-0000-0000-0000AA380000}"/>
    <cellStyle name="Heading 2 20 7" xfId="9621" xr:uid="{00000000-0005-0000-0000-0000AB380000}"/>
    <cellStyle name="Heading 2 20 7 2" xfId="18156" xr:uid="{00000000-0005-0000-0000-0000AC380000}"/>
    <cellStyle name="Heading 2 20 8" xfId="9622" xr:uid="{00000000-0005-0000-0000-0000AD380000}"/>
    <cellStyle name="Heading 2 20 8 2" xfId="18157" xr:uid="{00000000-0005-0000-0000-0000AE380000}"/>
    <cellStyle name="Heading 2 20 9" xfId="9623" xr:uid="{00000000-0005-0000-0000-0000AF380000}"/>
    <cellStyle name="Heading 2 20 9 2" xfId="18158" xr:uid="{00000000-0005-0000-0000-0000B0380000}"/>
    <cellStyle name="Heading 2 21" xfId="9624" xr:uid="{00000000-0005-0000-0000-0000B1380000}"/>
    <cellStyle name="Heading 2 21 2" xfId="9625" xr:uid="{00000000-0005-0000-0000-0000B2380000}"/>
    <cellStyle name="Heading 2 21 2 2" xfId="18159" xr:uid="{00000000-0005-0000-0000-0000B3380000}"/>
    <cellStyle name="Heading 2 21 3" xfId="9626" xr:uid="{00000000-0005-0000-0000-0000B4380000}"/>
    <cellStyle name="Heading 2 21 3 2" xfId="18160" xr:uid="{00000000-0005-0000-0000-0000B5380000}"/>
    <cellStyle name="Heading 2 21 4" xfId="9627" xr:uid="{00000000-0005-0000-0000-0000B6380000}"/>
    <cellStyle name="Heading 2 21 4 2" xfId="18161" xr:uid="{00000000-0005-0000-0000-0000B7380000}"/>
    <cellStyle name="Heading 2 21 5" xfId="9628" xr:uid="{00000000-0005-0000-0000-0000B8380000}"/>
    <cellStyle name="Heading 2 21 5 2" xfId="18162" xr:uid="{00000000-0005-0000-0000-0000B9380000}"/>
    <cellStyle name="Heading 2 21 6" xfId="9629" xr:uid="{00000000-0005-0000-0000-0000BA380000}"/>
    <cellStyle name="Heading 2 21 6 2" xfId="18163" xr:uid="{00000000-0005-0000-0000-0000BB380000}"/>
    <cellStyle name="Heading 2 21 7" xfId="9630" xr:uid="{00000000-0005-0000-0000-0000BC380000}"/>
    <cellStyle name="Heading 2 21 7 2" xfId="18164" xr:uid="{00000000-0005-0000-0000-0000BD380000}"/>
    <cellStyle name="Heading 2 21 8" xfId="9631" xr:uid="{00000000-0005-0000-0000-0000BE380000}"/>
    <cellStyle name="Heading 2 21 8 2" xfId="18165" xr:uid="{00000000-0005-0000-0000-0000BF380000}"/>
    <cellStyle name="Heading 2 21 9" xfId="9632" xr:uid="{00000000-0005-0000-0000-0000C0380000}"/>
    <cellStyle name="Heading 2 21 9 2" xfId="18166" xr:uid="{00000000-0005-0000-0000-0000C1380000}"/>
    <cellStyle name="Heading 2 22" xfId="9633" xr:uid="{00000000-0005-0000-0000-0000C2380000}"/>
    <cellStyle name="Heading 2 22 2" xfId="9634" xr:uid="{00000000-0005-0000-0000-0000C3380000}"/>
    <cellStyle name="Heading 2 22 2 2" xfId="18167" xr:uid="{00000000-0005-0000-0000-0000C4380000}"/>
    <cellStyle name="Heading 2 22 3" xfId="9635" xr:uid="{00000000-0005-0000-0000-0000C5380000}"/>
    <cellStyle name="Heading 2 22 3 2" xfId="18168" xr:uid="{00000000-0005-0000-0000-0000C6380000}"/>
    <cellStyle name="Heading 2 22 4" xfId="9636" xr:uid="{00000000-0005-0000-0000-0000C7380000}"/>
    <cellStyle name="Heading 2 22 4 2" xfId="18169" xr:uid="{00000000-0005-0000-0000-0000C8380000}"/>
    <cellStyle name="Heading 2 22 5" xfId="9637" xr:uid="{00000000-0005-0000-0000-0000C9380000}"/>
    <cellStyle name="Heading 2 22 5 2" xfId="18170" xr:uid="{00000000-0005-0000-0000-0000CA380000}"/>
    <cellStyle name="Heading 2 22 6" xfId="9638" xr:uid="{00000000-0005-0000-0000-0000CB380000}"/>
    <cellStyle name="Heading 2 22 6 2" xfId="18171" xr:uid="{00000000-0005-0000-0000-0000CC380000}"/>
    <cellStyle name="Heading 2 22 7" xfId="9639" xr:uid="{00000000-0005-0000-0000-0000CD380000}"/>
    <cellStyle name="Heading 2 22 7 2" xfId="18172" xr:uid="{00000000-0005-0000-0000-0000CE380000}"/>
    <cellStyle name="Heading 2 22 8" xfId="9640" xr:uid="{00000000-0005-0000-0000-0000CF380000}"/>
    <cellStyle name="Heading 2 22 8 2" xfId="18173" xr:uid="{00000000-0005-0000-0000-0000D0380000}"/>
    <cellStyle name="Heading 2 22 9" xfId="9641" xr:uid="{00000000-0005-0000-0000-0000D1380000}"/>
    <cellStyle name="Heading 2 22 9 2" xfId="18174" xr:uid="{00000000-0005-0000-0000-0000D2380000}"/>
    <cellStyle name="Heading 2 23" xfId="9642" xr:uid="{00000000-0005-0000-0000-0000D3380000}"/>
    <cellStyle name="Heading 2 23 2" xfId="9643" xr:uid="{00000000-0005-0000-0000-0000D4380000}"/>
    <cellStyle name="Heading 2 23 2 2" xfId="18175" xr:uid="{00000000-0005-0000-0000-0000D5380000}"/>
    <cellStyle name="Heading 2 23 3" xfId="9644" xr:uid="{00000000-0005-0000-0000-0000D6380000}"/>
    <cellStyle name="Heading 2 23 3 2" xfId="18176" xr:uid="{00000000-0005-0000-0000-0000D7380000}"/>
    <cellStyle name="Heading 2 23 4" xfId="9645" xr:uid="{00000000-0005-0000-0000-0000D8380000}"/>
    <cellStyle name="Heading 2 23 4 2" xfId="18177" xr:uid="{00000000-0005-0000-0000-0000D9380000}"/>
    <cellStyle name="Heading 2 23 5" xfId="9646" xr:uid="{00000000-0005-0000-0000-0000DA380000}"/>
    <cellStyle name="Heading 2 23 5 2" xfId="18178" xr:uid="{00000000-0005-0000-0000-0000DB380000}"/>
    <cellStyle name="Heading 2 23 6" xfId="9647" xr:uid="{00000000-0005-0000-0000-0000DC380000}"/>
    <cellStyle name="Heading 2 23 6 2" xfId="18179" xr:uid="{00000000-0005-0000-0000-0000DD380000}"/>
    <cellStyle name="Heading 2 23 7" xfId="9648" xr:uid="{00000000-0005-0000-0000-0000DE380000}"/>
    <cellStyle name="Heading 2 23 7 2" xfId="18180" xr:uid="{00000000-0005-0000-0000-0000DF380000}"/>
    <cellStyle name="Heading 2 23 8" xfId="9649" xr:uid="{00000000-0005-0000-0000-0000E0380000}"/>
    <cellStyle name="Heading 2 23 8 2" xfId="18181" xr:uid="{00000000-0005-0000-0000-0000E1380000}"/>
    <cellStyle name="Heading 2 23 9" xfId="9650" xr:uid="{00000000-0005-0000-0000-0000E2380000}"/>
    <cellStyle name="Heading 2 23 9 2" xfId="18182" xr:uid="{00000000-0005-0000-0000-0000E3380000}"/>
    <cellStyle name="Heading 2 24" xfId="9651" xr:uid="{00000000-0005-0000-0000-0000E4380000}"/>
    <cellStyle name="Heading 2 24 2" xfId="9652" xr:uid="{00000000-0005-0000-0000-0000E5380000}"/>
    <cellStyle name="Heading 2 24 2 2" xfId="18183" xr:uid="{00000000-0005-0000-0000-0000E6380000}"/>
    <cellStyle name="Heading 2 24 3" xfId="9653" xr:uid="{00000000-0005-0000-0000-0000E7380000}"/>
    <cellStyle name="Heading 2 24 3 2" xfId="18184" xr:uid="{00000000-0005-0000-0000-0000E8380000}"/>
    <cellStyle name="Heading 2 24 4" xfId="9654" xr:uid="{00000000-0005-0000-0000-0000E9380000}"/>
    <cellStyle name="Heading 2 24 4 2" xfId="18185" xr:uid="{00000000-0005-0000-0000-0000EA380000}"/>
    <cellStyle name="Heading 2 24 5" xfId="9655" xr:uid="{00000000-0005-0000-0000-0000EB380000}"/>
    <cellStyle name="Heading 2 24 5 2" xfId="18186" xr:uid="{00000000-0005-0000-0000-0000EC380000}"/>
    <cellStyle name="Heading 2 24 6" xfId="9656" xr:uid="{00000000-0005-0000-0000-0000ED380000}"/>
    <cellStyle name="Heading 2 24 6 2" xfId="18187" xr:uid="{00000000-0005-0000-0000-0000EE380000}"/>
    <cellStyle name="Heading 2 24 7" xfId="9657" xr:uid="{00000000-0005-0000-0000-0000EF380000}"/>
    <cellStyle name="Heading 2 24 7 2" xfId="18188" xr:uid="{00000000-0005-0000-0000-0000F0380000}"/>
    <cellStyle name="Heading 2 24 8" xfId="9658" xr:uid="{00000000-0005-0000-0000-0000F1380000}"/>
    <cellStyle name="Heading 2 24 8 2" xfId="18189" xr:uid="{00000000-0005-0000-0000-0000F2380000}"/>
    <cellStyle name="Heading 2 24 9" xfId="9659" xr:uid="{00000000-0005-0000-0000-0000F3380000}"/>
    <cellStyle name="Heading 2 24 9 2" xfId="18190" xr:uid="{00000000-0005-0000-0000-0000F4380000}"/>
    <cellStyle name="Heading 2 25" xfId="9660" xr:uid="{00000000-0005-0000-0000-0000F5380000}"/>
    <cellStyle name="Heading 2 25 2" xfId="9661" xr:uid="{00000000-0005-0000-0000-0000F6380000}"/>
    <cellStyle name="Heading 2 25 2 2" xfId="18191" xr:uid="{00000000-0005-0000-0000-0000F7380000}"/>
    <cellStyle name="Heading 2 25 3" xfId="9662" xr:uid="{00000000-0005-0000-0000-0000F8380000}"/>
    <cellStyle name="Heading 2 25 3 2" xfId="18192" xr:uid="{00000000-0005-0000-0000-0000F9380000}"/>
    <cellStyle name="Heading 2 25 4" xfId="9663" xr:uid="{00000000-0005-0000-0000-0000FA380000}"/>
    <cellStyle name="Heading 2 25 4 2" xfId="18193" xr:uid="{00000000-0005-0000-0000-0000FB380000}"/>
    <cellStyle name="Heading 2 25 5" xfId="9664" xr:uid="{00000000-0005-0000-0000-0000FC380000}"/>
    <cellStyle name="Heading 2 25 5 2" xfId="18194" xr:uid="{00000000-0005-0000-0000-0000FD380000}"/>
    <cellStyle name="Heading 2 25 6" xfId="9665" xr:uid="{00000000-0005-0000-0000-0000FE380000}"/>
    <cellStyle name="Heading 2 25 6 2" xfId="18195" xr:uid="{00000000-0005-0000-0000-0000FF380000}"/>
    <cellStyle name="Heading 2 25 7" xfId="9666" xr:uid="{00000000-0005-0000-0000-000000390000}"/>
    <cellStyle name="Heading 2 25 7 2" xfId="18196" xr:uid="{00000000-0005-0000-0000-000001390000}"/>
    <cellStyle name="Heading 2 25 8" xfId="9667" xr:uid="{00000000-0005-0000-0000-000002390000}"/>
    <cellStyle name="Heading 2 25 8 2" xfId="18197" xr:uid="{00000000-0005-0000-0000-000003390000}"/>
    <cellStyle name="Heading 2 25 9" xfId="9668" xr:uid="{00000000-0005-0000-0000-000004390000}"/>
    <cellStyle name="Heading 2 25 9 2" xfId="18198" xr:uid="{00000000-0005-0000-0000-000005390000}"/>
    <cellStyle name="Heading 2 26" xfId="9669" xr:uid="{00000000-0005-0000-0000-000006390000}"/>
    <cellStyle name="Heading 2 26 2" xfId="9670" xr:uid="{00000000-0005-0000-0000-000007390000}"/>
    <cellStyle name="Heading 2 26 2 2" xfId="18199" xr:uid="{00000000-0005-0000-0000-000008390000}"/>
    <cellStyle name="Heading 2 26 3" xfId="9671" xr:uid="{00000000-0005-0000-0000-000009390000}"/>
    <cellStyle name="Heading 2 26 3 2" xfId="18200" xr:uid="{00000000-0005-0000-0000-00000A390000}"/>
    <cellStyle name="Heading 2 26 4" xfId="9672" xr:uid="{00000000-0005-0000-0000-00000B390000}"/>
    <cellStyle name="Heading 2 26 4 2" xfId="18201" xr:uid="{00000000-0005-0000-0000-00000C390000}"/>
    <cellStyle name="Heading 2 26 5" xfId="9673" xr:uid="{00000000-0005-0000-0000-00000D390000}"/>
    <cellStyle name="Heading 2 26 5 2" xfId="18202" xr:uid="{00000000-0005-0000-0000-00000E390000}"/>
    <cellStyle name="Heading 2 26 6" xfId="9674" xr:uid="{00000000-0005-0000-0000-00000F390000}"/>
    <cellStyle name="Heading 2 26 6 2" xfId="18203" xr:uid="{00000000-0005-0000-0000-000010390000}"/>
    <cellStyle name="Heading 2 26 7" xfId="9675" xr:uid="{00000000-0005-0000-0000-000011390000}"/>
    <cellStyle name="Heading 2 26 7 2" xfId="18204" xr:uid="{00000000-0005-0000-0000-000012390000}"/>
    <cellStyle name="Heading 2 26 8" xfId="9676" xr:uid="{00000000-0005-0000-0000-000013390000}"/>
    <cellStyle name="Heading 2 26 8 2" xfId="18205" xr:uid="{00000000-0005-0000-0000-000014390000}"/>
    <cellStyle name="Heading 2 26 9" xfId="9677" xr:uid="{00000000-0005-0000-0000-000015390000}"/>
    <cellStyle name="Heading 2 26 9 2" xfId="18206" xr:uid="{00000000-0005-0000-0000-000016390000}"/>
    <cellStyle name="Heading 2 27" xfId="9678" xr:uid="{00000000-0005-0000-0000-000017390000}"/>
    <cellStyle name="Heading 2 27 2" xfId="9679" xr:uid="{00000000-0005-0000-0000-000018390000}"/>
    <cellStyle name="Heading 2 27 2 2" xfId="18207" xr:uid="{00000000-0005-0000-0000-000019390000}"/>
    <cellStyle name="Heading 2 27 3" xfId="9680" xr:uid="{00000000-0005-0000-0000-00001A390000}"/>
    <cellStyle name="Heading 2 27 3 2" xfId="18208" xr:uid="{00000000-0005-0000-0000-00001B390000}"/>
    <cellStyle name="Heading 2 27 4" xfId="9681" xr:uid="{00000000-0005-0000-0000-00001C390000}"/>
    <cellStyle name="Heading 2 27 4 2" xfId="18209" xr:uid="{00000000-0005-0000-0000-00001D390000}"/>
    <cellStyle name="Heading 2 27 5" xfId="9682" xr:uid="{00000000-0005-0000-0000-00001E390000}"/>
    <cellStyle name="Heading 2 27 5 2" xfId="18210" xr:uid="{00000000-0005-0000-0000-00001F390000}"/>
    <cellStyle name="Heading 2 27 6" xfId="9683" xr:uid="{00000000-0005-0000-0000-000020390000}"/>
    <cellStyle name="Heading 2 27 6 2" xfId="18211" xr:uid="{00000000-0005-0000-0000-000021390000}"/>
    <cellStyle name="Heading 2 27 7" xfId="9684" xr:uid="{00000000-0005-0000-0000-000022390000}"/>
    <cellStyle name="Heading 2 27 7 2" xfId="18212" xr:uid="{00000000-0005-0000-0000-000023390000}"/>
    <cellStyle name="Heading 2 27 8" xfId="9685" xr:uid="{00000000-0005-0000-0000-000024390000}"/>
    <cellStyle name="Heading 2 27 8 2" xfId="18213" xr:uid="{00000000-0005-0000-0000-000025390000}"/>
    <cellStyle name="Heading 2 27 9" xfId="9686" xr:uid="{00000000-0005-0000-0000-000026390000}"/>
    <cellStyle name="Heading 2 27 9 2" xfId="18214" xr:uid="{00000000-0005-0000-0000-000027390000}"/>
    <cellStyle name="Heading 2 28" xfId="9687" xr:uid="{00000000-0005-0000-0000-000028390000}"/>
    <cellStyle name="Heading 2 28 2" xfId="9688" xr:uid="{00000000-0005-0000-0000-000029390000}"/>
    <cellStyle name="Heading 2 28 2 2" xfId="18215" xr:uid="{00000000-0005-0000-0000-00002A390000}"/>
    <cellStyle name="Heading 2 28 3" xfId="9689" xr:uid="{00000000-0005-0000-0000-00002B390000}"/>
    <cellStyle name="Heading 2 28 3 2" xfId="18216" xr:uid="{00000000-0005-0000-0000-00002C390000}"/>
    <cellStyle name="Heading 2 28 4" xfId="9690" xr:uid="{00000000-0005-0000-0000-00002D390000}"/>
    <cellStyle name="Heading 2 28 4 2" xfId="18217" xr:uid="{00000000-0005-0000-0000-00002E390000}"/>
    <cellStyle name="Heading 2 28 5" xfId="9691" xr:uid="{00000000-0005-0000-0000-00002F390000}"/>
    <cellStyle name="Heading 2 28 5 2" xfId="18218" xr:uid="{00000000-0005-0000-0000-000030390000}"/>
    <cellStyle name="Heading 2 28 6" xfId="9692" xr:uid="{00000000-0005-0000-0000-000031390000}"/>
    <cellStyle name="Heading 2 28 6 2" xfId="18219" xr:uid="{00000000-0005-0000-0000-000032390000}"/>
    <cellStyle name="Heading 2 28 7" xfId="9693" xr:uid="{00000000-0005-0000-0000-000033390000}"/>
    <cellStyle name="Heading 2 28 7 2" xfId="18220" xr:uid="{00000000-0005-0000-0000-000034390000}"/>
    <cellStyle name="Heading 2 28 8" xfId="9694" xr:uid="{00000000-0005-0000-0000-000035390000}"/>
    <cellStyle name="Heading 2 28 8 2" xfId="18221" xr:uid="{00000000-0005-0000-0000-000036390000}"/>
    <cellStyle name="Heading 2 28 9" xfId="9695" xr:uid="{00000000-0005-0000-0000-000037390000}"/>
    <cellStyle name="Heading 2 28 9 2" xfId="18222" xr:uid="{00000000-0005-0000-0000-000038390000}"/>
    <cellStyle name="Heading 2 29" xfId="9696" xr:uid="{00000000-0005-0000-0000-000039390000}"/>
    <cellStyle name="Heading 2 29 2" xfId="9697" xr:uid="{00000000-0005-0000-0000-00003A390000}"/>
    <cellStyle name="Heading 2 29 2 2" xfId="18223" xr:uid="{00000000-0005-0000-0000-00003B390000}"/>
    <cellStyle name="Heading 2 29 3" xfId="9698" xr:uid="{00000000-0005-0000-0000-00003C390000}"/>
    <cellStyle name="Heading 2 29 3 2" xfId="18224" xr:uid="{00000000-0005-0000-0000-00003D390000}"/>
    <cellStyle name="Heading 2 29 4" xfId="9699" xr:uid="{00000000-0005-0000-0000-00003E390000}"/>
    <cellStyle name="Heading 2 29 4 2" xfId="18225" xr:uid="{00000000-0005-0000-0000-00003F390000}"/>
    <cellStyle name="Heading 2 29 5" xfId="9700" xr:uid="{00000000-0005-0000-0000-000040390000}"/>
    <cellStyle name="Heading 2 29 5 2" xfId="18226" xr:uid="{00000000-0005-0000-0000-000041390000}"/>
    <cellStyle name="Heading 2 29 6" xfId="9701" xr:uid="{00000000-0005-0000-0000-000042390000}"/>
    <cellStyle name="Heading 2 29 6 2" xfId="18227" xr:uid="{00000000-0005-0000-0000-000043390000}"/>
    <cellStyle name="Heading 2 29 7" xfId="9702" xr:uid="{00000000-0005-0000-0000-000044390000}"/>
    <cellStyle name="Heading 2 29 7 2" xfId="18228" xr:uid="{00000000-0005-0000-0000-000045390000}"/>
    <cellStyle name="Heading 2 29 8" xfId="9703" xr:uid="{00000000-0005-0000-0000-000046390000}"/>
    <cellStyle name="Heading 2 29 8 2" xfId="18229" xr:uid="{00000000-0005-0000-0000-000047390000}"/>
    <cellStyle name="Heading 2 29 9" xfId="9704" xr:uid="{00000000-0005-0000-0000-000048390000}"/>
    <cellStyle name="Heading 2 29 9 2" xfId="18230" xr:uid="{00000000-0005-0000-0000-000049390000}"/>
    <cellStyle name="Heading 2 3" xfId="9705" xr:uid="{00000000-0005-0000-0000-00004A390000}"/>
    <cellStyle name="Heading 2 3 10" xfId="9706" xr:uid="{00000000-0005-0000-0000-00004B390000}"/>
    <cellStyle name="Heading 2 3 10 2" xfId="18231" xr:uid="{00000000-0005-0000-0000-00004C390000}"/>
    <cellStyle name="Heading 2 3 11" xfId="9707" xr:uid="{00000000-0005-0000-0000-00004D390000}"/>
    <cellStyle name="Heading 2 3 11 2" xfId="18232" xr:uid="{00000000-0005-0000-0000-00004E390000}"/>
    <cellStyle name="Heading 2 3 12" xfId="22085" xr:uid="{00000000-0005-0000-0000-00004F390000}"/>
    <cellStyle name="Heading 2 3 2" xfId="9708" xr:uid="{00000000-0005-0000-0000-000050390000}"/>
    <cellStyle name="Heading 2 3 2 2" xfId="9709" xr:uid="{00000000-0005-0000-0000-000051390000}"/>
    <cellStyle name="Heading 2 3 2 2 2" xfId="18233" xr:uid="{00000000-0005-0000-0000-000052390000}"/>
    <cellStyle name="Heading 2 3 3" xfId="9710" xr:uid="{00000000-0005-0000-0000-000053390000}"/>
    <cellStyle name="Heading 2 3 3 2" xfId="9711" xr:uid="{00000000-0005-0000-0000-000054390000}"/>
    <cellStyle name="Heading 2 3 3 2 2" xfId="18234" xr:uid="{00000000-0005-0000-0000-000055390000}"/>
    <cellStyle name="Heading 2 3 4" xfId="9712" xr:uid="{00000000-0005-0000-0000-000056390000}"/>
    <cellStyle name="Heading 2 3 4 2" xfId="9713" xr:uid="{00000000-0005-0000-0000-000057390000}"/>
    <cellStyle name="Heading 2 3 4 3" xfId="18235" xr:uid="{00000000-0005-0000-0000-000058390000}"/>
    <cellStyle name="Heading 2 3 5" xfId="9714" xr:uid="{00000000-0005-0000-0000-000059390000}"/>
    <cellStyle name="Heading 2 3 5 2" xfId="18236" xr:uid="{00000000-0005-0000-0000-00005A390000}"/>
    <cellStyle name="Heading 2 3 6" xfId="9715" xr:uid="{00000000-0005-0000-0000-00005B390000}"/>
    <cellStyle name="Heading 2 3 6 2" xfId="18237" xr:uid="{00000000-0005-0000-0000-00005C390000}"/>
    <cellStyle name="Heading 2 3 7" xfId="9716" xr:uid="{00000000-0005-0000-0000-00005D390000}"/>
    <cellStyle name="Heading 2 3 7 2" xfId="18238" xr:uid="{00000000-0005-0000-0000-00005E390000}"/>
    <cellStyle name="Heading 2 3 8" xfId="9717" xr:uid="{00000000-0005-0000-0000-00005F390000}"/>
    <cellStyle name="Heading 2 3 8 2" xfId="18239" xr:uid="{00000000-0005-0000-0000-000060390000}"/>
    <cellStyle name="Heading 2 3 9" xfId="9718" xr:uid="{00000000-0005-0000-0000-000061390000}"/>
    <cellStyle name="Heading 2 3 9 2" xfId="18240" xr:uid="{00000000-0005-0000-0000-000062390000}"/>
    <cellStyle name="Heading 2 30" xfId="9719" xr:uid="{00000000-0005-0000-0000-000063390000}"/>
    <cellStyle name="Heading 2 30 2" xfId="9720" xr:uid="{00000000-0005-0000-0000-000064390000}"/>
    <cellStyle name="Heading 2 30 2 2" xfId="18241" xr:uid="{00000000-0005-0000-0000-000065390000}"/>
    <cellStyle name="Heading 2 31" xfId="9721" xr:uid="{00000000-0005-0000-0000-000066390000}"/>
    <cellStyle name="Heading 2 31 2" xfId="9722" xr:uid="{00000000-0005-0000-0000-000067390000}"/>
    <cellStyle name="Heading 2 31 2 2" xfId="18242" xr:uid="{00000000-0005-0000-0000-000068390000}"/>
    <cellStyle name="Heading 2 32" xfId="9723" xr:uid="{00000000-0005-0000-0000-000069390000}"/>
    <cellStyle name="Heading 2 32 2" xfId="9724" xr:uid="{00000000-0005-0000-0000-00006A390000}"/>
    <cellStyle name="Heading 2 32 2 2" xfId="18243" xr:uid="{00000000-0005-0000-0000-00006B390000}"/>
    <cellStyle name="Heading 2 33" xfId="9725" xr:uid="{00000000-0005-0000-0000-00006C390000}"/>
    <cellStyle name="Heading 2 33 2" xfId="9726" xr:uid="{00000000-0005-0000-0000-00006D390000}"/>
    <cellStyle name="Heading 2 33 2 2" xfId="18244" xr:uid="{00000000-0005-0000-0000-00006E390000}"/>
    <cellStyle name="Heading 2 34" xfId="9727" xr:uid="{00000000-0005-0000-0000-00006F390000}"/>
    <cellStyle name="Heading 2 34 2" xfId="9728" xr:uid="{00000000-0005-0000-0000-000070390000}"/>
    <cellStyle name="Heading 2 34 2 2" xfId="18245" xr:uid="{00000000-0005-0000-0000-000071390000}"/>
    <cellStyle name="Heading 2 35" xfId="9729" xr:uid="{00000000-0005-0000-0000-000072390000}"/>
    <cellStyle name="Heading 2 35 2" xfId="9730" xr:uid="{00000000-0005-0000-0000-000073390000}"/>
    <cellStyle name="Heading 2 35 2 2" xfId="18246" xr:uid="{00000000-0005-0000-0000-000074390000}"/>
    <cellStyle name="Heading 2 36" xfId="9731" xr:uid="{00000000-0005-0000-0000-000075390000}"/>
    <cellStyle name="Heading 2 37" xfId="9732" xr:uid="{00000000-0005-0000-0000-000076390000}"/>
    <cellStyle name="Heading 2 38" xfId="9733" xr:uid="{00000000-0005-0000-0000-000077390000}"/>
    <cellStyle name="Heading 2 39" xfId="9734" xr:uid="{00000000-0005-0000-0000-000078390000}"/>
    <cellStyle name="Heading 2 4" xfId="9735" xr:uid="{00000000-0005-0000-0000-000079390000}"/>
    <cellStyle name="Heading 2 4 10" xfId="9736" xr:uid="{00000000-0005-0000-0000-00007A390000}"/>
    <cellStyle name="Heading 2 4 10 2" xfId="18247" xr:uid="{00000000-0005-0000-0000-00007B390000}"/>
    <cellStyle name="Heading 2 4 11" xfId="9737" xr:uid="{00000000-0005-0000-0000-00007C390000}"/>
    <cellStyle name="Heading 2 4 11 2" xfId="18248" xr:uid="{00000000-0005-0000-0000-00007D390000}"/>
    <cellStyle name="Heading 2 4 12" xfId="22086" xr:uid="{00000000-0005-0000-0000-00007E390000}"/>
    <cellStyle name="Heading 2 4 2" xfId="9738" xr:uid="{00000000-0005-0000-0000-00007F390000}"/>
    <cellStyle name="Heading 2 4 2 2" xfId="9739" xr:uid="{00000000-0005-0000-0000-000080390000}"/>
    <cellStyle name="Heading 2 4 2 2 2" xfId="18249" xr:uid="{00000000-0005-0000-0000-000081390000}"/>
    <cellStyle name="Heading 2 4 3" xfId="9740" xr:uid="{00000000-0005-0000-0000-000082390000}"/>
    <cellStyle name="Heading 2 4 3 2" xfId="9741" xr:uid="{00000000-0005-0000-0000-000083390000}"/>
    <cellStyle name="Heading 2 4 3 2 2" xfId="18250" xr:uid="{00000000-0005-0000-0000-000084390000}"/>
    <cellStyle name="Heading 2 4 4" xfId="9742" xr:uid="{00000000-0005-0000-0000-000085390000}"/>
    <cellStyle name="Heading 2 4 4 2" xfId="9743" xr:uid="{00000000-0005-0000-0000-000086390000}"/>
    <cellStyle name="Heading 2 4 4 3" xfId="18251" xr:uid="{00000000-0005-0000-0000-000087390000}"/>
    <cellStyle name="Heading 2 4 5" xfId="9744" xr:uid="{00000000-0005-0000-0000-000088390000}"/>
    <cellStyle name="Heading 2 4 5 2" xfId="18252" xr:uid="{00000000-0005-0000-0000-000089390000}"/>
    <cellStyle name="Heading 2 4 6" xfId="9745" xr:uid="{00000000-0005-0000-0000-00008A390000}"/>
    <cellStyle name="Heading 2 4 6 2" xfId="18253" xr:uid="{00000000-0005-0000-0000-00008B390000}"/>
    <cellStyle name="Heading 2 4 7" xfId="9746" xr:uid="{00000000-0005-0000-0000-00008C390000}"/>
    <cellStyle name="Heading 2 4 7 2" xfId="18254" xr:uid="{00000000-0005-0000-0000-00008D390000}"/>
    <cellStyle name="Heading 2 4 8" xfId="9747" xr:uid="{00000000-0005-0000-0000-00008E390000}"/>
    <cellStyle name="Heading 2 4 8 2" xfId="18255" xr:uid="{00000000-0005-0000-0000-00008F390000}"/>
    <cellStyle name="Heading 2 4 9" xfId="9748" xr:uid="{00000000-0005-0000-0000-000090390000}"/>
    <cellStyle name="Heading 2 4 9 2" xfId="18256" xr:uid="{00000000-0005-0000-0000-000091390000}"/>
    <cellStyle name="Heading 2 40" xfId="21738" xr:uid="{00000000-0005-0000-0000-000092390000}"/>
    <cellStyle name="Heading 2 5" xfId="9749" xr:uid="{00000000-0005-0000-0000-000093390000}"/>
    <cellStyle name="Heading 2 5 10" xfId="9750" xr:uid="{00000000-0005-0000-0000-000094390000}"/>
    <cellStyle name="Heading 2 5 10 2" xfId="18257" xr:uid="{00000000-0005-0000-0000-000095390000}"/>
    <cellStyle name="Heading 2 5 11" xfId="9751" xr:uid="{00000000-0005-0000-0000-000096390000}"/>
    <cellStyle name="Heading 2 5 11 2" xfId="18258" xr:uid="{00000000-0005-0000-0000-000097390000}"/>
    <cellStyle name="Heading 2 5 12" xfId="22087" xr:uid="{00000000-0005-0000-0000-000098390000}"/>
    <cellStyle name="Heading 2 5 2" xfId="9752" xr:uid="{00000000-0005-0000-0000-000099390000}"/>
    <cellStyle name="Heading 2 5 2 2" xfId="9753" xr:uid="{00000000-0005-0000-0000-00009A390000}"/>
    <cellStyle name="Heading 2 5 2 2 2" xfId="18259" xr:uid="{00000000-0005-0000-0000-00009B390000}"/>
    <cellStyle name="Heading 2 5 3" xfId="9754" xr:uid="{00000000-0005-0000-0000-00009C390000}"/>
    <cellStyle name="Heading 2 5 3 2" xfId="9755" xr:uid="{00000000-0005-0000-0000-00009D390000}"/>
    <cellStyle name="Heading 2 5 3 2 2" xfId="18260" xr:uid="{00000000-0005-0000-0000-00009E390000}"/>
    <cellStyle name="Heading 2 5 4" xfId="9756" xr:uid="{00000000-0005-0000-0000-00009F390000}"/>
    <cellStyle name="Heading 2 5 4 2" xfId="9757" xr:uid="{00000000-0005-0000-0000-0000A0390000}"/>
    <cellStyle name="Heading 2 5 4 3" xfId="18261" xr:uid="{00000000-0005-0000-0000-0000A1390000}"/>
    <cellStyle name="Heading 2 5 5" xfId="9758" xr:uid="{00000000-0005-0000-0000-0000A2390000}"/>
    <cellStyle name="Heading 2 5 5 2" xfId="18262" xr:uid="{00000000-0005-0000-0000-0000A3390000}"/>
    <cellStyle name="Heading 2 5 6" xfId="9759" xr:uid="{00000000-0005-0000-0000-0000A4390000}"/>
    <cellStyle name="Heading 2 5 6 2" xfId="18263" xr:uid="{00000000-0005-0000-0000-0000A5390000}"/>
    <cellStyle name="Heading 2 5 7" xfId="9760" xr:uid="{00000000-0005-0000-0000-0000A6390000}"/>
    <cellStyle name="Heading 2 5 7 2" xfId="18264" xr:uid="{00000000-0005-0000-0000-0000A7390000}"/>
    <cellStyle name="Heading 2 5 8" xfId="9761" xr:uid="{00000000-0005-0000-0000-0000A8390000}"/>
    <cellStyle name="Heading 2 5 8 2" xfId="18265" xr:uid="{00000000-0005-0000-0000-0000A9390000}"/>
    <cellStyle name="Heading 2 5 9" xfId="9762" xr:uid="{00000000-0005-0000-0000-0000AA390000}"/>
    <cellStyle name="Heading 2 5 9 2" xfId="18266" xr:uid="{00000000-0005-0000-0000-0000AB390000}"/>
    <cellStyle name="Heading 2 6" xfId="9763" xr:uid="{00000000-0005-0000-0000-0000AC390000}"/>
    <cellStyle name="Heading 2 6 10" xfId="9764" xr:uid="{00000000-0005-0000-0000-0000AD390000}"/>
    <cellStyle name="Heading 2 6 10 2" xfId="18267" xr:uid="{00000000-0005-0000-0000-0000AE390000}"/>
    <cellStyle name="Heading 2 6 11" xfId="9765" xr:uid="{00000000-0005-0000-0000-0000AF390000}"/>
    <cellStyle name="Heading 2 6 11 2" xfId="18268" xr:uid="{00000000-0005-0000-0000-0000B0390000}"/>
    <cellStyle name="Heading 2 6 12" xfId="23553" xr:uid="{4BCFB419-F152-4FF1-978F-9C2D508C5428}"/>
    <cellStyle name="Heading 2 6 2" xfId="9766" xr:uid="{00000000-0005-0000-0000-0000B1390000}"/>
    <cellStyle name="Heading 2 6 2 2" xfId="9767" xr:uid="{00000000-0005-0000-0000-0000B2390000}"/>
    <cellStyle name="Heading 2 6 2 2 2" xfId="18269" xr:uid="{00000000-0005-0000-0000-0000B3390000}"/>
    <cellStyle name="Heading 2 6 3" xfId="9768" xr:uid="{00000000-0005-0000-0000-0000B4390000}"/>
    <cellStyle name="Heading 2 6 3 2" xfId="9769" xr:uid="{00000000-0005-0000-0000-0000B5390000}"/>
    <cellStyle name="Heading 2 6 3 2 2" xfId="18270" xr:uid="{00000000-0005-0000-0000-0000B6390000}"/>
    <cellStyle name="Heading 2 6 4" xfId="9770" xr:uid="{00000000-0005-0000-0000-0000B7390000}"/>
    <cellStyle name="Heading 2 6 4 2" xfId="9771" xr:uid="{00000000-0005-0000-0000-0000B8390000}"/>
    <cellStyle name="Heading 2 6 4 3" xfId="18271" xr:uid="{00000000-0005-0000-0000-0000B9390000}"/>
    <cellStyle name="Heading 2 6 5" xfId="9772" xr:uid="{00000000-0005-0000-0000-0000BA390000}"/>
    <cellStyle name="Heading 2 6 5 2" xfId="18272" xr:uid="{00000000-0005-0000-0000-0000BB390000}"/>
    <cellStyle name="Heading 2 6 6" xfId="9773" xr:uid="{00000000-0005-0000-0000-0000BC390000}"/>
    <cellStyle name="Heading 2 6 6 2" xfId="18273" xr:uid="{00000000-0005-0000-0000-0000BD390000}"/>
    <cellStyle name="Heading 2 6 7" xfId="9774" xr:uid="{00000000-0005-0000-0000-0000BE390000}"/>
    <cellStyle name="Heading 2 6 7 2" xfId="18274" xr:uid="{00000000-0005-0000-0000-0000BF390000}"/>
    <cellStyle name="Heading 2 6 8" xfId="9775" xr:uid="{00000000-0005-0000-0000-0000C0390000}"/>
    <cellStyle name="Heading 2 6 8 2" xfId="18275" xr:uid="{00000000-0005-0000-0000-0000C1390000}"/>
    <cellStyle name="Heading 2 6 9" xfId="9776" xr:uid="{00000000-0005-0000-0000-0000C2390000}"/>
    <cellStyle name="Heading 2 6 9 2" xfId="18276" xr:uid="{00000000-0005-0000-0000-0000C3390000}"/>
    <cellStyle name="Heading 2 7" xfId="9777" xr:uid="{00000000-0005-0000-0000-0000C4390000}"/>
    <cellStyle name="Heading 2 7 10" xfId="9778" xr:uid="{00000000-0005-0000-0000-0000C5390000}"/>
    <cellStyle name="Heading 2 7 10 2" xfId="18277" xr:uid="{00000000-0005-0000-0000-0000C6390000}"/>
    <cellStyle name="Heading 2 7 11" xfId="9779" xr:uid="{00000000-0005-0000-0000-0000C7390000}"/>
    <cellStyle name="Heading 2 7 11 2" xfId="18278" xr:uid="{00000000-0005-0000-0000-0000C8390000}"/>
    <cellStyle name="Heading 2 7 2" xfId="9780" xr:uid="{00000000-0005-0000-0000-0000C9390000}"/>
    <cellStyle name="Heading 2 7 2 2" xfId="9781" xr:uid="{00000000-0005-0000-0000-0000CA390000}"/>
    <cellStyle name="Heading 2 7 2 2 2" xfId="18279" xr:uid="{00000000-0005-0000-0000-0000CB390000}"/>
    <cellStyle name="Heading 2 7 3" xfId="9782" xr:uid="{00000000-0005-0000-0000-0000CC390000}"/>
    <cellStyle name="Heading 2 7 3 2" xfId="9783" xr:uid="{00000000-0005-0000-0000-0000CD390000}"/>
    <cellStyle name="Heading 2 7 3 2 2" xfId="18280" xr:uid="{00000000-0005-0000-0000-0000CE390000}"/>
    <cellStyle name="Heading 2 7 4" xfId="9784" xr:uid="{00000000-0005-0000-0000-0000CF390000}"/>
    <cellStyle name="Heading 2 7 4 2" xfId="9785" xr:uid="{00000000-0005-0000-0000-0000D0390000}"/>
    <cellStyle name="Heading 2 7 4 3" xfId="18281" xr:uid="{00000000-0005-0000-0000-0000D1390000}"/>
    <cellStyle name="Heading 2 7 5" xfId="9786" xr:uid="{00000000-0005-0000-0000-0000D2390000}"/>
    <cellStyle name="Heading 2 7 5 2" xfId="18282" xr:uid="{00000000-0005-0000-0000-0000D3390000}"/>
    <cellStyle name="Heading 2 7 6" xfId="9787" xr:uid="{00000000-0005-0000-0000-0000D4390000}"/>
    <cellStyle name="Heading 2 7 6 2" xfId="18283" xr:uid="{00000000-0005-0000-0000-0000D5390000}"/>
    <cellStyle name="Heading 2 7 7" xfId="9788" xr:uid="{00000000-0005-0000-0000-0000D6390000}"/>
    <cellStyle name="Heading 2 7 7 2" xfId="18284" xr:uid="{00000000-0005-0000-0000-0000D7390000}"/>
    <cellStyle name="Heading 2 7 8" xfId="9789" xr:uid="{00000000-0005-0000-0000-0000D8390000}"/>
    <cellStyle name="Heading 2 7 8 2" xfId="18285" xr:uid="{00000000-0005-0000-0000-0000D9390000}"/>
    <cellStyle name="Heading 2 7 9" xfId="9790" xr:uid="{00000000-0005-0000-0000-0000DA390000}"/>
    <cellStyle name="Heading 2 7 9 2" xfId="18286" xr:uid="{00000000-0005-0000-0000-0000DB390000}"/>
    <cellStyle name="Heading 2 8" xfId="9791" xr:uid="{00000000-0005-0000-0000-0000DC390000}"/>
    <cellStyle name="Heading 2 8 10" xfId="9792" xr:uid="{00000000-0005-0000-0000-0000DD390000}"/>
    <cellStyle name="Heading 2 8 10 2" xfId="18287" xr:uid="{00000000-0005-0000-0000-0000DE390000}"/>
    <cellStyle name="Heading 2 8 11" xfId="9793" xr:uid="{00000000-0005-0000-0000-0000DF390000}"/>
    <cellStyle name="Heading 2 8 11 2" xfId="18288" xr:uid="{00000000-0005-0000-0000-0000E0390000}"/>
    <cellStyle name="Heading 2 8 2" xfId="9794" xr:uid="{00000000-0005-0000-0000-0000E1390000}"/>
    <cellStyle name="Heading 2 8 2 2" xfId="9795" xr:uid="{00000000-0005-0000-0000-0000E2390000}"/>
    <cellStyle name="Heading 2 8 2 2 2" xfId="18289" xr:uid="{00000000-0005-0000-0000-0000E3390000}"/>
    <cellStyle name="Heading 2 8 3" xfId="9796" xr:uid="{00000000-0005-0000-0000-0000E4390000}"/>
    <cellStyle name="Heading 2 8 3 2" xfId="9797" xr:uid="{00000000-0005-0000-0000-0000E5390000}"/>
    <cellStyle name="Heading 2 8 3 2 2" xfId="18290" xr:uid="{00000000-0005-0000-0000-0000E6390000}"/>
    <cellStyle name="Heading 2 8 4" xfId="9798" xr:uid="{00000000-0005-0000-0000-0000E7390000}"/>
    <cellStyle name="Heading 2 8 4 2" xfId="9799" xr:uid="{00000000-0005-0000-0000-0000E8390000}"/>
    <cellStyle name="Heading 2 8 4 3" xfId="18291" xr:uid="{00000000-0005-0000-0000-0000E9390000}"/>
    <cellStyle name="Heading 2 8 5" xfId="9800" xr:uid="{00000000-0005-0000-0000-0000EA390000}"/>
    <cellStyle name="Heading 2 8 5 2" xfId="18292" xr:uid="{00000000-0005-0000-0000-0000EB390000}"/>
    <cellStyle name="Heading 2 8 6" xfId="9801" xr:uid="{00000000-0005-0000-0000-0000EC390000}"/>
    <cellStyle name="Heading 2 8 6 2" xfId="18293" xr:uid="{00000000-0005-0000-0000-0000ED390000}"/>
    <cellStyle name="Heading 2 8 7" xfId="9802" xr:uid="{00000000-0005-0000-0000-0000EE390000}"/>
    <cellStyle name="Heading 2 8 7 2" xfId="18294" xr:uid="{00000000-0005-0000-0000-0000EF390000}"/>
    <cellStyle name="Heading 2 8 8" xfId="9803" xr:uid="{00000000-0005-0000-0000-0000F0390000}"/>
    <cellStyle name="Heading 2 8 8 2" xfId="18295" xr:uid="{00000000-0005-0000-0000-0000F1390000}"/>
    <cellStyle name="Heading 2 8 9" xfId="9804" xr:uid="{00000000-0005-0000-0000-0000F2390000}"/>
    <cellStyle name="Heading 2 8 9 2" xfId="18296" xr:uid="{00000000-0005-0000-0000-0000F3390000}"/>
    <cellStyle name="Heading 2 9" xfId="9805" xr:uid="{00000000-0005-0000-0000-0000F4390000}"/>
    <cellStyle name="Heading 2 9 10" xfId="9806" xr:uid="{00000000-0005-0000-0000-0000F5390000}"/>
    <cellStyle name="Heading 2 9 10 2" xfId="18297" xr:uid="{00000000-0005-0000-0000-0000F6390000}"/>
    <cellStyle name="Heading 2 9 11" xfId="9807" xr:uid="{00000000-0005-0000-0000-0000F7390000}"/>
    <cellStyle name="Heading 2 9 11 2" xfId="18298" xr:uid="{00000000-0005-0000-0000-0000F8390000}"/>
    <cellStyle name="Heading 2 9 2" xfId="9808" xr:uid="{00000000-0005-0000-0000-0000F9390000}"/>
    <cellStyle name="Heading 2 9 2 2" xfId="9809" xr:uid="{00000000-0005-0000-0000-0000FA390000}"/>
    <cellStyle name="Heading 2 9 2 2 2" xfId="18299" xr:uid="{00000000-0005-0000-0000-0000FB390000}"/>
    <cellStyle name="Heading 2 9 3" xfId="9810" xr:uid="{00000000-0005-0000-0000-0000FC390000}"/>
    <cellStyle name="Heading 2 9 3 2" xfId="9811" xr:uid="{00000000-0005-0000-0000-0000FD390000}"/>
    <cellStyle name="Heading 2 9 3 2 2" xfId="18300" xr:uid="{00000000-0005-0000-0000-0000FE390000}"/>
    <cellStyle name="Heading 2 9 4" xfId="9812" xr:uid="{00000000-0005-0000-0000-0000FF390000}"/>
    <cellStyle name="Heading 2 9 4 2" xfId="9813" xr:uid="{00000000-0005-0000-0000-0000003A0000}"/>
    <cellStyle name="Heading 2 9 4 3" xfId="18301" xr:uid="{00000000-0005-0000-0000-0000013A0000}"/>
    <cellStyle name="Heading 2 9 5" xfId="9814" xr:uid="{00000000-0005-0000-0000-0000023A0000}"/>
    <cellStyle name="Heading 2 9 5 2" xfId="18302" xr:uid="{00000000-0005-0000-0000-0000033A0000}"/>
    <cellStyle name="Heading 2 9 6" xfId="9815" xr:uid="{00000000-0005-0000-0000-0000043A0000}"/>
    <cellStyle name="Heading 2 9 6 2" xfId="18303" xr:uid="{00000000-0005-0000-0000-0000053A0000}"/>
    <cellStyle name="Heading 2 9 7" xfId="9816" xr:uid="{00000000-0005-0000-0000-0000063A0000}"/>
    <cellStyle name="Heading 2 9 7 2" xfId="18304" xr:uid="{00000000-0005-0000-0000-0000073A0000}"/>
    <cellStyle name="Heading 2 9 8" xfId="9817" xr:uid="{00000000-0005-0000-0000-0000083A0000}"/>
    <cellStyle name="Heading 2 9 8 2" xfId="18305" xr:uid="{00000000-0005-0000-0000-0000093A0000}"/>
    <cellStyle name="Heading 2 9 9" xfId="9818" xr:uid="{00000000-0005-0000-0000-00000A3A0000}"/>
    <cellStyle name="Heading 2 9 9 2" xfId="18306" xr:uid="{00000000-0005-0000-0000-00000B3A0000}"/>
    <cellStyle name="Heading 3 10" xfId="9819" xr:uid="{00000000-0005-0000-0000-00000C3A0000}"/>
    <cellStyle name="Heading 3 10 10" xfId="9820" xr:uid="{00000000-0005-0000-0000-00000D3A0000}"/>
    <cellStyle name="Heading 3 10 10 2" xfId="18307" xr:uid="{00000000-0005-0000-0000-00000E3A0000}"/>
    <cellStyle name="Heading 3 10 11" xfId="9821" xr:uid="{00000000-0005-0000-0000-00000F3A0000}"/>
    <cellStyle name="Heading 3 10 11 2" xfId="18308" xr:uid="{00000000-0005-0000-0000-0000103A0000}"/>
    <cellStyle name="Heading 3 10 2" xfId="9822" xr:uid="{00000000-0005-0000-0000-0000113A0000}"/>
    <cellStyle name="Heading 3 10 2 2" xfId="9823" xr:uid="{00000000-0005-0000-0000-0000123A0000}"/>
    <cellStyle name="Heading 3 10 2 2 2" xfId="18309" xr:uid="{00000000-0005-0000-0000-0000133A0000}"/>
    <cellStyle name="Heading 3 10 3" xfId="9824" xr:uid="{00000000-0005-0000-0000-0000143A0000}"/>
    <cellStyle name="Heading 3 10 3 2" xfId="9825" xr:uid="{00000000-0005-0000-0000-0000153A0000}"/>
    <cellStyle name="Heading 3 10 3 2 2" xfId="18310" xr:uid="{00000000-0005-0000-0000-0000163A0000}"/>
    <cellStyle name="Heading 3 10 4" xfId="9826" xr:uid="{00000000-0005-0000-0000-0000173A0000}"/>
    <cellStyle name="Heading 3 10 4 2" xfId="9827" xr:uid="{00000000-0005-0000-0000-0000183A0000}"/>
    <cellStyle name="Heading 3 10 4 3" xfId="18311" xr:uid="{00000000-0005-0000-0000-0000193A0000}"/>
    <cellStyle name="Heading 3 10 5" xfId="9828" xr:uid="{00000000-0005-0000-0000-00001A3A0000}"/>
    <cellStyle name="Heading 3 10 5 2" xfId="18312" xr:uid="{00000000-0005-0000-0000-00001B3A0000}"/>
    <cellStyle name="Heading 3 10 6" xfId="9829" xr:uid="{00000000-0005-0000-0000-00001C3A0000}"/>
    <cellStyle name="Heading 3 10 6 2" xfId="18313" xr:uid="{00000000-0005-0000-0000-00001D3A0000}"/>
    <cellStyle name="Heading 3 10 7" xfId="9830" xr:uid="{00000000-0005-0000-0000-00001E3A0000}"/>
    <cellStyle name="Heading 3 10 7 2" xfId="18314" xr:uid="{00000000-0005-0000-0000-00001F3A0000}"/>
    <cellStyle name="Heading 3 10 8" xfId="9831" xr:uid="{00000000-0005-0000-0000-0000203A0000}"/>
    <cellStyle name="Heading 3 10 8 2" xfId="18315" xr:uid="{00000000-0005-0000-0000-0000213A0000}"/>
    <cellStyle name="Heading 3 10 9" xfId="9832" xr:uid="{00000000-0005-0000-0000-0000223A0000}"/>
    <cellStyle name="Heading 3 10 9 2" xfId="18316" xr:uid="{00000000-0005-0000-0000-0000233A0000}"/>
    <cellStyle name="Heading 3 11" xfId="9833" xr:uid="{00000000-0005-0000-0000-0000243A0000}"/>
    <cellStyle name="Heading 3 11 10" xfId="9834" xr:uid="{00000000-0005-0000-0000-0000253A0000}"/>
    <cellStyle name="Heading 3 11 10 2" xfId="18317" xr:uid="{00000000-0005-0000-0000-0000263A0000}"/>
    <cellStyle name="Heading 3 11 11" xfId="9835" xr:uid="{00000000-0005-0000-0000-0000273A0000}"/>
    <cellStyle name="Heading 3 11 11 2" xfId="18318" xr:uid="{00000000-0005-0000-0000-0000283A0000}"/>
    <cellStyle name="Heading 3 11 2" xfId="9836" xr:uid="{00000000-0005-0000-0000-0000293A0000}"/>
    <cellStyle name="Heading 3 11 2 2" xfId="9837" xr:uid="{00000000-0005-0000-0000-00002A3A0000}"/>
    <cellStyle name="Heading 3 11 2 2 2" xfId="18319" xr:uid="{00000000-0005-0000-0000-00002B3A0000}"/>
    <cellStyle name="Heading 3 11 3" xfId="9838" xr:uid="{00000000-0005-0000-0000-00002C3A0000}"/>
    <cellStyle name="Heading 3 11 3 2" xfId="9839" xr:uid="{00000000-0005-0000-0000-00002D3A0000}"/>
    <cellStyle name="Heading 3 11 3 2 2" xfId="18320" xr:uid="{00000000-0005-0000-0000-00002E3A0000}"/>
    <cellStyle name="Heading 3 11 4" xfId="9840" xr:uid="{00000000-0005-0000-0000-00002F3A0000}"/>
    <cellStyle name="Heading 3 11 4 2" xfId="9841" xr:uid="{00000000-0005-0000-0000-0000303A0000}"/>
    <cellStyle name="Heading 3 11 4 3" xfId="18321" xr:uid="{00000000-0005-0000-0000-0000313A0000}"/>
    <cellStyle name="Heading 3 11 5" xfId="9842" xr:uid="{00000000-0005-0000-0000-0000323A0000}"/>
    <cellStyle name="Heading 3 11 5 2" xfId="18322" xr:uid="{00000000-0005-0000-0000-0000333A0000}"/>
    <cellStyle name="Heading 3 11 6" xfId="9843" xr:uid="{00000000-0005-0000-0000-0000343A0000}"/>
    <cellStyle name="Heading 3 11 6 2" xfId="18323" xr:uid="{00000000-0005-0000-0000-0000353A0000}"/>
    <cellStyle name="Heading 3 11 7" xfId="9844" xr:uid="{00000000-0005-0000-0000-0000363A0000}"/>
    <cellStyle name="Heading 3 11 7 2" xfId="18324" xr:uid="{00000000-0005-0000-0000-0000373A0000}"/>
    <cellStyle name="Heading 3 11 8" xfId="9845" xr:uid="{00000000-0005-0000-0000-0000383A0000}"/>
    <cellStyle name="Heading 3 11 8 2" xfId="18325" xr:uid="{00000000-0005-0000-0000-0000393A0000}"/>
    <cellStyle name="Heading 3 11 9" xfId="9846" xr:uid="{00000000-0005-0000-0000-00003A3A0000}"/>
    <cellStyle name="Heading 3 11 9 2" xfId="18326" xr:uid="{00000000-0005-0000-0000-00003B3A0000}"/>
    <cellStyle name="Heading 3 12" xfId="9847" xr:uid="{00000000-0005-0000-0000-00003C3A0000}"/>
    <cellStyle name="Heading 3 12 10" xfId="9848" xr:uid="{00000000-0005-0000-0000-00003D3A0000}"/>
    <cellStyle name="Heading 3 12 10 2" xfId="18327" xr:uid="{00000000-0005-0000-0000-00003E3A0000}"/>
    <cellStyle name="Heading 3 12 11" xfId="9849" xr:uid="{00000000-0005-0000-0000-00003F3A0000}"/>
    <cellStyle name="Heading 3 12 11 2" xfId="18328" xr:uid="{00000000-0005-0000-0000-0000403A0000}"/>
    <cellStyle name="Heading 3 12 2" xfId="9850" xr:uid="{00000000-0005-0000-0000-0000413A0000}"/>
    <cellStyle name="Heading 3 12 2 2" xfId="9851" xr:uid="{00000000-0005-0000-0000-0000423A0000}"/>
    <cellStyle name="Heading 3 12 2 2 2" xfId="18329" xr:uid="{00000000-0005-0000-0000-0000433A0000}"/>
    <cellStyle name="Heading 3 12 3" xfId="9852" xr:uid="{00000000-0005-0000-0000-0000443A0000}"/>
    <cellStyle name="Heading 3 12 3 2" xfId="9853" xr:uid="{00000000-0005-0000-0000-0000453A0000}"/>
    <cellStyle name="Heading 3 12 3 2 2" xfId="18330" xr:uid="{00000000-0005-0000-0000-0000463A0000}"/>
    <cellStyle name="Heading 3 12 4" xfId="9854" xr:uid="{00000000-0005-0000-0000-0000473A0000}"/>
    <cellStyle name="Heading 3 12 4 2" xfId="9855" xr:uid="{00000000-0005-0000-0000-0000483A0000}"/>
    <cellStyle name="Heading 3 12 4 3" xfId="18331" xr:uid="{00000000-0005-0000-0000-0000493A0000}"/>
    <cellStyle name="Heading 3 12 5" xfId="9856" xr:uid="{00000000-0005-0000-0000-00004A3A0000}"/>
    <cellStyle name="Heading 3 12 5 2" xfId="18332" xr:uid="{00000000-0005-0000-0000-00004B3A0000}"/>
    <cellStyle name="Heading 3 12 6" xfId="9857" xr:uid="{00000000-0005-0000-0000-00004C3A0000}"/>
    <cellStyle name="Heading 3 12 6 2" xfId="18333" xr:uid="{00000000-0005-0000-0000-00004D3A0000}"/>
    <cellStyle name="Heading 3 12 7" xfId="9858" xr:uid="{00000000-0005-0000-0000-00004E3A0000}"/>
    <cellStyle name="Heading 3 12 7 2" xfId="18334" xr:uid="{00000000-0005-0000-0000-00004F3A0000}"/>
    <cellStyle name="Heading 3 12 8" xfId="9859" xr:uid="{00000000-0005-0000-0000-0000503A0000}"/>
    <cellStyle name="Heading 3 12 8 2" xfId="18335" xr:uid="{00000000-0005-0000-0000-0000513A0000}"/>
    <cellStyle name="Heading 3 12 9" xfId="9860" xr:uid="{00000000-0005-0000-0000-0000523A0000}"/>
    <cellStyle name="Heading 3 12 9 2" xfId="18336" xr:uid="{00000000-0005-0000-0000-0000533A0000}"/>
    <cellStyle name="Heading 3 13" xfId="9861" xr:uid="{00000000-0005-0000-0000-0000543A0000}"/>
    <cellStyle name="Heading 3 13 10" xfId="9862" xr:uid="{00000000-0005-0000-0000-0000553A0000}"/>
    <cellStyle name="Heading 3 13 10 2" xfId="18337" xr:uid="{00000000-0005-0000-0000-0000563A0000}"/>
    <cellStyle name="Heading 3 13 11" xfId="9863" xr:uid="{00000000-0005-0000-0000-0000573A0000}"/>
    <cellStyle name="Heading 3 13 11 2" xfId="18338" xr:uid="{00000000-0005-0000-0000-0000583A0000}"/>
    <cellStyle name="Heading 3 13 2" xfId="9864" xr:uid="{00000000-0005-0000-0000-0000593A0000}"/>
    <cellStyle name="Heading 3 13 2 2" xfId="9865" xr:uid="{00000000-0005-0000-0000-00005A3A0000}"/>
    <cellStyle name="Heading 3 13 2 2 2" xfId="18339" xr:uid="{00000000-0005-0000-0000-00005B3A0000}"/>
    <cellStyle name="Heading 3 13 3" xfId="9866" xr:uid="{00000000-0005-0000-0000-00005C3A0000}"/>
    <cellStyle name="Heading 3 13 3 2" xfId="9867" xr:uid="{00000000-0005-0000-0000-00005D3A0000}"/>
    <cellStyle name="Heading 3 13 3 2 2" xfId="18340" xr:uid="{00000000-0005-0000-0000-00005E3A0000}"/>
    <cellStyle name="Heading 3 13 4" xfId="9868" xr:uid="{00000000-0005-0000-0000-00005F3A0000}"/>
    <cellStyle name="Heading 3 13 4 2" xfId="18341" xr:uid="{00000000-0005-0000-0000-0000603A0000}"/>
    <cellStyle name="Heading 3 13 5" xfId="9869" xr:uid="{00000000-0005-0000-0000-0000613A0000}"/>
    <cellStyle name="Heading 3 13 5 2" xfId="18342" xr:uid="{00000000-0005-0000-0000-0000623A0000}"/>
    <cellStyle name="Heading 3 13 6" xfId="9870" xr:uid="{00000000-0005-0000-0000-0000633A0000}"/>
    <cellStyle name="Heading 3 13 6 2" xfId="18343" xr:uid="{00000000-0005-0000-0000-0000643A0000}"/>
    <cellStyle name="Heading 3 13 7" xfId="9871" xr:uid="{00000000-0005-0000-0000-0000653A0000}"/>
    <cellStyle name="Heading 3 13 7 2" xfId="18344" xr:uid="{00000000-0005-0000-0000-0000663A0000}"/>
    <cellStyle name="Heading 3 13 8" xfId="9872" xr:uid="{00000000-0005-0000-0000-0000673A0000}"/>
    <cellStyle name="Heading 3 13 8 2" xfId="18345" xr:uid="{00000000-0005-0000-0000-0000683A0000}"/>
    <cellStyle name="Heading 3 13 9" xfId="9873" xr:uid="{00000000-0005-0000-0000-0000693A0000}"/>
    <cellStyle name="Heading 3 13 9 2" xfId="18346" xr:uid="{00000000-0005-0000-0000-00006A3A0000}"/>
    <cellStyle name="Heading 3 14" xfId="9874" xr:uid="{00000000-0005-0000-0000-00006B3A0000}"/>
    <cellStyle name="Heading 3 14 10" xfId="9875" xr:uid="{00000000-0005-0000-0000-00006C3A0000}"/>
    <cellStyle name="Heading 3 14 10 2" xfId="18347" xr:uid="{00000000-0005-0000-0000-00006D3A0000}"/>
    <cellStyle name="Heading 3 14 11" xfId="9876" xr:uid="{00000000-0005-0000-0000-00006E3A0000}"/>
    <cellStyle name="Heading 3 14 11 2" xfId="18348" xr:uid="{00000000-0005-0000-0000-00006F3A0000}"/>
    <cellStyle name="Heading 3 14 2" xfId="9877" xr:uid="{00000000-0005-0000-0000-0000703A0000}"/>
    <cellStyle name="Heading 3 14 2 2" xfId="9878" xr:uid="{00000000-0005-0000-0000-0000713A0000}"/>
    <cellStyle name="Heading 3 14 2 2 2" xfId="18349" xr:uid="{00000000-0005-0000-0000-0000723A0000}"/>
    <cellStyle name="Heading 3 14 3" xfId="9879" xr:uid="{00000000-0005-0000-0000-0000733A0000}"/>
    <cellStyle name="Heading 3 14 3 2" xfId="9880" xr:uid="{00000000-0005-0000-0000-0000743A0000}"/>
    <cellStyle name="Heading 3 14 3 2 2" xfId="18350" xr:uid="{00000000-0005-0000-0000-0000753A0000}"/>
    <cellStyle name="Heading 3 14 4" xfId="9881" xr:uid="{00000000-0005-0000-0000-0000763A0000}"/>
    <cellStyle name="Heading 3 14 4 2" xfId="18351" xr:uid="{00000000-0005-0000-0000-0000773A0000}"/>
    <cellStyle name="Heading 3 14 5" xfId="9882" xr:uid="{00000000-0005-0000-0000-0000783A0000}"/>
    <cellStyle name="Heading 3 14 5 2" xfId="18352" xr:uid="{00000000-0005-0000-0000-0000793A0000}"/>
    <cellStyle name="Heading 3 14 6" xfId="9883" xr:uid="{00000000-0005-0000-0000-00007A3A0000}"/>
    <cellStyle name="Heading 3 14 6 2" xfId="18353" xr:uid="{00000000-0005-0000-0000-00007B3A0000}"/>
    <cellStyle name="Heading 3 14 7" xfId="9884" xr:uid="{00000000-0005-0000-0000-00007C3A0000}"/>
    <cellStyle name="Heading 3 14 7 2" xfId="18354" xr:uid="{00000000-0005-0000-0000-00007D3A0000}"/>
    <cellStyle name="Heading 3 14 8" xfId="9885" xr:uid="{00000000-0005-0000-0000-00007E3A0000}"/>
    <cellStyle name="Heading 3 14 8 2" xfId="18355" xr:uid="{00000000-0005-0000-0000-00007F3A0000}"/>
    <cellStyle name="Heading 3 14 9" xfId="9886" xr:uid="{00000000-0005-0000-0000-0000803A0000}"/>
    <cellStyle name="Heading 3 14 9 2" xfId="18356" xr:uid="{00000000-0005-0000-0000-0000813A0000}"/>
    <cellStyle name="Heading 3 15" xfId="9887" xr:uid="{00000000-0005-0000-0000-0000823A0000}"/>
    <cellStyle name="Heading 3 15 10" xfId="9888" xr:uid="{00000000-0005-0000-0000-0000833A0000}"/>
    <cellStyle name="Heading 3 15 10 2" xfId="18357" xr:uid="{00000000-0005-0000-0000-0000843A0000}"/>
    <cellStyle name="Heading 3 15 11" xfId="9889" xr:uid="{00000000-0005-0000-0000-0000853A0000}"/>
    <cellStyle name="Heading 3 15 11 2" xfId="18358" xr:uid="{00000000-0005-0000-0000-0000863A0000}"/>
    <cellStyle name="Heading 3 15 2" xfId="9890" xr:uid="{00000000-0005-0000-0000-0000873A0000}"/>
    <cellStyle name="Heading 3 15 2 2" xfId="9891" xr:uid="{00000000-0005-0000-0000-0000883A0000}"/>
    <cellStyle name="Heading 3 15 2 2 2" xfId="18359" xr:uid="{00000000-0005-0000-0000-0000893A0000}"/>
    <cellStyle name="Heading 3 15 3" xfId="9892" xr:uid="{00000000-0005-0000-0000-00008A3A0000}"/>
    <cellStyle name="Heading 3 15 3 2" xfId="9893" xr:uid="{00000000-0005-0000-0000-00008B3A0000}"/>
    <cellStyle name="Heading 3 15 3 2 2" xfId="18360" xr:uid="{00000000-0005-0000-0000-00008C3A0000}"/>
    <cellStyle name="Heading 3 15 4" xfId="9894" xr:uid="{00000000-0005-0000-0000-00008D3A0000}"/>
    <cellStyle name="Heading 3 15 4 2" xfId="18361" xr:uid="{00000000-0005-0000-0000-00008E3A0000}"/>
    <cellStyle name="Heading 3 15 5" xfId="9895" xr:uid="{00000000-0005-0000-0000-00008F3A0000}"/>
    <cellStyle name="Heading 3 15 5 2" xfId="18362" xr:uid="{00000000-0005-0000-0000-0000903A0000}"/>
    <cellStyle name="Heading 3 15 6" xfId="9896" xr:uid="{00000000-0005-0000-0000-0000913A0000}"/>
    <cellStyle name="Heading 3 15 6 2" xfId="18363" xr:uid="{00000000-0005-0000-0000-0000923A0000}"/>
    <cellStyle name="Heading 3 15 7" xfId="9897" xr:uid="{00000000-0005-0000-0000-0000933A0000}"/>
    <cellStyle name="Heading 3 15 7 2" xfId="18364" xr:uid="{00000000-0005-0000-0000-0000943A0000}"/>
    <cellStyle name="Heading 3 15 8" xfId="9898" xr:uid="{00000000-0005-0000-0000-0000953A0000}"/>
    <cellStyle name="Heading 3 15 8 2" xfId="18365" xr:uid="{00000000-0005-0000-0000-0000963A0000}"/>
    <cellStyle name="Heading 3 15 9" xfId="9899" xr:uid="{00000000-0005-0000-0000-0000973A0000}"/>
    <cellStyle name="Heading 3 15 9 2" xfId="18366" xr:uid="{00000000-0005-0000-0000-0000983A0000}"/>
    <cellStyle name="Heading 3 16" xfId="9900" xr:uid="{00000000-0005-0000-0000-0000993A0000}"/>
    <cellStyle name="Heading 3 16 10" xfId="9901" xr:uid="{00000000-0005-0000-0000-00009A3A0000}"/>
    <cellStyle name="Heading 3 16 10 2" xfId="18367" xr:uid="{00000000-0005-0000-0000-00009B3A0000}"/>
    <cellStyle name="Heading 3 16 11" xfId="9902" xr:uid="{00000000-0005-0000-0000-00009C3A0000}"/>
    <cellStyle name="Heading 3 16 11 2" xfId="18368" xr:uid="{00000000-0005-0000-0000-00009D3A0000}"/>
    <cellStyle name="Heading 3 16 2" xfId="9903" xr:uid="{00000000-0005-0000-0000-00009E3A0000}"/>
    <cellStyle name="Heading 3 16 2 2" xfId="9904" xr:uid="{00000000-0005-0000-0000-00009F3A0000}"/>
    <cellStyle name="Heading 3 16 2 2 2" xfId="18369" xr:uid="{00000000-0005-0000-0000-0000A03A0000}"/>
    <cellStyle name="Heading 3 16 3" xfId="9905" xr:uid="{00000000-0005-0000-0000-0000A13A0000}"/>
    <cellStyle name="Heading 3 16 3 2" xfId="9906" xr:uid="{00000000-0005-0000-0000-0000A23A0000}"/>
    <cellStyle name="Heading 3 16 3 2 2" xfId="18370" xr:uid="{00000000-0005-0000-0000-0000A33A0000}"/>
    <cellStyle name="Heading 3 16 4" xfId="9907" xr:uid="{00000000-0005-0000-0000-0000A43A0000}"/>
    <cellStyle name="Heading 3 16 4 2" xfId="18371" xr:uid="{00000000-0005-0000-0000-0000A53A0000}"/>
    <cellStyle name="Heading 3 16 5" xfId="9908" xr:uid="{00000000-0005-0000-0000-0000A63A0000}"/>
    <cellStyle name="Heading 3 16 5 2" xfId="18372" xr:uid="{00000000-0005-0000-0000-0000A73A0000}"/>
    <cellStyle name="Heading 3 16 6" xfId="9909" xr:uid="{00000000-0005-0000-0000-0000A83A0000}"/>
    <cellStyle name="Heading 3 16 6 2" xfId="18373" xr:uid="{00000000-0005-0000-0000-0000A93A0000}"/>
    <cellStyle name="Heading 3 16 7" xfId="9910" xr:uid="{00000000-0005-0000-0000-0000AA3A0000}"/>
    <cellStyle name="Heading 3 16 7 2" xfId="18374" xr:uid="{00000000-0005-0000-0000-0000AB3A0000}"/>
    <cellStyle name="Heading 3 16 8" xfId="9911" xr:uid="{00000000-0005-0000-0000-0000AC3A0000}"/>
    <cellStyle name="Heading 3 16 8 2" xfId="18375" xr:uid="{00000000-0005-0000-0000-0000AD3A0000}"/>
    <cellStyle name="Heading 3 16 9" xfId="9912" xr:uid="{00000000-0005-0000-0000-0000AE3A0000}"/>
    <cellStyle name="Heading 3 16 9 2" xfId="18376" xr:uid="{00000000-0005-0000-0000-0000AF3A0000}"/>
    <cellStyle name="Heading 3 17" xfId="9913" xr:uid="{00000000-0005-0000-0000-0000B03A0000}"/>
    <cellStyle name="Heading 3 17 10" xfId="9914" xr:uid="{00000000-0005-0000-0000-0000B13A0000}"/>
    <cellStyle name="Heading 3 17 10 2" xfId="18377" xr:uid="{00000000-0005-0000-0000-0000B23A0000}"/>
    <cellStyle name="Heading 3 17 11" xfId="9915" xr:uid="{00000000-0005-0000-0000-0000B33A0000}"/>
    <cellStyle name="Heading 3 17 11 2" xfId="18378" xr:uid="{00000000-0005-0000-0000-0000B43A0000}"/>
    <cellStyle name="Heading 3 17 2" xfId="9916" xr:uid="{00000000-0005-0000-0000-0000B53A0000}"/>
    <cellStyle name="Heading 3 17 2 2" xfId="9917" xr:uid="{00000000-0005-0000-0000-0000B63A0000}"/>
    <cellStyle name="Heading 3 17 2 2 2" xfId="18379" xr:uid="{00000000-0005-0000-0000-0000B73A0000}"/>
    <cellStyle name="Heading 3 17 3" xfId="9918" xr:uid="{00000000-0005-0000-0000-0000B83A0000}"/>
    <cellStyle name="Heading 3 17 3 2" xfId="9919" xr:uid="{00000000-0005-0000-0000-0000B93A0000}"/>
    <cellStyle name="Heading 3 17 3 2 2" xfId="18380" xr:uid="{00000000-0005-0000-0000-0000BA3A0000}"/>
    <cellStyle name="Heading 3 17 4" xfId="9920" xr:uid="{00000000-0005-0000-0000-0000BB3A0000}"/>
    <cellStyle name="Heading 3 17 4 2" xfId="18381" xr:uid="{00000000-0005-0000-0000-0000BC3A0000}"/>
    <cellStyle name="Heading 3 17 5" xfId="9921" xr:uid="{00000000-0005-0000-0000-0000BD3A0000}"/>
    <cellStyle name="Heading 3 17 5 2" xfId="18382" xr:uid="{00000000-0005-0000-0000-0000BE3A0000}"/>
    <cellStyle name="Heading 3 17 6" xfId="9922" xr:uid="{00000000-0005-0000-0000-0000BF3A0000}"/>
    <cellStyle name="Heading 3 17 6 2" xfId="18383" xr:uid="{00000000-0005-0000-0000-0000C03A0000}"/>
    <cellStyle name="Heading 3 17 7" xfId="9923" xr:uid="{00000000-0005-0000-0000-0000C13A0000}"/>
    <cellStyle name="Heading 3 17 7 2" xfId="18384" xr:uid="{00000000-0005-0000-0000-0000C23A0000}"/>
    <cellStyle name="Heading 3 17 8" xfId="9924" xr:uid="{00000000-0005-0000-0000-0000C33A0000}"/>
    <cellStyle name="Heading 3 17 8 2" xfId="18385" xr:uid="{00000000-0005-0000-0000-0000C43A0000}"/>
    <cellStyle name="Heading 3 17 9" xfId="9925" xr:uid="{00000000-0005-0000-0000-0000C53A0000}"/>
    <cellStyle name="Heading 3 17 9 2" xfId="18386" xr:uid="{00000000-0005-0000-0000-0000C63A0000}"/>
    <cellStyle name="Heading 3 18" xfId="9926" xr:uid="{00000000-0005-0000-0000-0000C73A0000}"/>
    <cellStyle name="Heading 3 18 2" xfId="9927" xr:uid="{00000000-0005-0000-0000-0000C83A0000}"/>
    <cellStyle name="Heading 3 18 2 2" xfId="9928" xr:uid="{00000000-0005-0000-0000-0000C93A0000}"/>
    <cellStyle name="Heading 3 18 2 2 2" xfId="18387" xr:uid="{00000000-0005-0000-0000-0000CA3A0000}"/>
    <cellStyle name="Heading 3 18 3" xfId="9929" xr:uid="{00000000-0005-0000-0000-0000CB3A0000}"/>
    <cellStyle name="Heading 3 18 3 2" xfId="18388" xr:uid="{00000000-0005-0000-0000-0000CC3A0000}"/>
    <cellStyle name="Heading 3 18 4" xfId="9930" xr:uid="{00000000-0005-0000-0000-0000CD3A0000}"/>
    <cellStyle name="Heading 3 18 4 2" xfId="18389" xr:uid="{00000000-0005-0000-0000-0000CE3A0000}"/>
    <cellStyle name="Heading 3 18 5" xfId="9931" xr:uid="{00000000-0005-0000-0000-0000CF3A0000}"/>
    <cellStyle name="Heading 3 18 5 2" xfId="18390" xr:uid="{00000000-0005-0000-0000-0000D03A0000}"/>
    <cellStyle name="Heading 3 18 6" xfId="9932" xr:uid="{00000000-0005-0000-0000-0000D13A0000}"/>
    <cellStyle name="Heading 3 18 6 2" xfId="18391" xr:uid="{00000000-0005-0000-0000-0000D23A0000}"/>
    <cellStyle name="Heading 3 18 7" xfId="9933" xr:uid="{00000000-0005-0000-0000-0000D33A0000}"/>
    <cellStyle name="Heading 3 18 7 2" xfId="18392" xr:uid="{00000000-0005-0000-0000-0000D43A0000}"/>
    <cellStyle name="Heading 3 18 8" xfId="9934" xr:uid="{00000000-0005-0000-0000-0000D53A0000}"/>
    <cellStyle name="Heading 3 18 8 2" xfId="18393" xr:uid="{00000000-0005-0000-0000-0000D63A0000}"/>
    <cellStyle name="Heading 3 18 9" xfId="9935" xr:uid="{00000000-0005-0000-0000-0000D73A0000}"/>
    <cellStyle name="Heading 3 18 9 2" xfId="18394" xr:uid="{00000000-0005-0000-0000-0000D83A0000}"/>
    <cellStyle name="Heading 3 19" xfId="9936" xr:uid="{00000000-0005-0000-0000-0000D93A0000}"/>
    <cellStyle name="Heading 3 19 2" xfId="9937" xr:uid="{00000000-0005-0000-0000-0000DA3A0000}"/>
    <cellStyle name="Heading 3 19 2 2" xfId="9938" xr:uid="{00000000-0005-0000-0000-0000DB3A0000}"/>
    <cellStyle name="Heading 3 19 2 2 2" xfId="18395" xr:uid="{00000000-0005-0000-0000-0000DC3A0000}"/>
    <cellStyle name="Heading 3 19 3" xfId="9939" xr:uid="{00000000-0005-0000-0000-0000DD3A0000}"/>
    <cellStyle name="Heading 3 19 3 2" xfId="18396" xr:uid="{00000000-0005-0000-0000-0000DE3A0000}"/>
    <cellStyle name="Heading 3 19 4" xfId="9940" xr:uid="{00000000-0005-0000-0000-0000DF3A0000}"/>
    <cellStyle name="Heading 3 19 4 2" xfId="18397" xr:uid="{00000000-0005-0000-0000-0000E03A0000}"/>
    <cellStyle name="Heading 3 19 5" xfId="9941" xr:uid="{00000000-0005-0000-0000-0000E13A0000}"/>
    <cellStyle name="Heading 3 19 5 2" xfId="18398" xr:uid="{00000000-0005-0000-0000-0000E23A0000}"/>
    <cellStyle name="Heading 3 19 6" xfId="9942" xr:uid="{00000000-0005-0000-0000-0000E33A0000}"/>
    <cellStyle name="Heading 3 19 6 2" xfId="18399" xr:uid="{00000000-0005-0000-0000-0000E43A0000}"/>
    <cellStyle name="Heading 3 19 7" xfId="9943" xr:uid="{00000000-0005-0000-0000-0000E53A0000}"/>
    <cellStyle name="Heading 3 19 7 2" xfId="18400" xr:uid="{00000000-0005-0000-0000-0000E63A0000}"/>
    <cellStyle name="Heading 3 19 8" xfId="9944" xr:uid="{00000000-0005-0000-0000-0000E73A0000}"/>
    <cellStyle name="Heading 3 19 8 2" xfId="18401" xr:uid="{00000000-0005-0000-0000-0000E83A0000}"/>
    <cellStyle name="Heading 3 19 9" xfId="9945" xr:uid="{00000000-0005-0000-0000-0000E93A0000}"/>
    <cellStyle name="Heading 3 19 9 2" xfId="18402" xr:uid="{00000000-0005-0000-0000-0000EA3A0000}"/>
    <cellStyle name="Heading 3 2" xfId="9946" xr:uid="{00000000-0005-0000-0000-0000EB3A0000}"/>
    <cellStyle name="Heading 3 2 10" xfId="9947" xr:uid="{00000000-0005-0000-0000-0000EC3A0000}"/>
    <cellStyle name="Heading 3 2 10 2" xfId="18403" xr:uid="{00000000-0005-0000-0000-0000ED3A0000}"/>
    <cellStyle name="Heading 3 2 11" xfId="9948" xr:uid="{00000000-0005-0000-0000-0000EE3A0000}"/>
    <cellStyle name="Heading 3 2 11 2" xfId="18404" xr:uid="{00000000-0005-0000-0000-0000EF3A0000}"/>
    <cellStyle name="Heading 3 2 12" xfId="21739" xr:uid="{00000000-0005-0000-0000-0000F03A0000}"/>
    <cellStyle name="Heading 3 2 2" xfId="9949" xr:uid="{00000000-0005-0000-0000-0000F13A0000}"/>
    <cellStyle name="Heading 3 2 2 2" xfId="9950" xr:uid="{00000000-0005-0000-0000-0000F23A0000}"/>
    <cellStyle name="Heading 3 2 2 2 2" xfId="18405" xr:uid="{00000000-0005-0000-0000-0000F33A0000}"/>
    <cellStyle name="Heading 3 2 3" xfId="9951" xr:uid="{00000000-0005-0000-0000-0000F43A0000}"/>
    <cellStyle name="Heading 3 2 3 2" xfId="9952" xr:uid="{00000000-0005-0000-0000-0000F53A0000}"/>
    <cellStyle name="Heading 3 2 3 2 2" xfId="18406" xr:uid="{00000000-0005-0000-0000-0000F63A0000}"/>
    <cellStyle name="Heading 3 2 4" xfId="9953" xr:uid="{00000000-0005-0000-0000-0000F73A0000}"/>
    <cellStyle name="Heading 3 2 4 2" xfId="9954" xr:uid="{00000000-0005-0000-0000-0000F83A0000}"/>
    <cellStyle name="Heading 3 2 4 3" xfId="18407" xr:uid="{00000000-0005-0000-0000-0000F93A0000}"/>
    <cellStyle name="Heading 3 2 5" xfId="9955" xr:uid="{00000000-0005-0000-0000-0000FA3A0000}"/>
    <cellStyle name="Heading 3 2 5 2" xfId="18408" xr:uid="{00000000-0005-0000-0000-0000FB3A0000}"/>
    <cellStyle name="Heading 3 2 6" xfId="9956" xr:uid="{00000000-0005-0000-0000-0000FC3A0000}"/>
    <cellStyle name="Heading 3 2 6 2" xfId="18409" xr:uid="{00000000-0005-0000-0000-0000FD3A0000}"/>
    <cellStyle name="Heading 3 2 7" xfId="9957" xr:uid="{00000000-0005-0000-0000-0000FE3A0000}"/>
    <cellStyle name="Heading 3 2 7 2" xfId="18410" xr:uid="{00000000-0005-0000-0000-0000FF3A0000}"/>
    <cellStyle name="Heading 3 2 8" xfId="9958" xr:uid="{00000000-0005-0000-0000-0000003B0000}"/>
    <cellStyle name="Heading 3 2 8 2" xfId="18411" xr:uid="{00000000-0005-0000-0000-0000013B0000}"/>
    <cellStyle name="Heading 3 2 9" xfId="9959" xr:uid="{00000000-0005-0000-0000-0000023B0000}"/>
    <cellStyle name="Heading 3 2 9 2" xfId="18412" xr:uid="{00000000-0005-0000-0000-0000033B0000}"/>
    <cellStyle name="Heading 3 20" xfId="9960" xr:uid="{00000000-0005-0000-0000-0000043B0000}"/>
    <cellStyle name="Heading 3 20 2" xfId="9961" xr:uid="{00000000-0005-0000-0000-0000053B0000}"/>
    <cellStyle name="Heading 3 20 2 2" xfId="18413" xr:uid="{00000000-0005-0000-0000-0000063B0000}"/>
    <cellStyle name="Heading 3 20 3" xfId="9962" xr:uid="{00000000-0005-0000-0000-0000073B0000}"/>
    <cellStyle name="Heading 3 20 3 2" xfId="18414" xr:uid="{00000000-0005-0000-0000-0000083B0000}"/>
    <cellStyle name="Heading 3 20 4" xfId="9963" xr:uid="{00000000-0005-0000-0000-0000093B0000}"/>
    <cellStyle name="Heading 3 20 4 2" xfId="18415" xr:uid="{00000000-0005-0000-0000-00000A3B0000}"/>
    <cellStyle name="Heading 3 20 5" xfId="9964" xr:uid="{00000000-0005-0000-0000-00000B3B0000}"/>
    <cellStyle name="Heading 3 20 5 2" xfId="18416" xr:uid="{00000000-0005-0000-0000-00000C3B0000}"/>
    <cellStyle name="Heading 3 20 6" xfId="9965" xr:uid="{00000000-0005-0000-0000-00000D3B0000}"/>
    <cellStyle name="Heading 3 20 6 2" xfId="18417" xr:uid="{00000000-0005-0000-0000-00000E3B0000}"/>
    <cellStyle name="Heading 3 20 7" xfId="9966" xr:uid="{00000000-0005-0000-0000-00000F3B0000}"/>
    <cellStyle name="Heading 3 20 7 2" xfId="18418" xr:uid="{00000000-0005-0000-0000-0000103B0000}"/>
    <cellStyle name="Heading 3 20 8" xfId="9967" xr:uid="{00000000-0005-0000-0000-0000113B0000}"/>
    <cellStyle name="Heading 3 20 8 2" xfId="18419" xr:uid="{00000000-0005-0000-0000-0000123B0000}"/>
    <cellStyle name="Heading 3 20 9" xfId="9968" xr:uid="{00000000-0005-0000-0000-0000133B0000}"/>
    <cellStyle name="Heading 3 20 9 2" xfId="18420" xr:uid="{00000000-0005-0000-0000-0000143B0000}"/>
    <cellStyle name="Heading 3 21" xfId="9969" xr:uid="{00000000-0005-0000-0000-0000153B0000}"/>
    <cellStyle name="Heading 3 21 2" xfId="9970" xr:uid="{00000000-0005-0000-0000-0000163B0000}"/>
    <cellStyle name="Heading 3 21 2 2" xfId="18421" xr:uid="{00000000-0005-0000-0000-0000173B0000}"/>
    <cellStyle name="Heading 3 21 3" xfId="9971" xr:uid="{00000000-0005-0000-0000-0000183B0000}"/>
    <cellStyle name="Heading 3 21 3 2" xfId="18422" xr:uid="{00000000-0005-0000-0000-0000193B0000}"/>
    <cellStyle name="Heading 3 21 4" xfId="9972" xr:uid="{00000000-0005-0000-0000-00001A3B0000}"/>
    <cellStyle name="Heading 3 21 4 2" xfId="18423" xr:uid="{00000000-0005-0000-0000-00001B3B0000}"/>
    <cellStyle name="Heading 3 21 5" xfId="9973" xr:uid="{00000000-0005-0000-0000-00001C3B0000}"/>
    <cellStyle name="Heading 3 21 5 2" xfId="18424" xr:uid="{00000000-0005-0000-0000-00001D3B0000}"/>
    <cellStyle name="Heading 3 21 6" xfId="9974" xr:uid="{00000000-0005-0000-0000-00001E3B0000}"/>
    <cellStyle name="Heading 3 21 6 2" xfId="18425" xr:uid="{00000000-0005-0000-0000-00001F3B0000}"/>
    <cellStyle name="Heading 3 21 7" xfId="9975" xr:uid="{00000000-0005-0000-0000-0000203B0000}"/>
    <cellStyle name="Heading 3 21 7 2" xfId="18426" xr:uid="{00000000-0005-0000-0000-0000213B0000}"/>
    <cellStyle name="Heading 3 21 8" xfId="9976" xr:uid="{00000000-0005-0000-0000-0000223B0000}"/>
    <cellStyle name="Heading 3 21 8 2" xfId="18427" xr:uid="{00000000-0005-0000-0000-0000233B0000}"/>
    <cellStyle name="Heading 3 21 9" xfId="9977" xr:uid="{00000000-0005-0000-0000-0000243B0000}"/>
    <cellStyle name="Heading 3 21 9 2" xfId="18428" xr:uid="{00000000-0005-0000-0000-0000253B0000}"/>
    <cellStyle name="Heading 3 22" xfId="9978" xr:uid="{00000000-0005-0000-0000-0000263B0000}"/>
    <cellStyle name="Heading 3 22 2" xfId="9979" xr:uid="{00000000-0005-0000-0000-0000273B0000}"/>
    <cellStyle name="Heading 3 22 2 2" xfId="18429" xr:uid="{00000000-0005-0000-0000-0000283B0000}"/>
    <cellStyle name="Heading 3 22 3" xfId="9980" xr:uid="{00000000-0005-0000-0000-0000293B0000}"/>
    <cellStyle name="Heading 3 22 3 2" xfId="18430" xr:uid="{00000000-0005-0000-0000-00002A3B0000}"/>
    <cellStyle name="Heading 3 22 4" xfId="9981" xr:uid="{00000000-0005-0000-0000-00002B3B0000}"/>
    <cellStyle name="Heading 3 22 4 2" xfId="18431" xr:uid="{00000000-0005-0000-0000-00002C3B0000}"/>
    <cellStyle name="Heading 3 22 5" xfId="9982" xr:uid="{00000000-0005-0000-0000-00002D3B0000}"/>
    <cellStyle name="Heading 3 22 5 2" xfId="18432" xr:uid="{00000000-0005-0000-0000-00002E3B0000}"/>
    <cellStyle name="Heading 3 22 6" xfId="9983" xr:uid="{00000000-0005-0000-0000-00002F3B0000}"/>
    <cellStyle name="Heading 3 22 6 2" xfId="18433" xr:uid="{00000000-0005-0000-0000-0000303B0000}"/>
    <cellStyle name="Heading 3 22 7" xfId="9984" xr:uid="{00000000-0005-0000-0000-0000313B0000}"/>
    <cellStyle name="Heading 3 22 7 2" xfId="18434" xr:uid="{00000000-0005-0000-0000-0000323B0000}"/>
    <cellStyle name="Heading 3 22 8" xfId="9985" xr:uid="{00000000-0005-0000-0000-0000333B0000}"/>
    <cellStyle name="Heading 3 22 8 2" xfId="18435" xr:uid="{00000000-0005-0000-0000-0000343B0000}"/>
    <cellStyle name="Heading 3 22 9" xfId="9986" xr:uid="{00000000-0005-0000-0000-0000353B0000}"/>
    <cellStyle name="Heading 3 22 9 2" xfId="18436" xr:uid="{00000000-0005-0000-0000-0000363B0000}"/>
    <cellStyle name="Heading 3 23" xfId="9987" xr:uid="{00000000-0005-0000-0000-0000373B0000}"/>
    <cellStyle name="Heading 3 23 2" xfId="9988" xr:uid="{00000000-0005-0000-0000-0000383B0000}"/>
    <cellStyle name="Heading 3 23 2 2" xfId="18437" xr:uid="{00000000-0005-0000-0000-0000393B0000}"/>
    <cellStyle name="Heading 3 23 3" xfId="9989" xr:uid="{00000000-0005-0000-0000-00003A3B0000}"/>
    <cellStyle name="Heading 3 23 3 2" xfId="18438" xr:uid="{00000000-0005-0000-0000-00003B3B0000}"/>
    <cellStyle name="Heading 3 23 4" xfId="9990" xr:uid="{00000000-0005-0000-0000-00003C3B0000}"/>
    <cellStyle name="Heading 3 23 4 2" xfId="18439" xr:uid="{00000000-0005-0000-0000-00003D3B0000}"/>
    <cellStyle name="Heading 3 23 5" xfId="9991" xr:uid="{00000000-0005-0000-0000-00003E3B0000}"/>
    <cellStyle name="Heading 3 23 5 2" xfId="18440" xr:uid="{00000000-0005-0000-0000-00003F3B0000}"/>
    <cellStyle name="Heading 3 23 6" xfId="9992" xr:uid="{00000000-0005-0000-0000-0000403B0000}"/>
    <cellStyle name="Heading 3 23 6 2" xfId="18441" xr:uid="{00000000-0005-0000-0000-0000413B0000}"/>
    <cellStyle name="Heading 3 23 7" xfId="9993" xr:uid="{00000000-0005-0000-0000-0000423B0000}"/>
    <cellStyle name="Heading 3 23 7 2" xfId="18442" xr:uid="{00000000-0005-0000-0000-0000433B0000}"/>
    <cellStyle name="Heading 3 23 8" xfId="9994" xr:uid="{00000000-0005-0000-0000-0000443B0000}"/>
    <cellStyle name="Heading 3 23 8 2" xfId="18443" xr:uid="{00000000-0005-0000-0000-0000453B0000}"/>
    <cellStyle name="Heading 3 23 9" xfId="9995" xr:uid="{00000000-0005-0000-0000-0000463B0000}"/>
    <cellStyle name="Heading 3 23 9 2" xfId="18444" xr:uid="{00000000-0005-0000-0000-0000473B0000}"/>
    <cellStyle name="Heading 3 24" xfId="9996" xr:uid="{00000000-0005-0000-0000-0000483B0000}"/>
    <cellStyle name="Heading 3 24 2" xfId="9997" xr:uid="{00000000-0005-0000-0000-0000493B0000}"/>
    <cellStyle name="Heading 3 24 2 2" xfId="18445" xr:uid="{00000000-0005-0000-0000-00004A3B0000}"/>
    <cellStyle name="Heading 3 24 3" xfId="9998" xr:uid="{00000000-0005-0000-0000-00004B3B0000}"/>
    <cellStyle name="Heading 3 24 3 2" xfId="18446" xr:uid="{00000000-0005-0000-0000-00004C3B0000}"/>
    <cellStyle name="Heading 3 24 4" xfId="9999" xr:uid="{00000000-0005-0000-0000-00004D3B0000}"/>
    <cellStyle name="Heading 3 24 4 2" xfId="18447" xr:uid="{00000000-0005-0000-0000-00004E3B0000}"/>
    <cellStyle name="Heading 3 24 5" xfId="10000" xr:uid="{00000000-0005-0000-0000-00004F3B0000}"/>
    <cellStyle name="Heading 3 24 5 2" xfId="18448" xr:uid="{00000000-0005-0000-0000-0000503B0000}"/>
    <cellStyle name="Heading 3 24 6" xfId="10001" xr:uid="{00000000-0005-0000-0000-0000513B0000}"/>
    <cellStyle name="Heading 3 24 6 2" xfId="18449" xr:uid="{00000000-0005-0000-0000-0000523B0000}"/>
    <cellStyle name="Heading 3 24 7" xfId="10002" xr:uid="{00000000-0005-0000-0000-0000533B0000}"/>
    <cellStyle name="Heading 3 24 7 2" xfId="18450" xr:uid="{00000000-0005-0000-0000-0000543B0000}"/>
    <cellStyle name="Heading 3 24 8" xfId="10003" xr:uid="{00000000-0005-0000-0000-0000553B0000}"/>
    <cellStyle name="Heading 3 24 8 2" xfId="18451" xr:uid="{00000000-0005-0000-0000-0000563B0000}"/>
    <cellStyle name="Heading 3 24 9" xfId="10004" xr:uid="{00000000-0005-0000-0000-0000573B0000}"/>
    <cellStyle name="Heading 3 24 9 2" xfId="18452" xr:uid="{00000000-0005-0000-0000-0000583B0000}"/>
    <cellStyle name="Heading 3 25" xfId="10005" xr:uid="{00000000-0005-0000-0000-0000593B0000}"/>
    <cellStyle name="Heading 3 25 2" xfId="10006" xr:uid="{00000000-0005-0000-0000-00005A3B0000}"/>
    <cellStyle name="Heading 3 25 2 2" xfId="18453" xr:uid="{00000000-0005-0000-0000-00005B3B0000}"/>
    <cellStyle name="Heading 3 25 3" xfId="10007" xr:uid="{00000000-0005-0000-0000-00005C3B0000}"/>
    <cellStyle name="Heading 3 25 3 2" xfId="18454" xr:uid="{00000000-0005-0000-0000-00005D3B0000}"/>
    <cellStyle name="Heading 3 25 4" xfId="10008" xr:uid="{00000000-0005-0000-0000-00005E3B0000}"/>
    <cellStyle name="Heading 3 25 4 2" xfId="18455" xr:uid="{00000000-0005-0000-0000-00005F3B0000}"/>
    <cellStyle name="Heading 3 25 5" xfId="10009" xr:uid="{00000000-0005-0000-0000-0000603B0000}"/>
    <cellStyle name="Heading 3 25 5 2" xfId="18456" xr:uid="{00000000-0005-0000-0000-0000613B0000}"/>
    <cellStyle name="Heading 3 25 6" xfId="10010" xr:uid="{00000000-0005-0000-0000-0000623B0000}"/>
    <cellStyle name="Heading 3 25 6 2" xfId="18457" xr:uid="{00000000-0005-0000-0000-0000633B0000}"/>
    <cellStyle name="Heading 3 25 7" xfId="10011" xr:uid="{00000000-0005-0000-0000-0000643B0000}"/>
    <cellStyle name="Heading 3 25 7 2" xfId="18458" xr:uid="{00000000-0005-0000-0000-0000653B0000}"/>
    <cellStyle name="Heading 3 25 8" xfId="10012" xr:uid="{00000000-0005-0000-0000-0000663B0000}"/>
    <cellStyle name="Heading 3 25 8 2" xfId="18459" xr:uid="{00000000-0005-0000-0000-0000673B0000}"/>
    <cellStyle name="Heading 3 25 9" xfId="10013" xr:uid="{00000000-0005-0000-0000-0000683B0000}"/>
    <cellStyle name="Heading 3 25 9 2" xfId="18460" xr:uid="{00000000-0005-0000-0000-0000693B0000}"/>
    <cellStyle name="Heading 3 26" xfId="10014" xr:uid="{00000000-0005-0000-0000-00006A3B0000}"/>
    <cellStyle name="Heading 3 26 2" xfId="10015" xr:uid="{00000000-0005-0000-0000-00006B3B0000}"/>
    <cellStyle name="Heading 3 26 2 2" xfId="18461" xr:uid="{00000000-0005-0000-0000-00006C3B0000}"/>
    <cellStyle name="Heading 3 26 3" xfId="10016" xr:uid="{00000000-0005-0000-0000-00006D3B0000}"/>
    <cellStyle name="Heading 3 26 3 2" xfId="18462" xr:uid="{00000000-0005-0000-0000-00006E3B0000}"/>
    <cellStyle name="Heading 3 26 4" xfId="10017" xr:uid="{00000000-0005-0000-0000-00006F3B0000}"/>
    <cellStyle name="Heading 3 26 4 2" xfId="18463" xr:uid="{00000000-0005-0000-0000-0000703B0000}"/>
    <cellStyle name="Heading 3 26 5" xfId="10018" xr:uid="{00000000-0005-0000-0000-0000713B0000}"/>
    <cellStyle name="Heading 3 26 5 2" xfId="18464" xr:uid="{00000000-0005-0000-0000-0000723B0000}"/>
    <cellStyle name="Heading 3 26 6" xfId="10019" xr:uid="{00000000-0005-0000-0000-0000733B0000}"/>
    <cellStyle name="Heading 3 26 6 2" xfId="18465" xr:uid="{00000000-0005-0000-0000-0000743B0000}"/>
    <cellStyle name="Heading 3 26 7" xfId="10020" xr:uid="{00000000-0005-0000-0000-0000753B0000}"/>
    <cellStyle name="Heading 3 26 7 2" xfId="18466" xr:uid="{00000000-0005-0000-0000-0000763B0000}"/>
    <cellStyle name="Heading 3 26 8" xfId="10021" xr:uid="{00000000-0005-0000-0000-0000773B0000}"/>
    <cellStyle name="Heading 3 26 8 2" xfId="18467" xr:uid="{00000000-0005-0000-0000-0000783B0000}"/>
    <cellStyle name="Heading 3 26 9" xfId="10022" xr:uid="{00000000-0005-0000-0000-0000793B0000}"/>
    <cellStyle name="Heading 3 26 9 2" xfId="18468" xr:uid="{00000000-0005-0000-0000-00007A3B0000}"/>
    <cellStyle name="Heading 3 27" xfId="10023" xr:uid="{00000000-0005-0000-0000-00007B3B0000}"/>
    <cellStyle name="Heading 3 27 2" xfId="10024" xr:uid="{00000000-0005-0000-0000-00007C3B0000}"/>
    <cellStyle name="Heading 3 27 2 2" xfId="18469" xr:uid="{00000000-0005-0000-0000-00007D3B0000}"/>
    <cellStyle name="Heading 3 27 3" xfId="10025" xr:uid="{00000000-0005-0000-0000-00007E3B0000}"/>
    <cellStyle name="Heading 3 27 3 2" xfId="18470" xr:uid="{00000000-0005-0000-0000-00007F3B0000}"/>
    <cellStyle name="Heading 3 27 4" xfId="10026" xr:uid="{00000000-0005-0000-0000-0000803B0000}"/>
    <cellStyle name="Heading 3 27 4 2" xfId="18471" xr:uid="{00000000-0005-0000-0000-0000813B0000}"/>
    <cellStyle name="Heading 3 27 5" xfId="10027" xr:uid="{00000000-0005-0000-0000-0000823B0000}"/>
    <cellStyle name="Heading 3 27 5 2" xfId="18472" xr:uid="{00000000-0005-0000-0000-0000833B0000}"/>
    <cellStyle name="Heading 3 27 6" xfId="10028" xr:uid="{00000000-0005-0000-0000-0000843B0000}"/>
    <cellStyle name="Heading 3 27 6 2" xfId="18473" xr:uid="{00000000-0005-0000-0000-0000853B0000}"/>
    <cellStyle name="Heading 3 27 7" xfId="10029" xr:uid="{00000000-0005-0000-0000-0000863B0000}"/>
    <cellStyle name="Heading 3 27 7 2" xfId="18474" xr:uid="{00000000-0005-0000-0000-0000873B0000}"/>
    <cellStyle name="Heading 3 27 8" xfId="10030" xr:uid="{00000000-0005-0000-0000-0000883B0000}"/>
    <cellStyle name="Heading 3 27 8 2" xfId="18475" xr:uid="{00000000-0005-0000-0000-0000893B0000}"/>
    <cellStyle name="Heading 3 27 9" xfId="10031" xr:uid="{00000000-0005-0000-0000-00008A3B0000}"/>
    <cellStyle name="Heading 3 27 9 2" xfId="18476" xr:uid="{00000000-0005-0000-0000-00008B3B0000}"/>
    <cellStyle name="Heading 3 28" xfId="10032" xr:uid="{00000000-0005-0000-0000-00008C3B0000}"/>
    <cellStyle name="Heading 3 28 2" xfId="10033" xr:uid="{00000000-0005-0000-0000-00008D3B0000}"/>
    <cellStyle name="Heading 3 28 2 2" xfId="18477" xr:uid="{00000000-0005-0000-0000-00008E3B0000}"/>
    <cellStyle name="Heading 3 28 3" xfId="10034" xr:uid="{00000000-0005-0000-0000-00008F3B0000}"/>
    <cellStyle name="Heading 3 28 3 2" xfId="18478" xr:uid="{00000000-0005-0000-0000-0000903B0000}"/>
    <cellStyle name="Heading 3 28 4" xfId="10035" xr:uid="{00000000-0005-0000-0000-0000913B0000}"/>
    <cellStyle name="Heading 3 28 4 2" xfId="18479" xr:uid="{00000000-0005-0000-0000-0000923B0000}"/>
    <cellStyle name="Heading 3 28 5" xfId="10036" xr:uid="{00000000-0005-0000-0000-0000933B0000}"/>
    <cellStyle name="Heading 3 28 5 2" xfId="18480" xr:uid="{00000000-0005-0000-0000-0000943B0000}"/>
    <cellStyle name="Heading 3 28 6" xfId="10037" xr:uid="{00000000-0005-0000-0000-0000953B0000}"/>
    <cellStyle name="Heading 3 28 6 2" xfId="18481" xr:uid="{00000000-0005-0000-0000-0000963B0000}"/>
    <cellStyle name="Heading 3 28 7" xfId="10038" xr:uid="{00000000-0005-0000-0000-0000973B0000}"/>
    <cellStyle name="Heading 3 28 7 2" xfId="18482" xr:uid="{00000000-0005-0000-0000-0000983B0000}"/>
    <cellStyle name="Heading 3 28 8" xfId="10039" xr:uid="{00000000-0005-0000-0000-0000993B0000}"/>
    <cellStyle name="Heading 3 28 8 2" xfId="18483" xr:uid="{00000000-0005-0000-0000-00009A3B0000}"/>
    <cellStyle name="Heading 3 28 9" xfId="10040" xr:uid="{00000000-0005-0000-0000-00009B3B0000}"/>
    <cellStyle name="Heading 3 28 9 2" xfId="18484" xr:uid="{00000000-0005-0000-0000-00009C3B0000}"/>
    <cellStyle name="Heading 3 29" xfId="10041" xr:uid="{00000000-0005-0000-0000-00009D3B0000}"/>
    <cellStyle name="Heading 3 29 2" xfId="10042" xr:uid="{00000000-0005-0000-0000-00009E3B0000}"/>
    <cellStyle name="Heading 3 29 2 2" xfId="18485" xr:uid="{00000000-0005-0000-0000-00009F3B0000}"/>
    <cellStyle name="Heading 3 29 3" xfId="10043" xr:uid="{00000000-0005-0000-0000-0000A03B0000}"/>
    <cellStyle name="Heading 3 29 3 2" xfId="18486" xr:uid="{00000000-0005-0000-0000-0000A13B0000}"/>
    <cellStyle name="Heading 3 29 4" xfId="10044" xr:uid="{00000000-0005-0000-0000-0000A23B0000}"/>
    <cellStyle name="Heading 3 29 4 2" xfId="18487" xr:uid="{00000000-0005-0000-0000-0000A33B0000}"/>
    <cellStyle name="Heading 3 29 5" xfId="10045" xr:uid="{00000000-0005-0000-0000-0000A43B0000}"/>
    <cellStyle name="Heading 3 29 5 2" xfId="18488" xr:uid="{00000000-0005-0000-0000-0000A53B0000}"/>
    <cellStyle name="Heading 3 29 6" xfId="10046" xr:uid="{00000000-0005-0000-0000-0000A63B0000}"/>
    <cellStyle name="Heading 3 29 6 2" xfId="18489" xr:uid="{00000000-0005-0000-0000-0000A73B0000}"/>
    <cellStyle name="Heading 3 29 7" xfId="10047" xr:uid="{00000000-0005-0000-0000-0000A83B0000}"/>
    <cellStyle name="Heading 3 29 7 2" xfId="18490" xr:uid="{00000000-0005-0000-0000-0000A93B0000}"/>
    <cellStyle name="Heading 3 29 8" xfId="10048" xr:uid="{00000000-0005-0000-0000-0000AA3B0000}"/>
    <cellStyle name="Heading 3 29 8 2" xfId="18491" xr:uid="{00000000-0005-0000-0000-0000AB3B0000}"/>
    <cellStyle name="Heading 3 29 9" xfId="10049" xr:uid="{00000000-0005-0000-0000-0000AC3B0000}"/>
    <cellStyle name="Heading 3 29 9 2" xfId="18492" xr:uid="{00000000-0005-0000-0000-0000AD3B0000}"/>
    <cellStyle name="Heading 3 3" xfId="10050" xr:uid="{00000000-0005-0000-0000-0000AE3B0000}"/>
    <cellStyle name="Heading 3 3 10" xfId="10051" xr:uid="{00000000-0005-0000-0000-0000AF3B0000}"/>
    <cellStyle name="Heading 3 3 10 2" xfId="18493" xr:uid="{00000000-0005-0000-0000-0000B03B0000}"/>
    <cellStyle name="Heading 3 3 11" xfId="10052" xr:uid="{00000000-0005-0000-0000-0000B13B0000}"/>
    <cellStyle name="Heading 3 3 11 2" xfId="18494" xr:uid="{00000000-0005-0000-0000-0000B23B0000}"/>
    <cellStyle name="Heading 3 3 12" xfId="22088" xr:uid="{00000000-0005-0000-0000-0000B33B0000}"/>
    <cellStyle name="Heading 3 3 2" xfId="10053" xr:uid="{00000000-0005-0000-0000-0000B43B0000}"/>
    <cellStyle name="Heading 3 3 2 2" xfId="10054" xr:uid="{00000000-0005-0000-0000-0000B53B0000}"/>
    <cellStyle name="Heading 3 3 2 2 2" xfId="18495" xr:uid="{00000000-0005-0000-0000-0000B63B0000}"/>
    <cellStyle name="Heading 3 3 3" xfId="10055" xr:uid="{00000000-0005-0000-0000-0000B73B0000}"/>
    <cellStyle name="Heading 3 3 3 2" xfId="10056" xr:uid="{00000000-0005-0000-0000-0000B83B0000}"/>
    <cellStyle name="Heading 3 3 3 2 2" xfId="18496" xr:uid="{00000000-0005-0000-0000-0000B93B0000}"/>
    <cellStyle name="Heading 3 3 4" xfId="10057" xr:uid="{00000000-0005-0000-0000-0000BA3B0000}"/>
    <cellStyle name="Heading 3 3 4 2" xfId="10058" xr:uid="{00000000-0005-0000-0000-0000BB3B0000}"/>
    <cellStyle name="Heading 3 3 4 3" xfId="18497" xr:uid="{00000000-0005-0000-0000-0000BC3B0000}"/>
    <cellStyle name="Heading 3 3 5" xfId="10059" xr:uid="{00000000-0005-0000-0000-0000BD3B0000}"/>
    <cellStyle name="Heading 3 3 5 2" xfId="18498" xr:uid="{00000000-0005-0000-0000-0000BE3B0000}"/>
    <cellStyle name="Heading 3 3 6" xfId="10060" xr:uid="{00000000-0005-0000-0000-0000BF3B0000}"/>
    <cellStyle name="Heading 3 3 6 2" xfId="18499" xr:uid="{00000000-0005-0000-0000-0000C03B0000}"/>
    <cellStyle name="Heading 3 3 7" xfId="10061" xr:uid="{00000000-0005-0000-0000-0000C13B0000}"/>
    <cellStyle name="Heading 3 3 7 2" xfId="18500" xr:uid="{00000000-0005-0000-0000-0000C23B0000}"/>
    <cellStyle name="Heading 3 3 8" xfId="10062" xr:uid="{00000000-0005-0000-0000-0000C33B0000}"/>
    <cellStyle name="Heading 3 3 8 2" xfId="18501" xr:uid="{00000000-0005-0000-0000-0000C43B0000}"/>
    <cellStyle name="Heading 3 3 9" xfId="10063" xr:uid="{00000000-0005-0000-0000-0000C53B0000}"/>
    <cellStyle name="Heading 3 3 9 2" xfId="18502" xr:uid="{00000000-0005-0000-0000-0000C63B0000}"/>
    <cellStyle name="Heading 3 30" xfId="10064" xr:uid="{00000000-0005-0000-0000-0000C73B0000}"/>
    <cellStyle name="Heading 3 30 2" xfId="10065" xr:uid="{00000000-0005-0000-0000-0000C83B0000}"/>
    <cellStyle name="Heading 3 30 2 2" xfId="18503" xr:uid="{00000000-0005-0000-0000-0000C93B0000}"/>
    <cellStyle name="Heading 3 31" xfId="10066" xr:uid="{00000000-0005-0000-0000-0000CA3B0000}"/>
    <cellStyle name="Heading 3 31 2" xfId="10067" xr:uid="{00000000-0005-0000-0000-0000CB3B0000}"/>
    <cellStyle name="Heading 3 31 2 2" xfId="18504" xr:uid="{00000000-0005-0000-0000-0000CC3B0000}"/>
    <cellStyle name="Heading 3 32" xfId="10068" xr:uid="{00000000-0005-0000-0000-0000CD3B0000}"/>
    <cellStyle name="Heading 3 32 2" xfId="10069" xr:uid="{00000000-0005-0000-0000-0000CE3B0000}"/>
    <cellStyle name="Heading 3 32 2 2" xfId="18505" xr:uid="{00000000-0005-0000-0000-0000CF3B0000}"/>
    <cellStyle name="Heading 3 33" xfId="10070" xr:uid="{00000000-0005-0000-0000-0000D03B0000}"/>
    <cellStyle name="Heading 3 33 2" xfId="10071" xr:uid="{00000000-0005-0000-0000-0000D13B0000}"/>
    <cellStyle name="Heading 3 33 2 2" xfId="18506" xr:uid="{00000000-0005-0000-0000-0000D23B0000}"/>
    <cellStyle name="Heading 3 34" xfId="10072" xr:uid="{00000000-0005-0000-0000-0000D33B0000}"/>
    <cellStyle name="Heading 3 34 2" xfId="10073" xr:uid="{00000000-0005-0000-0000-0000D43B0000}"/>
    <cellStyle name="Heading 3 34 2 2" xfId="18507" xr:uid="{00000000-0005-0000-0000-0000D53B0000}"/>
    <cellStyle name="Heading 3 35" xfId="10074" xr:uid="{00000000-0005-0000-0000-0000D63B0000}"/>
    <cellStyle name="Heading 3 35 2" xfId="10075" xr:uid="{00000000-0005-0000-0000-0000D73B0000}"/>
    <cellStyle name="Heading 3 35 2 2" xfId="18508" xr:uid="{00000000-0005-0000-0000-0000D83B0000}"/>
    <cellStyle name="Heading 3 36" xfId="10076" xr:uid="{00000000-0005-0000-0000-0000D93B0000}"/>
    <cellStyle name="Heading 3 37" xfId="10077" xr:uid="{00000000-0005-0000-0000-0000DA3B0000}"/>
    <cellStyle name="Heading 3 38" xfId="10078" xr:uid="{00000000-0005-0000-0000-0000DB3B0000}"/>
    <cellStyle name="Heading 3 39" xfId="10079" xr:uid="{00000000-0005-0000-0000-0000DC3B0000}"/>
    <cellStyle name="Heading 3 4" xfId="10080" xr:uid="{00000000-0005-0000-0000-0000DD3B0000}"/>
    <cellStyle name="Heading 3 4 10" xfId="10081" xr:uid="{00000000-0005-0000-0000-0000DE3B0000}"/>
    <cellStyle name="Heading 3 4 10 2" xfId="18509" xr:uid="{00000000-0005-0000-0000-0000DF3B0000}"/>
    <cellStyle name="Heading 3 4 11" xfId="10082" xr:uid="{00000000-0005-0000-0000-0000E03B0000}"/>
    <cellStyle name="Heading 3 4 11 2" xfId="18510" xr:uid="{00000000-0005-0000-0000-0000E13B0000}"/>
    <cellStyle name="Heading 3 4 12" xfId="22089" xr:uid="{00000000-0005-0000-0000-0000E23B0000}"/>
    <cellStyle name="Heading 3 4 2" xfId="10083" xr:uid="{00000000-0005-0000-0000-0000E33B0000}"/>
    <cellStyle name="Heading 3 4 2 2" xfId="10084" xr:uid="{00000000-0005-0000-0000-0000E43B0000}"/>
    <cellStyle name="Heading 3 4 2 2 2" xfId="18511" xr:uid="{00000000-0005-0000-0000-0000E53B0000}"/>
    <cellStyle name="Heading 3 4 3" xfId="10085" xr:uid="{00000000-0005-0000-0000-0000E63B0000}"/>
    <cellStyle name="Heading 3 4 3 2" xfId="10086" xr:uid="{00000000-0005-0000-0000-0000E73B0000}"/>
    <cellStyle name="Heading 3 4 3 2 2" xfId="18512" xr:uid="{00000000-0005-0000-0000-0000E83B0000}"/>
    <cellStyle name="Heading 3 4 4" xfId="10087" xr:uid="{00000000-0005-0000-0000-0000E93B0000}"/>
    <cellStyle name="Heading 3 4 4 2" xfId="10088" xr:uid="{00000000-0005-0000-0000-0000EA3B0000}"/>
    <cellStyle name="Heading 3 4 4 3" xfId="18513" xr:uid="{00000000-0005-0000-0000-0000EB3B0000}"/>
    <cellStyle name="Heading 3 4 5" xfId="10089" xr:uid="{00000000-0005-0000-0000-0000EC3B0000}"/>
    <cellStyle name="Heading 3 4 5 2" xfId="18514" xr:uid="{00000000-0005-0000-0000-0000ED3B0000}"/>
    <cellStyle name="Heading 3 4 6" xfId="10090" xr:uid="{00000000-0005-0000-0000-0000EE3B0000}"/>
    <cellStyle name="Heading 3 4 6 2" xfId="18515" xr:uid="{00000000-0005-0000-0000-0000EF3B0000}"/>
    <cellStyle name="Heading 3 4 7" xfId="10091" xr:uid="{00000000-0005-0000-0000-0000F03B0000}"/>
    <cellStyle name="Heading 3 4 7 2" xfId="18516" xr:uid="{00000000-0005-0000-0000-0000F13B0000}"/>
    <cellStyle name="Heading 3 4 8" xfId="10092" xr:uid="{00000000-0005-0000-0000-0000F23B0000}"/>
    <cellStyle name="Heading 3 4 8 2" xfId="18517" xr:uid="{00000000-0005-0000-0000-0000F33B0000}"/>
    <cellStyle name="Heading 3 4 9" xfId="10093" xr:uid="{00000000-0005-0000-0000-0000F43B0000}"/>
    <cellStyle name="Heading 3 4 9 2" xfId="18518" xr:uid="{00000000-0005-0000-0000-0000F53B0000}"/>
    <cellStyle name="Heading 3 40" xfId="21740" xr:uid="{00000000-0005-0000-0000-0000F63B0000}"/>
    <cellStyle name="Heading 3 5" xfId="10094" xr:uid="{00000000-0005-0000-0000-0000F73B0000}"/>
    <cellStyle name="Heading 3 5 10" xfId="10095" xr:uid="{00000000-0005-0000-0000-0000F83B0000}"/>
    <cellStyle name="Heading 3 5 10 2" xfId="18519" xr:uid="{00000000-0005-0000-0000-0000F93B0000}"/>
    <cellStyle name="Heading 3 5 11" xfId="10096" xr:uid="{00000000-0005-0000-0000-0000FA3B0000}"/>
    <cellStyle name="Heading 3 5 11 2" xfId="18520" xr:uid="{00000000-0005-0000-0000-0000FB3B0000}"/>
    <cellStyle name="Heading 3 5 12" xfId="22090" xr:uid="{00000000-0005-0000-0000-0000FC3B0000}"/>
    <cellStyle name="Heading 3 5 2" xfId="10097" xr:uid="{00000000-0005-0000-0000-0000FD3B0000}"/>
    <cellStyle name="Heading 3 5 2 2" xfId="10098" xr:uid="{00000000-0005-0000-0000-0000FE3B0000}"/>
    <cellStyle name="Heading 3 5 2 2 2" xfId="18521" xr:uid="{00000000-0005-0000-0000-0000FF3B0000}"/>
    <cellStyle name="Heading 3 5 3" xfId="10099" xr:uid="{00000000-0005-0000-0000-0000003C0000}"/>
    <cellStyle name="Heading 3 5 3 2" xfId="10100" xr:uid="{00000000-0005-0000-0000-0000013C0000}"/>
    <cellStyle name="Heading 3 5 3 2 2" xfId="18522" xr:uid="{00000000-0005-0000-0000-0000023C0000}"/>
    <cellStyle name="Heading 3 5 4" xfId="10101" xr:uid="{00000000-0005-0000-0000-0000033C0000}"/>
    <cellStyle name="Heading 3 5 4 2" xfId="10102" xr:uid="{00000000-0005-0000-0000-0000043C0000}"/>
    <cellStyle name="Heading 3 5 4 3" xfId="18523" xr:uid="{00000000-0005-0000-0000-0000053C0000}"/>
    <cellStyle name="Heading 3 5 5" xfId="10103" xr:uid="{00000000-0005-0000-0000-0000063C0000}"/>
    <cellStyle name="Heading 3 5 5 2" xfId="18524" xr:uid="{00000000-0005-0000-0000-0000073C0000}"/>
    <cellStyle name="Heading 3 5 6" xfId="10104" xr:uid="{00000000-0005-0000-0000-0000083C0000}"/>
    <cellStyle name="Heading 3 5 6 2" xfId="18525" xr:uid="{00000000-0005-0000-0000-0000093C0000}"/>
    <cellStyle name="Heading 3 5 7" xfId="10105" xr:uid="{00000000-0005-0000-0000-00000A3C0000}"/>
    <cellStyle name="Heading 3 5 7 2" xfId="18526" xr:uid="{00000000-0005-0000-0000-00000B3C0000}"/>
    <cellStyle name="Heading 3 5 8" xfId="10106" xr:uid="{00000000-0005-0000-0000-00000C3C0000}"/>
    <cellStyle name="Heading 3 5 8 2" xfId="18527" xr:uid="{00000000-0005-0000-0000-00000D3C0000}"/>
    <cellStyle name="Heading 3 5 9" xfId="10107" xr:uid="{00000000-0005-0000-0000-00000E3C0000}"/>
    <cellStyle name="Heading 3 5 9 2" xfId="18528" xr:uid="{00000000-0005-0000-0000-00000F3C0000}"/>
    <cellStyle name="Heading 3 6" xfId="10108" xr:uid="{00000000-0005-0000-0000-0000103C0000}"/>
    <cellStyle name="Heading 3 6 10" xfId="10109" xr:uid="{00000000-0005-0000-0000-0000113C0000}"/>
    <cellStyle name="Heading 3 6 10 2" xfId="18529" xr:uid="{00000000-0005-0000-0000-0000123C0000}"/>
    <cellStyle name="Heading 3 6 11" xfId="10110" xr:uid="{00000000-0005-0000-0000-0000133C0000}"/>
    <cellStyle name="Heading 3 6 11 2" xfId="18530" xr:uid="{00000000-0005-0000-0000-0000143C0000}"/>
    <cellStyle name="Heading 3 6 2" xfId="10111" xr:uid="{00000000-0005-0000-0000-0000153C0000}"/>
    <cellStyle name="Heading 3 6 2 2" xfId="10112" xr:uid="{00000000-0005-0000-0000-0000163C0000}"/>
    <cellStyle name="Heading 3 6 2 2 2" xfId="18531" xr:uid="{00000000-0005-0000-0000-0000173C0000}"/>
    <cellStyle name="Heading 3 6 3" xfId="10113" xr:uid="{00000000-0005-0000-0000-0000183C0000}"/>
    <cellStyle name="Heading 3 6 3 2" xfId="10114" xr:uid="{00000000-0005-0000-0000-0000193C0000}"/>
    <cellStyle name="Heading 3 6 3 2 2" xfId="18532" xr:uid="{00000000-0005-0000-0000-00001A3C0000}"/>
    <cellStyle name="Heading 3 6 4" xfId="10115" xr:uid="{00000000-0005-0000-0000-00001B3C0000}"/>
    <cellStyle name="Heading 3 6 4 2" xfId="10116" xr:uid="{00000000-0005-0000-0000-00001C3C0000}"/>
    <cellStyle name="Heading 3 6 4 3" xfId="18533" xr:uid="{00000000-0005-0000-0000-00001D3C0000}"/>
    <cellStyle name="Heading 3 6 5" xfId="10117" xr:uid="{00000000-0005-0000-0000-00001E3C0000}"/>
    <cellStyle name="Heading 3 6 5 2" xfId="18534" xr:uid="{00000000-0005-0000-0000-00001F3C0000}"/>
    <cellStyle name="Heading 3 6 6" xfId="10118" xr:uid="{00000000-0005-0000-0000-0000203C0000}"/>
    <cellStyle name="Heading 3 6 6 2" xfId="18535" xr:uid="{00000000-0005-0000-0000-0000213C0000}"/>
    <cellStyle name="Heading 3 6 7" xfId="10119" xr:uid="{00000000-0005-0000-0000-0000223C0000}"/>
    <cellStyle name="Heading 3 6 7 2" xfId="18536" xr:uid="{00000000-0005-0000-0000-0000233C0000}"/>
    <cellStyle name="Heading 3 6 8" xfId="10120" xr:uid="{00000000-0005-0000-0000-0000243C0000}"/>
    <cellStyle name="Heading 3 6 8 2" xfId="18537" xr:uid="{00000000-0005-0000-0000-0000253C0000}"/>
    <cellStyle name="Heading 3 6 9" xfId="10121" xr:uid="{00000000-0005-0000-0000-0000263C0000}"/>
    <cellStyle name="Heading 3 6 9 2" xfId="18538" xr:uid="{00000000-0005-0000-0000-0000273C0000}"/>
    <cellStyle name="Heading 3 7" xfId="10122" xr:uid="{00000000-0005-0000-0000-0000283C0000}"/>
    <cellStyle name="Heading 3 7 10" xfId="10123" xr:uid="{00000000-0005-0000-0000-0000293C0000}"/>
    <cellStyle name="Heading 3 7 10 2" xfId="18539" xr:uid="{00000000-0005-0000-0000-00002A3C0000}"/>
    <cellStyle name="Heading 3 7 11" xfId="10124" xr:uid="{00000000-0005-0000-0000-00002B3C0000}"/>
    <cellStyle name="Heading 3 7 11 2" xfId="18540" xr:uid="{00000000-0005-0000-0000-00002C3C0000}"/>
    <cellStyle name="Heading 3 7 2" xfId="10125" xr:uid="{00000000-0005-0000-0000-00002D3C0000}"/>
    <cellStyle name="Heading 3 7 2 2" xfId="10126" xr:uid="{00000000-0005-0000-0000-00002E3C0000}"/>
    <cellStyle name="Heading 3 7 2 2 2" xfId="18541" xr:uid="{00000000-0005-0000-0000-00002F3C0000}"/>
    <cellStyle name="Heading 3 7 3" xfId="10127" xr:uid="{00000000-0005-0000-0000-0000303C0000}"/>
    <cellStyle name="Heading 3 7 3 2" xfId="10128" xr:uid="{00000000-0005-0000-0000-0000313C0000}"/>
    <cellStyle name="Heading 3 7 3 2 2" xfId="18542" xr:uid="{00000000-0005-0000-0000-0000323C0000}"/>
    <cellStyle name="Heading 3 7 4" xfId="10129" xr:uid="{00000000-0005-0000-0000-0000333C0000}"/>
    <cellStyle name="Heading 3 7 4 2" xfId="10130" xr:uid="{00000000-0005-0000-0000-0000343C0000}"/>
    <cellStyle name="Heading 3 7 4 3" xfId="18543" xr:uid="{00000000-0005-0000-0000-0000353C0000}"/>
    <cellStyle name="Heading 3 7 5" xfId="10131" xr:uid="{00000000-0005-0000-0000-0000363C0000}"/>
    <cellStyle name="Heading 3 7 5 2" xfId="18544" xr:uid="{00000000-0005-0000-0000-0000373C0000}"/>
    <cellStyle name="Heading 3 7 6" xfId="10132" xr:uid="{00000000-0005-0000-0000-0000383C0000}"/>
    <cellStyle name="Heading 3 7 6 2" xfId="18545" xr:uid="{00000000-0005-0000-0000-0000393C0000}"/>
    <cellStyle name="Heading 3 7 7" xfId="10133" xr:uid="{00000000-0005-0000-0000-00003A3C0000}"/>
    <cellStyle name="Heading 3 7 7 2" xfId="18546" xr:uid="{00000000-0005-0000-0000-00003B3C0000}"/>
    <cellStyle name="Heading 3 7 8" xfId="10134" xr:uid="{00000000-0005-0000-0000-00003C3C0000}"/>
    <cellStyle name="Heading 3 7 8 2" xfId="18547" xr:uid="{00000000-0005-0000-0000-00003D3C0000}"/>
    <cellStyle name="Heading 3 7 9" xfId="10135" xr:uid="{00000000-0005-0000-0000-00003E3C0000}"/>
    <cellStyle name="Heading 3 7 9 2" xfId="18548" xr:uid="{00000000-0005-0000-0000-00003F3C0000}"/>
    <cellStyle name="Heading 3 8" xfId="10136" xr:uid="{00000000-0005-0000-0000-0000403C0000}"/>
    <cellStyle name="Heading 3 8 10" xfId="10137" xr:uid="{00000000-0005-0000-0000-0000413C0000}"/>
    <cellStyle name="Heading 3 8 10 2" xfId="18549" xr:uid="{00000000-0005-0000-0000-0000423C0000}"/>
    <cellStyle name="Heading 3 8 11" xfId="10138" xr:uid="{00000000-0005-0000-0000-0000433C0000}"/>
    <cellStyle name="Heading 3 8 11 2" xfId="18550" xr:uid="{00000000-0005-0000-0000-0000443C0000}"/>
    <cellStyle name="Heading 3 8 2" xfId="10139" xr:uid="{00000000-0005-0000-0000-0000453C0000}"/>
    <cellStyle name="Heading 3 8 2 2" xfId="10140" xr:uid="{00000000-0005-0000-0000-0000463C0000}"/>
    <cellStyle name="Heading 3 8 2 2 2" xfId="18551" xr:uid="{00000000-0005-0000-0000-0000473C0000}"/>
    <cellStyle name="Heading 3 8 3" xfId="10141" xr:uid="{00000000-0005-0000-0000-0000483C0000}"/>
    <cellStyle name="Heading 3 8 3 2" xfId="10142" xr:uid="{00000000-0005-0000-0000-0000493C0000}"/>
    <cellStyle name="Heading 3 8 3 2 2" xfId="18552" xr:uid="{00000000-0005-0000-0000-00004A3C0000}"/>
    <cellStyle name="Heading 3 8 4" xfId="10143" xr:uid="{00000000-0005-0000-0000-00004B3C0000}"/>
    <cellStyle name="Heading 3 8 4 2" xfId="10144" xr:uid="{00000000-0005-0000-0000-00004C3C0000}"/>
    <cellStyle name="Heading 3 8 4 3" xfId="18553" xr:uid="{00000000-0005-0000-0000-00004D3C0000}"/>
    <cellStyle name="Heading 3 8 5" xfId="10145" xr:uid="{00000000-0005-0000-0000-00004E3C0000}"/>
    <cellStyle name="Heading 3 8 5 2" xfId="18554" xr:uid="{00000000-0005-0000-0000-00004F3C0000}"/>
    <cellStyle name="Heading 3 8 6" xfId="10146" xr:uid="{00000000-0005-0000-0000-0000503C0000}"/>
    <cellStyle name="Heading 3 8 6 2" xfId="18555" xr:uid="{00000000-0005-0000-0000-0000513C0000}"/>
    <cellStyle name="Heading 3 8 7" xfId="10147" xr:uid="{00000000-0005-0000-0000-0000523C0000}"/>
    <cellStyle name="Heading 3 8 7 2" xfId="18556" xr:uid="{00000000-0005-0000-0000-0000533C0000}"/>
    <cellStyle name="Heading 3 8 8" xfId="10148" xr:uid="{00000000-0005-0000-0000-0000543C0000}"/>
    <cellStyle name="Heading 3 8 8 2" xfId="18557" xr:uid="{00000000-0005-0000-0000-0000553C0000}"/>
    <cellStyle name="Heading 3 8 9" xfId="10149" xr:uid="{00000000-0005-0000-0000-0000563C0000}"/>
    <cellStyle name="Heading 3 8 9 2" xfId="18558" xr:uid="{00000000-0005-0000-0000-0000573C0000}"/>
    <cellStyle name="Heading 3 9" xfId="10150" xr:uid="{00000000-0005-0000-0000-0000583C0000}"/>
    <cellStyle name="Heading 3 9 10" xfId="10151" xr:uid="{00000000-0005-0000-0000-0000593C0000}"/>
    <cellStyle name="Heading 3 9 10 2" xfId="18559" xr:uid="{00000000-0005-0000-0000-00005A3C0000}"/>
    <cellStyle name="Heading 3 9 11" xfId="10152" xr:uid="{00000000-0005-0000-0000-00005B3C0000}"/>
    <cellStyle name="Heading 3 9 11 2" xfId="18560" xr:uid="{00000000-0005-0000-0000-00005C3C0000}"/>
    <cellStyle name="Heading 3 9 2" xfId="10153" xr:uid="{00000000-0005-0000-0000-00005D3C0000}"/>
    <cellStyle name="Heading 3 9 2 2" xfId="10154" xr:uid="{00000000-0005-0000-0000-00005E3C0000}"/>
    <cellStyle name="Heading 3 9 2 2 2" xfId="18561" xr:uid="{00000000-0005-0000-0000-00005F3C0000}"/>
    <cellStyle name="Heading 3 9 3" xfId="10155" xr:uid="{00000000-0005-0000-0000-0000603C0000}"/>
    <cellStyle name="Heading 3 9 3 2" xfId="10156" xr:uid="{00000000-0005-0000-0000-0000613C0000}"/>
    <cellStyle name="Heading 3 9 3 2 2" xfId="18562" xr:uid="{00000000-0005-0000-0000-0000623C0000}"/>
    <cellStyle name="Heading 3 9 4" xfId="10157" xr:uid="{00000000-0005-0000-0000-0000633C0000}"/>
    <cellStyle name="Heading 3 9 4 2" xfId="10158" xr:uid="{00000000-0005-0000-0000-0000643C0000}"/>
    <cellStyle name="Heading 3 9 4 3" xfId="18563" xr:uid="{00000000-0005-0000-0000-0000653C0000}"/>
    <cellStyle name="Heading 3 9 5" xfId="10159" xr:uid="{00000000-0005-0000-0000-0000663C0000}"/>
    <cellStyle name="Heading 3 9 5 2" xfId="18564" xr:uid="{00000000-0005-0000-0000-0000673C0000}"/>
    <cellStyle name="Heading 3 9 6" xfId="10160" xr:uid="{00000000-0005-0000-0000-0000683C0000}"/>
    <cellStyle name="Heading 3 9 6 2" xfId="18565" xr:uid="{00000000-0005-0000-0000-0000693C0000}"/>
    <cellStyle name="Heading 3 9 7" xfId="10161" xr:uid="{00000000-0005-0000-0000-00006A3C0000}"/>
    <cellStyle name="Heading 3 9 7 2" xfId="18566" xr:uid="{00000000-0005-0000-0000-00006B3C0000}"/>
    <cellStyle name="Heading 3 9 8" xfId="10162" xr:uid="{00000000-0005-0000-0000-00006C3C0000}"/>
    <cellStyle name="Heading 3 9 8 2" xfId="18567" xr:uid="{00000000-0005-0000-0000-00006D3C0000}"/>
    <cellStyle name="Heading 3 9 9" xfId="10163" xr:uid="{00000000-0005-0000-0000-00006E3C0000}"/>
    <cellStyle name="Heading 3 9 9 2" xfId="18568" xr:uid="{00000000-0005-0000-0000-00006F3C0000}"/>
    <cellStyle name="Heading 4 10" xfId="10164" xr:uid="{00000000-0005-0000-0000-0000703C0000}"/>
    <cellStyle name="Heading 4 10 10" xfId="10165" xr:uid="{00000000-0005-0000-0000-0000713C0000}"/>
    <cellStyle name="Heading 4 10 10 2" xfId="18569" xr:uid="{00000000-0005-0000-0000-0000723C0000}"/>
    <cellStyle name="Heading 4 10 11" xfId="10166" xr:uid="{00000000-0005-0000-0000-0000733C0000}"/>
    <cellStyle name="Heading 4 10 11 2" xfId="18570" xr:uid="{00000000-0005-0000-0000-0000743C0000}"/>
    <cellStyle name="Heading 4 10 2" xfId="10167" xr:uid="{00000000-0005-0000-0000-0000753C0000}"/>
    <cellStyle name="Heading 4 10 2 2" xfId="10168" xr:uid="{00000000-0005-0000-0000-0000763C0000}"/>
    <cellStyle name="Heading 4 10 2 2 2" xfId="18571" xr:uid="{00000000-0005-0000-0000-0000773C0000}"/>
    <cellStyle name="Heading 4 10 3" xfId="10169" xr:uid="{00000000-0005-0000-0000-0000783C0000}"/>
    <cellStyle name="Heading 4 10 3 2" xfId="10170" xr:uid="{00000000-0005-0000-0000-0000793C0000}"/>
    <cellStyle name="Heading 4 10 3 2 2" xfId="18572" xr:uid="{00000000-0005-0000-0000-00007A3C0000}"/>
    <cellStyle name="Heading 4 10 4" xfId="10171" xr:uid="{00000000-0005-0000-0000-00007B3C0000}"/>
    <cellStyle name="Heading 4 10 4 2" xfId="10172" xr:uid="{00000000-0005-0000-0000-00007C3C0000}"/>
    <cellStyle name="Heading 4 10 4 3" xfId="18573" xr:uid="{00000000-0005-0000-0000-00007D3C0000}"/>
    <cellStyle name="Heading 4 10 5" xfId="10173" xr:uid="{00000000-0005-0000-0000-00007E3C0000}"/>
    <cellStyle name="Heading 4 10 5 2" xfId="18574" xr:uid="{00000000-0005-0000-0000-00007F3C0000}"/>
    <cellStyle name="Heading 4 10 6" xfId="10174" xr:uid="{00000000-0005-0000-0000-0000803C0000}"/>
    <cellStyle name="Heading 4 10 6 2" xfId="18575" xr:uid="{00000000-0005-0000-0000-0000813C0000}"/>
    <cellStyle name="Heading 4 10 7" xfId="10175" xr:uid="{00000000-0005-0000-0000-0000823C0000}"/>
    <cellStyle name="Heading 4 10 7 2" xfId="18576" xr:uid="{00000000-0005-0000-0000-0000833C0000}"/>
    <cellStyle name="Heading 4 10 8" xfId="10176" xr:uid="{00000000-0005-0000-0000-0000843C0000}"/>
    <cellStyle name="Heading 4 10 8 2" xfId="18577" xr:uid="{00000000-0005-0000-0000-0000853C0000}"/>
    <cellStyle name="Heading 4 10 9" xfId="10177" xr:uid="{00000000-0005-0000-0000-0000863C0000}"/>
    <cellStyle name="Heading 4 10 9 2" xfId="18578" xr:uid="{00000000-0005-0000-0000-0000873C0000}"/>
    <cellStyle name="Heading 4 11" xfId="10178" xr:uid="{00000000-0005-0000-0000-0000883C0000}"/>
    <cellStyle name="Heading 4 11 10" xfId="10179" xr:uid="{00000000-0005-0000-0000-0000893C0000}"/>
    <cellStyle name="Heading 4 11 10 2" xfId="18579" xr:uid="{00000000-0005-0000-0000-00008A3C0000}"/>
    <cellStyle name="Heading 4 11 11" xfId="10180" xr:uid="{00000000-0005-0000-0000-00008B3C0000}"/>
    <cellStyle name="Heading 4 11 11 2" xfId="18580" xr:uid="{00000000-0005-0000-0000-00008C3C0000}"/>
    <cellStyle name="Heading 4 11 2" xfId="10181" xr:uid="{00000000-0005-0000-0000-00008D3C0000}"/>
    <cellStyle name="Heading 4 11 2 2" xfId="10182" xr:uid="{00000000-0005-0000-0000-00008E3C0000}"/>
    <cellStyle name="Heading 4 11 2 2 2" xfId="18581" xr:uid="{00000000-0005-0000-0000-00008F3C0000}"/>
    <cellStyle name="Heading 4 11 3" xfId="10183" xr:uid="{00000000-0005-0000-0000-0000903C0000}"/>
    <cellStyle name="Heading 4 11 3 2" xfId="10184" xr:uid="{00000000-0005-0000-0000-0000913C0000}"/>
    <cellStyle name="Heading 4 11 3 2 2" xfId="18582" xr:uid="{00000000-0005-0000-0000-0000923C0000}"/>
    <cellStyle name="Heading 4 11 4" xfId="10185" xr:uid="{00000000-0005-0000-0000-0000933C0000}"/>
    <cellStyle name="Heading 4 11 4 2" xfId="10186" xr:uid="{00000000-0005-0000-0000-0000943C0000}"/>
    <cellStyle name="Heading 4 11 4 3" xfId="18583" xr:uid="{00000000-0005-0000-0000-0000953C0000}"/>
    <cellStyle name="Heading 4 11 5" xfId="10187" xr:uid="{00000000-0005-0000-0000-0000963C0000}"/>
    <cellStyle name="Heading 4 11 5 2" xfId="18584" xr:uid="{00000000-0005-0000-0000-0000973C0000}"/>
    <cellStyle name="Heading 4 11 6" xfId="10188" xr:uid="{00000000-0005-0000-0000-0000983C0000}"/>
    <cellStyle name="Heading 4 11 6 2" xfId="18585" xr:uid="{00000000-0005-0000-0000-0000993C0000}"/>
    <cellStyle name="Heading 4 11 7" xfId="10189" xr:uid="{00000000-0005-0000-0000-00009A3C0000}"/>
    <cellStyle name="Heading 4 11 7 2" xfId="18586" xr:uid="{00000000-0005-0000-0000-00009B3C0000}"/>
    <cellStyle name="Heading 4 11 8" xfId="10190" xr:uid="{00000000-0005-0000-0000-00009C3C0000}"/>
    <cellStyle name="Heading 4 11 8 2" xfId="18587" xr:uid="{00000000-0005-0000-0000-00009D3C0000}"/>
    <cellStyle name="Heading 4 11 9" xfId="10191" xr:uid="{00000000-0005-0000-0000-00009E3C0000}"/>
    <cellStyle name="Heading 4 11 9 2" xfId="18588" xr:uid="{00000000-0005-0000-0000-00009F3C0000}"/>
    <cellStyle name="Heading 4 12" xfId="10192" xr:uid="{00000000-0005-0000-0000-0000A03C0000}"/>
    <cellStyle name="Heading 4 12 10" xfId="10193" xr:uid="{00000000-0005-0000-0000-0000A13C0000}"/>
    <cellStyle name="Heading 4 12 10 2" xfId="18589" xr:uid="{00000000-0005-0000-0000-0000A23C0000}"/>
    <cellStyle name="Heading 4 12 11" xfId="10194" xr:uid="{00000000-0005-0000-0000-0000A33C0000}"/>
    <cellStyle name="Heading 4 12 11 2" xfId="18590" xr:uid="{00000000-0005-0000-0000-0000A43C0000}"/>
    <cellStyle name="Heading 4 12 2" xfId="10195" xr:uid="{00000000-0005-0000-0000-0000A53C0000}"/>
    <cellStyle name="Heading 4 12 2 2" xfId="10196" xr:uid="{00000000-0005-0000-0000-0000A63C0000}"/>
    <cellStyle name="Heading 4 12 2 2 2" xfId="18591" xr:uid="{00000000-0005-0000-0000-0000A73C0000}"/>
    <cellStyle name="Heading 4 12 3" xfId="10197" xr:uid="{00000000-0005-0000-0000-0000A83C0000}"/>
    <cellStyle name="Heading 4 12 3 2" xfId="10198" xr:uid="{00000000-0005-0000-0000-0000A93C0000}"/>
    <cellStyle name="Heading 4 12 3 2 2" xfId="18592" xr:uid="{00000000-0005-0000-0000-0000AA3C0000}"/>
    <cellStyle name="Heading 4 12 4" xfId="10199" xr:uid="{00000000-0005-0000-0000-0000AB3C0000}"/>
    <cellStyle name="Heading 4 12 4 2" xfId="10200" xr:uid="{00000000-0005-0000-0000-0000AC3C0000}"/>
    <cellStyle name="Heading 4 12 4 3" xfId="18593" xr:uid="{00000000-0005-0000-0000-0000AD3C0000}"/>
    <cellStyle name="Heading 4 12 5" xfId="10201" xr:uid="{00000000-0005-0000-0000-0000AE3C0000}"/>
    <cellStyle name="Heading 4 12 5 2" xfId="18594" xr:uid="{00000000-0005-0000-0000-0000AF3C0000}"/>
    <cellStyle name="Heading 4 12 6" xfId="10202" xr:uid="{00000000-0005-0000-0000-0000B03C0000}"/>
    <cellStyle name="Heading 4 12 6 2" xfId="18595" xr:uid="{00000000-0005-0000-0000-0000B13C0000}"/>
    <cellStyle name="Heading 4 12 7" xfId="10203" xr:uid="{00000000-0005-0000-0000-0000B23C0000}"/>
    <cellStyle name="Heading 4 12 7 2" xfId="18596" xr:uid="{00000000-0005-0000-0000-0000B33C0000}"/>
    <cellStyle name="Heading 4 12 8" xfId="10204" xr:uid="{00000000-0005-0000-0000-0000B43C0000}"/>
    <cellStyle name="Heading 4 12 8 2" xfId="18597" xr:uid="{00000000-0005-0000-0000-0000B53C0000}"/>
    <cellStyle name="Heading 4 12 9" xfId="10205" xr:uid="{00000000-0005-0000-0000-0000B63C0000}"/>
    <cellStyle name="Heading 4 12 9 2" xfId="18598" xr:uid="{00000000-0005-0000-0000-0000B73C0000}"/>
    <cellStyle name="Heading 4 13" xfId="10206" xr:uid="{00000000-0005-0000-0000-0000B83C0000}"/>
    <cellStyle name="Heading 4 13 10" xfId="10207" xr:uid="{00000000-0005-0000-0000-0000B93C0000}"/>
    <cellStyle name="Heading 4 13 10 2" xfId="18599" xr:uid="{00000000-0005-0000-0000-0000BA3C0000}"/>
    <cellStyle name="Heading 4 13 11" xfId="10208" xr:uid="{00000000-0005-0000-0000-0000BB3C0000}"/>
    <cellStyle name="Heading 4 13 11 2" xfId="18600" xr:uid="{00000000-0005-0000-0000-0000BC3C0000}"/>
    <cellStyle name="Heading 4 13 2" xfId="10209" xr:uid="{00000000-0005-0000-0000-0000BD3C0000}"/>
    <cellStyle name="Heading 4 13 2 2" xfId="10210" xr:uid="{00000000-0005-0000-0000-0000BE3C0000}"/>
    <cellStyle name="Heading 4 13 2 2 2" xfId="18601" xr:uid="{00000000-0005-0000-0000-0000BF3C0000}"/>
    <cellStyle name="Heading 4 13 3" xfId="10211" xr:uid="{00000000-0005-0000-0000-0000C03C0000}"/>
    <cellStyle name="Heading 4 13 3 2" xfId="10212" xr:uid="{00000000-0005-0000-0000-0000C13C0000}"/>
    <cellStyle name="Heading 4 13 3 2 2" xfId="18602" xr:uid="{00000000-0005-0000-0000-0000C23C0000}"/>
    <cellStyle name="Heading 4 13 4" xfId="10213" xr:uid="{00000000-0005-0000-0000-0000C33C0000}"/>
    <cellStyle name="Heading 4 13 4 2" xfId="18603" xr:uid="{00000000-0005-0000-0000-0000C43C0000}"/>
    <cellStyle name="Heading 4 13 5" xfId="10214" xr:uid="{00000000-0005-0000-0000-0000C53C0000}"/>
    <cellStyle name="Heading 4 13 5 2" xfId="18604" xr:uid="{00000000-0005-0000-0000-0000C63C0000}"/>
    <cellStyle name="Heading 4 13 6" xfId="10215" xr:uid="{00000000-0005-0000-0000-0000C73C0000}"/>
    <cellStyle name="Heading 4 13 6 2" xfId="18605" xr:uid="{00000000-0005-0000-0000-0000C83C0000}"/>
    <cellStyle name="Heading 4 13 7" xfId="10216" xr:uid="{00000000-0005-0000-0000-0000C93C0000}"/>
    <cellStyle name="Heading 4 13 7 2" xfId="18606" xr:uid="{00000000-0005-0000-0000-0000CA3C0000}"/>
    <cellStyle name="Heading 4 13 8" xfId="10217" xr:uid="{00000000-0005-0000-0000-0000CB3C0000}"/>
    <cellStyle name="Heading 4 13 8 2" xfId="18607" xr:uid="{00000000-0005-0000-0000-0000CC3C0000}"/>
    <cellStyle name="Heading 4 13 9" xfId="10218" xr:uid="{00000000-0005-0000-0000-0000CD3C0000}"/>
    <cellStyle name="Heading 4 13 9 2" xfId="18608" xr:uid="{00000000-0005-0000-0000-0000CE3C0000}"/>
    <cellStyle name="Heading 4 14" xfId="10219" xr:uid="{00000000-0005-0000-0000-0000CF3C0000}"/>
    <cellStyle name="Heading 4 14 10" xfId="10220" xr:uid="{00000000-0005-0000-0000-0000D03C0000}"/>
    <cellStyle name="Heading 4 14 10 2" xfId="18609" xr:uid="{00000000-0005-0000-0000-0000D13C0000}"/>
    <cellStyle name="Heading 4 14 11" xfId="10221" xr:uid="{00000000-0005-0000-0000-0000D23C0000}"/>
    <cellStyle name="Heading 4 14 11 2" xfId="18610" xr:uid="{00000000-0005-0000-0000-0000D33C0000}"/>
    <cellStyle name="Heading 4 14 2" xfId="10222" xr:uid="{00000000-0005-0000-0000-0000D43C0000}"/>
    <cellStyle name="Heading 4 14 2 2" xfId="10223" xr:uid="{00000000-0005-0000-0000-0000D53C0000}"/>
    <cellStyle name="Heading 4 14 2 2 2" xfId="18611" xr:uid="{00000000-0005-0000-0000-0000D63C0000}"/>
    <cellStyle name="Heading 4 14 3" xfId="10224" xr:uid="{00000000-0005-0000-0000-0000D73C0000}"/>
    <cellStyle name="Heading 4 14 3 2" xfId="10225" xr:uid="{00000000-0005-0000-0000-0000D83C0000}"/>
    <cellStyle name="Heading 4 14 3 2 2" xfId="18612" xr:uid="{00000000-0005-0000-0000-0000D93C0000}"/>
    <cellStyle name="Heading 4 14 4" xfId="10226" xr:uid="{00000000-0005-0000-0000-0000DA3C0000}"/>
    <cellStyle name="Heading 4 14 4 2" xfId="18613" xr:uid="{00000000-0005-0000-0000-0000DB3C0000}"/>
    <cellStyle name="Heading 4 14 5" xfId="10227" xr:uid="{00000000-0005-0000-0000-0000DC3C0000}"/>
    <cellStyle name="Heading 4 14 5 2" xfId="18614" xr:uid="{00000000-0005-0000-0000-0000DD3C0000}"/>
    <cellStyle name="Heading 4 14 6" xfId="10228" xr:uid="{00000000-0005-0000-0000-0000DE3C0000}"/>
    <cellStyle name="Heading 4 14 6 2" xfId="18615" xr:uid="{00000000-0005-0000-0000-0000DF3C0000}"/>
    <cellStyle name="Heading 4 14 7" xfId="10229" xr:uid="{00000000-0005-0000-0000-0000E03C0000}"/>
    <cellStyle name="Heading 4 14 7 2" xfId="18616" xr:uid="{00000000-0005-0000-0000-0000E13C0000}"/>
    <cellStyle name="Heading 4 14 8" xfId="10230" xr:uid="{00000000-0005-0000-0000-0000E23C0000}"/>
    <cellStyle name="Heading 4 14 8 2" xfId="18617" xr:uid="{00000000-0005-0000-0000-0000E33C0000}"/>
    <cellStyle name="Heading 4 14 9" xfId="10231" xr:uid="{00000000-0005-0000-0000-0000E43C0000}"/>
    <cellStyle name="Heading 4 14 9 2" xfId="18618" xr:uid="{00000000-0005-0000-0000-0000E53C0000}"/>
    <cellStyle name="Heading 4 15" xfId="10232" xr:uid="{00000000-0005-0000-0000-0000E63C0000}"/>
    <cellStyle name="Heading 4 15 10" xfId="10233" xr:uid="{00000000-0005-0000-0000-0000E73C0000}"/>
    <cellStyle name="Heading 4 15 10 2" xfId="18619" xr:uid="{00000000-0005-0000-0000-0000E83C0000}"/>
    <cellStyle name="Heading 4 15 11" xfId="10234" xr:uid="{00000000-0005-0000-0000-0000E93C0000}"/>
    <cellStyle name="Heading 4 15 11 2" xfId="18620" xr:uid="{00000000-0005-0000-0000-0000EA3C0000}"/>
    <cellStyle name="Heading 4 15 2" xfId="10235" xr:uid="{00000000-0005-0000-0000-0000EB3C0000}"/>
    <cellStyle name="Heading 4 15 2 2" xfId="10236" xr:uid="{00000000-0005-0000-0000-0000EC3C0000}"/>
    <cellStyle name="Heading 4 15 2 2 2" xfId="18621" xr:uid="{00000000-0005-0000-0000-0000ED3C0000}"/>
    <cellStyle name="Heading 4 15 3" xfId="10237" xr:uid="{00000000-0005-0000-0000-0000EE3C0000}"/>
    <cellStyle name="Heading 4 15 3 2" xfId="10238" xr:uid="{00000000-0005-0000-0000-0000EF3C0000}"/>
    <cellStyle name="Heading 4 15 3 2 2" xfId="18622" xr:uid="{00000000-0005-0000-0000-0000F03C0000}"/>
    <cellStyle name="Heading 4 15 4" xfId="10239" xr:uid="{00000000-0005-0000-0000-0000F13C0000}"/>
    <cellStyle name="Heading 4 15 4 2" xfId="18623" xr:uid="{00000000-0005-0000-0000-0000F23C0000}"/>
    <cellStyle name="Heading 4 15 5" xfId="10240" xr:uid="{00000000-0005-0000-0000-0000F33C0000}"/>
    <cellStyle name="Heading 4 15 5 2" xfId="18624" xr:uid="{00000000-0005-0000-0000-0000F43C0000}"/>
    <cellStyle name="Heading 4 15 6" xfId="10241" xr:uid="{00000000-0005-0000-0000-0000F53C0000}"/>
    <cellStyle name="Heading 4 15 6 2" xfId="18625" xr:uid="{00000000-0005-0000-0000-0000F63C0000}"/>
    <cellStyle name="Heading 4 15 7" xfId="10242" xr:uid="{00000000-0005-0000-0000-0000F73C0000}"/>
    <cellStyle name="Heading 4 15 7 2" xfId="18626" xr:uid="{00000000-0005-0000-0000-0000F83C0000}"/>
    <cellStyle name="Heading 4 15 8" xfId="10243" xr:uid="{00000000-0005-0000-0000-0000F93C0000}"/>
    <cellStyle name="Heading 4 15 8 2" xfId="18627" xr:uid="{00000000-0005-0000-0000-0000FA3C0000}"/>
    <cellStyle name="Heading 4 15 9" xfId="10244" xr:uid="{00000000-0005-0000-0000-0000FB3C0000}"/>
    <cellStyle name="Heading 4 15 9 2" xfId="18628" xr:uid="{00000000-0005-0000-0000-0000FC3C0000}"/>
    <cellStyle name="Heading 4 16" xfId="10245" xr:uid="{00000000-0005-0000-0000-0000FD3C0000}"/>
    <cellStyle name="Heading 4 16 10" xfId="10246" xr:uid="{00000000-0005-0000-0000-0000FE3C0000}"/>
    <cellStyle name="Heading 4 16 10 2" xfId="18629" xr:uid="{00000000-0005-0000-0000-0000FF3C0000}"/>
    <cellStyle name="Heading 4 16 11" xfId="10247" xr:uid="{00000000-0005-0000-0000-0000003D0000}"/>
    <cellStyle name="Heading 4 16 11 2" xfId="18630" xr:uid="{00000000-0005-0000-0000-0000013D0000}"/>
    <cellStyle name="Heading 4 16 2" xfId="10248" xr:uid="{00000000-0005-0000-0000-0000023D0000}"/>
    <cellStyle name="Heading 4 16 2 2" xfId="10249" xr:uid="{00000000-0005-0000-0000-0000033D0000}"/>
    <cellStyle name="Heading 4 16 2 2 2" xfId="18631" xr:uid="{00000000-0005-0000-0000-0000043D0000}"/>
    <cellStyle name="Heading 4 16 3" xfId="10250" xr:uid="{00000000-0005-0000-0000-0000053D0000}"/>
    <cellStyle name="Heading 4 16 3 2" xfId="10251" xr:uid="{00000000-0005-0000-0000-0000063D0000}"/>
    <cellStyle name="Heading 4 16 3 2 2" xfId="18632" xr:uid="{00000000-0005-0000-0000-0000073D0000}"/>
    <cellStyle name="Heading 4 16 4" xfId="10252" xr:uid="{00000000-0005-0000-0000-0000083D0000}"/>
    <cellStyle name="Heading 4 16 4 2" xfId="18633" xr:uid="{00000000-0005-0000-0000-0000093D0000}"/>
    <cellStyle name="Heading 4 16 5" xfId="10253" xr:uid="{00000000-0005-0000-0000-00000A3D0000}"/>
    <cellStyle name="Heading 4 16 5 2" xfId="18634" xr:uid="{00000000-0005-0000-0000-00000B3D0000}"/>
    <cellStyle name="Heading 4 16 6" xfId="10254" xr:uid="{00000000-0005-0000-0000-00000C3D0000}"/>
    <cellStyle name="Heading 4 16 6 2" xfId="18635" xr:uid="{00000000-0005-0000-0000-00000D3D0000}"/>
    <cellStyle name="Heading 4 16 7" xfId="10255" xr:uid="{00000000-0005-0000-0000-00000E3D0000}"/>
    <cellStyle name="Heading 4 16 7 2" xfId="18636" xr:uid="{00000000-0005-0000-0000-00000F3D0000}"/>
    <cellStyle name="Heading 4 16 8" xfId="10256" xr:uid="{00000000-0005-0000-0000-0000103D0000}"/>
    <cellStyle name="Heading 4 16 8 2" xfId="18637" xr:uid="{00000000-0005-0000-0000-0000113D0000}"/>
    <cellStyle name="Heading 4 16 9" xfId="10257" xr:uid="{00000000-0005-0000-0000-0000123D0000}"/>
    <cellStyle name="Heading 4 16 9 2" xfId="18638" xr:uid="{00000000-0005-0000-0000-0000133D0000}"/>
    <cellStyle name="Heading 4 17" xfId="10258" xr:uid="{00000000-0005-0000-0000-0000143D0000}"/>
    <cellStyle name="Heading 4 17 10" xfId="10259" xr:uid="{00000000-0005-0000-0000-0000153D0000}"/>
    <cellStyle name="Heading 4 17 10 2" xfId="18639" xr:uid="{00000000-0005-0000-0000-0000163D0000}"/>
    <cellStyle name="Heading 4 17 11" xfId="10260" xr:uid="{00000000-0005-0000-0000-0000173D0000}"/>
    <cellStyle name="Heading 4 17 11 2" xfId="18640" xr:uid="{00000000-0005-0000-0000-0000183D0000}"/>
    <cellStyle name="Heading 4 17 2" xfId="10261" xr:uid="{00000000-0005-0000-0000-0000193D0000}"/>
    <cellStyle name="Heading 4 17 2 2" xfId="10262" xr:uid="{00000000-0005-0000-0000-00001A3D0000}"/>
    <cellStyle name="Heading 4 17 2 2 2" xfId="18641" xr:uid="{00000000-0005-0000-0000-00001B3D0000}"/>
    <cellStyle name="Heading 4 17 3" xfId="10263" xr:uid="{00000000-0005-0000-0000-00001C3D0000}"/>
    <cellStyle name="Heading 4 17 3 2" xfId="10264" xr:uid="{00000000-0005-0000-0000-00001D3D0000}"/>
    <cellStyle name="Heading 4 17 3 2 2" xfId="18642" xr:uid="{00000000-0005-0000-0000-00001E3D0000}"/>
    <cellStyle name="Heading 4 17 4" xfId="10265" xr:uid="{00000000-0005-0000-0000-00001F3D0000}"/>
    <cellStyle name="Heading 4 17 4 2" xfId="18643" xr:uid="{00000000-0005-0000-0000-0000203D0000}"/>
    <cellStyle name="Heading 4 17 5" xfId="10266" xr:uid="{00000000-0005-0000-0000-0000213D0000}"/>
    <cellStyle name="Heading 4 17 5 2" xfId="18644" xr:uid="{00000000-0005-0000-0000-0000223D0000}"/>
    <cellStyle name="Heading 4 17 6" xfId="10267" xr:uid="{00000000-0005-0000-0000-0000233D0000}"/>
    <cellStyle name="Heading 4 17 6 2" xfId="18645" xr:uid="{00000000-0005-0000-0000-0000243D0000}"/>
    <cellStyle name="Heading 4 17 7" xfId="10268" xr:uid="{00000000-0005-0000-0000-0000253D0000}"/>
    <cellStyle name="Heading 4 17 7 2" xfId="18646" xr:uid="{00000000-0005-0000-0000-0000263D0000}"/>
    <cellStyle name="Heading 4 17 8" xfId="10269" xr:uid="{00000000-0005-0000-0000-0000273D0000}"/>
    <cellStyle name="Heading 4 17 8 2" xfId="18647" xr:uid="{00000000-0005-0000-0000-0000283D0000}"/>
    <cellStyle name="Heading 4 17 9" xfId="10270" xr:uid="{00000000-0005-0000-0000-0000293D0000}"/>
    <cellStyle name="Heading 4 17 9 2" xfId="18648" xr:uid="{00000000-0005-0000-0000-00002A3D0000}"/>
    <cellStyle name="Heading 4 18" xfId="10271" xr:uid="{00000000-0005-0000-0000-00002B3D0000}"/>
    <cellStyle name="Heading 4 18 2" xfId="10272" xr:uid="{00000000-0005-0000-0000-00002C3D0000}"/>
    <cellStyle name="Heading 4 18 2 2" xfId="10273" xr:uid="{00000000-0005-0000-0000-00002D3D0000}"/>
    <cellStyle name="Heading 4 18 2 2 2" xfId="18649" xr:uid="{00000000-0005-0000-0000-00002E3D0000}"/>
    <cellStyle name="Heading 4 18 3" xfId="10274" xr:uid="{00000000-0005-0000-0000-00002F3D0000}"/>
    <cellStyle name="Heading 4 18 3 2" xfId="18650" xr:uid="{00000000-0005-0000-0000-0000303D0000}"/>
    <cellStyle name="Heading 4 18 4" xfId="10275" xr:uid="{00000000-0005-0000-0000-0000313D0000}"/>
    <cellStyle name="Heading 4 18 4 2" xfId="18651" xr:uid="{00000000-0005-0000-0000-0000323D0000}"/>
    <cellStyle name="Heading 4 18 5" xfId="10276" xr:uid="{00000000-0005-0000-0000-0000333D0000}"/>
    <cellStyle name="Heading 4 18 5 2" xfId="18652" xr:uid="{00000000-0005-0000-0000-0000343D0000}"/>
    <cellStyle name="Heading 4 18 6" xfId="10277" xr:uid="{00000000-0005-0000-0000-0000353D0000}"/>
    <cellStyle name="Heading 4 18 6 2" xfId="18653" xr:uid="{00000000-0005-0000-0000-0000363D0000}"/>
    <cellStyle name="Heading 4 18 7" xfId="10278" xr:uid="{00000000-0005-0000-0000-0000373D0000}"/>
    <cellStyle name="Heading 4 18 7 2" xfId="18654" xr:uid="{00000000-0005-0000-0000-0000383D0000}"/>
    <cellStyle name="Heading 4 18 8" xfId="10279" xr:uid="{00000000-0005-0000-0000-0000393D0000}"/>
    <cellStyle name="Heading 4 18 8 2" xfId="18655" xr:uid="{00000000-0005-0000-0000-00003A3D0000}"/>
    <cellStyle name="Heading 4 18 9" xfId="10280" xr:uid="{00000000-0005-0000-0000-00003B3D0000}"/>
    <cellStyle name="Heading 4 18 9 2" xfId="18656" xr:uid="{00000000-0005-0000-0000-00003C3D0000}"/>
    <cellStyle name="Heading 4 19" xfId="10281" xr:uid="{00000000-0005-0000-0000-00003D3D0000}"/>
    <cellStyle name="Heading 4 19 2" xfId="10282" xr:uid="{00000000-0005-0000-0000-00003E3D0000}"/>
    <cellStyle name="Heading 4 19 2 2" xfId="10283" xr:uid="{00000000-0005-0000-0000-00003F3D0000}"/>
    <cellStyle name="Heading 4 19 2 2 2" xfId="18657" xr:uid="{00000000-0005-0000-0000-0000403D0000}"/>
    <cellStyle name="Heading 4 19 3" xfId="10284" xr:uid="{00000000-0005-0000-0000-0000413D0000}"/>
    <cellStyle name="Heading 4 19 3 2" xfId="18658" xr:uid="{00000000-0005-0000-0000-0000423D0000}"/>
    <cellStyle name="Heading 4 19 4" xfId="10285" xr:uid="{00000000-0005-0000-0000-0000433D0000}"/>
    <cellStyle name="Heading 4 19 4 2" xfId="18659" xr:uid="{00000000-0005-0000-0000-0000443D0000}"/>
    <cellStyle name="Heading 4 19 5" xfId="10286" xr:uid="{00000000-0005-0000-0000-0000453D0000}"/>
    <cellStyle name="Heading 4 19 5 2" xfId="18660" xr:uid="{00000000-0005-0000-0000-0000463D0000}"/>
    <cellStyle name="Heading 4 19 6" xfId="10287" xr:uid="{00000000-0005-0000-0000-0000473D0000}"/>
    <cellStyle name="Heading 4 19 6 2" xfId="18661" xr:uid="{00000000-0005-0000-0000-0000483D0000}"/>
    <cellStyle name="Heading 4 19 7" xfId="10288" xr:uid="{00000000-0005-0000-0000-0000493D0000}"/>
    <cellStyle name="Heading 4 19 7 2" xfId="18662" xr:uid="{00000000-0005-0000-0000-00004A3D0000}"/>
    <cellStyle name="Heading 4 19 8" xfId="10289" xr:uid="{00000000-0005-0000-0000-00004B3D0000}"/>
    <cellStyle name="Heading 4 19 8 2" xfId="18663" xr:uid="{00000000-0005-0000-0000-00004C3D0000}"/>
    <cellStyle name="Heading 4 19 9" xfId="10290" xr:uid="{00000000-0005-0000-0000-00004D3D0000}"/>
    <cellStyle name="Heading 4 19 9 2" xfId="18664" xr:uid="{00000000-0005-0000-0000-00004E3D0000}"/>
    <cellStyle name="Heading 4 2" xfId="10291" xr:uid="{00000000-0005-0000-0000-00004F3D0000}"/>
    <cellStyle name="Heading 4 2 10" xfId="10292" xr:uid="{00000000-0005-0000-0000-0000503D0000}"/>
    <cellStyle name="Heading 4 2 10 2" xfId="18665" xr:uid="{00000000-0005-0000-0000-0000513D0000}"/>
    <cellStyle name="Heading 4 2 11" xfId="10293" xr:uid="{00000000-0005-0000-0000-0000523D0000}"/>
    <cellStyle name="Heading 4 2 11 2" xfId="18666" xr:uid="{00000000-0005-0000-0000-0000533D0000}"/>
    <cellStyle name="Heading 4 2 12" xfId="21741" xr:uid="{00000000-0005-0000-0000-0000543D0000}"/>
    <cellStyle name="Heading 4 2 2" xfId="10294" xr:uid="{00000000-0005-0000-0000-0000553D0000}"/>
    <cellStyle name="Heading 4 2 2 2" xfId="10295" xr:uid="{00000000-0005-0000-0000-0000563D0000}"/>
    <cellStyle name="Heading 4 2 2 2 2" xfId="18667" xr:uid="{00000000-0005-0000-0000-0000573D0000}"/>
    <cellStyle name="Heading 4 2 3" xfId="10296" xr:uid="{00000000-0005-0000-0000-0000583D0000}"/>
    <cellStyle name="Heading 4 2 3 2" xfId="10297" xr:uid="{00000000-0005-0000-0000-0000593D0000}"/>
    <cellStyle name="Heading 4 2 3 2 2" xfId="18668" xr:uid="{00000000-0005-0000-0000-00005A3D0000}"/>
    <cellStyle name="Heading 4 2 4" xfId="10298" xr:uid="{00000000-0005-0000-0000-00005B3D0000}"/>
    <cellStyle name="Heading 4 2 4 2" xfId="10299" xr:uid="{00000000-0005-0000-0000-00005C3D0000}"/>
    <cellStyle name="Heading 4 2 4 3" xfId="18669" xr:uid="{00000000-0005-0000-0000-00005D3D0000}"/>
    <cellStyle name="Heading 4 2 5" xfId="10300" xr:uid="{00000000-0005-0000-0000-00005E3D0000}"/>
    <cellStyle name="Heading 4 2 5 2" xfId="18670" xr:uid="{00000000-0005-0000-0000-00005F3D0000}"/>
    <cellStyle name="Heading 4 2 6" xfId="10301" xr:uid="{00000000-0005-0000-0000-0000603D0000}"/>
    <cellStyle name="Heading 4 2 6 2" xfId="18671" xr:uid="{00000000-0005-0000-0000-0000613D0000}"/>
    <cellStyle name="Heading 4 2 7" xfId="10302" xr:uid="{00000000-0005-0000-0000-0000623D0000}"/>
    <cellStyle name="Heading 4 2 7 2" xfId="18672" xr:uid="{00000000-0005-0000-0000-0000633D0000}"/>
    <cellStyle name="Heading 4 2 8" xfId="10303" xr:uid="{00000000-0005-0000-0000-0000643D0000}"/>
    <cellStyle name="Heading 4 2 8 2" xfId="18673" xr:uid="{00000000-0005-0000-0000-0000653D0000}"/>
    <cellStyle name="Heading 4 2 9" xfId="10304" xr:uid="{00000000-0005-0000-0000-0000663D0000}"/>
    <cellStyle name="Heading 4 2 9 2" xfId="18674" xr:uid="{00000000-0005-0000-0000-0000673D0000}"/>
    <cellStyle name="Heading 4 20" xfId="10305" xr:uid="{00000000-0005-0000-0000-0000683D0000}"/>
    <cellStyle name="Heading 4 20 2" xfId="10306" xr:uid="{00000000-0005-0000-0000-0000693D0000}"/>
    <cellStyle name="Heading 4 20 2 2" xfId="18675" xr:uid="{00000000-0005-0000-0000-00006A3D0000}"/>
    <cellStyle name="Heading 4 20 3" xfId="10307" xr:uid="{00000000-0005-0000-0000-00006B3D0000}"/>
    <cellStyle name="Heading 4 20 3 2" xfId="18676" xr:uid="{00000000-0005-0000-0000-00006C3D0000}"/>
    <cellStyle name="Heading 4 20 4" xfId="10308" xr:uid="{00000000-0005-0000-0000-00006D3D0000}"/>
    <cellStyle name="Heading 4 20 4 2" xfId="18677" xr:uid="{00000000-0005-0000-0000-00006E3D0000}"/>
    <cellStyle name="Heading 4 20 5" xfId="10309" xr:uid="{00000000-0005-0000-0000-00006F3D0000}"/>
    <cellStyle name="Heading 4 20 5 2" xfId="18678" xr:uid="{00000000-0005-0000-0000-0000703D0000}"/>
    <cellStyle name="Heading 4 20 6" xfId="10310" xr:uid="{00000000-0005-0000-0000-0000713D0000}"/>
    <cellStyle name="Heading 4 20 6 2" xfId="18679" xr:uid="{00000000-0005-0000-0000-0000723D0000}"/>
    <cellStyle name="Heading 4 20 7" xfId="10311" xr:uid="{00000000-0005-0000-0000-0000733D0000}"/>
    <cellStyle name="Heading 4 20 7 2" xfId="18680" xr:uid="{00000000-0005-0000-0000-0000743D0000}"/>
    <cellStyle name="Heading 4 20 8" xfId="10312" xr:uid="{00000000-0005-0000-0000-0000753D0000}"/>
    <cellStyle name="Heading 4 20 8 2" xfId="18681" xr:uid="{00000000-0005-0000-0000-0000763D0000}"/>
    <cellStyle name="Heading 4 20 9" xfId="10313" xr:uid="{00000000-0005-0000-0000-0000773D0000}"/>
    <cellStyle name="Heading 4 20 9 2" xfId="18682" xr:uid="{00000000-0005-0000-0000-0000783D0000}"/>
    <cellStyle name="Heading 4 21" xfId="10314" xr:uid="{00000000-0005-0000-0000-0000793D0000}"/>
    <cellStyle name="Heading 4 21 2" xfId="10315" xr:uid="{00000000-0005-0000-0000-00007A3D0000}"/>
    <cellStyle name="Heading 4 21 2 2" xfId="18683" xr:uid="{00000000-0005-0000-0000-00007B3D0000}"/>
    <cellStyle name="Heading 4 21 3" xfId="10316" xr:uid="{00000000-0005-0000-0000-00007C3D0000}"/>
    <cellStyle name="Heading 4 21 3 2" xfId="18684" xr:uid="{00000000-0005-0000-0000-00007D3D0000}"/>
    <cellStyle name="Heading 4 21 4" xfId="10317" xr:uid="{00000000-0005-0000-0000-00007E3D0000}"/>
    <cellStyle name="Heading 4 21 4 2" xfId="18685" xr:uid="{00000000-0005-0000-0000-00007F3D0000}"/>
    <cellStyle name="Heading 4 21 5" xfId="10318" xr:uid="{00000000-0005-0000-0000-0000803D0000}"/>
    <cellStyle name="Heading 4 21 5 2" xfId="18686" xr:uid="{00000000-0005-0000-0000-0000813D0000}"/>
    <cellStyle name="Heading 4 21 6" xfId="10319" xr:uid="{00000000-0005-0000-0000-0000823D0000}"/>
    <cellStyle name="Heading 4 21 6 2" xfId="18687" xr:uid="{00000000-0005-0000-0000-0000833D0000}"/>
    <cellStyle name="Heading 4 21 7" xfId="10320" xr:uid="{00000000-0005-0000-0000-0000843D0000}"/>
    <cellStyle name="Heading 4 21 7 2" xfId="18688" xr:uid="{00000000-0005-0000-0000-0000853D0000}"/>
    <cellStyle name="Heading 4 21 8" xfId="10321" xr:uid="{00000000-0005-0000-0000-0000863D0000}"/>
    <cellStyle name="Heading 4 21 8 2" xfId="18689" xr:uid="{00000000-0005-0000-0000-0000873D0000}"/>
    <cellStyle name="Heading 4 21 9" xfId="10322" xr:uid="{00000000-0005-0000-0000-0000883D0000}"/>
    <cellStyle name="Heading 4 21 9 2" xfId="18690" xr:uid="{00000000-0005-0000-0000-0000893D0000}"/>
    <cellStyle name="Heading 4 22" xfId="10323" xr:uid="{00000000-0005-0000-0000-00008A3D0000}"/>
    <cellStyle name="Heading 4 22 2" xfId="10324" xr:uid="{00000000-0005-0000-0000-00008B3D0000}"/>
    <cellStyle name="Heading 4 22 2 2" xfId="18691" xr:uid="{00000000-0005-0000-0000-00008C3D0000}"/>
    <cellStyle name="Heading 4 22 3" xfId="10325" xr:uid="{00000000-0005-0000-0000-00008D3D0000}"/>
    <cellStyle name="Heading 4 22 3 2" xfId="18692" xr:uid="{00000000-0005-0000-0000-00008E3D0000}"/>
    <cellStyle name="Heading 4 22 4" xfId="10326" xr:uid="{00000000-0005-0000-0000-00008F3D0000}"/>
    <cellStyle name="Heading 4 22 4 2" xfId="18693" xr:uid="{00000000-0005-0000-0000-0000903D0000}"/>
    <cellStyle name="Heading 4 22 5" xfId="10327" xr:uid="{00000000-0005-0000-0000-0000913D0000}"/>
    <cellStyle name="Heading 4 22 5 2" xfId="18694" xr:uid="{00000000-0005-0000-0000-0000923D0000}"/>
    <cellStyle name="Heading 4 22 6" xfId="10328" xr:uid="{00000000-0005-0000-0000-0000933D0000}"/>
    <cellStyle name="Heading 4 22 6 2" xfId="18695" xr:uid="{00000000-0005-0000-0000-0000943D0000}"/>
    <cellStyle name="Heading 4 22 7" xfId="10329" xr:uid="{00000000-0005-0000-0000-0000953D0000}"/>
    <cellStyle name="Heading 4 22 7 2" xfId="18696" xr:uid="{00000000-0005-0000-0000-0000963D0000}"/>
    <cellStyle name="Heading 4 22 8" xfId="10330" xr:uid="{00000000-0005-0000-0000-0000973D0000}"/>
    <cellStyle name="Heading 4 22 8 2" xfId="18697" xr:uid="{00000000-0005-0000-0000-0000983D0000}"/>
    <cellStyle name="Heading 4 22 9" xfId="10331" xr:uid="{00000000-0005-0000-0000-0000993D0000}"/>
    <cellStyle name="Heading 4 22 9 2" xfId="18698" xr:uid="{00000000-0005-0000-0000-00009A3D0000}"/>
    <cellStyle name="Heading 4 23" xfId="10332" xr:uid="{00000000-0005-0000-0000-00009B3D0000}"/>
    <cellStyle name="Heading 4 23 2" xfId="10333" xr:uid="{00000000-0005-0000-0000-00009C3D0000}"/>
    <cellStyle name="Heading 4 23 2 2" xfId="18699" xr:uid="{00000000-0005-0000-0000-00009D3D0000}"/>
    <cellStyle name="Heading 4 23 3" xfId="10334" xr:uid="{00000000-0005-0000-0000-00009E3D0000}"/>
    <cellStyle name="Heading 4 23 3 2" xfId="18700" xr:uid="{00000000-0005-0000-0000-00009F3D0000}"/>
    <cellStyle name="Heading 4 23 4" xfId="10335" xr:uid="{00000000-0005-0000-0000-0000A03D0000}"/>
    <cellStyle name="Heading 4 23 4 2" xfId="18701" xr:uid="{00000000-0005-0000-0000-0000A13D0000}"/>
    <cellStyle name="Heading 4 23 5" xfId="10336" xr:uid="{00000000-0005-0000-0000-0000A23D0000}"/>
    <cellStyle name="Heading 4 23 5 2" xfId="18702" xr:uid="{00000000-0005-0000-0000-0000A33D0000}"/>
    <cellStyle name="Heading 4 23 6" xfId="10337" xr:uid="{00000000-0005-0000-0000-0000A43D0000}"/>
    <cellStyle name="Heading 4 23 6 2" xfId="18703" xr:uid="{00000000-0005-0000-0000-0000A53D0000}"/>
    <cellStyle name="Heading 4 23 7" xfId="10338" xr:uid="{00000000-0005-0000-0000-0000A63D0000}"/>
    <cellStyle name="Heading 4 23 7 2" xfId="18704" xr:uid="{00000000-0005-0000-0000-0000A73D0000}"/>
    <cellStyle name="Heading 4 23 8" xfId="10339" xr:uid="{00000000-0005-0000-0000-0000A83D0000}"/>
    <cellStyle name="Heading 4 23 8 2" xfId="18705" xr:uid="{00000000-0005-0000-0000-0000A93D0000}"/>
    <cellStyle name="Heading 4 23 9" xfId="10340" xr:uid="{00000000-0005-0000-0000-0000AA3D0000}"/>
    <cellStyle name="Heading 4 23 9 2" xfId="18706" xr:uid="{00000000-0005-0000-0000-0000AB3D0000}"/>
    <cellStyle name="Heading 4 24" xfId="10341" xr:uid="{00000000-0005-0000-0000-0000AC3D0000}"/>
    <cellStyle name="Heading 4 24 2" xfId="10342" xr:uid="{00000000-0005-0000-0000-0000AD3D0000}"/>
    <cellStyle name="Heading 4 24 2 2" xfId="18707" xr:uid="{00000000-0005-0000-0000-0000AE3D0000}"/>
    <cellStyle name="Heading 4 24 3" xfId="10343" xr:uid="{00000000-0005-0000-0000-0000AF3D0000}"/>
    <cellStyle name="Heading 4 24 3 2" xfId="18708" xr:uid="{00000000-0005-0000-0000-0000B03D0000}"/>
    <cellStyle name="Heading 4 24 4" xfId="10344" xr:uid="{00000000-0005-0000-0000-0000B13D0000}"/>
    <cellStyle name="Heading 4 24 4 2" xfId="18709" xr:uid="{00000000-0005-0000-0000-0000B23D0000}"/>
    <cellStyle name="Heading 4 24 5" xfId="10345" xr:uid="{00000000-0005-0000-0000-0000B33D0000}"/>
    <cellStyle name="Heading 4 24 5 2" xfId="18710" xr:uid="{00000000-0005-0000-0000-0000B43D0000}"/>
    <cellStyle name="Heading 4 24 6" xfId="10346" xr:uid="{00000000-0005-0000-0000-0000B53D0000}"/>
    <cellStyle name="Heading 4 24 6 2" xfId="18711" xr:uid="{00000000-0005-0000-0000-0000B63D0000}"/>
    <cellStyle name="Heading 4 24 7" xfId="10347" xr:uid="{00000000-0005-0000-0000-0000B73D0000}"/>
    <cellStyle name="Heading 4 24 7 2" xfId="18712" xr:uid="{00000000-0005-0000-0000-0000B83D0000}"/>
    <cellStyle name="Heading 4 24 8" xfId="10348" xr:uid="{00000000-0005-0000-0000-0000B93D0000}"/>
    <cellStyle name="Heading 4 24 8 2" xfId="18713" xr:uid="{00000000-0005-0000-0000-0000BA3D0000}"/>
    <cellStyle name="Heading 4 24 9" xfId="10349" xr:uid="{00000000-0005-0000-0000-0000BB3D0000}"/>
    <cellStyle name="Heading 4 24 9 2" xfId="18714" xr:uid="{00000000-0005-0000-0000-0000BC3D0000}"/>
    <cellStyle name="Heading 4 25" xfId="10350" xr:uid="{00000000-0005-0000-0000-0000BD3D0000}"/>
    <cellStyle name="Heading 4 25 2" xfId="10351" xr:uid="{00000000-0005-0000-0000-0000BE3D0000}"/>
    <cellStyle name="Heading 4 25 2 2" xfId="18715" xr:uid="{00000000-0005-0000-0000-0000BF3D0000}"/>
    <cellStyle name="Heading 4 25 3" xfId="10352" xr:uid="{00000000-0005-0000-0000-0000C03D0000}"/>
    <cellStyle name="Heading 4 25 3 2" xfId="18716" xr:uid="{00000000-0005-0000-0000-0000C13D0000}"/>
    <cellStyle name="Heading 4 25 4" xfId="10353" xr:uid="{00000000-0005-0000-0000-0000C23D0000}"/>
    <cellStyle name="Heading 4 25 4 2" xfId="18717" xr:uid="{00000000-0005-0000-0000-0000C33D0000}"/>
    <cellStyle name="Heading 4 25 5" xfId="10354" xr:uid="{00000000-0005-0000-0000-0000C43D0000}"/>
    <cellStyle name="Heading 4 25 5 2" xfId="18718" xr:uid="{00000000-0005-0000-0000-0000C53D0000}"/>
    <cellStyle name="Heading 4 25 6" xfId="10355" xr:uid="{00000000-0005-0000-0000-0000C63D0000}"/>
    <cellStyle name="Heading 4 25 6 2" xfId="18719" xr:uid="{00000000-0005-0000-0000-0000C73D0000}"/>
    <cellStyle name="Heading 4 25 7" xfId="10356" xr:uid="{00000000-0005-0000-0000-0000C83D0000}"/>
    <cellStyle name="Heading 4 25 7 2" xfId="18720" xr:uid="{00000000-0005-0000-0000-0000C93D0000}"/>
    <cellStyle name="Heading 4 25 8" xfId="10357" xr:uid="{00000000-0005-0000-0000-0000CA3D0000}"/>
    <cellStyle name="Heading 4 25 8 2" xfId="18721" xr:uid="{00000000-0005-0000-0000-0000CB3D0000}"/>
    <cellStyle name="Heading 4 25 9" xfId="10358" xr:uid="{00000000-0005-0000-0000-0000CC3D0000}"/>
    <cellStyle name="Heading 4 25 9 2" xfId="18722" xr:uid="{00000000-0005-0000-0000-0000CD3D0000}"/>
    <cellStyle name="Heading 4 26" xfId="10359" xr:uid="{00000000-0005-0000-0000-0000CE3D0000}"/>
    <cellStyle name="Heading 4 26 2" xfId="10360" xr:uid="{00000000-0005-0000-0000-0000CF3D0000}"/>
    <cellStyle name="Heading 4 26 2 2" xfId="18723" xr:uid="{00000000-0005-0000-0000-0000D03D0000}"/>
    <cellStyle name="Heading 4 26 3" xfId="10361" xr:uid="{00000000-0005-0000-0000-0000D13D0000}"/>
    <cellStyle name="Heading 4 26 3 2" xfId="18724" xr:uid="{00000000-0005-0000-0000-0000D23D0000}"/>
    <cellStyle name="Heading 4 26 4" xfId="10362" xr:uid="{00000000-0005-0000-0000-0000D33D0000}"/>
    <cellStyle name="Heading 4 26 4 2" xfId="18725" xr:uid="{00000000-0005-0000-0000-0000D43D0000}"/>
    <cellStyle name="Heading 4 26 5" xfId="10363" xr:uid="{00000000-0005-0000-0000-0000D53D0000}"/>
    <cellStyle name="Heading 4 26 5 2" xfId="18726" xr:uid="{00000000-0005-0000-0000-0000D63D0000}"/>
    <cellStyle name="Heading 4 26 6" xfId="10364" xr:uid="{00000000-0005-0000-0000-0000D73D0000}"/>
    <cellStyle name="Heading 4 26 6 2" xfId="18727" xr:uid="{00000000-0005-0000-0000-0000D83D0000}"/>
    <cellStyle name="Heading 4 26 7" xfId="10365" xr:uid="{00000000-0005-0000-0000-0000D93D0000}"/>
    <cellStyle name="Heading 4 26 7 2" xfId="18728" xr:uid="{00000000-0005-0000-0000-0000DA3D0000}"/>
    <cellStyle name="Heading 4 26 8" xfId="10366" xr:uid="{00000000-0005-0000-0000-0000DB3D0000}"/>
    <cellStyle name="Heading 4 26 8 2" xfId="18729" xr:uid="{00000000-0005-0000-0000-0000DC3D0000}"/>
    <cellStyle name="Heading 4 26 9" xfId="10367" xr:uid="{00000000-0005-0000-0000-0000DD3D0000}"/>
    <cellStyle name="Heading 4 26 9 2" xfId="18730" xr:uid="{00000000-0005-0000-0000-0000DE3D0000}"/>
    <cellStyle name="Heading 4 27" xfId="10368" xr:uid="{00000000-0005-0000-0000-0000DF3D0000}"/>
    <cellStyle name="Heading 4 27 2" xfId="10369" xr:uid="{00000000-0005-0000-0000-0000E03D0000}"/>
    <cellStyle name="Heading 4 27 2 2" xfId="18731" xr:uid="{00000000-0005-0000-0000-0000E13D0000}"/>
    <cellStyle name="Heading 4 27 3" xfId="10370" xr:uid="{00000000-0005-0000-0000-0000E23D0000}"/>
    <cellStyle name="Heading 4 27 3 2" xfId="18732" xr:uid="{00000000-0005-0000-0000-0000E33D0000}"/>
    <cellStyle name="Heading 4 27 4" xfId="10371" xr:uid="{00000000-0005-0000-0000-0000E43D0000}"/>
    <cellStyle name="Heading 4 27 4 2" xfId="18733" xr:uid="{00000000-0005-0000-0000-0000E53D0000}"/>
    <cellStyle name="Heading 4 27 5" xfId="10372" xr:uid="{00000000-0005-0000-0000-0000E63D0000}"/>
    <cellStyle name="Heading 4 27 5 2" xfId="18734" xr:uid="{00000000-0005-0000-0000-0000E73D0000}"/>
    <cellStyle name="Heading 4 27 6" xfId="10373" xr:uid="{00000000-0005-0000-0000-0000E83D0000}"/>
    <cellStyle name="Heading 4 27 6 2" xfId="18735" xr:uid="{00000000-0005-0000-0000-0000E93D0000}"/>
    <cellStyle name="Heading 4 27 7" xfId="10374" xr:uid="{00000000-0005-0000-0000-0000EA3D0000}"/>
    <cellStyle name="Heading 4 27 7 2" xfId="18736" xr:uid="{00000000-0005-0000-0000-0000EB3D0000}"/>
    <cellStyle name="Heading 4 27 8" xfId="10375" xr:uid="{00000000-0005-0000-0000-0000EC3D0000}"/>
    <cellStyle name="Heading 4 27 8 2" xfId="18737" xr:uid="{00000000-0005-0000-0000-0000ED3D0000}"/>
    <cellStyle name="Heading 4 27 9" xfId="10376" xr:uid="{00000000-0005-0000-0000-0000EE3D0000}"/>
    <cellStyle name="Heading 4 27 9 2" xfId="18738" xr:uid="{00000000-0005-0000-0000-0000EF3D0000}"/>
    <cellStyle name="Heading 4 28" xfId="10377" xr:uid="{00000000-0005-0000-0000-0000F03D0000}"/>
    <cellStyle name="Heading 4 28 2" xfId="10378" xr:uid="{00000000-0005-0000-0000-0000F13D0000}"/>
    <cellStyle name="Heading 4 28 2 2" xfId="18739" xr:uid="{00000000-0005-0000-0000-0000F23D0000}"/>
    <cellStyle name="Heading 4 28 3" xfId="10379" xr:uid="{00000000-0005-0000-0000-0000F33D0000}"/>
    <cellStyle name="Heading 4 28 3 2" xfId="18740" xr:uid="{00000000-0005-0000-0000-0000F43D0000}"/>
    <cellStyle name="Heading 4 28 4" xfId="10380" xr:uid="{00000000-0005-0000-0000-0000F53D0000}"/>
    <cellStyle name="Heading 4 28 4 2" xfId="18741" xr:uid="{00000000-0005-0000-0000-0000F63D0000}"/>
    <cellStyle name="Heading 4 28 5" xfId="10381" xr:uid="{00000000-0005-0000-0000-0000F73D0000}"/>
    <cellStyle name="Heading 4 28 5 2" xfId="18742" xr:uid="{00000000-0005-0000-0000-0000F83D0000}"/>
    <cellStyle name="Heading 4 28 6" xfId="10382" xr:uid="{00000000-0005-0000-0000-0000F93D0000}"/>
    <cellStyle name="Heading 4 28 6 2" xfId="18743" xr:uid="{00000000-0005-0000-0000-0000FA3D0000}"/>
    <cellStyle name="Heading 4 28 7" xfId="10383" xr:uid="{00000000-0005-0000-0000-0000FB3D0000}"/>
    <cellStyle name="Heading 4 28 7 2" xfId="18744" xr:uid="{00000000-0005-0000-0000-0000FC3D0000}"/>
    <cellStyle name="Heading 4 28 8" xfId="10384" xr:uid="{00000000-0005-0000-0000-0000FD3D0000}"/>
    <cellStyle name="Heading 4 28 8 2" xfId="18745" xr:uid="{00000000-0005-0000-0000-0000FE3D0000}"/>
    <cellStyle name="Heading 4 28 9" xfId="10385" xr:uid="{00000000-0005-0000-0000-0000FF3D0000}"/>
    <cellStyle name="Heading 4 28 9 2" xfId="18746" xr:uid="{00000000-0005-0000-0000-0000003E0000}"/>
    <cellStyle name="Heading 4 29" xfId="10386" xr:uid="{00000000-0005-0000-0000-0000013E0000}"/>
    <cellStyle name="Heading 4 29 2" xfId="10387" xr:uid="{00000000-0005-0000-0000-0000023E0000}"/>
    <cellStyle name="Heading 4 29 2 2" xfId="18747" xr:uid="{00000000-0005-0000-0000-0000033E0000}"/>
    <cellStyle name="Heading 4 29 3" xfId="10388" xr:uid="{00000000-0005-0000-0000-0000043E0000}"/>
    <cellStyle name="Heading 4 29 3 2" xfId="18748" xr:uid="{00000000-0005-0000-0000-0000053E0000}"/>
    <cellStyle name="Heading 4 29 4" xfId="10389" xr:uid="{00000000-0005-0000-0000-0000063E0000}"/>
    <cellStyle name="Heading 4 29 4 2" xfId="18749" xr:uid="{00000000-0005-0000-0000-0000073E0000}"/>
    <cellStyle name="Heading 4 29 5" xfId="10390" xr:uid="{00000000-0005-0000-0000-0000083E0000}"/>
    <cellStyle name="Heading 4 29 5 2" xfId="18750" xr:uid="{00000000-0005-0000-0000-0000093E0000}"/>
    <cellStyle name="Heading 4 29 6" xfId="10391" xr:uid="{00000000-0005-0000-0000-00000A3E0000}"/>
    <cellStyle name="Heading 4 29 6 2" xfId="18751" xr:uid="{00000000-0005-0000-0000-00000B3E0000}"/>
    <cellStyle name="Heading 4 29 7" xfId="10392" xr:uid="{00000000-0005-0000-0000-00000C3E0000}"/>
    <cellStyle name="Heading 4 29 7 2" xfId="18752" xr:uid="{00000000-0005-0000-0000-00000D3E0000}"/>
    <cellStyle name="Heading 4 29 8" xfId="10393" xr:uid="{00000000-0005-0000-0000-00000E3E0000}"/>
    <cellStyle name="Heading 4 29 8 2" xfId="18753" xr:uid="{00000000-0005-0000-0000-00000F3E0000}"/>
    <cellStyle name="Heading 4 29 9" xfId="10394" xr:uid="{00000000-0005-0000-0000-0000103E0000}"/>
    <cellStyle name="Heading 4 29 9 2" xfId="18754" xr:uid="{00000000-0005-0000-0000-0000113E0000}"/>
    <cellStyle name="Heading 4 3" xfId="10395" xr:uid="{00000000-0005-0000-0000-0000123E0000}"/>
    <cellStyle name="Heading 4 3 10" xfId="10396" xr:uid="{00000000-0005-0000-0000-0000133E0000}"/>
    <cellStyle name="Heading 4 3 10 2" xfId="18755" xr:uid="{00000000-0005-0000-0000-0000143E0000}"/>
    <cellStyle name="Heading 4 3 11" xfId="10397" xr:uid="{00000000-0005-0000-0000-0000153E0000}"/>
    <cellStyle name="Heading 4 3 11 2" xfId="18756" xr:uid="{00000000-0005-0000-0000-0000163E0000}"/>
    <cellStyle name="Heading 4 3 12" xfId="22091" xr:uid="{00000000-0005-0000-0000-0000173E0000}"/>
    <cellStyle name="Heading 4 3 2" xfId="10398" xr:uid="{00000000-0005-0000-0000-0000183E0000}"/>
    <cellStyle name="Heading 4 3 2 2" xfId="10399" xr:uid="{00000000-0005-0000-0000-0000193E0000}"/>
    <cellStyle name="Heading 4 3 2 2 2" xfId="18757" xr:uid="{00000000-0005-0000-0000-00001A3E0000}"/>
    <cellStyle name="Heading 4 3 3" xfId="10400" xr:uid="{00000000-0005-0000-0000-00001B3E0000}"/>
    <cellStyle name="Heading 4 3 3 2" xfId="10401" xr:uid="{00000000-0005-0000-0000-00001C3E0000}"/>
    <cellStyle name="Heading 4 3 3 2 2" xfId="18758" xr:uid="{00000000-0005-0000-0000-00001D3E0000}"/>
    <cellStyle name="Heading 4 3 4" xfId="10402" xr:uid="{00000000-0005-0000-0000-00001E3E0000}"/>
    <cellStyle name="Heading 4 3 4 2" xfId="10403" xr:uid="{00000000-0005-0000-0000-00001F3E0000}"/>
    <cellStyle name="Heading 4 3 4 3" xfId="18759" xr:uid="{00000000-0005-0000-0000-0000203E0000}"/>
    <cellStyle name="Heading 4 3 5" xfId="10404" xr:uid="{00000000-0005-0000-0000-0000213E0000}"/>
    <cellStyle name="Heading 4 3 5 2" xfId="18760" xr:uid="{00000000-0005-0000-0000-0000223E0000}"/>
    <cellStyle name="Heading 4 3 6" xfId="10405" xr:uid="{00000000-0005-0000-0000-0000233E0000}"/>
    <cellStyle name="Heading 4 3 6 2" xfId="18761" xr:uid="{00000000-0005-0000-0000-0000243E0000}"/>
    <cellStyle name="Heading 4 3 7" xfId="10406" xr:uid="{00000000-0005-0000-0000-0000253E0000}"/>
    <cellStyle name="Heading 4 3 7 2" xfId="18762" xr:uid="{00000000-0005-0000-0000-0000263E0000}"/>
    <cellStyle name="Heading 4 3 8" xfId="10407" xr:uid="{00000000-0005-0000-0000-0000273E0000}"/>
    <cellStyle name="Heading 4 3 8 2" xfId="18763" xr:uid="{00000000-0005-0000-0000-0000283E0000}"/>
    <cellStyle name="Heading 4 3 9" xfId="10408" xr:uid="{00000000-0005-0000-0000-0000293E0000}"/>
    <cellStyle name="Heading 4 3 9 2" xfId="18764" xr:uid="{00000000-0005-0000-0000-00002A3E0000}"/>
    <cellStyle name="Heading 4 30" xfId="10409" xr:uid="{00000000-0005-0000-0000-00002B3E0000}"/>
    <cellStyle name="Heading 4 30 2" xfId="10410" xr:uid="{00000000-0005-0000-0000-00002C3E0000}"/>
    <cellStyle name="Heading 4 30 2 2" xfId="18765" xr:uid="{00000000-0005-0000-0000-00002D3E0000}"/>
    <cellStyle name="Heading 4 31" xfId="10411" xr:uid="{00000000-0005-0000-0000-00002E3E0000}"/>
    <cellStyle name="Heading 4 31 2" xfId="10412" xr:uid="{00000000-0005-0000-0000-00002F3E0000}"/>
    <cellStyle name="Heading 4 31 2 2" xfId="18766" xr:uid="{00000000-0005-0000-0000-0000303E0000}"/>
    <cellStyle name="Heading 4 32" xfId="10413" xr:uid="{00000000-0005-0000-0000-0000313E0000}"/>
    <cellStyle name="Heading 4 32 2" xfId="10414" xr:uid="{00000000-0005-0000-0000-0000323E0000}"/>
    <cellStyle name="Heading 4 32 2 2" xfId="18767" xr:uid="{00000000-0005-0000-0000-0000333E0000}"/>
    <cellStyle name="Heading 4 33" xfId="10415" xr:uid="{00000000-0005-0000-0000-0000343E0000}"/>
    <cellStyle name="Heading 4 33 2" xfId="10416" xr:uid="{00000000-0005-0000-0000-0000353E0000}"/>
    <cellStyle name="Heading 4 33 2 2" xfId="18768" xr:uid="{00000000-0005-0000-0000-0000363E0000}"/>
    <cellStyle name="Heading 4 34" xfId="10417" xr:uid="{00000000-0005-0000-0000-0000373E0000}"/>
    <cellStyle name="Heading 4 34 2" xfId="10418" xr:uid="{00000000-0005-0000-0000-0000383E0000}"/>
    <cellStyle name="Heading 4 34 2 2" xfId="18769" xr:uid="{00000000-0005-0000-0000-0000393E0000}"/>
    <cellStyle name="Heading 4 35" xfId="10419" xr:uid="{00000000-0005-0000-0000-00003A3E0000}"/>
    <cellStyle name="Heading 4 35 2" xfId="10420" xr:uid="{00000000-0005-0000-0000-00003B3E0000}"/>
    <cellStyle name="Heading 4 35 2 2" xfId="18770" xr:uid="{00000000-0005-0000-0000-00003C3E0000}"/>
    <cellStyle name="Heading 4 36" xfId="10421" xr:uid="{00000000-0005-0000-0000-00003D3E0000}"/>
    <cellStyle name="Heading 4 37" xfId="10422" xr:uid="{00000000-0005-0000-0000-00003E3E0000}"/>
    <cellStyle name="Heading 4 38" xfId="10423" xr:uid="{00000000-0005-0000-0000-00003F3E0000}"/>
    <cellStyle name="Heading 4 39" xfId="10424" xr:uid="{00000000-0005-0000-0000-0000403E0000}"/>
    <cellStyle name="Heading 4 4" xfId="10425" xr:uid="{00000000-0005-0000-0000-0000413E0000}"/>
    <cellStyle name="Heading 4 4 10" xfId="10426" xr:uid="{00000000-0005-0000-0000-0000423E0000}"/>
    <cellStyle name="Heading 4 4 10 2" xfId="18771" xr:uid="{00000000-0005-0000-0000-0000433E0000}"/>
    <cellStyle name="Heading 4 4 11" xfId="10427" xr:uid="{00000000-0005-0000-0000-0000443E0000}"/>
    <cellStyle name="Heading 4 4 11 2" xfId="18772" xr:uid="{00000000-0005-0000-0000-0000453E0000}"/>
    <cellStyle name="Heading 4 4 12" xfId="22092" xr:uid="{00000000-0005-0000-0000-0000463E0000}"/>
    <cellStyle name="Heading 4 4 2" xfId="10428" xr:uid="{00000000-0005-0000-0000-0000473E0000}"/>
    <cellStyle name="Heading 4 4 2 2" xfId="10429" xr:uid="{00000000-0005-0000-0000-0000483E0000}"/>
    <cellStyle name="Heading 4 4 2 2 2" xfId="18773" xr:uid="{00000000-0005-0000-0000-0000493E0000}"/>
    <cellStyle name="Heading 4 4 3" xfId="10430" xr:uid="{00000000-0005-0000-0000-00004A3E0000}"/>
    <cellStyle name="Heading 4 4 3 2" xfId="10431" xr:uid="{00000000-0005-0000-0000-00004B3E0000}"/>
    <cellStyle name="Heading 4 4 3 2 2" xfId="18774" xr:uid="{00000000-0005-0000-0000-00004C3E0000}"/>
    <cellStyle name="Heading 4 4 4" xfId="10432" xr:uid="{00000000-0005-0000-0000-00004D3E0000}"/>
    <cellStyle name="Heading 4 4 4 2" xfId="10433" xr:uid="{00000000-0005-0000-0000-00004E3E0000}"/>
    <cellStyle name="Heading 4 4 4 3" xfId="18775" xr:uid="{00000000-0005-0000-0000-00004F3E0000}"/>
    <cellStyle name="Heading 4 4 5" xfId="10434" xr:uid="{00000000-0005-0000-0000-0000503E0000}"/>
    <cellStyle name="Heading 4 4 5 2" xfId="18776" xr:uid="{00000000-0005-0000-0000-0000513E0000}"/>
    <cellStyle name="Heading 4 4 6" xfId="10435" xr:uid="{00000000-0005-0000-0000-0000523E0000}"/>
    <cellStyle name="Heading 4 4 6 2" xfId="18777" xr:uid="{00000000-0005-0000-0000-0000533E0000}"/>
    <cellStyle name="Heading 4 4 7" xfId="10436" xr:uid="{00000000-0005-0000-0000-0000543E0000}"/>
    <cellStyle name="Heading 4 4 7 2" xfId="18778" xr:uid="{00000000-0005-0000-0000-0000553E0000}"/>
    <cellStyle name="Heading 4 4 8" xfId="10437" xr:uid="{00000000-0005-0000-0000-0000563E0000}"/>
    <cellStyle name="Heading 4 4 8 2" xfId="18779" xr:uid="{00000000-0005-0000-0000-0000573E0000}"/>
    <cellStyle name="Heading 4 4 9" xfId="10438" xr:uid="{00000000-0005-0000-0000-0000583E0000}"/>
    <cellStyle name="Heading 4 4 9 2" xfId="18780" xr:uid="{00000000-0005-0000-0000-0000593E0000}"/>
    <cellStyle name="Heading 4 40" xfId="21742" xr:uid="{00000000-0005-0000-0000-00005A3E0000}"/>
    <cellStyle name="Heading 4 5" xfId="10439" xr:uid="{00000000-0005-0000-0000-00005B3E0000}"/>
    <cellStyle name="Heading 4 5 10" xfId="10440" xr:uid="{00000000-0005-0000-0000-00005C3E0000}"/>
    <cellStyle name="Heading 4 5 10 2" xfId="18781" xr:uid="{00000000-0005-0000-0000-00005D3E0000}"/>
    <cellStyle name="Heading 4 5 11" xfId="10441" xr:uid="{00000000-0005-0000-0000-00005E3E0000}"/>
    <cellStyle name="Heading 4 5 11 2" xfId="18782" xr:uid="{00000000-0005-0000-0000-00005F3E0000}"/>
    <cellStyle name="Heading 4 5 12" xfId="22093" xr:uid="{00000000-0005-0000-0000-0000603E0000}"/>
    <cellStyle name="Heading 4 5 2" xfId="10442" xr:uid="{00000000-0005-0000-0000-0000613E0000}"/>
    <cellStyle name="Heading 4 5 2 2" xfId="10443" xr:uid="{00000000-0005-0000-0000-0000623E0000}"/>
    <cellStyle name="Heading 4 5 2 2 2" xfId="18783" xr:uid="{00000000-0005-0000-0000-0000633E0000}"/>
    <cellStyle name="Heading 4 5 3" xfId="10444" xr:uid="{00000000-0005-0000-0000-0000643E0000}"/>
    <cellStyle name="Heading 4 5 3 2" xfId="10445" xr:uid="{00000000-0005-0000-0000-0000653E0000}"/>
    <cellStyle name="Heading 4 5 3 2 2" xfId="18784" xr:uid="{00000000-0005-0000-0000-0000663E0000}"/>
    <cellStyle name="Heading 4 5 4" xfId="10446" xr:uid="{00000000-0005-0000-0000-0000673E0000}"/>
    <cellStyle name="Heading 4 5 4 2" xfId="10447" xr:uid="{00000000-0005-0000-0000-0000683E0000}"/>
    <cellStyle name="Heading 4 5 4 3" xfId="18785" xr:uid="{00000000-0005-0000-0000-0000693E0000}"/>
    <cellStyle name="Heading 4 5 5" xfId="10448" xr:uid="{00000000-0005-0000-0000-00006A3E0000}"/>
    <cellStyle name="Heading 4 5 5 2" xfId="18786" xr:uid="{00000000-0005-0000-0000-00006B3E0000}"/>
    <cellStyle name="Heading 4 5 6" xfId="10449" xr:uid="{00000000-0005-0000-0000-00006C3E0000}"/>
    <cellStyle name="Heading 4 5 6 2" xfId="18787" xr:uid="{00000000-0005-0000-0000-00006D3E0000}"/>
    <cellStyle name="Heading 4 5 7" xfId="10450" xr:uid="{00000000-0005-0000-0000-00006E3E0000}"/>
    <cellStyle name="Heading 4 5 7 2" xfId="18788" xr:uid="{00000000-0005-0000-0000-00006F3E0000}"/>
    <cellStyle name="Heading 4 5 8" xfId="10451" xr:uid="{00000000-0005-0000-0000-0000703E0000}"/>
    <cellStyle name="Heading 4 5 8 2" xfId="18789" xr:uid="{00000000-0005-0000-0000-0000713E0000}"/>
    <cellStyle name="Heading 4 5 9" xfId="10452" xr:uid="{00000000-0005-0000-0000-0000723E0000}"/>
    <cellStyle name="Heading 4 5 9 2" xfId="18790" xr:uid="{00000000-0005-0000-0000-0000733E0000}"/>
    <cellStyle name="Heading 4 6" xfId="10453" xr:uid="{00000000-0005-0000-0000-0000743E0000}"/>
    <cellStyle name="Heading 4 6 10" xfId="10454" xr:uid="{00000000-0005-0000-0000-0000753E0000}"/>
    <cellStyle name="Heading 4 6 10 2" xfId="18791" xr:uid="{00000000-0005-0000-0000-0000763E0000}"/>
    <cellStyle name="Heading 4 6 11" xfId="10455" xr:uid="{00000000-0005-0000-0000-0000773E0000}"/>
    <cellStyle name="Heading 4 6 11 2" xfId="18792" xr:uid="{00000000-0005-0000-0000-0000783E0000}"/>
    <cellStyle name="Heading 4 6 12" xfId="23552" xr:uid="{991B0712-3BF0-4CE8-B519-0073E0576D17}"/>
    <cellStyle name="Heading 4 6 2" xfId="10456" xr:uid="{00000000-0005-0000-0000-0000793E0000}"/>
    <cellStyle name="Heading 4 6 2 2" xfId="10457" xr:uid="{00000000-0005-0000-0000-00007A3E0000}"/>
    <cellStyle name="Heading 4 6 2 2 2" xfId="18793" xr:uid="{00000000-0005-0000-0000-00007B3E0000}"/>
    <cellStyle name="Heading 4 6 2 2 3" xfId="26825" xr:uid="{991B0712-3BF0-4CE8-B519-0073E0576D17}"/>
    <cellStyle name="Heading 4 6 2 3" xfId="27153" xr:uid="{991B0712-3BF0-4CE8-B519-0073E0576D17}"/>
    <cellStyle name="Heading 4 6 2 4" xfId="24539" xr:uid="{991B0712-3BF0-4CE8-B519-0073E0576D17}"/>
    <cellStyle name="Heading 4 6 3" xfId="10458" xr:uid="{00000000-0005-0000-0000-00007C3E0000}"/>
    <cellStyle name="Heading 4 6 3 2" xfId="10459" xr:uid="{00000000-0005-0000-0000-00007D3E0000}"/>
    <cellStyle name="Heading 4 6 3 2 2" xfId="18794" xr:uid="{00000000-0005-0000-0000-00007E3E0000}"/>
    <cellStyle name="Heading 4 6 3 3" xfId="25729" xr:uid="{991B0712-3BF0-4CE8-B519-0073E0576D17}"/>
    <cellStyle name="Heading 4 6 4" xfId="10460" xr:uid="{00000000-0005-0000-0000-00007F3E0000}"/>
    <cellStyle name="Heading 4 6 4 2" xfId="10461" xr:uid="{00000000-0005-0000-0000-0000803E0000}"/>
    <cellStyle name="Heading 4 6 4 3" xfId="18795" xr:uid="{00000000-0005-0000-0000-0000813E0000}"/>
    <cellStyle name="Heading 4 6 4 4" xfId="27042" xr:uid="{991B0712-3BF0-4CE8-B519-0073E0576D17}"/>
    <cellStyle name="Heading 4 6 5" xfId="10462" xr:uid="{00000000-0005-0000-0000-0000823E0000}"/>
    <cellStyle name="Heading 4 6 5 2" xfId="18796" xr:uid="{00000000-0005-0000-0000-0000833E0000}"/>
    <cellStyle name="Heading 4 6 6" xfId="10463" xr:uid="{00000000-0005-0000-0000-0000843E0000}"/>
    <cellStyle name="Heading 4 6 6 2" xfId="18797" xr:uid="{00000000-0005-0000-0000-0000853E0000}"/>
    <cellStyle name="Heading 4 6 7" xfId="10464" xr:uid="{00000000-0005-0000-0000-0000863E0000}"/>
    <cellStyle name="Heading 4 6 7 2" xfId="18798" xr:uid="{00000000-0005-0000-0000-0000873E0000}"/>
    <cellStyle name="Heading 4 6 8" xfId="10465" xr:uid="{00000000-0005-0000-0000-0000883E0000}"/>
    <cellStyle name="Heading 4 6 8 2" xfId="18799" xr:uid="{00000000-0005-0000-0000-0000893E0000}"/>
    <cellStyle name="Heading 4 6 9" xfId="10466" xr:uid="{00000000-0005-0000-0000-00008A3E0000}"/>
    <cellStyle name="Heading 4 6 9 2" xfId="18800" xr:uid="{00000000-0005-0000-0000-00008B3E0000}"/>
    <cellStyle name="Heading 4 7" xfId="10467" xr:uid="{00000000-0005-0000-0000-00008C3E0000}"/>
    <cellStyle name="Heading 4 7 10" xfId="10468" xr:uid="{00000000-0005-0000-0000-00008D3E0000}"/>
    <cellStyle name="Heading 4 7 10 2" xfId="18801" xr:uid="{00000000-0005-0000-0000-00008E3E0000}"/>
    <cellStyle name="Heading 4 7 11" xfId="10469" xr:uid="{00000000-0005-0000-0000-00008F3E0000}"/>
    <cellStyle name="Heading 4 7 11 2" xfId="18802" xr:uid="{00000000-0005-0000-0000-0000903E0000}"/>
    <cellStyle name="Heading 4 7 12" xfId="23558" xr:uid="{757CD8D4-AAB6-4EBE-9632-CCA50AF94536}"/>
    <cellStyle name="Heading 4 7 2" xfId="10470" xr:uid="{00000000-0005-0000-0000-0000913E0000}"/>
    <cellStyle name="Heading 4 7 2 2" xfId="10471" xr:uid="{00000000-0005-0000-0000-0000923E0000}"/>
    <cellStyle name="Heading 4 7 2 2 2" xfId="18803" xr:uid="{00000000-0005-0000-0000-0000933E0000}"/>
    <cellStyle name="Heading 4 7 2 2 3" xfId="26827" xr:uid="{757CD8D4-AAB6-4EBE-9632-CCA50AF94536}"/>
    <cellStyle name="Heading 4 7 2 3" xfId="27154" xr:uid="{757CD8D4-AAB6-4EBE-9632-CCA50AF94536}"/>
    <cellStyle name="Heading 4 7 2 4" xfId="24541" xr:uid="{757CD8D4-AAB6-4EBE-9632-CCA50AF94536}"/>
    <cellStyle name="Heading 4 7 3" xfId="10472" xr:uid="{00000000-0005-0000-0000-0000943E0000}"/>
    <cellStyle name="Heading 4 7 3 2" xfId="10473" xr:uid="{00000000-0005-0000-0000-0000953E0000}"/>
    <cellStyle name="Heading 4 7 3 2 2" xfId="18804" xr:uid="{00000000-0005-0000-0000-0000963E0000}"/>
    <cellStyle name="Heading 4 7 3 3" xfId="25731" xr:uid="{757CD8D4-AAB6-4EBE-9632-CCA50AF94536}"/>
    <cellStyle name="Heading 4 7 4" xfId="10474" xr:uid="{00000000-0005-0000-0000-0000973E0000}"/>
    <cellStyle name="Heading 4 7 4 2" xfId="10475" xr:uid="{00000000-0005-0000-0000-0000983E0000}"/>
    <cellStyle name="Heading 4 7 4 3" xfId="18805" xr:uid="{00000000-0005-0000-0000-0000993E0000}"/>
    <cellStyle name="Heading 4 7 4 4" xfId="27043" xr:uid="{757CD8D4-AAB6-4EBE-9632-CCA50AF94536}"/>
    <cellStyle name="Heading 4 7 5" xfId="10476" xr:uid="{00000000-0005-0000-0000-00009A3E0000}"/>
    <cellStyle name="Heading 4 7 5 2" xfId="18806" xr:uid="{00000000-0005-0000-0000-00009B3E0000}"/>
    <cellStyle name="Heading 4 7 6" xfId="10477" xr:uid="{00000000-0005-0000-0000-00009C3E0000}"/>
    <cellStyle name="Heading 4 7 6 2" xfId="18807" xr:uid="{00000000-0005-0000-0000-00009D3E0000}"/>
    <cellStyle name="Heading 4 7 7" xfId="10478" xr:uid="{00000000-0005-0000-0000-00009E3E0000}"/>
    <cellStyle name="Heading 4 7 7 2" xfId="18808" xr:uid="{00000000-0005-0000-0000-00009F3E0000}"/>
    <cellStyle name="Heading 4 7 8" xfId="10479" xr:uid="{00000000-0005-0000-0000-0000A03E0000}"/>
    <cellStyle name="Heading 4 7 8 2" xfId="18809" xr:uid="{00000000-0005-0000-0000-0000A13E0000}"/>
    <cellStyle name="Heading 4 7 9" xfId="10480" xr:uid="{00000000-0005-0000-0000-0000A23E0000}"/>
    <cellStyle name="Heading 4 7 9 2" xfId="18810" xr:uid="{00000000-0005-0000-0000-0000A33E0000}"/>
    <cellStyle name="Heading 4 8" xfId="10481" xr:uid="{00000000-0005-0000-0000-0000A43E0000}"/>
    <cellStyle name="Heading 4 8 10" xfId="10482" xr:uid="{00000000-0005-0000-0000-0000A53E0000}"/>
    <cellStyle name="Heading 4 8 10 2" xfId="18811" xr:uid="{00000000-0005-0000-0000-0000A63E0000}"/>
    <cellStyle name="Heading 4 8 11" xfId="10483" xr:uid="{00000000-0005-0000-0000-0000A73E0000}"/>
    <cellStyle name="Heading 4 8 11 2" xfId="18812" xr:uid="{00000000-0005-0000-0000-0000A83E0000}"/>
    <cellStyle name="Heading 4 8 12" xfId="23561" xr:uid="{0D8115C6-8506-42FA-B117-E1589969BBBC}"/>
    <cellStyle name="Heading 4 8 2" xfId="10484" xr:uid="{00000000-0005-0000-0000-0000A93E0000}"/>
    <cellStyle name="Heading 4 8 2 2" xfId="10485" xr:uid="{00000000-0005-0000-0000-0000AA3E0000}"/>
    <cellStyle name="Heading 4 8 2 2 2" xfId="18813" xr:uid="{00000000-0005-0000-0000-0000AB3E0000}"/>
    <cellStyle name="Heading 4 8 2 2 3" xfId="26829" xr:uid="{0D8115C6-8506-42FA-B117-E1589969BBBC}"/>
    <cellStyle name="Heading 4 8 2 3" xfId="27155" xr:uid="{0D8115C6-8506-42FA-B117-E1589969BBBC}"/>
    <cellStyle name="Heading 4 8 2 4" xfId="24543" xr:uid="{0D8115C6-8506-42FA-B117-E1589969BBBC}"/>
    <cellStyle name="Heading 4 8 3" xfId="10486" xr:uid="{00000000-0005-0000-0000-0000AC3E0000}"/>
    <cellStyle name="Heading 4 8 3 2" xfId="10487" xr:uid="{00000000-0005-0000-0000-0000AD3E0000}"/>
    <cellStyle name="Heading 4 8 3 2 2" xfId="18814" xr:uid="{00000000-0005-0000-0000-0000AE3E0000}"/>
    <cellStyle name="Heading 4 8 3 3" xfId="25733" xr:uid="{0D8115C6-8506-42FA-B117-E1589969BBBC}"/>
    <cellStyle name="Heading 4 8 4" xfId="10488" xr:uid="{00000000-0005-0000-0000-0000AF3E0000}"/>
    <cellStyle name="Heading 4 8 4 2" xfId="10489" xr:uid="{00000000-0005-0000-0000-0000B03E0000}"/>
    <cellStyle name="Heading 4 8 4 3" xfId="18815" xr:uid="{00000000-0005-0000-0000-0000B13E0000}"/>
    <cellStyle name="Heading 4 8 4 4" xfId="27044" xr:uid="{0D8115C6-8506-42FA-B117-E1589969BBBC}"/>
    <cellStyle name="Heading 4 8 5" xfId="10490" xr:uid="{00000000-0005-0000-0000-0000B23E0000}"/>
    <cellStyle name="Heading 4 8 5 2" xfId="18816" xr:uid="{00000000-0005-0000-0000-0000B33E0000}"/>
    <cellStyle name="Heading 4 8 6" xfId="10491" xr:uid="{00000000-0005-0000-0000-0000B43E0000}"/>
    <cellStyle name="Heading 4 8 6 2" xfId="18817" xr:uid="{00000000-0005-0000-0000-0000B53E0000}"/>
    <cellStyle name="Heading 4 8 7" xfId="10492" xr:uid="{00000000-0005-0000-0000-0000B63E0000}"/>
    <cellStyle name="Heading 4 8 7 2" xfId="18818" xr:uid="{00000000-0005-0000-0000-0000B73E0000}"/>
    <cellStyle name="Heading 4 8 8" xfId="10493" xr:uid="{00000000-0005-0000-0000-0000B83E0000}"/>
    <cellStyle name="Heading 4 8 8 2" xfId="18819" xr:uid="{00000000-0005-0000-0000-0000B93E0000}"/>
    <cellStyle name="Heading 4 8 9" xfId="10494" xr:uid="{00000000-0005-0000-0000-0000BA3E0000}"/>
    <cellStyle name="Heading 4 8 9 2" xfId="18820" xr:uid="{00000000-0005-0000-0000-0000BB3E0000}"/>
    <cellStyle name="Heading 4 9" xfId="10495" xr:uid="{00000000-0005-0000-0000-0000BC3E0000}"/>
    <cellStyle name="Heading 4 9 10" xfId="10496" xr:uid="{00000000-0005-0000-0000-0000BD3E0000}"/>
    <cellStyle name="Heading 4 9 10 2" xfId="18821" xr:uid="{00000000-0005-0000-0000-0000BE3E0000}"/>
    <cellStyle name="Heading 4 9 11" xfId="10497" xr:uid="{00000000-0005-0000-0000-0000BF3E0000}"/>
    <cellStyle name="Heading 4 9 11 2" xfId="18822" xr:uid="{00000000-0005-0000-0000-0000C03E0000}"/>
    <cellStyle name="Heading 4 9 2" xfId="10498" xr:uid="{00000000-0005-0000-0000-0000C13E0000}"/>
    <cellStyle name="Heading 4 9 2 2" xfId="10499" xr:uid="{00000000-0005-0000-0000-0000C23E0000}"/>
    <cellStyle name="Heading 4 9 2 2 2" xfId="18823" xr:uid="{00000000-0005-0000-0000-0000C33E0000}"/>
    <cellStyle name="Heading 4 9 3" xfId="10500" xr:uid="{00000000-0005-0000-0000-0000C43E0000}"/>
    <cellStyle name="Heading 4 9 3 2" xfId="10501" xr:uid="{00000000-0005-0000-0000-0000C53E0000}"/>
    <cellStyle name="Heading 4 9 3 2 2" xfId="18824" xr:uid="{00000000-0005-0000-0000-0000C63E0000}"/>
    <cellStyle name="Heading 4 9 4" xfId="10502" xr:uid="{00000000-0005-0000-0000-0000C73E0000}"/>
    <cellStyle name="Heading 4 9 4 2" xfId="10503" xr:uid="{00000000-0005-0000-0000-0000C83E0000}"/>
    <cellStyle name="Heading 4 9 4 3" xfId="18825" xr:uid="{00000000-0005-0000-0000-0000C93E0000}"/>
    <cellStyle name="Heading 4 9 5" xfId="10504" xr:uid="{00000000-0005-0000-0000-0000CA3E0000}"/>
    <cellStyle name="Heading 4 9 5 2" xfId="18826" xr:uid="{00000000-0005-0000-0000-0000CB3E0000}"/>
    <cellStyle name="Heading 4 9 6" xfId="10505" xr:uid="{00000000-0005-0000-0000-0000CC3E0000}"/>
    <cellStyle name="Heading 4 9 6 2" xfId="18827" xr:uid="{00000000-0005-0000-0000-0000CD3E0000}"/>
    <cellStyle name="Heading 4 9 7" xfId="10506" xr:uid="{00000000-0005-0000-0000-0000CE3E0000}"/>
    <cellStyle name="Heading 4 9 7 2" xfId="18828" xr:uid="{00000000-0005-0000-0000-0000CF3E0000}"/>
    <cellStyle name="Heading 4 9 8" xfId="10507" xr:uid="{00000000-0005-0000-0000-0000D03E0000}"/>
    <cellStyle name="Heading 4 9 8 2" xfId="18829" xr:uid="{00000000-0005-0000-0000-0000D13E0000}"/>
    <cellStyle name="Heading 4 9 9" xfId="10508" xr:uid="{00000000-0005-0000-0000-0000D23E0000}"/>
    <cellStyle name="Heading 4 9 9 2" xfId="18830" xr:uid="{00000000-0005-0000-0000-0000D33E0000}"/>
    <cellStyle name="Hyperlink 2" xfId="21743" xr:uid="{00000000-0005-0000-0000-0000D43E0000}"/>
    <cellStyle name="Hyperlink 2 2" xfId="21888" xr:uid="{00000000-0005-0000-0000-0000D53E0000}"/>
    <cellStyle name="Hyperlink 3" xfId="21744" xr:uid="{00000000-0005-0000-0000-0000D63E0000}"/>
    <cellStyle name="Hyperlink 3 2" xfId="21889" xr:uid="{00000000-0005-0000-0000-0000D73E0000}"/>
    <cellStyle name="Hyperlink 4" xfId="21890" xr:uid="{00000000-0005-0000-0000-0000D83E0000}"/>
    <cellStyle name="Hyperlink 5" xfId="21891" xr:uid="{00000000-0005-0000-0000-0000D93E0000}"/>
    <cellStyle name="Hyperlink 6" xfId="21892" xr:uid="{00000000-0005-0000-0000-0000DA3E0000}"/>
    <cellStyle name="Hyperlink 7" xfId="21893" xr:uid="{00000000-0005-0000-0000-0000DB3E0000}"/>
    <cellStyle name="Hyperlink 8" xfId="21894" xr:uid="{00000000-0005-0000-0000-0000DC3E0000}"/>
    <cellStyle name="Hyperlink 9" xfId="21895" xr:uid="{00000000-0005-0000-0000-0000DD3E0000}"/>
    <cellStyle name="Input 10" xfId="10509" xr:uid="{00000000-0005-0000-0000-0000DE3E0000}"/>
    <cellStyle name="Input 10 10" xfId="10510" xr:uid="{00000000-0005-0000-0000-0000DF3E0000}"/>
    <cellStyle name="Input 10 10 2" xfId="18831" xr:uid="{00000000-0005-0000-0000-0000E03E0000}"/>
    <cellStyle name="Input 10 11" xfId="10511" xr:uid="{00000000-0005-0000-0000-0000E13E0000}"/>
    <cellStyle name="Input 10 11 2" xfId="18832" xr:uid="{00000000-0005-0000-0000-0000E23E0000}"/>
    <cellStyle name="Input 10 2" xfId="10512" xr:uid="{00000000-0005-0000-0000-0000E33E0000}"/>
    <cellStyle name="Input 10 2 2" xfId="10513" xr:uid="{00000000-0005-0000-0000-0000E43E0000}"/>
    <cellStyle name="Input 10 2 2 2" xfId="18833" xr:uid="{00000000-0005-0000-0000-0000E53E0000}"/>
    <cellStyle name="Input 10 3" xfId="10514" xr:uid="{00000000-0005-0000-0000-0000E63E0000}"/>
    <cellStyle name="Input 10 3 2" xfId="10515" xr:uid="{00000000-0005-0000-0000-0000E73E0000}"/>
    <cellStyle name="Input 10 3 2 2" xfId="18834" xr:uid="{00000000-0005-0000-0000-0000E83E0000}"/>
    <cellStyle name="Input 10 4" xfId="10516" xr:uid="{00000000-0005-0000-0000-0000E93E0000}"/>
    <cellStyle name="Input 10 4 2" xfId="10517" xr:uid="{00000000-0005-0000-0000-0000EA3E0000}"/>
    <cellStyle name="Input 10 4 3" xfId="18835" xr:uid="{00000000-0005-0000-0000-0000EB3E0000}"/>
    <cellStyle name="Input 10 5" xfId="10518" xr:uid="{00000000-0005-0000-0000-0000EC3E0000}"/>
    <cellStyle name="Input 10 5 2" xfId="18836" xr:uid="{00000000-0005-0000-0000-0000ED3E0000}"/>
    <cellStyle name="Input 10 6" xfId="10519" xr:uid="{00000000-0005-0000-0000-0000EE3E0000}"/>
    <cellStyle name="Input 10 6 2" xfId="18837" xr:uid="{00000000-0005-0000-0000-0000EF3E0000}"/>
    <cellStyle name="Input 10 7" xfId="10520" xr:uid="{00000000-0005-0000-0000-0000F03E0000}"/>
    <cellStyle name="Input 10 7 2" xfId="18838" xr:uid="{00000000-0005-0000-0000-0000F13E0000}"/>
    <cellStyle name="Input 10 8" xfId="10521" xr:uid="{00000000-0005-0000-0000-0000F23E0000}"/>
    <cellStyle name="Input 10 8 2" xfId="18839" xr:uid="{00000000-0005-0000-0000-0000F33E0000}"/>
    <cellStyle name="Input 10 9" xfId="10522" xr:uid="{00000000-0005-0000-0000-0000F43E0000}"/>
    <cellStyle name="Input 10 9 2" xfId="18840" xr:uid="{00000000-0005-0000-0000-0000F53E0000}"/>
    <cellStyle name="Input 11" xfId="10523" xr:uid="{00000000-0005-0000-0000-0000F63E0000}"/>
    <cellStyle name="Input 11 10" xfId="10524" xr:uid="{00000000-0005-0000-0000-0000F73E0000}"/>
    <cellStyle name="Input 11 10 2" xfId="18841" xr:uid="{00000000-0005-0000-0000-0000F83E0000}"/>
    <cellStyle name="Input 11 11" xfId="10525" xr:uid="{00000000-0005-0000-0000-0000F93E0000}"/>
    <cellStyle name="Input 11 11 2" xfId="18842" xr:uid="{00000000-0005-0000-0000-0000FA3E0000}"/>
    <cellStyle name="Input 11 2" xfId="10526" xr:uid="{00000000-0005-0000-0000-0000FB3E0000}"/>
    <cellStyle name="Input 11 2 2" xfId="10527" xr:uid="{00000000-0005-0000-0000-0000FC3E0000}"/>
    <cellStyle name="Input 11 2 2 2" xfId="18843" xr:uid="{00000000-0005-0000-0000-0000FD3E0000}"/>
    <cellStyle name="Input 11 3" xfId="10528" xr:uid="{00000000-0005-0000-0000-0000FE3E0000}"/>
    <cellStyle name="Input 11 3 2" xfId="10529" xr:uid="{00000000-0005-0000-0000-0000FF3E0000}"/>
    <cellStyle name="Input 11 3 2 2" xfId="18844" xr:uid="{00000000-0005-0000-0000-0000003F0000}"/>
    <cellStyle name="Input 11 4" xfId="10530" xr:uid="{00000000-0005-0000-0000-0000013F0000}"/>
    <cellStyle name="Input 11 4 2" xfId="10531" xr:uid="{00000000-0005-0000-0000-0000023F0000}"/>
    <cellStyle name="Input 11 4 3" xfId="18845" xr:uid="{00000000-0005-0000-0000-0000033F0000}"/>
    <cellStyle name="Input 11 5" xfId="10532" xr:uid="{00000000-0005-0000-0000-0000043F0000}"/>
    <cellStyle name="Input 11 5 2" xfId="18846" xr:uid="{00000000-0005-0000-0000-0000053F0000}"/>
    <cellStyle name="Input 11 6" xfId="10533" xr:uid="{00000000-0005-0000-0000-0000063F0000}"/>
    <cellStyle name="Input 11 6 2" xfId="18847" xr:uid="{00000000-0005-0000-0000-0000073F0000}"/>
    <cellStyle name="Input 11 7" xfId="10534" xr:uid="{00000000-0005-0000-0000-0000083F0000}"/>
    <cellStyle name="Input 11 7 2" xfId="18848" xr:uid="{00000000-0005-0000-0000-0000093F0000}"/>
    <cellStyle name="Input 11 8" xfId="10535" xr:uid="{00000000-0005-0000-0000-00000A3F0000}"/>
    <cellStyle name="Input 11 8 2" xfId="18849" xr:uid="{00000000-0005-0000-0000-00000B3F0000}"/>
    <cellStyle name="Input 11 9" xfId="10536" xr:uid="{00000000-0005-0000-0000-00000C3F0000}"/>
    <cellStyle name="Input 11 9 2" xfId="18850" xr:uid="{00000000-0005-0000-0000-00000D3F0000}"/>
    <cellStyle name="Input 12" xfId="10537" xr:uid="{00000000-0005-0000-0000-00000E3F0000}"/>
    <cellStyle name="Input 12 10" xfId="10538" xr:uid="{00000000-0005-0000-0000-00000F3F0000}"/>
    <cellStyle name="Input 12 10 2" xfId="18851" xr:uid="{00000000-0005-0000-0000-0000103F0000}"/>
    <cellStyle name="Input 12 11" xfId="10539" xr:uid="{00000000-0005-0000-0000-0000113F0000}"/>
    <cellStyle name="Input 12 11 2" xfId="18852" xr:uid="{00000000-0005-0000-0000-0000123F0000}"/>
    <cellStyle name="Input 12 2" xfId="10540" xr:uid="{00000000-0005-0000-0000-0000133F0000}"/>
    <cellStyle name="Input 12 2 2" xfId="10541" xr:uid="{00000000-0005-0000-0000-0000143F0000}"/>
    <cellStyle name="Input 12 2 2 2" xfId="18853" xr:uid="{00000000-0005-0000-0000-0000153F0000}"/>
    <cellStyle name="Input 12 3" xfId="10542" xr:uid="{00000000-0005-0000-0000-0000163F0000}"/>
    <cellStyle name="Input 12 3 2" xfId="10543" xr:uid="{00000000-0005-0000-0000-0000173F0000}"/>
    <cellStyle name="Input 12 3 2 2" xfId="18854" xr:uid="{00000000-0005-0000-0000-0000183F0000}"/>
    <cellStyle name="Input 12 4" xfId="10544" xr:uid="{00000000-0005-0000-0000-0000193F0000}"/>
    <cellStyle name="Input 12 4 2" xfId="10545" xr:uid="{00000000-0005-0000-0000-00001A3F0000}"/>
    <cellStyle name="Input 12 4 3" xfId="18855" xr:uid="{00000000-0005-0000-0000-00001B3F0000}"/>
    <cellStyle name="Input 12 5" xfId="10546" xr:uid="{00000000-0005-0000-0000-00001C3F0000}"/>
    <cellStyle name="Input 12 5 2" xfId="18856" xr:uid="{00000000-0005-0000-0000-00001D3F0000}"/>
    <cellStyle name="Input 12 6" xfId="10547" xr:uid="{00000000-0005-0000-0000-00001E3F0000}"/>
    <cellStyle name="Input 12 6 2" xfId="18857" xr:uid="{00000000-0005-0000-0000-00001F3F0000}"/>
    <cellStyle name="Input 12 7" xfId="10548" xr:uid="{00000000-0005-0000-0000-0000203F0000}"/>
    <cellStyle name="Input 12 7 2" xfId="18858" xr:uid="{00000000-0005-0000-0000-0000213F0000}"/>
    <cellStyle name="Input 12 8" xfId="10549" xr:uid="{00000000-0005-0000-0000-0000223F0000}"/>
    <cellStyle name="Input 12 8 2" xfId="18859" xr:uid="{00000000-0005-0000-0000-0000233F0000}"/>
    <cellStyle name="Input 12 9" xfId="10550" xr:uid="{00000000-0005-0000-0000-0000243F0000}"/>
    <cellStyle name="Input 12 9 2" xfId="18860" xr:uid="{00000000-0005-0000-0000-0000253F0000}"/>
    <cellStyle name="Input 13" xfId="10551" xr:uid="{00000000-0005-0000-0000-0000263F0000}"/>
    <cellStyle name="Input 13 10" xfId="10552" xr:uid="{00000000-0005-0000-0000-0000273F0000}"/>
    <cellStyle name="Input 13 10 2" xfId="18861" xr:uid="{00000000-0005-0000-0000-0000283F0000}"/>
    <cellStyle name="Input 13 11" xfId="10553" xr:uid="{00000000-0005-0000-0000-0000293F0000}"/>
    <cellStyle name="Input 13 11 2" xfId="18862" xr:uid="{00000000-0005-0000-0000-00002A3F0000}"/>
    <cellStyle name="Input 13 2" xfId="10554" xr:uid="{00000000-0005-0000-0000-00002B3F0000}"/>
    <cellStyle name="Input 13 2 2" xfId="10555" xr:uid="{00000000-0005-0000-0000-00002C3F0000}"/>
    <cellStyle name="Input 13 2 2 2" xfId="18863" xr:uid="{00000000-0005-0000-0000-00002D3F0000}"/>
    <cellStyle name="Input 13 3" xfId="10556" xr:uid="{00000000-0005-0000-0000-00002E3F0000}"/>
    <cellStyle name="Input 13 3 2" xfId="10557" xr:uid="{00000000-0005-0000-0000-00002F3F0000}"/>
    <cellStyle name="Input 13 3 2 2" xfId="18864" xr:uid="{00000000-0005-0000-0000-0000303F0000}"/>
    <cellStyle name="Input 13 4" xfId="10558" xr:uid="{00000000-0005-0000-0000-0000313F0000}"/>
    <cellStyle name="Input 13 4 2" xfId="18865" xr:uid="{00000000-0005-0000-0000-0000323F0000}"/>
    <cellStyle name="Input 13 5" xfId="10559" xr:uid="{00000000-0005-0000-0000-0000333F0000}"/>
    <cellStyle name="Input 13 5 2" xfId="18866" xr:uid="{00000000-0005-0000-0000-0000343F0000}"/>
    <cellStyle name="Input 13 6" xfId="10560" xr:uid="{00000000-0005-0000-0000-0000353F0000}"/>
    <cellStyle name="Input 13 6 2" xfId="18867" xr:uid="{00000000-0005-0000-0000-0000363F0000}"/>
    <cellStyle name="Input 13 7" xfId="10561" xr:uid="{00000000-0005-0000-0000-0000373F0000}"/>
    <cellStyle name="Input 13 7 2" xfId="18868" xr:uid="{00000000-0005-0000-0000-0000383F0000}"/>
    <cellStyle name="Input 13 8" xfId="10562" xr:uid="{00000000-0005-0000-0000-0000393F0000}"/>
    <cellStyle name="Input 13 8 2" xfId="18869" xr:uid="{00000000-0005-0000-0000-00003A3F0000}"/>
    <cellStyle name="Input 13 9" xfId="10563" xr:uid="{00000000-0005-0000-0000-00003B3F0000}"/>
    <cellStyle name="Input 13 9 2" xfId="18870" xr:uid="{00000000-0005-0000-0000-00003C3F0000}"/>
    <cellStyle name="Input 14" xfId="10564" xr:uid="{00000000-0005-0000-0000-00003D3F0000}"/>
    <cellStyle name="Input 14 10" xfId="10565" xr:uid="{00000000-0005-0000-0000-00003E3F0000}"/>
    <cellStyle name="Input 14 10 2" xfId="18871" xr:uid="{00000000-0005-0000-0000-00003F3F0000}"/>
    <cellStyle name="Input 14 11" xfId="10566" xr:uid="{00000000-0005-0000-0000-0000403F0000}"/>
    <cellStyle name="Input 14 11 2" xfId="18872" xr:uid="{00000000-0005-0000-0000-0000413F0000}"/>
    <cellStyle name="Input 14 2" xfId="10567" xr:uid="{00000000-0005-0000-0000-0000423F0000}"/>
    <cellStyle name="Input 14 2 2" xfId="10568" xr:uid="{00000000-0005-0000-0000-0000433F0000}"/>
    <cellStyle name="Input 14 2 2 2" xfId="18873" xr:uid="{00000000-0005-0000-0000-0000443F0000}"/>
    <cellStyle name="Input 14 3" xfId="10569" xr:uid="{00000000-0005-0000-0000-0000453F0000}"/>
    <cellStyle name="Input 14 3 2" xfId="10570" xr:uid="{00000000-0005-0000-0000-0000463F0000}"/>
    <cellStyle name="Input 14 3 2 2" xfId="18874" xr:uid="{00000000-0005-0000-0000-0000473F0000}"/>
    <cellStyle name="Input 14 4" xfId="10571" xr:uid="{00000000-0005-0000-0000-0000483F0000}"/>
    <cellStyle name="Input 14 4 2" xfId="18875" xr:uid="{00000000-0005-0000-0000-0000493F0000}"/>
    <cellStyle name="Input 14 5" xfId="10572" xr:uid="{00000000-0005-0000-0000-00004A3F0000}"/>
    <cellStyle name="Input 14 5 2" xfId="18876" xr:uid="{00000000-0005-0000-0000-00004B3F0000}"/>
    <cellStyle name="Input 14 6" xfId="10573" xr:uid="{00000000-0005-0000-0000-00004C3F0000}"/>
    <cellStyle name="Input 14 6 2" xfId="18877" xr:uid="{00000000-0005-0000-0000-00004D3F0000}"/>
    <cellStyle name="Input 14 7" xfId="10574" xr:uid="{00000000-0005-0000-0000-00004E3F0000}"/>
    <cellStyle name="Input 14 7 2" xfId="18878" xr:uid="{00000000-0005-0000-0000-00004F3F0000}"/>
    <cellStyle name="Input 14 8" xfId="10575" xr:uid="{00000000-0005-0000-0000-0000503F0000}"/>
    <cellStyle name="Input 14 8 2" xfId="18879" xr:uid="{00000000-0005-0000-0000-0000513F0000}"/>
    <cellStyle name="Input 14 9" xfId="10576" xr:uid="{00000000-0005-0000-0000-0000523F0000}"/>
    <cellStyle name="Input 14 9 2" xfId="18880" xr:uid="{00000000-0005-0000-0000-0000533F0000}"/>
    <cellStyle name="Input 15" xfId="10577" xr:uid="{00000000-0005-0000-0000-0000543F0000}"/>
    <cellStyle name="Input 15 10" xfId="10578" xr:uid="{00000000-0005-0000-0000-0000553F0000}"/>
    <cellStyle name="Input 15 10 2" xfId="18881" xr:uid="{00000000-0005-0000-0000-0000563F0000}"/>
    <cellStyle name="Input 15 11" xfId="10579" xr:uid="{00000000-0005-0000-0000-0000573F0000}"/>
    <cellStyle name="Input 15 11 2" xfId="18882" xr:uid="{00000000-0005-0000-0000-0000583F0000}"/>
    <cellStyle name="Input 15 2" xfId="10580" xr:uid="{00000000-0005-0000-0000-0000593F0000}"/>
    <cellStyle name="Input 15 2 2" xfId="10581" xr:uid="{00000000-0005-0000-0000-00005A3F0000}"/>
    <cellStyle name="Input 15 2 2 2" xfId="18883" xr:uid="{00000000-0005-0000-0000-00005B3F0000}"/>
    <cellStyle name="Input 15 3" xfId="10582" xr:uid="{00000000-0005-0000-0000-00005C3F0000}"/>
    <cellStyle name="Input 15 3 2" xfId="10583" xr:uid="{00000000-0005-0000-0000-00005D3F0000}"/>
    <cellStyle name="Input 15 3 2 2" xfId="18884" xr:uid="{00000000-0005-0000-0000-00005E3F0000}"/>
    <cellStyle name="Input 15 4" xfId="10584" xr:uid="{00000000-0005-0000-0000-00005F3F0000}"/>
    <cellStyle name="Input 15 4 2" xfId="18885" xr:uid="{00000000-0005-0000-0000-0000603F0000}"/>
    <cellStyle name="Input 15 5" xfId="10585" xr:uid="{00000000-0005-0000-0000-0000613F0000}"/>
    <cellStyle name="Input 15 5 2" xfId="18886" xr:uid="{00000000-0005-0000-0000-0000623F0000}"/>
    <cellStyle name="Input 15 6" xfId="10586" xr:uid="{00000000-0005-0000-0000-0000633F0000}"/>
    <cellStyle name="Input 15 6 2" xfId="18887" xr:uid="{00000000-0005-0000-0000-0000643F0000}"/>
    <cellStyle name="Input 15 7" xfId="10587" xr:uid="{00000000-0005-0000-0000-0000653F0000}"/>
    <cellStyle name="Input 15 7 2" xfId="18888" xr:uid="{00000000-0005-0000-0000-0000663F0000}"/>
    <cellStyle name="Input 15 8" xfId="10588" xr:uid="{00000000-0005-0000-0000-0000673F0000}"/>
    <cellStyle name="Input 15 8 2" xfId="18889" xr:uid="{00000000-0005-0000-0000-0000683F0000}"/>
    <cellStyle name="Input 15 9" xfId="10589" xr:uid="{00000000-0005-0000-0000-0000693F0000}"/>
    <cellStyle name="Input 15 9 2" xfId="18890" xr:uid="{00000000-0005-0000-0000-00006A3F0000}"/>
    <cellStyle name="Input 16" xfId="10590" xr:uid="{00000000-0005-0000-0000-00006B3F0000}"/>
    <cellStyle name="Input 16 10" xfId="10591" xr:uid="{00000000-0005-0000-0000-00006C3F0000}"/>
    <cellStyle name="Input 16 10 2" xfId="18891" xr:uid="{00000000-0005-0000-0000-00006D3F0000}"/>
    <cellStyle name="Input 16 11" xfId="10592" xr:uid="{00000000-0005-0000-0000-00006E3F0000}"/>
    <cellStyle name="Input 16 11 2" xfId="18892" xr:uid="{00000000-0005-0000-0000-00006F3F0000}"/>
    <cellStyle name="Input 16 2" xfId="10593" xr:uid="{00000000-0005-0000-0000-0000703F0000}"/>
    <cellStyle name="Input 16 2 2" xfId="10594" xr:uid="{00000000-0005-0000-0000-0000713F0000}"/>
    <cellStyle name="Input 16 2 2 2" xfId="18893" xr:uid="{00000000-0005-0000-0000-0000723F0000}"/>
    <cellStyle name="Input 16 3" xfId="10595" xr:uid="{00000000-0005-0000-0000-0000733F0000}"/>
    <cellStyle name="Input 16 3 2" xfId="10596" xr:uid="{00000000-0005-0000-0000-0000743F0000}"/>
    <cellStyle name="Input 16 3 2 2" xfId="18894" xr:uid="{00000000-0005-0000-0000-0000753F0000}"/>
    <cellStyle name="Input 16 4" xfId="10597" xr:uid="{00000000-0005-0000-0000-0000763F0000}"/>
    <cellStyle name="Input 16 4 2" xfId="18895" xr:uid="{00000000-0005-0000-0000-0000773F0000}"/>
    <cellStyle name="Input 16 5" xfId="10598" xr:uid="{00000000-0005-0000-0000-0000783F0000}"/>
    <cellStyle name="Input 16 5 2" xfId="18896" xr:uid="{00000000-0005-0000-0000-0000793F0000}"/>
    <cellStyle name="Input 16 6" xfId="10599" xr:uid="{00000000-0005-0000-0000-00007A3F0000}"/>
    <cellStyle name="Input 16 6 2" xfId="18897" xr:uid="{00000000-0005-0000-0000-00007B3F0000}"/>
    <cellStyle name="Input 16 7" xfId="10600" xr:uid="{00000000-0005-0000-0000-00007C3F0000}"/>
    <cellStyle name="Input 16 7 2" xfId="18898" xr:uid="{00000000-0005-0000-0000-00007D3F0000}"/>
    <cellStyle name="Input 16 8" xfId="10601" xr:uid="{00000000-0005-0000-0000-00007E3F0000}"/>
    <cellStyle name="Input 16 8 2" xfId="18899" xr:uid="{00000000-0005-0000-0000-00007F3F0000}"/>
    <cellStyle name="Input 16 9" xfId="10602" xr:uid="{00000000-0005-0000-0000-0000803F0000}"/>
    <cellStyle name="Input 16 9 2" xfId="18900" xr:uid="{00000000-0005-0000-0000-0000813F0000}"/>
    <cellStyle name="Input 17" xfId="10603" xr:uid="{00000000-0005-0000-0000-0000823F0000}"/>
    <cellStyle name="Input 17 10" xfId="10604" xr:uid="{00000000-0005-0000-0000-0000833F0000}"/>
    <cellStyle name="Input 17 10 2" xfId="18901" xr:uid="{00000000-0005-0000-0000-0000843F0000}"/>
    <cellStyle name="Input 17 11" xfId="10605" xr:uid="{00000000-0005-0000-0000-0000853F0000}"/>
    <cellStyle name="Input 17 11 2" xfId="18902" xr:uid="{00000000-0005-0000-0000-0000863F0000}"/>
    <cellStyle name="Input 17 2" xfId="10606" xr:uid="{00000000-0005-0000-0000-0000873F0000}"/>
    <cellStyle name="Input 17 2 2" xfId="10607" xr:uid="{00000000-0005-0000-0000-0000883F0000}"/>
    <cellStyle name="Input 17 2 2 2" xfId="18903" xr:uid="{00000000-0005-0000-0000-0000893F0000}"/>
    <cellStyle name="Input 17 3" xfId="10608" xr:uid="{00000000-0005-0000-0000-00008A3F0000}"/>
    <cellStyle name="Input 17 3 2" xfId="10609" xr:uid="{00000000-0005-0000-0000-00008B3F0000}"/>
    <cellStyle name="Input 17 3 2 2" xfId="18904" xr:uid="{00000000-0005-0000-0000-00008C3F0000}"/>
    <cellStyle name="Input 17 4" xfId="10610" xr:uid="{00000000-0005-0000-0000-00008D3F0000}"/>
    <cellStyle name="Input 17 4 2" xfId="18905" xr:uid="{00000000-0005-0000-0000-00008E3F0000}"/>
    <cellStyle name="Input 17 5" xfId="10611" xr:uid="{00000000-0005-0000-0000-00008F3F0000}"/>
    <cellStyle name="Input 17 5 2" xfId="18906" xr:uid="{00000000-0005-0000-0000-0000903F0000}"/>
    <cellStyle name="Input 17 6" xfId="10612" xr:uid="{00000000-0005-0000-0000-0000913F0000}"/>
    <cellStyle name="Input 17 6 2" xfId="18907" xr:uid="{00000000-0005-0000-0000-0000923F0000}"/>
    <cellStyle name="Input 17 7" xfId="10613" xr:uid="{00000000-0005-0000-0000-0000933F0000}"/>
    <cellStyle name="Input 17 7 2" xfId="18908" xr:uid="{00000000-0005-0000-0000-0000943F0000}"/>
    <cellStyle name="Input 17 8" xfId="10614" xr:uid="{00000000-0005-0000-0000-0000953F0000}"/>
    <cellStyle name="Input 17 8 2" xfId="18909" xr:uid="{00000000-0005-0000-0000-0000963F0000}"/>
    <cellStyle name="Input 17 9" xfId="10615" xr:uid="{00000000-0005-0000-0000-0000973F0000}"/>
    <cellStyle name="Input 17 9 2" xfId="18910" xr:uid="{00000000-0005-0000-0000-0000983F0000}"/>
    <cellStyle name="Input 18" xfId="10616" xr:uid="{00000000-0005-0000-0000-0000993F0000}"/>
    <cellStyle name="Input 18 2" xfId="10617" xr:uid="{00000000-0005-0000-0000-00009A3F0000}"/>
    <cellStyle name="Input 18 2 2" xfId="10618" xr:uid="{00000000-0005-0000-0000-00009B3F0000}"/>
    <cellStyle name="Input 18 2 2 2" xfId="18911" xr:uid="{00000000-0005-0000-0000-00009C3F0000}"/>
    <cellStyle name="Input 18 3" xfId="10619" xr:uid="{00000000-0005-0000-0000-00009D3F0000}"/>
    <cellStyle name="Input 18 3 2" xfId="18912" xr:uid="{00000000-0005-0000-0000-00009E3F0000}"/>
    <cellStyle name="Input 18 4" xfId="10620" xr:uid="{00000000-0005-0000-0000-00009F3F0000}"/>
    <cellStyle name="Input 18 4 2" xfId="18913" xr:uid="{00000000-0005-0000-0000-0000A03F0000}"/>
    <cellStyle name="Input 18 5" xfId="10621" xr:uid="{00000000-0005-0000-0000-0000A13F0000}"/>
    <cellStyle name="Input 18 5 2" xfId="18914" xr:uid="{00000000-0005-0000-0000-0000A23F0000}"/>
    <cellStyle name="Input 18 6" xfId="10622" xr:uid="{00000000-0005-0000-0000-0000A33F0000}"/>
    <cellStyle name="Input 18 6 2" xfId="18915" xr:uid="{00000000-0005-0000-0000-0000A43F0000}"/>
    <cellStyle name="Input 18 7" xfId="10623" xr:uid="{00000000-0005-0000-0000-0000A53F0000}"/>
    <cellStyle name="Input 18 7 2" xfId="18916" xr:uid="{00000000-0005-0000-0000-0000A63F0000}"/>
    <cellStyle name="Input 18 8" xfId="10624" xr:uid="{00000000-0005-0000-0000-0000A73F0000}"/>
    <cellStyle name="Input 18 8 2" xfId="18917" xr:uid="{00000000-0005-0000-0000-0000A83F0000}"/>
    <cellStyle name="Input 18 9" xfId="10625" xr:uid="{00000000-0005-0000-0000-0000A93F0000}"/>
    <cellStyle name="Input 18 9 2" xfId="18918" xr:uid="{00000000-0005-0000-0000-0000AA3F0000}"/>
    <cellStyle name="Input 19" xfId="10626" xr:uid="{00000000-0005-0000-0000-0000AB3F0000}"/>
    <cellStyle name="Input 19 2" xfId="10627" xr:uid="{00000000-0005-0000-0000-0000AC3F0000}"/>
    <cellStyle name="Input 19 2 2" xfId="10628" xr:uid="{00000000-0005-0000-0000-0000AD3F0000}"/>
    <cellStyle name="Input 19 2 2 2" xfId="18919" xr:uid="{00000000-0005-0000-0000-0000AE3F0000}"/>
    <cellStyle name="Input 19 3" xfId="10629" xr:uid="{00000000-0005-0000-0000-0000AF3F0000}"/>
    <cellStyle name="Input 19 3 2" xfId="18920" xr:uid="{00000000-0005-0000-0000-0000B03F0000}"/>
    <cellStyle name="Input 19 4" xfId="10630" xr:uid="{00000000-0005-0000-0000-0000B13F0000}"/>
    <cellStyle name="Input 19 4 2" xfId="18921" xr:uid="{00000000-0005-0000-0000-0000B23F0000}"/>
    <cellStyle name="Input 19 5" xfId="10631" xr:uid="{00000000-0005-0000-0000-0000B33F0000}"/>
    <cellStyle name="Input 19 5 2" xfId="18922" xr:uid="{00000000-0005-0000-0000-0000B43F0000}"/>
    <cellStyle name="Input 19 6" xfId="10632" xr:uid="{00000000-0005-0000-0000-0000B53F0000}"/>
    <cellStyle name="Input 19 6 2" xfId="18923" xr:uid="{00000000-0005-0000-0000-0000B63F0000}"/>
    <cellStyle name="Input 19 7" xfId="10633" xr:uid="{00000000-0005-0000-0000-0000B73F0000}"/>
    <cellStyle name="Input 19 7 2" xfId="18924" xr:uid="{00000000-0005-0000-0000-0000B83F0000}"/>
    <cellStyle name="Input 19 8" xfId="10634" xr:uid="{00000000-0005-0000-0000-0000B93F0000}"/>
    <cellStyle name="Input 19 8 2" xfId="18925" xr:uid="{00000000-0005-0000-0000-0000BA3F0000}"/>
    <cellStyle name="Input 19 9" xfId="10635" xr:uid="{00000000-0005-0000-0000-0000BB3F0000}"/>
    <cellStyle name="Input 19 9 2" xfId="18926" xr:uid="{00000000-0005-0000-0000-0000BC3F0000}"/>
    <cellStyle name="Input 2" xfId="10636" xr:uid="{00000000-0005-0000-0000-0000BD3F0000}"/>
    <cellStyle name="Input 2 10" xfId="10637" xr:uid="{00000000-0005-0000-0000-0000BE3F0000}"/>
    <cellStyle name="Input 2 10 2" xfId="18927" xr:uid="{00000000-0005-0000-0000-0000BF3F0000}"/>
    <cellStyle name="Input 2 11" xfId="10638" xr:uid="{00000000-0005-0000-0000-0000C03F0000}"/>
    <cellStyle name="Input 2 11 2" xfId="18928" xr:uid="{00000000-0005-0000-0000-0000C13F0000}"/>
    <cellStyle name="Input 2 12" xfId="23327" xr:uid="{00000000-0005-0000-0000-0000C23F0000}"/>
    <cellStyle name="Input 2 2" xfId="10639" xr:uid="{00000000-0005-0000-0000-0000C33F0000}"/>
    <cellStyle name="Input 2 2 2" xfId="10640" xr:uid="{00000000-0005-0000-0000-0000C43F0000}"/>
    <cellStyle name="Input 2 2 2 2" xfId="18929" xr:uid="{00000000-0005-0000-0000-0000C53F0000}"/>
    <cellStyle name="Input 2 2 2 2 2" xfId="23055" xr:uid="{00000000-0005-0000-0000-0000C63F0000}"/>
    <cellStyle name="Input 2 2 2 2 2 2" xfId="26605" xr:uid="{00000000-0005-0000-0000-000062020000}"/>
    <cellStyle name="Input 2 2 2 2 2 3" xfId="27124" xr:uid="{00000000-0005-0000-0000-000062020000}"/>
    <cellStyle name="Input 2 2 2 2 2 4" xfId="24350" xr:uid="{00000000-0005-0000-0000-000062020000}"/>
    <cellStyle name="Input 2 2 2 2 3" xfId="23467" xr:uid="{00000000-0005-0000-0000-0000C73F0000}"/>
    <cellStyle name="Input 2 2 2 2 3 2" xfId="25469" xr:uid="{00000000-0005-0000-0000-000062020000}"/>
    <cellStyle name="Input 2 2 2 2 4" xfId="26965" xr:uid="{00000000-0005-0000-0000-000062020000}"/>
    <cellStyle name="Input 2 2 2 3" xfId="23223" xr:uid="{00000000-0005-0000-0000-0000C83F0000}"/>
    <cellStyle name="Input 2 2 2 3 2" xfId="23527" xr:uid="{00000000-0005-0000-0000-0000C93F0000}"/>
    <cellStyle name="Input 2 2 2 3 2 2" xfId="25635" xr:uid="{00000000-0005-0000-0000-000063020000}"/>
    <cellStyle name="Input 2 2 2 3 3" xfId="27025" xr:uid="{00000000-0005-0000-0000-000063020000}"/>
    <cellStyle name="Input 2 2 2 4" xfId="22529" xr:uid="{00000000-0005-0000-0000-0000CA3F0000}"/>
    <cellStyle name="Input 2 2 2 4 2" xfId="24947" xr:uid="{00000000-0005-0000-0000-000061020000}"/>
    <cellStyle name="Input 2 2 2 5" xfId="23387" xr:uid="{00000000-0005-0000-0000-0000CB3F0000}"/>
    <cellStyle name="Input 2 2 2 5 2" xfId="26885" xr:uid="{00000000-0005-0000-0000-000061020000}"/>
    <cellStyle name="Input 2 2 3" xfId="22791" xr:uid="{00000000-0005-0000-0000-0000CC3F0000}"/>
    <cellStyle name="Input 2 2 3 2" xfId="23427" xr:uid="{00000000-0005-0000-0000-0000CD3F0000}"/>
    <cellStyle name="Input 2 2 3 2 2" xfId="26340" xr:uid="{00000000-0005-0000-0000-000064020000}"/>
    <cellStyle name="Input 2 2 3 2 3" xfId="27084" xr:uid="{00000000-0005-0000-0000-000064020000}"/>
    <cellStyle name="Input 2 2 3 3" xfId="25211" xr:uid="{00000000-0005-0000-0000-000064020000}"/>
    <cellStyle name="Input 2 2 3 4" xfId="26925" xr:uid="{00000000-0005-0000-0000-000064020000}"/>
    <cellStyle name="Input 2 2 4" xfId="23184" xr:uid="{00000000-0005-0000-0000-0000CE3F0000}"/>
    <cellStyle name="Input 2 2 4 2" xfId="23487" xr:uid="{00000000-0005-0000-0000-0000CF3F0000}"/>
    <cellStyle name="Input 2 2 4 2 2" xfId="25596" xr:uid="{00000000-0005-0000-0000-000065020000}"/>
    <cellStyle name="Input 2 2 4 3" xfId="26985" xr:uid="{00000000-0005-0000-0000-000065020000}"/>
    <cellStyle name="Input 2 2 5" xfId="23347" xr:uid="{00000000-0005-0000-0000-0000D03F0000}"/>
    <cellStyle name="Input 2 2 5 2" xfId="24687" xr:uid="{00000000-0005-0000-0000-000060020000}"/>
    <cellStyle name="Input 2 2 6" xfId="26845" xr:uid="{00000000-0005-0000-0000-000060020000}"/>
    <cellStyle name="Input 2 3" xfId="10641" xr:uid="{00000000-0005-0000-0000-0000D13F0000}"/>
    <cellStyle name="Input 2 3 2" xfId="10642" xr:uid="{00000000-0005-0000-0000-0000D23F0000}"/>
    <cellStyle name="Input 2 3 2 2" xfId="18930" xr:uid="{00000000-0005-0000-0000-0000D33F0000}"/>
    <cellStyle name="Input 2 3 2 2 2" xfId="26491" xr:uid="{00000000-0005-0000-0000-000067020000}"/>
    <cellStyle name="Input 2 3 2 2 3" xfId="27105" xr:uid="{00000000-0005-0000-0000-000067020000}"/>
    <cellStyle name="Input 2 3 2 2 4" xfId="24240" xr:uid="{00000000-0005-0000-0000-000067020000}"/>
    <cellStyle name="Input 2 3 2 3" xfId="22942" xr:uid="{00000000-0005-0000-0000-0000D43F0000}"/>
    <cellStyle name="Input 2 3 2 3 2" xfId="25359" xr:uid="{00000000-0005-0000-0000-000067020000}"/>
    <cellStyle name="Input 2 3 2 4" xfId="23448" xr:uid="{00000000-0005-0000-0000-0000D53F0000}"/>
    <cellStyle name="Input 2 3 2 4 2" xfId="26946" xr:uid="{00000000-0005-0000-0000-000067020000}"/>
    <cellStyle name="Input 2 3 3" xfId="23204" xr:uid="{00000000-0005-0000-0000-0000D63F0000}"/>
    <cellStyle name="Input 2 3 3 2" xfId="23508" xr:uid="{00000000-0005-0000-0000-0000D73F0000}"/>
    <cellStyle name="Input 2 3 3 2 2" xfId="25616" xr:uid="{00000000-0005-0000-0000-000068020000}"/>
    <cellStyle name="Input 2 3 3 3" xfId="27006" xr:uid="{00000000-0005-0000-0000-000068020000}"/>
    <cellStyle name="Input 2 3 4" xfId="23368" xr:uid="{00000000-0005-0000-0000-0000D83F0000}"/>
    <cellStyle name="Input 2 3 4 2" xfId="24836" xr:uid="{00000000-0005-0000-0000-000066020000}"/>
    <cellStyle name="Input 2 3 5" xfId="26866" xr:uid="{00000000-0005-0000-0000-000066020000}"/>
    <cellStyle name="Input 2 4" xfId="10643" xr:uid="{00000000-0005-0000-0000-0000D93F0000}"/>
    <cellStyle name="Input 2 4 2" xfId="10644" xr:uid="{00000000-0005-0000-0000-0000DA3F0000}"/>
    <cellStyle name="Input 2 4 2 2" xfId="26226" xr:uid="{00000000-0005-0000-0000-000069020000}"/>
    <cellStyle name="Input 2 4 2 3" xfId="27065" xr:uid="{00000000-0005-0000-0000-000069020000}"/>
    <cellStyle name="Input 2 4 2 4" xfId="23990" xr:uid="{00000000-0005-0000-0000-000069020000}"/>
    <cellStyle name="Input 2 4 3" xfId="18931" xr:uid="{00000000-0005-0000-0000-0000DB3F0000}"/>
    <cellStyle name="Input 2 4 3 2" xfId="25097" xr:uid="{00000000-0005-0000-0000-000069020000}"/>
    <cellStyle name="Input 2 4 4" xfId="23408" xr:uid="{00000000-0005-0000-0000-0000DC3F0000}"/>
    <cellStyle name="Input 2 4 4 2" xfId="26906" xr:uid="{00000000-0005-0000-0000-000069020000}"/>
    <cellStyle name="Input 2 5" xfId="10645" xr:uid="{00000000-0005-0000-0000-0000DD3F0000}"/>
    <cellStyle name="Input 2 5 2" xfId="18932" xr:uid="{00000000-0005-0000-0000-0000DE3F0000}"/>
    <cellStyle name="Input 2 5 3" xfId="24575" xr:uid="{00000000-0005-0000-0000-00005F020000}"/>
    <cellStyle name="Input 2 6" xfId="10646" xr:uid="{00000000-0005-0000-0000-0000DF3F0000}"/>
    <cellStyle name="Input 2 6 2" xfId="18933" xr:uid="{00000000-0005-0000-0000-0000E03F0000}"/>
    <cellStyle name="Input 2 6 3" xfId="24550" xr:uid="{00000000-0005-0000-0000-00005F020000}"/>
    <cellStyle name="Input 2 7" xfId="10647" xr:uid="{00000000-0005-0000-0000-0000E13F0000}"/>
    <cellStyle name="Input 2 7 2" xfId="18934" xr:uid="{00000000-0005-0000-0000-0000E23F0000}"/>
    <cellStyle name="Input 2 8" xfId="10648" xr:uid="{00000000-0005-0000-0000-0000E33F0000}"/>
    <cellStyle name="Input 2 8 2" xfId="18935" xr:uid="{00000000-0005-0000-0000-0000E43F0000}"/>
    <cellStyle name="Input 2 9" xfId="10649" xr:uid="{00000000-0005-0000-0000-0000E53F0000}"/>
    <cellStyle name="Input 2 9 2" xfId="18936" xr:uid="{00000000-0005-0000-0000-0000E63F0000}"/>
    <cellStyle name="Input 20" xfId="10650" xr:uid="{00000000-0005-0000-0000-0000E73F0000}"/>
    <cellStyle name="Input 20 2" xfId="10651" xr:uid="{00000000-0005-0000-0000-0000E83F0000}"/>
    <cellStyle name="Input 20 2 2" xfId="18937" xr:uid="{00000000-0005-0000-0000-0000E93F0000}"/>
    <cellStyle name="Input 20 3" xfId="10652" xr:uid="{00000000-0005-0000-0000-0000EA3F0000}"/>
    <cellStyle name="Input 20 3 2" xfId="18938" xr:uid="{00000000-0005-0000-0000-0000EB3F0000}"/>
    <cellStyle name="Input 20 4" xfId="10653" xr:uid="{00000000-0005-0000-0000-0000EC3F0000}"/>
    <cellStyle name="Input 20 4 2" xfId="18939" xr:uid="{00000000-0005-0000-0000-0000ED3F0000}"/>
    <cellStyle name="Input 20 5" xfId="10654" xr:uid="{00000000-0005-0000-0000-0000EE3F0000}"/>
    <cellStyle name="Input 20 5 2" xfId="18940" xr:uid="{00000000-0005-0000-0000-0000EF3F0000}"/>
    <cellStyle name="Input 20 6" xfId="10655" xr:uid="{00000000-0005-0000-0000-0000F03F0000}"/>
    <cellStyle name="Input 20 6 2" xfId="18941" xr:uid="{00000000-0005-0000-0000-0000F13F0000}"/>
    <cellStyle name="Input 20 7" xfId="10656" xr:uid="{00000000-0005-0000-0000-0000F23F0000}"/>
    <cellStyle name="Input 20 7 2" xfId="18942" xr:uid="{00000000-0005-0000-0000-0000F33F0000}"/>
    <cellStyle name="Input 20 8" xfId="10657" xr:uid="{00000000-0005-0000-0000-0000F43F0000}"/>
    <cellStyle name="Input 20 8 2" xfId="18943" xr:uid="{00000000-0005-0000-0000-0000F53F0000}"/>
    <cellStyle name="Input 20 9" xfId="10658" xr:uid="{00000000-0005-0000-0000-0000F63F0000}"/>
    <cellStyle name="Input 20 9 2" xfId="18944" xr:uid="{00000000-0005-0000-0000-0000F73F0000}"/>
    <cellStyle name="Input 21" xfId="10659" xr:uid="{00000000-0005-0000-0000-0000F83F0000}"/>
    <cellStyle name="Input 21 2" xfId="10660" xr:uid="{00000000-0005-0000-0000-0000F93F0000}"/>
    <cellStyle name="Input 21 2 2" xfId="18945" xr:uid="{00000000-0005-0000-0000-0000FA3F0000}"/>
    <cellStyle name="Input 21 3" xfId="10661" xr:uid="{00000000-0005-0000-0000-0000FB3F0000}"/>
    <cellStyle name="Input 21 3 2" xfId="18946" xr:uid="{00000000-0005-0000-0000-0000FC3F0000}"/>
    <cellStyle name="Input 21 4" xfId="10662" xr:uid="{00000000-0005-0000-0000-0000FD3F0000}"/>
    <cellStyle name="Input 21 4 2" xfId="18947" xr:uid="{00000000-0005-0000-0000-0000FE3F0000}"/>
    <cellStyle name="Input 21 5" xfId="10663" xr:uid="{00000000-0005-0000-0000-0000FF3F0000}"/>
    <cellStyle name="Input 21 5 2" xfId="18948" xr:uid="{00000000-0005-0000-0000-000000400000}"/>
    <cellStyle name="Input 21 6" xfId="10664" xr:uid="{00000000-0005-0000-0000-000001400000}"/>
    <cellStyle name="Input 21 6 2" xfId="18949" xr:uid="{00000000-0005-0000-0000-000002400000}"/>
    <cellStyle name="Input 21 7" xfId="10665" xr:uid="{00000000-0005-0000-0000-000003400000}"/>
    <cellStyle name="Input 21 7 2" xfId="18950" xr:uid="{00000000-0005-0000-0000-000004400000}"/>
    <cellStyle name="Input 21 8" xfId="10666" xr:uid="{00000000-0005-0000-0000-000005400000}"/>
    <cellStyle name="Input 21 8 2" xfId="18951" xr:uid="{00000000-0005-0000-0000-000006400000}"/>
    <cellStyle name="Input 21 9" xfId="10667" xr:uid="{00000000-0005-0000-0000-000007400000}"/>
    <cellStyle name="Input 21 9 2" xfId="18952" xr:uid="{00000000-0005-0000-0000-000008400000}"/>
    <cellStyle name="Input 22" xfId="10668" xr:uid="{00000000-0005-0000-0000-000009400000}"/>
    <cellStyle name="Input 22 2" xfId="10669" xr:uid="{00000000-0005-0000-0000-00000A400000}"/>
    <cellStyle name="Input 22 2 2" xfId="18953" xr:uid="{00000000-0005-0000-0000-00000B400000}"/>
    <cellStyle name="Input 22 3" xfId="10670" xr:uid="{00000000-0005-0000-0000-00000C400000}"/>
    <cellStyle name="Input 22 3 2" xfId="18954" xr:uid="{00000000-0005-0000-0000-00000D400000}"/>
    <cellStyle name="Input 22 4" xfId="10671" xr:uid="{00000000-0005-0000-0000-00000E400000}"/>
    <cellStyle name="Input 22 4 2" xfId="18955" xr:uid="{00000000-0005-0000-0000-00000F400000}"/>
    <cellStyle name="Input 22 5" xfId="10672" xr:uid="{00000000-0005-0000-0000-000010400000}"/>
    <cellStyle name="Input 22 5 2" xfId="18956" xr:uid="{00000000-0005-0000-0000-000011400000}"/>
    <cellStyle name="Input 22 6" xfId="10673" xr:uid="{00000000-0005-0000-0000-000012400000}"/>
    <cellStyle name="Input 22 6 2" xfId="18957" xr:uid="{00000000-0005-0000-0000-000013400000}"/>
    <cellStyle name="Input 22 7" xfId="10674" xr:uid="{00000000-0005-0000-0000-000014400000}"/>
    <cellStyle name="Input 22 7 2" xfId="18958" xr:uid="{00000000-0005-0000-0000-000015400000}"/>
    <cellStyle name="Input 22 8" xfId="10675" xr:uid="{00000000-0005-0000-0000-000016400000}"/>
    <cellStyle name="Input 22 8 2" xfId="18959" xr:uid="{00000000-0005-0000-0000-000017400000}"/>
    <cellStyle name="Input 22 9" xfId="10676" xr:uid="{00000000-0005-0000-0000-000018400000}"/>
    <cellStyle name="Input 22 9 2" xfId="18960" xr:uid="{00000000-0005-0000-0000-000019400000}"/>
    <cellStyle name="Input 23" xfId="10677" xr:uid="{00000000-0005-0000-0000-00001A400000}"/>
    <cellStyle name="Input 23 2" xfId="10678" xr:uid="{00000000-0005-0000-0000-00001B400000}"/>
    <cellStyle name="Input 23 2 2" xfId="18961" xr:uid="{00000000-0005-0000-0000-00001C400000}"/>
    <cellStyle name="Input 23 3" xfId="10679" xr:uid="{00000000-0005-0000-0000-00001D400000}"/>
    <cellStyle name="Input 23 3 2" xfId="18962" xr:uid="{00000000-0005-0000-0000-00001E400000}"/>
    <cellStyle name="Input 23 4" xfId="10680" xr:uid="{00000000-0005-0000-0000-00001F400000}"/>
    <cellStyle name="Input 23 4 2" xfId="18963" xr:uid="{00000000-0005-0000-0000-000020400000}"/>
    <cellStyle name="Input 23 5" xfId="10681" xr:uid="{00000000-0005-0000-0000-000021400000}"/>
    <cellStyle name="Input 23 5 2" xfId="18964" xr:uid="{00000000-0005-0000-0000-000022400000}"/>
    <cellStyle name="Input 23 6" xfId="10682" xr:uid="{00000000-0005-0000-0000-000023400000}"/>
    <cellStyle name="Input 23 6 2" xfId="18965" xr:uid="{00000000-0005-0000-0000-000024400000}"/>
    <cellStyle name="Input 23 7" xfId="10683" xr:uid="{00000000-0005-0000-0000-000025400000}"/>
    <cellStyle name="Input 23 7 2" xfId="18966" xr:uid="{00000000-0005-0000-0000-000026400000}"/>
    <cellStyle name="Input 23 8" xfId="10684" xr:uid="{00000000-0005-0000-0000-000027400000}"/>
    <cellStyle name="Input 23 8 2" xfId="18967" xr:uid="{00000000-0005-0000-0000-000028400000}"/>
    <cellStyle name="Input 23 9" xfId="10685" xr:uid="{00000000-0005-0000-0000-000029400000}"/>
    <cellStyle name="Input 23 9 2" xfId="18968" xr:uid="{00000000-0005-0000-0000-00002A400000}"/>
    <cellStyle name="Input 24" xfId="10686" xr:uid="{00000000-0005-0000-0000-00002B400000}"/>
    <cellStyle name="Input 24 2" xfId="10687" xr:uid="{00000000-0005-0000-0000-00002C400000}"/>
    <cellStyle name="Input 24 2 2" xfId="18969" xr:uid="{00000000-0005-0000-0000-00002D400000}"/>
    <cellStyle name="Input 24 3" xfId="10688" xr:uid="{00000000-0005-0000-0000-00002E400000}"/>
    <cellStyle name="Input 24 3 2" xfId="18970" xr:uid="{00000000-0005-0000-0000-00002F400000}"/>
    <cellStyle name="Input 24 4" xfId="10689" xr:uid="{00000000-0005-0000-0000-000030400000}"/>
    <cellStyle name="Input 24 4 2" xfId="18971" xr:uid="{00000000-0005-0000-0000-000031400000}"/>
    <cellStyle name="Input 24 5" xfId="10690" xr:uid="{00000000-0005-0000-0000-000032400000}"/>
    <cellStyle name="Input 24 5 2" xfId="18972" xr:uid="{00000000-0005-0000-0000-000033400000}"/>
    <cellStyle name="Input 24 6" xfId="10691" xr:uid="{00000000-0005-0000-0000-000034400000}"/>
    <cellStyle name="Input 24 6 2" xfId="18973" xr:uid="{00000000-0005-0000-0000-000035400000}"/>
    <cellStyle name="Input 24 7" xfId="10692" xr:uid="{00000000-0005-0000-0000-000036400000}"/>
    <cellStyle name="Input 24 7 2" xfId="18974" xr:uid="{00000000-0005-0000-0000-000037400000}"/>
    <cellStyle name="Input 24 8" xfId="10693" xr:uid="{00000000-0005-0000-0000-000038400000}"/>
    <cellStyle name="Input 24 8 2" xfId="18975" xr:uid="{00000000-0005-0000-0000-000039400000}"/>
    <cellStyle name="Input 24 9" xfId="10694" xr:uid="{00000000-0005-0000-0000-00003A400000}"/>
    <cellStyle name="Input 24 9 2" xfId="18976" xr:uid="{00000000-0005-0000-0000-00003B400000}"/>
    <cellStyle name="Input 25" xfId="10695" xr:uid="{00000000-0005-0000-0000-00003C400000}"/>
    <cellStyle name="Input 25 2" xfId="10696" xr:uid="{00000000-0005-0000-0000-00003D400000}"/>
    <cellStyle name="Input 25 2 2" xfId="18977" xr:uid="{00000000-0005-0000-0000-00003E400000}"/>
    <cellStyle name="Input 25 3" xfId="10697" xr:uid="{00000000-0005-0000-0000-00003F400000}"/>
    <cellStyle name="Input 25 3 2" xfId="18978" xr:uid="{00000000-0005-0000-0000-000040400000}"/>
    <cellStyle name="Input 25 4" xfId="10698" xr:uid="{00000000-0005-0000-0000-000041400000}"/>
    <cellStyle name="Input 25 4 2" xfId="18979" xr:uid="{00000000-0005-0000-0000-000042400000}"/>
    <cellStyle name="Input 25 5" xfId="10699" xr:uid="{00000000-0005-0000-0000-000043400000}"/>
    <cellStyle name="Input 25 5 2" xfId="18980" xr:uid="{00000000-0005-0000-0000-000044400000}"/>
    <cellStyle name="Input 25 6" xfId="10700" xr:uid="{00000000-0005-0000-0000-000045400000}"/>
    <cellStyle name="Input 25 6 2" xfId="18981" xr:uid="{00000000-0005-0000-0000-000046400000}"/>
    <cellStyle name="Input 25 7" xfId="10701" xr:uid="{00000000-0005-0000-0000-000047400000}"/>
    <cellStyle name="Input 25 7 2" xfId="18982" xr:uid="{00000000-0005-0000-0000-000048400000}"/>
    <cellStyle name="Input 25 8" xfId="10702" xr:uid="{00000000-0005-0000-0000-000049400000}"/>
    <cellStyle name="Input 25 8 2" xfId="18983" xr:uid="{00000000-0005-0000-0000-00004A400000}"/>
    <cellStyle name="Input 25 9" xfId="10703" xr:uid="{00000000-0005-0000-0000-00004B400000}"/>
    <cellStyle name="Input 25 9 2" xfId="18984" xr:uid="{00000000-0005-0000-0000-00004C400000}"/>
    <cellStyle name="Input 26" xfId="10704" xr:uid="{00000000-0005-0000-0000-00004D400000}"/>
    <cellStyle name="Input 26 2" xfId="10705" xr:uid="{00000000-0005-0000-0000-00004E400000}"/>
    <cellStyle name="Input 26 2 2" xfId="18985" xr:uid="{00000000-0005-0000-0000-00004F400000}"/>
    <cellStyle name="Input 26 3" xfId="10706" xr:uid="{00000000-0005-0000-0000-000050400000}"/>
    <cellStyle name="Input 26 3 2" xfId="18986" xr:uid="{00000000-0005-0000-0000-000051400000}"/>
    <cellStyle name="Input 26 4" xfId="10707" xr:uid="{00000000-0005-0000-0000-000052400000}"/>
    <cellStyle name="Input 26 4 2" xfId="18987" xr:uid="{00000000-0005-0000-0000-000053400000}"/>
    <cellStyle name="Input 26 5" xfId="10708" xr:uid="{00000000-0005-0000-0000-000054400000}"/>
    <cellStyle name="Input 26 5 2" xfId="18988" xr:uid="{00000000-0005-0000-0000-000055400000}"/>
    <cellStyle name="Input 26 6" xfId="10709" xr:uid="{00000000-0005-0000-0000-000056400000}"/>
    <cellStyle name="Input 26 6 2" xfId="18989" xr:uid="{00000000-0005-0000-0000-000057400000}"/>
    <cellStyle name="Input 26 7" xfId="10710" xr:uid="{00000000-0005-0000-0000-000058400000}"/>
    <cellStyle name="Input 26 7 2" xfId="18990" xr:uid="{00000000-0005-0000-0000-000059400000}"/>
    <cellStyle name="Input 26 8" xfId="10711" xr:uid="{00000000-0005-0000-0000-00005A400000}"/>
    <cellStyle name="Input 26 8 2" xfId="18991" xr:uid="{00000000-0005-0000-0000-00005B400000}"/>
    <cellStyle name="Input 26 9" xfId="10712" xr:uid="{00000000-0005-0000-0000-00005C400000}"/>
    <cellStyle name="Input 26 9 2" xfId="18992" xr:uid="{00000000-0005-0000-0000-00005D400000}"/>
    <cellStyle name="Input 27" xfId="10713" xr:uid="{00000000-0005-0000-0000-00005E400000}"/>
    <cellStyle name="Input 27 2" xfId="10714" xr:uid="{00000000-0005-0000-0000-00005F400000}"/>
    <cellStyle name="Input 27 2 2" xfId="18993" xr:uid="{00000000-0005-0000-0000-000060400000}"/>
    <cellStyle name="Input 27 3" xfId="10715" xr:uid="{00000000-0005-0000-0000-000061400000}"/>
    <cellStyle name="Input 27 3 2" xfId="18994" xr:uid="{00000000-0005-0000-0000-000062400000}"/>
    <cellStyle name="Input 27 4" xfId="10716" xr:uid="{00000000-0005-0000-0000-000063400000}"/>
    <cellStyle name="Input 27 4 2" xfId="18995" xr:uid="{00000000-0005-0000-0000-000064400000}"/>
    <cellStyle name="Input 27 5" xfId="10717" xr:uid="{00000000-0005-0000-0000-000065400000}"/>
    <cellStyle name="Input 27 5 2" xfId="18996" xr:uid="{00000000-0005-0000-0000-000066400000}"/>
    <cellStyle name="Input 27 6" xfId="10718" xr:uid="{00000000-0005-0000-0000-000067400000}"/>
    <cellStyle name="Input 27 6 2" xfId="18997" xr:uid="{00000000-0005-0000-0000-000068400000}"/>
    <cellStyle name="Input 27 7" xfId="10719" xr:uid="{00000000-0005-0000-0000-000069400000}"/>
    <cellStyle name="Input 27 7 2" xfId="18998" xr:uid="{00000000-0005-0000-0000-00006A400000}"/>
    <cellStyle name="Input 27 8" xfId="10720" xr:uid="{00000000-0005-0000-0000-00006B400000}"/>
    <cellStyle name="Input 27 8 2" xfId="18999" xr:uid="{00000000-0005-0000-0000-00006C400000}"/>
    <cellStyle name="Input 27 9" xfId="10721" xr:uid="{00000000-0005-0000-0000-00006D400000}"/>
    <cellStyle name="Input 27 9 2" xfId="19000" xr:uid="{00000000-0005-0000-0000-00006E400000}"/>
    <cellStyle name="Input 28" xfId="10722" xr:uid="{00000000-0005-0000-0000-00006F400000}"/>
    <cellStyle name="Input 28 2" xfId="10723" xr:uid="{00000000-0005-0000-0000-000070400000}"/>
    <cellStyle name="Input 28 2 2" xfId="19001" xr:uid="{00000000-0005-0000-0000-000071400000}"/>
    <cellStyle name="Input 28 3" xfId="10724" xr:uid="{00000000-0005-0000-0000-000072400000}"/>
    <cellStyle name="Input 28 3 2" xfId="19002" xr:uid="{00000000-0005-0000-0000-000073400000}"/>
    <cellStyle name="Input 28 4" xfId="10725" xr:uid="{00000000-0005-0000-0000-000074400000}"/>
    <cellStyle name="Input 28 4 2" xfId="19003" xr:uid="{00000000-0005-0000-0000-000075400000}"/>
    <cellStyle name="Input 28 5" xfId="10726" xr:uid="{00000000-0005-0000-0000-000076400000}"/>
    <cellStyle name="Input 28 5 2" xfId="19004" xr:uid="{00000000-0005-0000-0000-000077400000}"/>
    <cellStyle name="Input 28 6" xfId="10727" xr:uid="{00000000-0005-0000-0000-000078400000}"/>
    <cellStyle name="Input 28 6 2" xfId="19005" xr:uid="{00000000-0005-0000-0000-000079400000}"/>
    <cellStyle name="Input 28 7" xfId="10728" xr:uid="{00000000-0005-0000-0000-00007A400000}"/>
    <cellStyle name="Input 28 7 2" xfId="19006" xr:uid="{00000000-0005-0000-0000-00007B400000}"/>
    <cellStyle name="Input 28 8" xfId="10729" xr:uid="{00000000-0005-0000-0000-00007C400000}"/>
    <cellStyle name="Input 28 8 2" xfId="19007" xr:uid="{00000000-0005-0000-0000-00007D400000}"/>
    <cellStyle name="Input 28 9" xfId="10730" xr:uid="{00000000-0005-0000-0000-00007E400000}"/>
    <cellStyle name="Input 28 9 2" xfId="19008" xr:uid="{00000000-0005-0000-0000-00007F400000}"/>
    <cellStyle name="Input 29" xfId="10731" xr:uid="{00000000-0005-0000-0000-000080400000}"/>
    <cellStyle name="Input 29 2" xfId="10732" xr:uid="{00000000-0005-0000-0000-000081400000}"/>
    <cellStyle name="Input 29 2 2" xfId="19009" xr:uid="{00000000-0005-0000-0000-000082400000}"/>
    <cellStyle name="Input 29 3" xfId="10733" xr:uid="{00000000-0005-0000-0000-000083400000}"/>
    <cellStyle name="Input 29 3 2" xfId="19010" xr:uid="{00000000-0005-0000-0000-000084400000}"/>
    <cellStyle name="Input 29 4" xfId="10734" xr:uid="{00000000-0005-0000-0000-000085400000}"/>
    <cellStyle name="Input 29 4 2" xfId="19011" xr:uid="{00000000-0005-0000-0000-000086400000}"/>
    <cellStyle name="Input 29 5" xfId="10735" xr:uid="{00000000-0005-0000-0000-000087400000}"/>
    <cellStyle name="Input 29 5 2" xfId="19012" xr:uid="{00000000-0005-0000-0000-000088400000}"/>
    <cellStyle name="Input 29 6" xfId="10736" xr:uid="{00000000-0005-0000-0000-000089400000}"/>
    <cellStyle name="Input 29 6 2" xfId="19013" xr:uid="{00000000-0005-0000-0000-00008A400000}"/>
    <cellStyle name="Input 29 7" xfId="10737" xr:uid="{00000000-0005-0000-0000-00008B400000}"/>
    <cellStyle name="Input 29 7 2" xfId="19014" xr:uid="{00000000-0005-0000-0000-00008C400000}"/>
    <cellStyle name="Input 29 8" xfId="10738" xr:uid="{00000000-0005-0000-0000-00008D400000}"/>
    <cellStyle name="Input 29 8 2" xfId="19015" xr:uid="{00000000-0005-0000-0000-00008E400000}"/>
    <cellStyle name="Input 29 9" xfId="10739" xr:uid="{00000000-0005-0000-0000-00008F400000}"/>
    <cellStyle name="Input 29 9 2" xfId="19016" xr:uid="{00000000-0005-0000-0000-000090400000}"/>
    <cellStyle name="Input 3" xfId="10740" xr:uid="{00000000-0005-0000-0000-000091400000}"/>
    <cellStyle name="Input 3 10" xfId="10741" xr:uid="{00000000-0005-0000-0000-000092400000}"/>
    <cellStyle name="Input 3 10 2" xfId="19017" xr:uid="{00000000-0005-0000-0000-000093400000}"/>
    <cellStyle name="Input 3 11" xfId="10742" xr:uid="{00000000-0005-0000-0000-000094400000}"/>
    <cellStyle name="Input 3 11 2" xfId="19018" xr:uid="{00000000-0005-0000-0000-000095400000}"/>
    <cellStyle name="Input 3 12" xfId="22094" xr:uid="{00000000-0005-0000-0000-000096400000}"/>
    <cellStyle name="Input 3 13" xfId="23328" xr:uid="{00000000-0005-0000-0000-000097400000}"/>
    <cellStyle name="Input 3 2" xfId="10743" xr:uid="{00000000-0005-0000-0000-000098400000}"/>
    <cellStyle name="Input 3 2 2" xfId="10744" xr:uid="{00000000-0005-0000-0000-000099400000}"/>
    <cellStyle name="Input 3 2 2 2" xfId="19019" xr:uid="{00000000-0005-0000-0000-00009A400000}"/>
    <cellStyle name="Input 3 2 2 2 2" xfId="23088" xr:uid="{00000000-0005-0000-0000-00009B400000}"/>
    <cellStyle name="Input 3 2 2 2 2 2" xfId="26638" xr:uid="{00000000-0005-0000-0000-00006D020000}"/>
    <cellStyle name="Input 3 2 2 2 2 3" xfId="27137" xr:uid="{00000000-0005-0000-0000-00006D020000}"/>
    <cellStyle name="Input 3 2 2 2 2 4" xfId="24382" xr:uid="{00000000-0005-0000-0000-00006D020000}"/>
    <cellStyle name="Input 3 2 2 2 3" xfId="23480" xr:uid="{00000000-0005-0000-0000-00009C400000}"/>
    <cellStyle name="Input 3 2 2 2 3 2" xfId="25502" xr:uid="{00000000-0005-0000-0000-00006D020000}"/>
    <cellStyle name="Input 3 2 2 2 4" xfId="26978" xr:uid="{00000000-0005-0000-0000-00006D020000}"/>
    <cellStyle name="Input 3 2 2 3" xfId="23236" xr:uid="{00000000-0005-0000-0000-00009D400000}"/>
    <cellStyle name="Input 3 2 2 3 2" xfId="23540" xr:uid="{00000000-0005-0000-0000-00009E400000}"/>
    <cellStyle name="Input 3 2 2 3 2 2" xfId="25648" xr:uid="{00000000-0005-0000-0000-00006E020000}"/>
    <cellStyle name="Input 3 2 2 3 3" xfId="27038" xr:uid="{00000000-0005-0000-0000-00006E020000}"/>
    <cellStyle name="Input 3 2 2 4" xfId="22562" xr:uid="{00000000-0005-0000-0000-00009F400000}"/>
    <cellStyle name="Input 3 2 2 4 2" xfId="24980" xr:uid="{00000000-0005-0000-0000-00006C020000}"/>
    <cellStyle name="Input 3 2 2 5" xfId="23400" xr:uid="{00000000-0005-0000-0000-0000A0400000}"/>
    <cellStyle name="Input 3 2 2 5 2" xfId="26898" xr:uid="{00000000-0005-0000-0000-00006C020000}"/>
    <cellStyle name="Input 3 2 3" xfId="22824" xr:uid="{00000000-0005-0000-0000-0000A1400000}"/>
    <cellStyle name="Input 3 2 3 2" xfId="23440" xr:uid="{00000000-0005-0000-0000-0000A2400000}"/>
    <cellStyle name="Input 3 2 3 2 2" xfId="26373" xr:uid="{00000000-0005-0000-0000-00006F020000}"/>
    <cellStyle name="Input 3 2 3 2 3" xfId="27097" xr:uid="{00000000-0005-0000-0000-00006F020000}"/>
    <cellStyle name="Input 3 2 3 3" xfId="25244" xr:uid="{00000000-0005-0000-0000-00006F020000}"/>
    <cellStyle name="Input 3 2 3 4" xfId="26938" xr:uid="{00000000-0005-0000-0000-00006F020000}"/>
    <cellStyle name="Input 3 2 4" xfId="23197" xr:uid="{00000000-0005-0000-0000-0000A3400000}"/>
    <cellStyle name="Input 3 2 4 2" xfId="23500" xr:uid="{00000000-0005-0000-0000-0000A4400000}"/>
    <cellStyle name="Input 3 2 4 2 2" xfId="25609" xr:uid="{00000000-0005-0000-0000-000070020000}"/>
    <cellStyle name="Input 3 2 4 3" xfId="26998" xr:uid="{00000000-0005-0000-0000-000070020000}"/>
    <cellStyle name="Input 3 2 5" xfId="22303" xr:uid="{00000000-0005-0000-0000-0000A5400000}"/>
    <cellStyle name="Input 3 2 5 2" xfId="24720" xr:uid="{00000000-0005-0000-0000-00006B020000}"/>
    <cellStyle name="Input 3 2 6" xfId="23360" xr:uid="{00000000-0005-0000-0000-0000A6400000}"/>
    <cellStyle name="Input 3 2 6 2" xfId="26858" xr:uid="{00000000-0005-0000-0000-00006B020000}"/>
    <cellStyle name="Input 3 3" xfId="10745" xr:uid="{00000000-0005-0000-0000-0000A7400000}"/>
    <cellStyle name="Input 3 3 2" xfId="10746" xr:uid="{00000000-0005-0000-0000-0000A8400000}"/>
    <cellStyle name="Input 3 3 2 2" xfId="19020" xr:uid="{00000000-0005-0000-0000-0000A9400000}"/>
    <cellStyle name="Input 3 3 2 2 2" xfId="26492" xr:uid="{00000000-0005-0000-0000-000072020000}"/>
    <cellStyle name="Input 3 3 2 2 3" xfId="27106" xr:uid="{00000000-0005-0000-0000-000072020000}"/>
    <cellStyle name="Input 3 3 2 2 4" xfId="24241" xr:uid="{00000000-0005-0000-0000-000072020000}"/>
    <cellStyle name="Input 3 3 2 3" xfId="22943" xr:uid="{00000000-0005-0000-0000-0000AA400000}"/>
    <cellStyle name="Input 3 3 2 3 2" xfId="25360" xr:uid="{00000000-0005-0000-0000-000072020000}"/>
    <cellStyle name="Input 3 3 2 4" xfId="23449" xr:uid="{00000000-0005-0000-0000-0000AB400000}"/>
    <cellStyle name="Input 3 3 2 4 2" xfId="26947" xr:uid="{00000000-0005-0000-0000-000072020000}"/>
    <cellStyle name="Input 3 3 3" xfId="23205" xr:uid="{00000000-0005-0000-0000-0000AC400000}"/>
    <cellStyle name="Input 3 3 3 2" xfId="23509" xr:uid="{00000000-0005-0000-0000-0000AD400000}"/>
    <cellStyle name="Input 3 3 3 2 2" xfId="25617" xr:uid="{00000000-0005-0000-0000-000073020000}"/>
    <cellStyle name="Input 3 3 3 3" xfId="27007" xr:uid="{00000000-0005-0000-0000-000073020000}"/>
    <cellStyle name="Input 3 3 4" xfId="22419" xr:uid="{00000000-0005-0000-0000-0000AE400000}"/>
    <cellStyle name="Input 3 3 4 2" xfId="24837" xr:uid="{00000000-0005-0000-0000-000071020000}"/>
    <cellStyle name="Input 3 3 5" xfId="23369" xr:uid="{00000000-0005-0000-0000-0000AF400000}"/>
    <cellStyle name="Input 3 3 5 2" xfId="26867" xr:uid="{00000000-0005-0000-0000-000071020000}"/>
    <cellStyle name="Input 3 4" xfId="10747" xr:uid="{00000000-0005-0000-0000-0000B0400000}"/>
    <cellStyle name="Input 3 4 2" xfId="10748" xr:uid="{00000000-0005-0000-0000-0000B1400000}"/>
    <cellStyle name="Input 3 4 2 2" xfId="26227" xr:uid="{00000000-0005-0000-0000-000074020000}"/>
    <cellStyle name="Input 3 4 2 3" xfId="27066" xr:uid="{00000000-0005-0000-0000-000074020000}"/>
    <cellStyle name="Input 3 4 2 4" xfId="23991" xr:uid="{00000000-0005-0000-0000-000074020000}"/>
    <cellStyle name="Input 3 4 3" xfId="19021" xr:uid="{00000000-0005-0000-0000-0000B2400000}"/>
    <cellStyle name="Input 3 4 3 2" xfId="25098" xr:uid="{00000000-0005-0000-0000-000074020000}"/>
    <cellStyle name="Input 3 4 4" xfId="22681" xr:uid="{00000000-0005-0000-0000-0000B3400000}"/>
    <cellStyle name="Input 3 4 4 2" xfId="26907" xr:uid="{00000000-0005-0000-0000-000074020000}"/>
    <cellStyle name="Input 3 4 5" xfId="23409" xr:uid="{00000000-0005-0000-0000-0000B4400000}"/>
    <cellStyle name="Input 3 5" xfId="10749" xr:uid="{00000000-0005-0000-0000-0000B5400000}"/>
    <cellStyle name="Input 3 5 2" xfId="19022" xr:uid="{00000000-0005-0000-0000-0000B6400000}"/>
    <cellStyle name="Input 3 5 3" xfId="24576" xr:uid="{00000000-0005-0000-0000-00006A020000}"/>
    <cellStyle name="Input 3 6" xfId="10750" xr:uid="{00000000-0005-0000-0000-0000B7400000}"/>
    <cellStyle name="Input 3 6 2" xfId="19023" xr:uid="{00000000-0005-0000-0000-0000B8400000}"/>
    <cellStyle name="Input 3 6 3" xfId="24549" xr:uid="{00000000-0005-0000-0000-00006A020000}"/>
    <cellStyle name="Input 3 7" xfId="10751" xr:uid="{00000000-0005-0000-0000-0000B9400000}"/>
    <cellStyle name="Input 3 7 2" xfId="19024" xr:uid="{00000000-0005-0000-0000-0000BA400000}"/>
    <cellStyle name="Input 3 8" xfId="10752" xr:uid="{00000000-0005-0000-0000-0000BB400000}"/>
    <cellStyle name="Input 3 8 2" xfId="19025" xr:uid="{00000000-0005-0000-0000-0000BC400000}"/>
    <cellStyle name="Input 3 9" xfId="10753" xr:uid="{00000000-0005-0000-0000-0000BD400000}"/>
    <cellStyle name="Input 3 9 2" xfId="19026" xr:uid="{00000000-0005-0000-0000-0000BE400000}"/>
    <cellStyle name="Input 30" xfId="10754" xr:uid="{00000000-0005-0000-0000-0000BF400000}"/>
    <cellStyle name="Input 30 2" xfId="10755" xr:uid="{00000000-0005-0000-0000-0000C0400000}"/>
    <cellStyle name="Input 30 2 2" xfId="19027" xr:uid="{00000000-0005-0000-0000-0000C1400000}"/>
    <cellStyle name="Input 31" xfId="10756" xr:uid="{00000000-0005-0000-0000-0000C2400000}"/>
    <cellStyle name="Input 31 2" xfId="10757" xr:uid="{00000000-0005-0000-0000-0000C3400000}"/>
    <cellStyle name="Input 31 2 2" xfId="19028" xr:uid="{00000000-0005-0000-0000-0000C4400000}"/>
    <cellStyle name="Input 32" xfId="10758" xr:uid="{00000000-0005-0000-0000-0000C5400000}"/>
    <cellStyle name="Input 32 2" xfId="10759" xr:uid="{00000000-0005-0000-0000-0000C6400000}"/>
    <cellStyle name="Input 32 2 2" xfId="19029" xr:uid="{00000000-0005-0000-0000-0000C7400000}"/>
    <cellStyle name="Input 33" xfId="10760" xr:uid="{00000000-0005-0000-0000-0000C8400000}"/>
    <cellStyle name="Input 33 2" xfId="10761" xr:uid="{00000000-0005-0000-0000-0000C9400000}"/>
    <cellStyle name="Input 33 2 2" xfId="19030" xr:uid="{00000000-0005-0000-0000-0000CA400000}"/>
    <cellStyle name="Input 34" xfId="10762" xr:uid="{00000000-0005-0000-0000-0000CB400000}"/>
    <cellStyle name="Input 34 2" xfId="10763" xr:uid="{00000000-0005-0000-0000-0000CC400000}"/>
    <cellStyle name="Input 34 2 2" xfId="19031" xr:uid="{00000000-0005-0000-0000-0000CD400000}"/>
    <cellStyle name="Input 35" xfId="10764" xr:uid="{00000000-0005-0000-0000-0000CE400000}"/>
    <cellStyle name="Input 35 2" xfId="10765" xr:uid="{00000000-0005-0000-0000-0000CF400000}"/>
    <cellStyle name="Input 35 2 2" xfId="19032" xr:uid="{00000000-0005-0000-0000-0000D0400000}"/>
    <cellStyle name="Input 36" xfId="10766" xr:uid="{00000000-0005-0000-0000-0000D1400000}"/>
    <cellStyle name="Input 37" xfId="10767" xr:uid="{00000000-0005-0000-0000-0000D2400000}"/>
    <cellStyle name="Input 38" xfId="10768" xr:uid="{00000000-0005-0000-0000-0000D3400000}"/>
    <cellStyle name="Input 39" xfId="10769" xr:uid="{00000000-0005-0000-0000-0000D4400000}"/>
    <cellStyle name="Input 4" xfId="10770" xr:uid="{00000000-0005-0000-0000-0000D5400000}"/>
    <cellStyle name="Input 4 10" xfId="10771" xr:uid="{00000000-0005-0000-0000-0000D6400000}"/>
    <cellStyle name="Input 4 10 2" xfId="19033" xr:uid="{00000000-0005-0000-0000-0000D7400000}"/>
    <cellStyle name="Input 4 11" xfId="10772" xr:uid="{00000000-0005-0000-0000-0000D8400000}"/>
    <cellStyle name="Input 4 11 2" xfId="19034" xr:uid="{00000000-0005-0000-0000-0000D9400000}"/>
    <cellStyle name="Input 4 12" xfId="23329" xr:uid="{00000000-0005-0000-0000-0000DA400000}"/>
    <cellStyle name="Input 4 2" xfId="10773" xr:uid="{00000000-0005-0000-0000-0000DB400000}"/>
    <cellStyle name="Input 4 2 2" xfId="10774" xr:uid="{00000000-0005-0000-0000-0000DC400000}"/>
    <cellStyle name="Input 4 2 2 2" xfId="19035" xr:uid="{00000000-0005-0000-0000-0000DD400000}"/>
    <cellStyle name="Input 4 2 2 2 2" xfId="23054" xr:uid="{00000000-0005-0000-0000-0000DE400000}"/>
    <cellStyle name="Input 4 2 2 2 2 2" xfId="26604" xr:uid="{00000000-0005-0000-0000-000078020000}"/>
    <cellStyle name="Input 4 2 2 2 2 3" xfId="27123" xr:uid="{00000000-0005-0000-0000-000078020000}"/>
    <cellStyle name="Input 4 2 2 2 2 4" xfId="24349" xr:uid="{00000000-0005-0000-0000-000078020000}"/>
    <cellStyle name="Input 4 2 2 2 3" xfId="23466" xr:uid="{00000000-0005-0000-0000-0000DF400000}"/>
    <cellStyle name="Input 4 2 2 2 3 2" xfId="25468" xr:uid="{00000000-0005-0000-0000-000078020000}"/>
    <cellStyle name="Input 4 2 2 2 4" xfId="26964" xr:uid="{00000000-0005-0000-0000-000078020000}"/>
    <cellStyle name="Input 4 2 2 3" xfId="23222" xr:uid="{00000000-0005-0000-0000-0000E0400000}"/>
    <cellStyle name="Input 4 2 2 3 2" xfId="23526" xr:uid="{00000000-0005-0000-0000-0000E1400000}"/>
    <cellStyle name="Input 4 2 2 3 2 2" xfId="25634" xr:uid="{00000000-0005-0000-0000-000079020000}"/>
    <cellStyle name="Input 4 2 2 3 3" xfId="27024" xr:uid="{00000000-0005-0000-0000-000079020000}"/>
    <cellStyle name="Input 4 2 2 4" xfId="22528" xr:uid="{00000000-0005-0000-0000-0000E2400000}"/>
    <cellStyle name="Input 4 2 2 4 2" xfId="24946" xr:uid="{00000000-0005-0000-0000-000077020000}"/>
    <cellStyle name="Input 4 2 2 5" xfId="23386" xr:uid="{00000000-0005-0000-0000-0000E3400000}"/>
    <cellStyle name="Input 4 2 2 5 2" xfId="26884" xr:uid="{00000000-0005-0000-0000-000077020000}"/>
    <cellStyle name="Input 4 2 3" xfId="22790" xr:uid="{00000000-0005-0000-0000-0000E4400000}"/>
    <cellStyle name="Input 4 2 3 2" xfId="23426" xr:uid="{00000000-0005-0000-0000-0000E5400000}"/>
    <cellStyle name="Input 4 2 3 2 2" xfId="26339" xr:uid="{00000000-0005-0000-0000-00007A020000}"/>
    <cellStyle name="Input 4 2 3 2 3" xfId="27083" xr:uid="{00000000-0005-0000-0000-00007A020000}"/>
    <cellStyle name="Input 4 2 3 3" xfId="25210" xr:uid="{00000000-0005-0000-0000-00007A020000}"/>
    <cellStyle name="Input 4 2 3 4" xfId="26924" xr:uid="{00000000-0005-0000-0000-00007A020000}"/>
    <cellStyle name="Input 4 2 4" xfId="23183" xr:uid="{00000000-0005-0000-0000-0000E6400000}"/>
    <cellStyle name="Input 4 2 4 2" xfId="23486" xr:uid="{00000000-0005-0000-0000-0000E7400000}"/>
    <cellStyle name="Input 4 2 4 2 2" xfId="25595" xr:uid="{00000000-0005-0000-0000-00007B020000}"/>
    <cellStyle name="Input 4 2 4 3" xfId="26984" xr:uid="{00000000-0005-0000-0000-00007B020000}"/>
    <cellStyle name="Input 4 2 5" xfId="23346" xr:uid="{00000000-0005-0000-0000-0000E8400000}"/>
    <cellStyle name="Input 4 2 5 2" xfId="24686" xr:uid="{00000000-0005-0000-0000-000076020000}"/>
    <cellStyle name="Input 4 2 6" xfId="26844" xr:uid="{00000000-0005-0000-0000-000076020000}"/>
    <cellStyle name="Input 4 3" xfId="10775" xr:uid="{00000000-0005-0000-0000-0000E9400000}"/>
    <cellStyle name="Input 4 3 2" xfId="10776" xr:uid="{00000000-0005-0000-0000-0000EA400000}"/>
    <cellStyle name="Input 4 3 2 2" xfId="19036" xr:uid="{00000000-0005-0000-0000-0000EB400000}"/>
    <cellStyle name="Input 4 3 2 2 2" xfId="26493" xr:uid="{00000000-0005-0000-0000-00007D020000}"/>
    <cellStyle name="Input 4 3 2 2 3" xfId="27107" xr:uid="{00000000-0005-0000-0000-00007D020000}"/>
    <cellStyle name="Input 4 3 2 2 4" xfId="24242" xr:uid="{00000000-0005-0000-0000-00007D020000}"/>
    <cellStyle name="Input 4 3 2 3" xfId="22944" xr:uid="{00000000-0005-0000-0000-0000EC400000}"/>
    <cellStyle name="Input 4 3 2 3 2" xfId="25361" xr:uid="{00000000-0005-0000-0000-00007D020000}"/>
    <cellStyle name="Input 4 3 2 4" xfId="23450" xr:uid="{00000000-0005-0000-0000-0000ED400000}"/>
    <cellStyle name="Input 4 3 2 4 2" xfId="26948" xr:uid="{00000000-0005-0000-0000-00007D020000}"/>
    <cellStyle name="Input 4 3 3" xfId="23206" xr:uid="{00000000-0005-0000-0000-0000EE400000}"/>
    <cellStyle name="Input 4 3 3 2" xfId="23510" xr:uid="{00000000-0005-0000-0000-0000EF400000}"/>
    <cellStyle name="Input 4 3 3 2 2" xfId="25618" xr:uid="{00000000-0005-0000-0000-00007E020000}"/>
    <cellStyle name="Input 4 3 3 3" xfId="27008" xr:uid="{00000000-0005-0000-0000-00007E020000}"/>
    <cellStyle name="Input 4 3 4" xfId="23370" xr:uid="{00000000-0005-0000-0000-0000F0400000}"/>
    <cellStyle name="Input 4 3 4 2" xfId="24838" xr:uid="{00000000-0005-0000-0000-00007C020000}"/>
    <cellStyle name="Input 4 3 5" xfId="26868" xr:uid="{00000000-0005-0000-0000-00007C020000}"/>
    <cellStyle name="Input 4 4" xfId="10777" xr:uid="{00000000-0005-0000-0000-0000F1400000}"/>
    <cellStyle name="Input 4 4 2" xfId="10778" xr:uid="{00000000-0005-0000-0000-0000F2400000}"/>
    <cellStyle name="Input 4 4 2 2" xfId="26228" xr:uid="{00000000-0005-0000-0000-00007F020000}"/>
    <cellStyle name="Input 4 4 2 3" xfId="27067" xr:uid="{00000000-0005-0000-0000-00007F020000}"/>
    <cellStyle name="Input 4 4 2 4" xfId="23992" xr:uid="{00000000-0005-0000-0000-00007F020000}"/>
    <cellStyle name="Input 4 4 3" xfId="19037" xr:uid="{00000000-0005-0000-0000-0000F3400000}"/>
    <cellStyle name="Input 4 4 3 2" xfId="25099" xr:uid="{00000000-0005-0000-0000-00007F020000}"/>
    <cellStyle name="Input 4 4 4" xfId="23410" xr:uid="{00000000-0005-0000-0000-0000F4400000}"/>
    <cellStyle name="Input 4 4 4 2" xfId="26908" xr:uid="{00000000-0005-0000-0000-00007F020000}"/>
    <cellStyle name="Input 4 5" xfId="10779" xr:uid="{00000000-0005-0000-0000-0000F5400000}"/>
    <cellStyle name="Input 4 5 2" xfId="19038" xr:uid="{00000000-0005-0000-0000-0000F6400000}"/>
    <cellStyle name="Input 4 5 3" xfId="24577" xr:uid="{00000000-0005-0000-0000-000075020000}"/>
    <cellStyle name="Input 4 6" xfId="10780" xr:uid="{00000000-0005-0000-0000-0000F7400000}"/>
    <cellStyle name="Input 4 6 2" xfId="19039" xr:uid="{00000000-0005-0000-0000-0000F8400000}"/>
    <cellStyle name="Input 4 6 3" xfId="24548" xr:uid="{00000000-0005-0000-0000-000075020000}"/>
    <cellStyle name="Input 4 7" xfId="10781" xr:uid="{00000000-0005-0000-0000-0000F9400000}"/>
    <cellStyle name="Input 4 7 2" xfId="19040" xr:uid="{00000000-0005-0000-0000-0000FA400000}"/>
    <cellStyle name="Input 4 8" xfId="10782" xr:uid="{00000000-0005-0000-0000-0000FB400000}"/>
    <cellStyle name="Input 4 8 2" xfId="19041" xr:uid="{00000000-0005-0000-0000-0000FC400000}"/>
    <cellStyle name="Input 4 9" xfId="10783" xr:uid="{00000000-0005-0000-0000-0000FD400000}"/>
    <cellStyle name="Input 4 9 2" xfId="19042" xr:uid="{00000000-0005-0000-0000-0000FE400000}"/>
    <cellStyle name="Input 5" xfId="10784" xr:uid="{00000000-0005-0000-0000-0000FF400000}"/>
    <cellStyle name="Input 5 10" xfId="10785" xr:uid="{00000000-0005-0000-0000-000000410000}"/>
    <cellStyle name="Input 5 10 2" xfId="19043" xr:uid="{00000000-0005-0000-0000-000001410000}"/>
    <cellStyle name="Input 5 11" xfId="10786" xr:uid="{00000000-0005-0000-0000-000002410000}"/>
    <cellStyle name="Input 5 11 2" xfId="19044" xr:uid="{00000000-0005-0000-0000-000003410000}"/>
    <cellStyle name="Input 5 12" xfId="23330" xr:uid="{00000000-0005-0000-0000-000004410000}"/>
    <cellStyle name="Input 5 2" xfId="10787" xr:uid="{00000000-0005-0000-0000-000005410000}"/>
    <cellStyle name="Input 5 2 2" xfId="10788" xr:uid="{00000000-0005-0000-0000-000006410000}"/>
    <cellStyle name="Input 5 2 2 2" xfId="19045" xr:uid="{00000000-0005-0000-0000-000007410000}"/>
    <cellStyle name="Input 5 2 2 2 2" xfId="23087" xr:uid="{00000000-0005-0000-0000-000008410000}"/>
    <cellStyle name="Input 5 2 2 2 2 2" xfId="26637" xr:uid="{00000000-0005-0000-0000-000083020000}"/>
    <cellStyle name="Input 5 2 2 2 2 3" xfId="27136" xr:uid="{00000000-0005-0000-0000-000083020000}"/>
    <cellStyle name="Input 5 2 2 2 2 4" xfId="24381" xr:uid="{00000000-0005-0000-0000-000083020000}"/>
    <cellStyle name="Input 5 2 2 2 3" xfId="23479" xr:uid="{00000000-0005-0000-0000-000009410000}"/>
    <cellStyle name="Input 5 2 2 2 3 2" xfId="25501" xr:uid="{00000000-0005-0000-0000-000083020000}"/>
    <cellStyle name="Input 5 2 2 2 4" xfId="26977" xr:uid="{00000000-0005-0000-0000-000083020000}"/>
    <cellStyle name="Input 5 2 2 3" xfId="23235" xr:uid="{00000000-0005-0000-0000-00000A410000}"/>
    <cellStyle name="Input 5 2 2 3 2" xfId="23539" xr:uid="{00000000-0005-0000-0000-00000B410000}"/>
    <cellStyle name="Input 5 2 2 3 2 2" xfId="25647" xr:uid="{00000000-0005-0000-0000-000084020000}"/>
    <cellStyle name="Input 5 2 2 3 3" xfId="27037" xr:uid="{00000000-0005-0000-0000-000084020000}"/>
    <cellStyle name="Input 5 2 2 4" xfId="22561" xr:uid="{00000000-0005-0000-0000-00000C410000}"/>
    <cellStyle name="Input 5 2 2 4 2" xfId="24979" xr:uid="{00000000-0005-0000-0000-000082020000}"/>
    <cellStyle name="Input 5 2 2 5" xfId="23399" xr:uid="{00000000-0005-0000-0000-00000D410000}"/>
    <cellStyle name="Input 5 2 2 5 2" xfId="26897" xr:uid="{00000000-0005-0000-0000-000082020000}"/>
    <cellStyle name="Input 5 2 3" xfId="22823" xr:uid="{00000000-0005-0000-0000-00000E410000}"/>
    <cellStyle name="Input 5 2 3 2" xfId="23439" xr:uid="{00000000-0005-0000-0000-00000F410000}"/>
    <cellStyle name="Input 5 2 3 2 2" xfId="26372" xr:uid="{00000000-0005-0000-0000-000085020000}"/>
    <cellStyle name="Input 5 2 3 2 3" xfId="27096" xr:uid="{00000000-0005-0000-0000-000085020000}"/>
    <cellStyle name="Input 5 2 3 3" xfId="25243" xr:uid="{00000000-0005-0000-0000-000085020000}"/>
    <cellStyle name="Input 5 2 3 4" xfId="26937" xr:uid="{00000000-0005-0000-0000-000085020000}"/>
    <cellStyle name="Input 5 2 4" xfId="23196" xr:uid="{00000000-0005-0000-0000-000010410000}"/>
    <cellStyle name="Input 5 2 4 2" xfId="23499" xr:uid="{00000000-0005-0000-0000-000011410000}"/>
    <cellStyle name="Input 5 2 4 2 2" xfId="25608" xr:uid="{00000000-0005-0000-0000-000086020000}"/>
    <cellStyle name="Input 5 2 4 3" xfId="26997" xr:uid="{00000000-0005-0000-0000-000086020000}"/>
    <cellStyle name="Input 5 2 5" xfId="23359" xr:uid="{00000000-0005-0000-0000-000012410000}"/>
    <cellStyle name="Input 5 2 5 2" xfId="24719" xr:uid="{00000000-0005-0000-0000-000081020000}"/>
    <cellStyle name="Input 5 2 6" xfId="26857" xr:uid="{00000000-0005-0000-0000-000081020000}"/>
    <cellStyle name="Input 5 3" xfId="10789" xr:uid="{00000000-0005-0000-0000-000013410000}"/>
    <cellStyle name="Input 5 3 2" xfId="10790" xr:uid="{00000000-0005-0000-0000-000014410000}"/>
    <cellStyle name="Input 5 3 2 2" xfId="19046" xr:uid="{00000000-0005-0000-0000-000015410000}"/>
    <cellStyle name="Input 5 3 2 2 2" xfId="26494" xr:uid="{00000000-0005-0000-0000-000088020000}"/>
    <cellStyle name="Input 5 3 2 2 3" xfId="27108" xr:uid="{00000000-0005-0000-0000-000088020000}"/>
    <cellStyle name="Input 5 3 2 2 4" xfId="24243" xr:uid="{00000000-0005-0000-0000-000088020000}"/>
    <cellStyle name="Input 5 3 2 3" xfId="22945" xr:uid="{00000000-0005-0000-0000-000016410000}"/>
    <cellStyle name="Input 5 3 2 3 2" xfId="25362" xr:uid="{00000000-0005-0000-0000-000088020000}"/>
    <cellStyle name="Input 5 3 2 4" xfId="23451" xr:uid="{00000000-0005-0000-0000-000017410000}"/>
    <cellStyle name="Input 5 3 2 4 2" xfId="26949" xr:uid="{00000000-0005-0000-0000-000088020000}"/>
    <cellStyle name="Input 5 3 3" xfId="23207" xr:uid="{00000000-0005-0000-0000-000018410000}"/>
    <cellStyle name="Input 5 3 3 2" xfId="23511" xr:uid="{00000000-0005-0000-0000-000019410000}"/>
    <cellStyle name="Input 5 3 3 2 2" xfId="25619" xr:uid="{00000000-0005-0000-0000-000089020000}"/>
    <cellStyle name="Input 5 3 3 3" xfId="27009" xr:uid="{00000000-0005-0000-0000-000089020000}"/>
    <cellStyle name="Input 5 3 4" xfId="23371" xr:uid="{00000000-0005-0000-0000-00001A410000}"/>
    <cellStyle name="Input 5 3 4 2" xfId="24839" xr:uid="{00000000-0005-0000-0000-000087020000}"/>
    <cellStyle name="Input 5 3 5" xfId="26869" xr:uid="{00000000-0005-0000-0000-000087020000}"/>
    <cellStyle name="Input 5 4" xfId="10791" xr:uid="{00000000-0005-0000-0000-00001B410000}"/>
    <cellStyle name="Input 5 4 2" xfId="10792" xr:uid="{00000000-0005-0000-0000-00001C410000}"/>
    <cellStyle name="Input 5 4 2 2" xfId="26229" xr:uid="{00000000-0005-0000-0000-00008A020000}"/>
    <cellStyle name="Input 5 4 2 3" xfId="27068" xr:uid="{00000000-0005-0000-0000-00008A020000}"/>
    <cellStyle name="Input 5 4 2 4" xfId="23993" xr:uid="{00000000-0005-0000-0000-00008A020000}"/>
    <cellStyle name="Input 5 4 3" xfId="19047" xr:uid="{00000000-0005-0000-0000-00001D410000}"/>
    <cellStyle name="Input 5 4 3 2" xfId="25100" xr:uid="{00000000-0005-0000-0000-00008A020000}"/>
    <cellStyle name="Input 5 4 4" xfId="23411" xr:uid="{00000000-0005-0000-0000-00001E410000}"/>
    <cellStyle name="Input 5 4 4 2" xfId="26909" xr:uid="{00000000-0005-0000-0000-00008A020000}"/>
    <cellStyle name="Input 5 5" xfId="10793" xr:uid="{00000000-0005-0000-0000-00001F410000}"/>
    <cellStyle name="Input 5 5 2" xfId="19048" xr:uid="{00000000-0005-0000-0000-000020410000}"/>
    <cellStyle name="Input 5 5 3" xfId="24578" xr:uid="{00000000-0005-0000-0000-000080020000}"/>
    <cellStyle name="Input 5 6" xfId="10794" xr:uid="{00000000-0005-0000-0000-000021410000}"/>
    <cellStyle name="Input 5 6 2" xfId="19049" xr:uid="{00000000-0005-0000-0000-000022410000}"/>
    <cellStyle name="Input 5 6 3" xfId="24547" xr:uid="{00000000-0005-0000-0000-000080020000}"/>
    <cellStyle name="Input 5 7" xfId="10795" xr:uid="{00000000-0005-0000-0000-000023410000}"/>
    <cellStyle name="Input 5 7 2" xfId="19050" xr:uid="{00000000-0005-0000-0000-000024410000}"/>
    <cellStyle name="Input 5 8" xfId="10796" xr:uid="{00000000-0005-0000-0000-000025410000}"/>
    <cellStyle name="Input 5 8 2" xfId="19051" xr:uid="{00000000-0005-0000-0000-000026410000}"/>
    <cellStyle name="Input 5 9" xfId="10797" xr:uid="{00000000-0005-0000-0000-000027410000}"/>
    <cellStyle name="Input 5 9 2" xfId="19052" xr:uid="{00000000-0005-0000-0000-000028410000}"/>
    <cellStyle name="Input 6" xfId="10798" xr:uid="{00000000-0005-0000-0000-000029410000}"/>
    <cellStyle name="Input 6 10" xfId="10799" xr:uid="{00000000-0005-0000-0000-00002A410000}"/>
    <cellStyle name="Input 6 10 2" xfId="19053" xr:uid="{00000000-0005-0000-0000-00002B410000}"/>
    <cellStyle name="Input 6 11" xfId="10800" xr:uid="{00000000-0005-0000-0000-00002C410000}"/>
    <cellStyle name="Input 6 11 2" xfId="19054" xr:uid="{00000000-0005-0000-0000-00002D410000}"/>
    <cellStyle name="Input 6 2" xfId="10801" xr:uid="{00000000-0005-0000-0000-00002E410000}"/>
    <cellStyle name="Input 6 2 2" xfId="10802" xr:uid="{00000000-0005-0000-0000-00002F410000}"/>
    <cellStyle name="Input 6 2 2 2" xfId="19055" xr:uid="{00000000-0005-0000-0000-000030410000}"/>
    <cellStyle name="Input 6 3" xfId="10803" xr:uid="{00000000-0005-0000-0000-000031410000}"/>
    <cellStyle name="Input 6 3 2" xfId="10804" xr:uid="{00000000-0005-0000-0000-000032410000}"/>
    <cellStyle name="Input 6 3 2 2" xfId="19056" xr:uid="{00000000-0005-0000-0000-000033410000}"/>
    <cellStyle name="Input 6 4" xfId="10805" xr:uid="{00000000-0005-0000-0000-000034410000}"/>
    <cellStyle name="Input 6 4 2" xfId="10806" xr:uid="{00000000-0005-0000-0000-000035410000}"/>
    <cellStyle name="Input 6 4 3" xfId="19057" xr:uid="{00000000-0005-0000-0000-000036410000}"/>
    <cellStyle name="Input 6 5" xfId="10807" xr:uid="{00000000-0005-0000-0000-000037410000}"/>
    <cellStyle name="Input 6 5 2" xfId="19058" xr:uid="{00000000-0005-0000-0000-000038410000}"/>
    <cellStyle name="Input 6 6" xfId="10808" xr:uid="{00000000-0005-0000-0000-000039410000}"/>
    <cellStyle name="Input 6 6 2" xfId="19059" xr:uid="{00000000-0005-0000-0000-00003A410000}"/>
    <cellStyle name="Input 6 7" xfId="10809" xr:uid="{00000000-0005-0000-0000-00003B410000}"/>
    <cellStyle name="Input 6 7 2" xfId="19060" xr:uid="{00000000-0005-0000-0000-00003C410000}"/>
    <cellStyle name="Input 6 8" xfId="10810" xr:uid="{00000000-0005-0000-0000-00003D410000}"/>
    <cellStyle name="Input 6 8 2" xfId="19061" xr:uid="{00000000-0005-0000-0000-00003E410000}"/>
    <cellStyle name="Input 6 9" xfId="10811" xr:uid="{00000000-0005-0000-0000-00003F410000}"/>
    <cellStyle name="Input 6 9 2" xfId="19062" xr:uid="{00000000-0005-0000-0000-000040410000}"/>
    <cellStyle name="Input 7" xfId="10812" xr:uid="{00000000-0005-0000-0000-000041410000}"/>
    <cellStyle name="Input 7 10" xfId="10813" xr:uid="{00000000-0005-0000-0000-000042410000}"/>
    <cellStyle name="Input 7 10 2" xfId="19063" xr:uid="{00000000-0005-0000-0000-000043410000}"/>
    <cellStyle name="Input 7 11" xfId="10814" xr:uid="{00000000-0005-0000-0000-000044410000}"/>
    <cellStyle name="Input 7 11 2" xfId="19064" xr:uid="{00000000-0005-0000-0000-000045410000}"/>
    <cellStyle name="Input 7 2" xfId="10815" xr:uid="{00000000-0005-0000-0000-000046410000}"/>
    <cellStyle name="Input 7 2 2" xfId="10816" xr:uid="{00000000-0005-0000-0000-000047410000}"/>
    <cellStyle name="Input 7 2 2 2" xfId="19065" xr:uid="{00000000-0005-0000-0000-000048410000}"/>
    <cellStyle name="Input 7 3" xfId="10817" xr:uid="{00000000-0005-0000-0000-000049410000}"/>
    <cellStyle name="Input 7 3 2" xfId="10818" xr:uid="{00000000-0005-0000-0000-00004A410000}"/>
    <cellStyle name="Input 7 3 2 2" xfId="19066" xr:uid="{00000000-0005-0000-0000-00004B410000}"/>
    <cellStyle name="Input 7 4" xfId="10819" xr:uid="{00000000-0005-0000-0000-00004C410000}"/>
    <cellStyle name="Input 7 4 2" xfId="10820" xr:uid="{00000000-0005-0000-0000-00004D410000}"/>
    <cellStyle name="Input 7 4 3" xfId="19067" xr:uid="{00000000-0005-0000-0000-00004E410000}"/>
    <cellStyle name="Input 7 5" xfId="10821" xr:uid="{00000000-0005-0000-0000-00004F410000}"/>
    <cellStyle name="Input 7 5 2" xfId="19068" xr:uid="{00000000-0005-0000-0000-000050410000}"/>
    <cellStyle name="Input 7 6" xfId="10822" xr:uid="{00000000-0005-0000-0000-000051410000}"/>
    <cellStyle name="Input 7 6 2" xfId="19069" xr:uid="{00000000-0005-0000-0000-000052410000}"/>
    <cellStyle name="Input 7 7" xfId="10823" xr:uid="{00000000-0005-0000-0000-000053410000}"/>
    <cellStyle name="Input 7 7 2" xfId="19070" xr:uid="{00000000-0005-0000-0000-000054410000}"/>
    <cellStyle name="Input 7 8" xfId="10824" xr:uid="{00000000-0005-0000-0000-000055410000}"/>
    <cellStyle name="Input 7 8 2" xfId="19071" xr:uid="{00000000-0005-0000-0000-000056410000}"/>
    <cellStyle name="Input 7 9" xfId="10825" xr:uid="{00000000-0005-0000-0000-000057410000}"/>
    <cellStyle name="Input 7 9 2" xfId="19072" xr:uid="{00000000-0005-0000-0000-000058410000}"/>
    <cellStyle name="Input 8" xfId="10826" xr:uid="{00000000-0005-0000-0000-000059410000}"/>
    <cellStyle name="Input 8 10" xfId="10827" xr:uid="{00000000-0005-0000-0000-00005A410000}"/>
    <cellStyle name="Input 8 10 2" xfId="19073" xr:uid="{00000000-0005-0000-0000-00005B410000}"/>
    <cellStyle name="Input 8 11" xfId="10828" xr:uid="{00000000-0005-0000-0000-00005C410000}"/>
    <cellStyle name="Input 8 11 2" xfId="19074" xr:uid="{00000000-0005-0000-0000-00005D410000}"/>
    <cellStyle name="Input 8 2" xfId="10829" xr:uid="{00000000-0005-0000-0000-00005E410000}"/>
    <cellStyle name="Input 8 2 2" xfId="10830" xr:uid="{00000000-0005-0000-0000-00005F410000}"/>
    <cellStyle name="Input 8 2 2 2" xfId="19075" xr:uid="{00000000-0005-0000-0000-000060410000}"/>
    <cellStyle name="Input 8 3" xfId="10831" xr:uid="{00000000-0005-0000-0000-000061410000}"/>
    <cellStyle name="Input 8 3 2" xfId="10832" xr:uid="{00000000-0005-0000-0000-000062410000}"/>
    <cellStyle name="Input 8 3 2 2" xfId="19076" xr:uid="{00000000-0005-0000-0000-000063410000}"/>
    <cellStyle name="Input 8 4" xfId="10833" xr:uid="{00000000-0005-0000-0000-000064410000}"/>
    <cellStyle name="Input 8 4 2" xfId="10834" xr:uid="{00000000-0005-0000-0000-000065410000}"/>
    <cellStyle name="Input 8 4 3" xfId="19077" xr:uid="{00000000-0005-0000-0000-000066410000}"/>
    <cellStyle name="Input 8 5" xfId="10835" xr:uid="{00000000-0005-0000-0000-000067410000}"/>
    <cellStyle name="Input 8 5 2" xfId="19078" xr:uid="{00000000-0005-0000-0000-000068410000}"/>
    <cellStyle name="Input 8 6" xfId="10836" xr:uid="{00000000-0005-0000-0000-000069410000}"/>
    <cellStyle name="Input 8 6 2" xfId="19079" xr:uid="{00000000-0005-0000-0000-00006A410000}"/>
    <cellStyle name="Input 8 7" xfId="10837" xr:uid="{00000000-0005-0000-0000-00006B410000}"/>
    <cellStyle name="Input 8 7 2" xfId="19080" xr:uid="{00000000-0005-0000-0000-00006C410000}"/>
    <cellStyle name="Input 8 8" xfId="10838" xr:uid="{00000000-0005-0000-0000-00006D410000}"/>
    <cellStyle name="Input 8 8 2" xfId="19081" xr:uid="{00000000-0005-0000-0000-00006E410000}"/>
    <cellStyle name="Input 8 9" xfId="10839" xr:uid="{00000000-0005-0000-0000-00006F410000}"/>
    <cellStyle name="Input 8 9 2" xfId="19082" xr:uid="{00000000-0005-0000-0000-000070410000}"/>
    <cellStyle name="Input 9" xfId="10840" xr:uid="{00000000-0005-0000-0000-000071410000}"/>
    <cellStyle name="Input 9 10" xfId="10841" xr:uid="{00000000-0005-0000-0000-000072410000}"/>
    <cellStyle name="Input 9 10 2" xfId="19083" xr:uid="{00000000-0005-0000-0000-000073410000}"/>
    <cellStyle name="Input 9 11" xfId="10842" xr:uid="{00000000-0005-0000-0000-000074410000}"/>
    <cellStyle name="Input 9 11 2" xfId="19084" xr:uid="{00000000-0005-0000-0000-000075410000}"/>
    <cellStyle name="Input 9 2" xfId="10843" xr:uid="{00000000-0005-0000-0000-000076410000}"/>
    <cellStyle name="Input 9 2 2" xfId="10844" xr:uid="{00000000-0005-0000-0000-000077410000}"/>
    <cellStyle name="Input 9 2 2 2" xfId="19085" xr:uid="{00000000-0005-0000-0000-000078410000}"/>
    <cellStyle name="Input 9 3" xfId="10845" xr:uid="{00000000-0005-0000-0000-000079410000}"/>
    <cellStyle name="Input 9 3 2" xfId="10846" xr:uid="{00000000-0005-0000-0000-00007A410000}"/>
    <cellStyle name="Input 9 3 2 2" xfId="19086" xr:uid="{00000000-0005-0000-0000-00007B410000}"/>
    <cellStyle name="Input 9 4" xfId="10847" xr:uid="{00000000-0005-0000-0000-00007C410000}"/>
    <cellStyle name="Input 9 4 2" xfId="10848" xr:uid="{00000000-0005-0000-0000-00007D410000}"/>
    <cellStyle name="Input 9 4 3" xfId="19087" xr:uid="{00000000-0005-0000-0000-00007E410000}"/>
    <cellStyle name="Input 9 5" xfId="10849" xr:uid="{00000000-0005-0000-0000-00007F410000}"/>
    <cellStyle name="Input 9 5 2" xfId="19088" xr:uid="{00000000-0005-0000-0000-000080410000}"/>
    <cellStyle name="Input 9 6" xfId="10850" xr:uid="{00000000-0005-0000-0000-000081410000}"/>
    <cellStyle name="Input 9 6 2" xfId="19089" xr:uid="{00000000-0005-0000-0000-000082410000}"/>
    <cellStyle name="Input 9 7" xfId="10851" xr:uid="{00000000-0005-0000-0000-000083410000}"/>
    <cellStyle name="Input 9 7 2" xfId="19090" xr:uid="{00000000-0005-0000-0000-000084410000}"/>
    <cellStyle name="Input 9 8" xfId="10852" xr:uid="{00000000-0005-0000-0000-000085410000}"/>
    <cellStyle name="Input 9 8 2" xfId="19091" xr:uid="{00000000-0005-0000-0000-000086410000}"/>
    <cellStyle name="Input 9 9" xfId="10853" xr:uid="{00000000-0005-0000-0000-000087410000}"/>
    <cellStyle name="Input 9 9 2" xfId="19092" xr:uid="{00000000-0005-0000-0000-000088410000}"/>
    <cellStyle name="Linked Cell 10" xfId="10854" xr:uid="{00000000-0005-0000-0000-000089410000}"/>
    <cellStyle name="Linked Cell 10 10" xfId="10855" xr:uid="{00000000-0005-0000-0000-00008A410000}"/>
    <cellStyle name="Linked Cell 10 10 2" xfId="19093" xr:uid="{00000000-0005-0000-0000-00008B410000}"/>
    <cellStyle name="Linked Cell 10 11" xfId="10856" xr:uid="{00000000-0005-0000-0000-00008C410000}"/>
    <cellStyle name="Linked Cell 10 11 2" xfId="19094" xr:uid="{00000000-0005-0000-0000-00008D410000}"/>
    <cellStyle name="Linked Cell 10 2" xfId="10857" xr:uid="{00000000-0005-0000-0000-00008E410000}"/>
    <cellStyle name="Linked Cell 10 2 2" xfId="10858" xr:uid="{00000000-0005-0000-0000-00008F410000}"/>
    <cellStyle name="Linked Cell 10 2 2 2" xfId="19095" xr:uid="{00000000-0005-0000-0000-000090410000}"/>
    <cellStyle name="Linked Cell 10 3" xfId="10859" xr:uid="{00000000-0005-0000-0000-000091410000}"/>
    <cellStyle name="Linked Cell 10 3 2" xfId="10860" xr:uid="{00000000-0005-0000-0000-000092410000}"/>
    <cellStyle name="Linked Cell 10 3 2 2" xfId="19096" xr:uid="{00000000-0005-0000-0000-000093410000}"/>
    <cellStyle name="Linked Cell 10 4" xfId="10861" xr:uid="{00000000-0005-0000-0000-000094410000}"/>
    <cellStyle name="Linked Cell 10 4 2" xfId="10862" xr:uid="{00000000-0005-0000-0000-000095410000}"/>
    <cellStyle name="Linked Cell 10 4 3" xfId="19097" xr:uid="{00000000-0005-0000-0000-000096410000}"/>
    <cellStyle name="Linked Cell 10 5" xfId="10863" xr:uid="{00000000-0005-0000-0000-000097410000}"/>
    <cellStyle name="Linked Cell 10 5 2" xfId="19098" xr:uid="{00000000-0005-0000-0000-000098410000}"/>
    <cellStyle name="Linked Cell 10 6" xfId="10864" xr:uid="{00000000-0005-0000-0000-000099410000}"/>
    <cellStyle name="Linked Cell 10 6 2" xfId="19099" xr:uid="{00000000-0005-0000-0000-00009A410000}"/>
    <cellStyle name="Linked Cell 10 7" xfId="10865" xr:uid="{00000000-0005-0000-0000-00009B410000}"/>
    <cellStyle name="Linked Cell 10 7 2" xfId="19100" xr:uid="{00000000-0005-0000-0000-00009C410000}"/>
    <cellStyle name="Linked Cell 10 8" xfId="10866" xr:uid="{00000000-0005-0000-0000-00009D410000}"/>
    <cellStyle name="Linked Cell 10 8 2" xfId="19101" xr:uid="{00000000-0005-0000-0000-00009E410000}"/>
    <cellStyle name="Linked Cell 10 9" xfId="10867" xr:uid="{00000000-0005-0000-0000-00009F410000}"/>
    <cellStyle name="Linked Cell 10 9 2" xfId="19102" xr:uid="{00000000-0005-0000-0000-0000A0410000}"/>
    <cellStyle name="Linked Cell 11" xfId="10868" xr:uid="{00000000-0005-0000-0000-0000A1410000}"/>
    <cellStyle name="Linked Cell 11 10" xfId="10869" xr:uid="{00000000-0005-0000-0000-0000A2410000}"/>
    <cellStyle name="Linked Cell 11 10 2" xfId="19103" xr:uid="{00000000-0005-0000-0000-0000A3410000}"/>
    <cellStyle name="Linked Cell 11 11" xfId="10870" xr:uid="{00000000-0005-0000-0000-0000A4410000}"/>
    <cellStyle name="Linked Cell 11 11 2" xfId="19104" xr:uid="{00000000-0005-0000-0000-0000A5410000}"/>
    <cellStyle name="Linked Cell 11 2" xfId="10871" xr:uid="{00000000-0005-0000-0000-0000A6410000}"/>
    <cellStyle name="Linked Cell 11 2 2" xfId="10872" xr:uid="{00000000-0005-0000-0000-0000A7410000}"/>
    <cellStyle name="Linked Cell 11 2 2 2" xfId="19105" xr:uid="{00000000-0005-0000-0000-0000A8410000}"/>
    <cellStyle name="Linked Cell 11 3" xfId="10873" xr:uid="{00000000-0005-0000-0000-0000A9410000}"/>
    <cellStyle name="Linked Cell 11 3 2" xfId="10874" xr:uid="{00000000-0005-0000-0000-0000AA410000}"/>
    <cellStyle name="Linked Cell 11 3 2 2" xfId="19106" xr:uid="{00000000-0005-0000-0000-0000AB410000}"/>
    <cellStyle name="Linked Cell 11 4" xfId="10875" xr:uid="{00000000-0005-0000-0000-0000AC410000}"/>
    <cellStyle name="Linked Cell 11 4 2" xfId="10876" xr:uid="{00000000-0005-0000-0000-0000AD410000}"/>
    <cellStyle name="Linked Cell 11 4 3" xfId="19107" xr:uid="{00000000-0005-0000-0000-0000AE410000}"/>
    <cellStyle name="Linked Cell 11 5" xfId="10877" xr:uid="{00000000-0005-0000-0000-0000AF410000}"/>
    <cellStyle name="Linked Cell 11 5 2" xfId="19108" xr:uid="{00000000-0005-0000-0000-0000B0410000}"/>
    <cellStyle name="Linked Cell 11 6" xfId="10878" xr:uid="{00000000-0005-0000-0000-0000B1410000}"/>
    <cellStyle name="Linked Cell 11 6 2" xfId="19109" xr:uid="{00000000-0005-0000-0000-0000B2410000}"/>
    <cellStyle name="Linked Cell 11 7" xfId="10879" xr:uid="{00000000-0005-0000-0000-0000B3410000}"/>
    <cellStyle name="Linked Cell 11 7 2" xfId="19110" xr:uid="{00000000-0005-0000-0000-0000B4410000}"/>
    <cellStyle name="Linked Cell 11 8" xfId="10880" xr:uid="{00000000-0005-0000-0000-0000B5410000}"/>
    <cellStyle name="Linked Cell 11 8 2" xfId="19111" xr:uid="{00000000-0005-0000-0000-0000B6410000}"/>
    <cellStyle name="Linked Cell 11 9" xfId="10881" xr:uid="{00000000-0005-0000-0000-0000B7410000}"/>
    <cellStyle name="Linked Cell 11 9 2" xfId="19112" xr:uid="{00000000-0005-0000-0000-0000B8410000}"/>
    <cellStyle name="Linked Cell 12" xfId="10882" xr:uid="{00000000-0005-0000-0000-0000B9410000}"/>
    <cellStyle name="Linked Cell 12 10" xfId="10883" xr:uid="{00000000-0005-0000-0000-0000BA410000}"/>
    <cellStyle name="Linked Cell 12 10 2" xfId="19113" xr:uid="{00000000-0005-0000-0000-0000BB410000}"/>
    <cellStyle name="Linked Cell 12 11" xfId="10884" xr:uid="{00000000-0005-0000-0000-0000BC410000}"/>
    <cellStyle name="Linked Cell 12 11 2" xfId="19114" xr:uid="{00000000-0005-0000-0000-0000BD410000}"/>
    <cellStyle name="Linked Cell 12 2" xfId="10885" xr:uid="{00000000-0005-0000-0000-0000BE410000}"/>
    <cellStyle name="Linked Cell 12 2 2" xfId="10886" xr:uid="{00000000-0005-0000-0000-0000BF410000}"/>
    <cellStyle name="Linked Cell 12 2 2 2" xfId="19115" xr:uid="{00000000-0005-0000-0000-0000C0410000}"/>
    <cellStyle name="Linked Cell 12 3" xfId="10887" xr:uid="{00000000-0005-0000-0000-0000C1410000}"/>
    <cellStyle name="Linked Cell 12 3 2" xfId="10888" xr:uid="{00000000-0005-0000-0000-0000C2410000}"/>
    <cellStyle name="Linked Cell 12 3 2 2" xfId="19116" xr:uid="{00000000-0005-0000-0000-0000C3410000}"/>
    <cellStyle name="Linked Cell 12 4" xfId="10889" xr:uid="{00000000-0005-0000-0000-0000C4410000}"/>
    <cellStyle name="Linked Cell 12 4 2" xfId="10890" xr:uid="{00000000-0005-0000-0000-0000C5410000}"/>
    <cellStyle name="Linked Cell 12 4 3" xfId="19117" xr:uid="{00000000-0005-0000-0000-0000C6410000}"/>
    <cellStyle name="Linked Cell 12 5" xfId="10891" xr:uid="{00000000-0005-0000-0000-0000C7410000}"/>
    <cellStyle name="Linked Cell 12 5 2" xfId="19118" xr:uid="{00000000-0005-0000-0000-0000C8410000}"/>
    <cellStyle name="Linked Cell 12 6" xfId="10892" xr:uid="{00000000-0005-0000-0000-0000C9410000}"/>
    <cellStyle name="Linked Cell 12 6 2" xfId="19119" xr:uid="{00000000-0005-0000-0000-0000CA410000}"/>
    <cellStyle name="Linked Cell 12 7" xfId="10893" xr:uid="{00000000-0005-0000-0000-0000CB410000}"/>
    <cellStyle name="Linked Cell 12 7 2" xfId="19120" xr:uid="{00000000-0005-0000-0000-0000CC410000}"/>
    <cellStyle name="Linked Cell 12 8" xfId="10894" xr:uid="{00000000-0005-0000-0000-0000CD410000}"/>
    <cellStyle name="Linked Cell 12 8 2" xfId="19121" xr:uid="{00000000-0005-0000-0000-0000CE410000}"/>
    <cellStyle name="Linked Cell 12 9" xfId="10895" xr:uid="{00000000-0005-0000-0000-0000CF410000}"/>
    <cellStyle name="Linked Cell 12 9 2" xfId="19122" xr:uid="{00000000-0005-0000-0000-0000D0410000}"/>
    <cellStyle name="Linked Cell 13" xfId="10896" xr:uid="{00000000-0005-0000-0000-0000D1410000}"/>
    <cellStyle name="Linked Cell 13 10" xfId="10897" xr:uid="{00000000-0005-0000-0000-0000D2410000}"/>
    <cellStyle name="Linked Cell 13 10 2" xfId="19123" xr:uid="{00000000-0005-0000-0000-0000D3410000}"/>
    <cellStyle name="Linked Cell 13 11" xfId="10898" xr:uid="{00000000-0005-0000-0000-0000D4410000}"/>
    <cellStyle name="Linked Cell 13 11 2" xfId="19124" xr:uid="{00000000-0005-0000-0000-0000D5410000}"/>
    <cellStyle name="Linked Cell 13 2" xfId="10899" xr:uid="{00000000-0005-0000-0000-0000D6410000}"/>
    <cellStyle name="Linked Cell 13 2 2" xfId="10900" xr:uid="{00000000-0005-0000-0000-0000D7410000}"/>
    <cellStyle name="Linked Cell 13 2 2 2" xfId="19125" xr:uid="{00000000-0005-0000-0000-0000D8410000}"/>
    <cellStyle name="Linked Cell 13 3" xfId="10901" xr:uid="{00000000-0005-0000-0000-0000D9410000}"/>
    <cellStyle name="Linked Cell 13 3 2" xfId="10902" xr:uid="{00000000-0005-0000-0000-0000DA410000}"/>
    <cellStyle name="Linked Cell 13 3 2 2" xfId="19126" xr:uid="{00000000-0005-0000-0000-0000DB410000}"/>
    <cellStyle name="Linked Cell 13 4" xfId="10903" xr:uid="{00000000-0005-0000-0000-0000DC410000}"/>
    <cellStyle name="Linked Cell 13 4 2" xfId="19127" xr:uid="{00000000-0005-0000-0000-0000DD410000}"/>
    <cellStyle name="Linked Cell 13 5" xfId="10904" xr:uid="{00000000-0005-0000-0000-0000DE410000}"/>
    <cellStyle name="Linked Cell 13 5 2" xfId="19128" xr:uid="{00000000-0005-0000-0000-0000DF410000}"/>
    <cellStyle name="Linked Cell 13 6" xfId="10905" xr:uid="{00000000-0005-0000-0000-0000E0410000}"/>
    <cellStyle name="Linked Cell 13 6 2" xfId="19129" xr:uid="{00000000-0005-0000-0000-0000E1410000}"/>
    <cellStyle name="Linked Cell 13 7" xfId="10906" xr:uid="{00000000-0005-0000-0000-0000E2410000}"/>
    <cellStyle name="Linked Cell 13 7 2" xfId="19130" xr:uid="{00000000-0005-0000-0000-0000E3410000}"/>
    <cellStyle name="Linked Cell 13 8" xfId="10907" xr:uid="{00000000-0005-0000-0000-0000E4410000}"/>
    <cellStyle name="Linked Cell 13 8 2" xfId="19131" xr:uid="{00000000-0005-0000-0000-0000E5410000}"/>
    <cellStyle name="Linked Cell 13 9" xfId="10908" xr:uid="{00000000-0005-0000-0000-0000E6410000}"/>
    <cellStyle name="Linked Cell 13 9 2" xfId="19132" xr:uid="{00000000-0005-0000-0000-0000E7410000}"/>
    <cellStyle name="Linked Cell 14" xfId="10909" xr:uid="{00000000-0005-0000-0000-0000E8410000}"/>
    <cellStyle name="Linked Cell 14 10" xfId="10910" xr:uid="{00000000-0005-0000-0000-0000E9410000}"/>
    <cellStyle name="Linked Cell 14 10 2" xfId="19133" xr:uid="{00000000-0005-0000-0000-0000EA410000}"/>
    <cellStyle name="Linked Cell 14 11" xfId="10911" xr:uid="{00000000-0005-0000-0000-0000EB410000}"/>
    <cellStyle name="Linked Cell 14 11 2" xfId="19134" xr:uid="{00000000-0005-0000-0000-0000EC410000}"/>
    <cellStyle name="Linked Cell 14 2" xfId="10912" xr:uid="{00000000-0005-0000-0000-0000ED410000}"/>
    <cellStyle name="Linked Cell 14 2 2" xfId="10913" xr:uid="{00000000-0005-0000-0000-0000EE410000}"/>
    <cellStyle name="Linked Cell 14 2 2 2" xfId="19135" xr:uid="{00000000-0005-0000-0000-0000EF410000}"/>
    <cellStyle name="Linked Cell 14 3" xfId="10914" xr:uid="{00000000-0005-0000-0000-0000F0410000}"/>
    <cellStyle name="Linked Cell 14 3 2" xfId="10915" xr:uid="{00000000-0005-0000-0000-0000F1410000}"/>
    <cellStyle name="Linked Cell 14 3 2 2" xfId="19136" xr:uid="{00000000-0005-0000-0000-0000F2410000}"/>
    <cellStyle name="Linked Cell 14 4" xfId="10916" xr:uid="{00000000-0005-0000-0000-0000F3410000}"/>
    <cellStyle name="Linked Cell 14 4 2" xfId="19137" xr:uid="{00000000-0005-0000-0000-0000F4410000}"/>
    <cellStyle name="Linked Cell 14 5" xfId="10917" xr:uid="{00000000-0005-0000-0000-0000F5410000}"/>
    <cellStyle name="Linked Cell 14 5 2" xfId="19138" xr:uid="{00000000-0005-0000-0000-0000F6410000}"/>
    <cellStyle name="Linked Cell 14 6" xfId="10918" xr:uid="{00000000-0005-0000-0000-0000F7410000}"/>
    <cellStyle name="Linked Cell 14 6 2" xfId="19139" xr:uid="{00000000-0005-0000-0000-0000F8410000}"/>
    <cellStyle name="Linked Cell 14 7" xfId="10919" xr:uid="{00000000-0005-0000-0000-0000F9410000}"/>
    <cellStyle name="Linked Cell 14 7 2" xfId="19140" xr:uid="{00000000-0005-0000-0000-0000FA410000}"/>
    <cellStyle name="Linked Cell 14 8" xfId="10920" xr:uid="{00000000-0005-0000-0000-0000FB410000}"/>
    <cellStyle name="Linked Cell 14 8 2" xfId="19141" xr:uid="{00000000-0005-0000-0000-0000FC410000}"/>
    <cellStyle name="Linked Cell 14 9" xfId="10921" xr:uid="{00000000-0005-0000-0000-0000FD410000}"/>
    <cellStyle name="Linked Cell 14 9 2" xfId="19142" xr:uid="{00000000-0005-0000-0000-0000FE410000}"/>
    <cellStyle name="Linked Cell 15" xfId="10922" xr:uid="{00000000-0005-0000-0000-0000FF410000}"/>
    <cellStyle name="Linked Cell 15 10" xfId="10923" xr:uid="{00000000-0005-0000-0000-000000420000}"/>
    <cellStyle name="Linked Cell 15 10 2" xfId="19143" xr:uid="{00000000-0005-0000-0000-000001420000}"/>
    <cellStyle name="Linked Cell 15 11" xfId="10924" xr:uid="{00000000-0005-0000-0000-000002420000}"/>
    <cellStyle name="Linked Cell 15 11 2" xfId="19144" xr:uid="{00000000-0005-0000-0000-000003420000}"/>
    <cellStyle name="Linked Cell 15 2" xfId="10925" xr:uid="{00000000-0005-0000-0000-000004420000}"/>
    <cellStyle name="Linked Cell 15 2 2" xfId="10926" xr:uid="{00000000-0005-0000-0000-000005420000}"/>
    <cellStyle name="Linked Cell 15 2 2 2" xfId="19145" xr:uid="{00000000-0005-0000-0000-000006420000}"/>
    <cellStyle name="Linked Cell 15 3" xfId="10927" xr:uid="{00000000-0005-0000-0000-000007420000}"/>
    <cellStyle name="Linked Cell 15 3 2" xfId="10928" xr:uid="{00000000-0005-0000-0000-000008420000}"/>
    <cellStyle name="Linked Cell 15 3 2 2" xfId="19146" xr:uid="{00000000-0005-0000-0000-000009420000}"/>
    <cellStyle name="Linked Cell 15 4" xfId="10929" xr:uid="{00000000-0005-0000-0000-00000A420000}"/>
    <cellStyle name="Linked Cell 15 4 2" xfId="19147" xr:uid="{00000000-0005-0000-0000-00000B420000}"/>
    <cellStyle name="Linked Cell 15 5" xfId="10930" xr:uid="{00000000-0005-0000-0000-00000C420000}"/>
    <cellStyle name="Linked Cell 15 5 2" xfId="19148" xr:uid="{00000000-0005-0000-0000-00000D420000}"/>
    <cellStyle name="Linked Cell 15 6" xfId="10931" xr:uid="{00000000-0005-0000-0000-00000E420000}"/>
    <cellStyle name="Linked Cell 15 6 2" xfId="19149" xr:uid="{00000000-0005-0000-0000-00000F420000}"/>
    <cellStyle name="Linked Cell 15 7" xfId="10932" xr:uid="{00000000-0005-0000-0000-000010420000}"/>
    <cellStyle name="Linked Cell 15 7 2" xfId="19150" xr:uid="{00000000-0005-0000-0000-000011420000}"/>
    <cellStyle name="Linked Cell 15 8" xfId="10933" xr:uid="{00000000-0005-0000-0000-000012420000}"/>
    <cellStyle name="Linked Cell 15 8 2" xfId="19151" xr:uid="{00000000-0005-0000-0000-000013420000}"/>
    <cellStyle name="Linked Cell 15 9" xfId="10934" xr:uid="{00000000-0005-0000-0000-000014420000}"/>
    <cellStyle name="Linked Cell 15 9 2" xfId="19152" xr:uid="{00000000-0005-0000-0000-000015420000}"/>
    <cellStyle name="Linked Cell 16" xfId="10935" xr:uid="{00000000-0005-0000-0000-000016420000}"/>
    <cellStyle name="Linked Cell 16 10" xfId="10936" xr:uid="{00000000-0005-0000-0000-000017420000}"/>
    <cellStyle name="Linked Cell 16 10 2" xfId="19153" xr:uid="{00000000-0005-0000-0000-000018420000}"/>
    <cellStyle name="Linked Cell 16 11" xfId="10937" xr:uid="{00000000-0005-0000-0000-000019420000}"/>
    <cellStyle name="Linked Cell 16 11 2" xfId="19154" xr:uid="{00000000-0005-0000-0000-00001A420000}"/>
    <cellStyle name="Linked Cell 16 2" xfId="10938" xr:uid="{00000000-0005-0000-0000-00001B420000}"/>
    <cellStyle name="Linked Cell 16 2 2" xfId="10939" xr:uid="{00000000-0005-0000-0000-00001C420000}"/>
    <cellStyle name="Linked Cell 16 2 2 2" xfId="19155" xr:uid="{00000000-0005-0000-0000-00001D420000}"/>
    <cellStyle name="Linked Cell 16 3" xfId="10940" xr:uid="{00000000-0005-0000-0000-00001E420000}"/>
    <cellStyle name="Linked Cell 16 3 2" xfId="10941" xr:uid="{00000000-0005-0000-0000-00001F420000}"/>
    <cellStyle name="Linked Cell 16 3 2 2" xfId="19156" xr:uid="{00000000-0005-0000-0000-000020420000}"/>
    <cellStyle name="Linked Cell 16 4" xfId="10942" xr:uid="{00000000-0005-0000-0000-000021420000}"/>
    <cellStyle name="Linked Cell 16 4 2" xfId="19157" xr:uid="{00000000-0005-0000-0000-000022420000}"/>
    <cellStyle name="Linked Cell 16 5" xfId="10943" xr:uid="{00000000-0005-0000-0000-000023420000}"/>
    <cellStyle name="Linked Cell 16 5 2" xfId="19158" xr:uid="{00000000-0005-0000-0000-000024420000}"/>
    <cellStyle name="Linked Cell 16 6" xfId="10944" xr:uid="{00000000-0005-0000-0000-000025420000}"/>
    <cellStyle name="Linked Cell 16 6 2" xfId="19159" xr:uid="{00000000-0005-0000-0000-000026420000}"/>
    <cellStyle name="Linked Cell 16 7" xfId="10945" xr:uid="{00000000-0005-0000-0000-000027420000}"/>
    <cellStyle name="Linked Cell 16 7 2" xfId="19160" xr:uid="{00000000-0005-0000-0000-000028420000}"/>
    <cellStyle name="Linked Cell 16 8" xfId="10946" xr:uid="{00000000-0005-0000-0000-000029420000}"/>
    <cellStyle name="Linked Cell 16 8 2" xfId="19161" xr:uid="{00000000-0005-0000-0000-00002A420000}"/>
    <cellStyle name="Linked Cell 16 9" xfId="10947" xr:uid="{00000000-0005-0000-0000-00002B420000}"/>
    <cellStyle name="Linked Cell 16 9 2" xfId="19162" xr:uid="{00000000-0005-0000-0000-00002C420000}"/>
    <cellStyle name="Linked Cell 17" xfId="10948" xr:uid="{00000000-0005-0000-0000-00002D420000}"/>
    <cellStyle name="Linked Cell 17 10" xfId="10949" xr:uid="{00000000-0005-0000-0000-00002E420000}"/>
    <cellStyle name="Linked Cell 17 10 2" xfId="19163" xr:uid="{00000000-0005-0000-0000-00002F420000}"/>
    <cellStyle name="Linked Cell 17 11" xfId="10950" xr:uid="{00000000-0005-0000-0000-000030420000}"/>
    <cellStyle name="Linked Cell 17 11 2" xfId="19164" xr:uid="{00000000-0005-0000-0000-000031420000}"/>
    <cellStyle name="Linked Cell 17 2" xfId="10951" xr:uid="{00000000-0005-0000-0000-000032420000}"/>
    <cellStyle name="Linked Cell 17 2 2" xfId="10952" xr:uid="{00000000-0005-0000-0000-000033420000}"/>
    <cellStyle name="Linked Cell 17 2 2 2" xfId="19165" xr:uid="{00000000-0005-0000-0000-000034420000}"/>
    <cellStyle name="Linked Cell 17 3" xfId="10953" xr:uid="{00000000-0005-0000-0000-000035420000}"/>
    <cellStyle name="Linked Cell 17 3 2" xfId="10954" xr:uid="{00000000-0005-0000-0000-000036420000}"/>
    <cellStyle name="Linked Cell 17 3 2 2" xfId="19166" xr:uid="{00000000-0005-0000-0000-000037420000}"/>
    <cellStyle name="Linked Cell 17 4" xfId="10955" xr:uid="{00000000-0005-0000-0000-000038420000}"/>
    <cellStyle name="Linked Cell 17 4 2" xfId="19167" xr:uid="{00000000-0005-0000-0000-000039420000}"/>
    <cellStyle name="Linked Cell 17 5" xfId="10956" xr:uid="{00000000-0005-0000-0000-00003A420000}"/>
    <cellStyle name="Linked Cell 17 5 2" xfId="19168" xr:uid="{00000000-0005-0000-0000-00003B420000}"/>
    <cellStyle name="Linked Cell 17 6" xfId="10957" xr:uid="{00000000-0005-0000-0000-00003C420000}"/>
    <cellStyle name="Linked Cell 17 6 2" xfId="19169" xr:uid="{00000000-0005-0000-0000-00003D420000}"/>
    <cellStyle name="Linked Cell 17 7" xfId="10958" xr:uid="{00000000-0005-0000-0000-00003E420000}"/>
    <cellStyle name="Linked Cell 17 7 2" xfId="19170" xr:uid="{00000000-0005-0000-0000-00003F420000}"/>
    <cellStyle name="Linked Cell 17 8" xfId="10959" xr:uid="{00000000-0005-0000-0000-000040420000}"/>
    <cellStyle name="Linked Cell 17 8 2" xfId="19171" xr:uid="{00000000-0005-0000-0000-000041420000}"/>
    <cellStyle name="Linked Cell 17 9" xfId="10960" xr:uid="{00000000-0005-0000-0000-000042420000}"/>
    <cellStyle name="Linked Cell 17 9 2" xfId="19172" xr:uid="{00000000-0005-0000-0000-000043420000}"/>
    <cellStyle name="Linked Cell 18" xfId="10961" xr:uid="{00000000-0005-0000-0000-000044420000}"/>
    <cellStyle name="Linked Cell 18 2" xfId="10962" xr:uid="{00000000-0005-0000-0000-000045420000}"/>
    <cellStyle name="Linked Cell 18 2 2" xfId="10963" xr:uid="{00000000-0005-0000-0000-000046420000}"/>
    <cellStyle name="Linked Cell 18 2 2 2" xfId="19173" xr:uid="{00000000-0005-0000-0000-000047420000}"/>
    <cellStyle name="Linked Cell 18 3" xfId="10964" xr:uid="{00000000-0005-0000-0000-000048420000}"/>
    <cellStyle name="Linked Cell 18 3 2" xfId="19174" xr:uid="{00000000-0005-0000-0000-000049420000}"/>
    <cellStyle name="Linked Cell 18 4" xfId="10965" xr:uid="{00000000-0005-0000-0000-00004A420000}"/>
    <cellStyle name="Linked Cell 18 4 2" xfId="19175" xr:uid="{00000000-0005-0000-0000-00004B420000}"/>
    <cellStyle name="Linked Cell 18 5" xfId="10966" xr:uid="{00000000-0005-0000-0000-00004C420000}"/>
    <cellStyle name="Linked Cell 18 5 2" xfId="19176" xr:uid="{00000000-0005-0000-0000-00004D420000}"/>
    <cellStyle name="Linked Cell 18 6" xfId="10967" xr:uid="{00000000-0005-0000-0000-00004E420000}"/>
    <cellStyle name="Linked Cell 18 6 2" xfId="19177" xr:uid="{00000000-0005-0000-0000-00004F420000}"/>
    <cellStyle name="Linked Cell 18 7" xfId="10968" xr:uid="{00000000-0005-0000-0000-000050420000}"/>
    <cellStyle name="Linked Cell 18 7 2" xfId="19178" xr:uid="{00000000-0005-0000-0000-000051420000}"/>
    <cellStyle name="Linked Cell 18 8" xfId="10969" xr:uid="{00000000-0005-0000-0000-000052420000}"/>
    <cellStyle name="Linked Cell 18 8 2" xfId="19179" xr:uid="{00000000-0005-0000-0000-000053420000}"/>
    <cellStyle name="Linked Cell 18 9" xfId="10970" xr:uid="{00000000-0005-0000-0000-000054420000}"/>
    <cellStyle name="Linked Cell 18 9 2" xfId="19180" xr:uid="{00000000-0005-0000-0000-000055420000}"/>
    <cellStyle name="Linked Cell 19" xfId="10971" xr:uid="{00000000-0005-0000-0000-000056420000}"/>
    <cellStyle name="Linked Cell 19 2" xfId="10972" xr:uid="{00000000-0005-0000-0000-000057420000}"/>
    <cellStyle name="Linked Cell 19 2 2" xfId="10973" xr:uid="{00000000-0005-0000-0000-000058420000}"/>
    <cellStyle name="Linked Cell 19 2 2 2" xfId="19181" xr:uid="{00000000-0005-0000-0000-000059420000}"/>
    <cellStyle name="Linked Cell 19 3" xfId="10974" xr:uid="{00000000-0005-0000-0000-00005A420000}"/>
    <cellStyle name="Linked Cell 19 3 2" xfId="19182" xr:uid="{00000000-0005-0000-0000-00005B420000}"/>
    <cellStyle name="Linked Cell 19 4" xfId="10975" xr:uid="{00000000-0005-0000-0000-00005C420000}"/>
    <cellStyle name="Linked Cell 19 4 2" xfId="19183" xr:uid="{00000000-0005-0000-0000-00005D420000}"/>
    <cellStyle name="Linked Cell 19 5" xfId="10976" xr:uid="{00000000-0005-0000-0000-00005E420000}"/>
    <cellStyle name="Linked Cell 19 5 2" xfId="19184" xr:uid="{00000000-0005-0000-0000-00005F420000}"/>
    <cellStyle name="Linked Cell 19 6" xfId="10977" xr:uid="{00000000-0005-0000-0000-000060420000}"/>
    <cellStyle name="Linked Cell 19 6 2" xfId="19185" xr:uid="{00000000-0005-0000-0000-000061420000}"/>
    <cellStyle name="Linked Cell 19 7" xfId="10978" xr:uid="{00000000-0005-0000-0000-000062420000}"/>
    <cellStyle name="Linked Cell 19 7 2" xfId="19186" xr:uid="{00000000-0005-0000-0000-000063420000}"/>
    <cellStyle name="Linked Cell 19 8" xfId="10979" xr:uid="{00000000-0005-0000-0000-000064420000}"/>
    <cellStyle name="Linked Cell 19 8 2" xfId="19187" xr:uid="{00000000-0005-0000-0000-000065420000}"/>
    <cellStyle name="Linked Cell 19 9" xfId="10980" xr:uid="{00000000-0005-0000-0000-000066420000}"/>
    <cellStyle name="Linked Cell 19 9 2" xfId="19188" xr:uid="{00000000-0005-0000-0000-000067420000}"/>
    <cellStyle name="Linked Cell 2" xfId="10981" xr:uid="{00000000-0005-0000-0000-000068420000}"/>
    <cellStyle name="Linked Cell 2 10" xfId="10982" xr:uid="{00000000-0005-0000-0000-000069420000}"/>
    <cellStyle name="Linked Cell 2 10 2" xfId="19189" xr:uid="{00000000-0005-0000-0000-00006A420000}"/>
    <cellStyle name="Linked Cell 2 11" xfId="10983" xr:uid="{00000000-0005-0000-0000-00006B420000}"/>
    <cellStyle name="Linked Cell 2 11 2" xfId="19190" xr:uid="{00000000-0005-0000-0000-00006C420000}"/>
    <cellStyle name="Linked Cell 2 2" xfId="10984" xr:uid="{00000000-0005-0000-0000-00006D420000}"/>
    <cellStyle name="Linked Cell 2 2 2" xfId="10985" xr:uid="{00000000-0005-0000-0000-00006E420000}"/>
    <cellStyle name="Linked Cell 2 2 2 2" xfId="19191" xr:uid="{00000000-0005-0000-0000-00006F420000}"/>
    <cellStyle name="Linked Cell 2 3" xfId="10986" xr:uid="{00000000-0005-0000-0000-000070420000}"/>
    <cellStyle name="Linked Cell 2 3 2" xfId="10987" xr:uid="{00000000-0005-0000-0000-000071420000}"/>
    <cellStyle name="Linked Cell 2 3 2 2" xfId="19192" xr:uid="{00000000-0005-0000-0000-000072420000}"/>
    <cellStyle name="Linked Cell 2 4" xfId="10988" xr:uid="{00000000-0005-0000-0000-000073420000}"/>
    <cellStyle name="Linked Cell 2 4 2" xfId="10989" xr:uid="{00000000-0005-0000-0000-000074420000}"/>
    <cellStyle name="Linked Cell 2 4 3" xfId="19193" xr:uid="{00000000-0005-0000-0000-000075420000}"/>
    <cellStyle name="Linked Cell 2 5" xfId="10990" xr:uid="{00000000-0005-0000-0000-000076420000}"/>
    <cellStyle name="Linked Cell 2 5 2" xfId="19194" xr:uid="{00000000-0005-0000-0000-000077420000}"/>
    <cellStyle name="Linked Cell 2 6" xfId="10991" xr:uid="{00000000-0005-0000-0000-000078420000}"/>
    <cellStyle name="Linked Cell 2 6 2" xfId="19195" xr:uid="{00000000-0005-0000-0000-000079420000}"/>
    <cellStyle name="Linked Cell 2 7" xfId="10992" xr:uid="{00000000-0005-0000-0000-00007A420000}"/>
    <cellStyle name="Linked Cell 2 7 2" xfId="19196" xr:uid="{00000000-0005-0000-0000-00007B420000}"/>
    <cellStyle name="Linked Cell 2 8" xfId="10993" xr:uid="{00000000-0005-0000-0000-00007C420000}"/>
    <cellStyle name="Linked Cell 2 8 2" xfId="19197" xr:uid="{00000000-0005-0000-0000-00007D420000}"/>
    <cellStyle name="Linked Cell 2 9" xfId="10994" xr:uid="{00000000-0005-0000-0000-00007E420000}"/>
    <cellStyle name="Linked Cell 2 9 2" xfId="19198" xr:uid="{00000000-0005-0000-0000-00007F420000}"/>
    <cellStyle name="Linked Cell 20" xfId="10995" xr:uid="{00000000-0005-0000-0000-000080420000}"/>
    <cellStyle name="Linked Cell 20 2" xfId="10996" xr:uid="{00000000-0005-0000-0000-000081420000}"/>
    <cellStyle name="Linked Cell 20 2 2" xfId="19199" xr:uid="{00000000-0005-0000-0000-000082420000}"/>
    <cellStyle name="Linked Cell 20 3" xfId="10997" xr:uid="{00000000-0005-0000-0000-000083420000}"/>
    <cellStyle name="Linked Cell 20 3 2" xfId="19200" xr:uid="{00000000-0005-0000-0000-000084420000}"/>
    <cellStyle name="Linked Cell 20 4" xfId="10998" xr:uid="{00000000-0005-0000-0000-000085420000}"/>
    <cellStyle name="Linked Cell 20 4 2" xfId="19201" xr:uid="{00000000-0005-0000-0000-000086420000}"/>
    <cellStyle name="Linked Cell 20 5" xfId="10999" xr:uid="{00000000-0005-0000-0000-000087420000}"/>
    <cellStyle name="Linked Cell 20 5 2" xfId="19202" xr:uid="{00000000-0005-0000-0000-000088420000}"/>
    <cellStyle name="Linked Cell 20 6" xfId="11000" xr:uid="{00000000-0005-0000-0000-000089420000}"/>
    <cellStyle name="Linked Cell 20 6 2" xfId="19203" xr:uid="{00000000-0005-0000-0000-00008A420000}"/>
    <cellStyle name="Linked Cell 20 7" xfId="11001" xr:uid="{00000000-0005-0000-0000-00008B420000}"/>
    <cellStyle name="Linked Cell 20 7 2" xfId="19204" xr:uid="{00000000-0005-0000-0000-00008C420000}"/>
    <cellStyle name="Linked Cell 20 8" xfId="11002" xr:uid="{00000000-0005-0000-0000-00008D420000}"/>
    <cellStyle name="Linked Cell 20 8 2" xfId="19205" xr:uid="{00000000-0005-0000-0000-00008E420000}"/>
    <cellStyle name="Linked Cell 20 9" xfId="11003" xr:uid="{00000000-0005-0000-0000-00008F420000}"/>
    <cellStyle name="Linked Cell 20 9 2" xfId="19206" xr:uid="{00000000-0005-0000-0000-000090420000}"/>
    <cellStyle name="Linked Cell 21" xfId="11004" xr:uid="{00000000-0005-0000-0000-000091420000}"/>
    <cellStyle name="Linked Cell 21 2" xfId="11005" xr:uid="{00000000-0005-0000-0000-000092420000}"/>
    <cellStyle name="Linked Cell 21 2 2" xfId="19207" xr:uid="{00000000-0005-0000-0000-000093420000}"/>
    <cellStyle name="Linked Cell 21 3" xfId="11006" xr:uid="{00000000-0005-0000-0000-000094420000}"/>
    <cellStyle name="Linked Cell 21 3 2" xfId="19208" xr:uid="{00000000-0005-0000-0000-000095420000}"/>
    <cellStyle name="Linked Cell 21 4" xfId="11007" xr:uid="{00000000-0005-0000-0000-000096420000}"/>
    <cellStyle name="Linked Cell 21 4 2" xfId="19209" xr:uid="{00000000-0005-0000-0000-000097420000}"/>
    <cellStyle name="Linked Cell 21 5" xfId="11008" xr:uid="{00000000-0005-0000-0000-000098420000}"/>
    <cellStyle name="Linked Cell 21 5 2" xfId="19210" xr:uid="{00000000-0005-0000-0000-000099420000}"/>
    <cellStyle name="Linked Cell 21 6" xfId="11009" xr:uid="{00000000-0005-0000-0000-00009A420000}"/>
    <cellStyle name="Linked Cell 21 6 2" xfId="19211" xr:uid="{00000000-0005-0000-0000-00009B420000}"/>
    <cellStyle name="Linked Cell 21 7" xfId="11010" xr:uid="{00000000-0005-0000-0000-00009C420000}"/>
    <cellStyle name="Linked Cell 21 7 2" xfId="19212" xr:uid="{00000000-0005-0000-0000-00009D420000}"/>
    <cellStyle name="Linked Cell 21 8" xfId="11011" xr:uid="{00000000-0005-0000-0000-00009E420000}"/>
    <cellStyle name="Linked Cell 21 8 2" xfId="19213" xr:uid="{00000000-0005-0000-0000-00009F420000}"/>
    <cellStyle name="Linked Cell 21 9" xfId="11012" xr:uid="{00000000-0005-0000-0000-0000A0420000}"/>
    <cellStyle name="Linked Cell 21 9 2" xfId="19214" xr:uid="{00000000-0005-0000-0000-0000A1420000}"/>
    <cellStyle name="Linked Cell 22" xfId="11013" xr:uid="{00000000-0005-0000-0000-0000A2420000}"/>
    <cellStyle name="Linked Cell 22 2" xfId="11014" xr:uid="{00000000-0005-0000-0000-0000A3420000}"/>
    <cellStyle name="Linked Cell 22 2 2" xfId="19215" xr:uid="{00000000-0005-0000-0000-0000A4420000}"/>
    <cellStyle name="Linked Cell 22 3" xfId="11015" xr:uid="{00000000-0005-0000-0000-0000A5420000}"/>
    <cellStyle name="Linked Cell 22 3 2" xfId="19216" xr:uid="{00000000-0005-0000-0000-0000A6420000}"/>
    <cellStyle name="Linked Cell 22 4" xfId="11016" xr:uid="{00000000-0005-0000-0000-0000A7420000}"/>
    <cellStyle name="Linked Cell 22 4 2" xfId="19217" xr:uid="{00000000-0005-0000-0000-0000A8420000}"/>
    <cellStyle name="Linked Cell 22 5" xfId="11017" xr:uid="{00000000-0005-0000-0000-0000A9420000}"/>
    <cellStyle name="Linked Cell 22 5 2" xfId="19218" xr:uid="{00000000-0005-0000-0000-0000AA420000}"/>
    <cellStyle name="Linked Cell 22 6" xfId="11018" xr:uid="{00000000-0005-0000-0000-0000AB420000}"/>
    <cellStyle name="Linked Cell 22 6 2" xfId="19219" xr:uid="{00000000-0005-0000-0000-0000AC420000}"/>
    <cellStyle name="Linked Cell 22 7" xfId="11019" xr:uid="{00000000-0005-0000-0000-0000AD420000}"/>
    <cellStyle name="Linked Cell 22 7 2" xfId="19220" xr:uid="{00000000-0005-0000-0000-0000AE420000}"/>
    <cellStyle name="Linked Cell 22 8" xfId="11020" xr:uid="{00000000-0005-0000-0000-0000AF420000}"/>
    <cellStyle name="Linked Cell 22 8 2" xfId="19221" xr:uid="{00000000-0005-0000-0000-0000B0420000}"/>
    <cellStyle name="Linked Cell 22 9" xfId="11021" xr:uid="{00000000-0005-0000-0000-0000B1420000}"/>
    <cellStyle name="Linked Cell 22 9 2" xfId="19222" xr:uid="{00000000-0005-0000-0000-0000B2420000}"/>
    <cellStyle name="Linked Cell 23" xfId="11022" xr:uid="{00000000-0005-0000-0000-0000B3420000}"/>
    <cellStyle name="Linked Cell 23 2" xfId="11023" xr:uid="{00000000-0005-0000-0000-0000B4420000}"/>
    <cellStyle name="Linked Cell 23 2 2" xfId="19223" xr:uid="{00000000-0005-0000-0000-0000B5420000}"/>
    <cellStyle name="Linked Cell 23 3" xfId="11024" xr:uid="{00000000-0005-0000-0000-0000B6420000}"/>
    <cellStyle name="Linked Cell 23 3 2" xfId="19224" xr:uid="{00000000-0005-0000-0000-0000B7420000}"/>
    <cellStyle name="Linked Cell 23 4" xfId="11025" xr:uid="{00000000-0005-0000-0000-0000B8420000}"/>
    <cellStyle name="Linked Cell 23 4 2" xfId="19225" xr:uid="{00000000-0005-0000-0000-0000B9420000}"/>
    <cellStyle name="Linked Cell 23 5" xfId="11026" xr:uid="{00000000-0005-0000-0000-0000BA420000}"/>
    <cellStyle name="Linked Cell 23 5 2" xfId="19226" xr:uid="{00000000-0005-0000-0000-0000BB420000}"/>
    <cellStyle name="Linked Cell 23 6" xfId="11027" xr:uid="{00000000-0005-0000-0000-0000BC420000}"/>
    <cellStyle name="Linked Cell 23 6 2" xfId="19227" xr:uid="{00000000-0005-0000-0000-0000BD420000}"/>
    <cellStyle name="Linked Cell 23 7" xfId="11028" xr:uid="{00000000-0005-0000-0000-0000BE420000}"/>
    <cellStyle name="Linked Cell 23 7 2" xfId="19228" xr:uid="{00000000-0005-0000-0000-0000BF420000}"/>
    <cellStyle name="Linked Cell 23 8" xfId="11029" xr:uid="{00000000-0005-0000-0000-0000C0420000}"/>
    <cellStyle name="Linked Cell 23 8 2" xfId="19229" xr:uid="{00000000-0005-0000-0000-0000C1420000}"/>
    <cellStyle name="Linked Cell 23 9" xfId="11030" xr:uid="{00000000-0005-0000-0000-0000C2420000}"/>
    <cellStyle name="Linked Cell 23 9 2" xfId="19230" xr:uid="{00000000-0005-0000-0000-0000C3420000}"/>
    <cellStyle name="Linked Cell 24" xfId="11031" xr:uid="{00000000-0005-0000-0000-0000C4420000}"/>
    <cellStyle name="Linked Cell 24 2" xfId="11032" xr:uid="{00000000-0005-0000-0000-0000C5420000}"/>
    <cellStyle name="Linked Cell 24 2 2" xfId="19231" xr:uid="{00000000-0005-0000-0000-0000C6420000}"/>
    <cellStyle name="Linked Cell 24 3" xfId="11033" xr:uid="{00000000-0005-0000-0000-0000C7420000}"/>
    <cellStyle name="Linked Cell 24 3 2" xfId="19232" xr:uid="{00000000-0005-0000-0000-0000C8420000}"/>
    <cellStyle name="Linked Cell 24 4" xfId="11034" xr:uid="{00000000-0005-0000-0000-0000C9420000}"/>
    <cellStyle name="Linked Cell 24 4 2" xfId="19233" xr:uid="{00000000-0005-0000-0000-0000CA420000}"/>
    <cellStyle name="Linked Cell 24 5" xfId="11035" xr:uid="{00000000-0005-0000-0000-0000CB420000}"/>
    <cellStyle name="Linked Cell 24 5 2" xfId="19234" xr:uid="{00000000-0005-0000-0000-0000CC420000}"/>
    <cellStyle name="Linked Cell 24 6" xfId="11036" xr:uid="{00000000-0005-0000-0000-0000CD420000}"/>
    <cellStyle name="Linked Cell 24 6 2" xfId="19235" xr:uid="{00000000-0005-0000-0000-0000CE420000}"/>
    <cellStyle name="Linked Cell 24 7" xfId="11037" xr:uid="{00000000-0005-0000-0000-0000CF420000}"/>
    <cellStyle name="Linked Cell 24 7 2" xfId="19236" xr:uid="{00000000-0005-0000-0000-0000D0420000}"/>
    <cellStyle name="Linked Cell 24 8" xfId="11038" xr:uid="{00000000-0005-0000-0000-0000D1420000}"/>
    <cellStyle name="Linked Cell 24 8 2" xfId="19237" xr:uid="{00000000-0005-0000-0000-0000D2420000}"/>
    <cellStyle name="Linked Cell 24 9" xfId="11039" xr:uid="{00000000-0005-0000-0000-0000D3420000}"/>
    <cellStyle name="Linked Cell 24 9 2" xfId="19238" xr:uid="{00000000-0005-0000-0000-0000D4420000}"/>
    <cellStyle name="Linked Cell 25" xfId="11040" xr:uid="{00000000-0005-0000-0000-0000D5420000}"/>
    <cellStyle name="Linked Cell 25 2" xfId="11041" xr:uid="{00000000-0005-0000-0000-0000D6420000}"/>
    <cellStyle name="Linked Cell 25 2 2" xfId="19239" xr:uid="{00000000-0005-0000-0000-0000D7420000}"/>
    <cellStyle name="Linked Cell 25 3" xfId="11042" xr:uid="{00000000-0005-0000-0000-0000D8420000}"/>
    <cellStyle name="Linked Cell 25 3 2" xfId="19240" xr:uid="{00000000-0005-0000-0000-0000D9420000}"/>
    <cellStyle name="Linked Cell 25 4" xfId="11043" xr:uid="{00000000-0005-0000-0000-0000DA420000}"/>
    <cellStyle name="Linked Cell 25 4 2" xfId="19241" xr:uid="{00000000-0005-0000-0000-0000DB420000}"/>
    <cellStyle name="Linked Cell 25 5" xfId="11044" xr:uid="{00000000-0005-0000-0000-0000DC420000}"/>
    <cellStyle name="Linked Cell 25 5 2" xfId="19242" xr:uid="{00000000-0005-0000-0000-0000DD420000}"/>
    <cellStyle name="Linked Cell 25 6" xfId="11045" xr:uid="{00000000-0005-0000-0000-0000DE420000}"/>
    <cellStyle name="Linked Cell 25 6 2" xfId="19243" xr:uid="{00000000-0005-0000-0000-0000DF420000}"/>
    <cellStyle name="Linked Cell 25 7" xfId="11046" xr:uid="{00000000-0005-0000-0000-0000E0420000}"/>
    <cellStyle name="Linked Cell 25 7 2" xfId="19244" xr:uid="{00000000-0005-0000-0000-0000E1420000}"/>
    <cellStyle name="Linked Cell 25 8" xfId="11047" xr:uid="{00000000-0005-0000-0000-0000E2420000}"/>
    <cellStyle name="Linked Cell 25 8 2" xfId="19245" xr:uid="{00000000-0005-0000-0000-0000E3420000}"/>
    <cellStyle name="Linked Cell 25 9" xfId="11048" xr:uid="{00000000-0005-0000-0000-0000E4420000}"/>
    <cellStyle name="Linked Cell 25 9 2" xfId="19246" xr:uid="{00000000-0005-0000-0000-0000E5420000}"/>
    <cellStyle name="Linked Cell 26" xfId="11049" xr:uid="{00000000-0005-0000-0000-0000E6420000}"/>
    <cellStyle name="Linked Cell 26 2" xfId="11050" xr:uid="{00000000-0005-0000-0000-0000E7420000}"/>
    <cellStyle name="Linked Cell 26 2 2" xfId="19247" xr:uid="{00000000-0005-0000-0000-0000E8420000}"/>
    <cellStyle name="Linked Cell 26 3" xfId="11051" xr:uid="{00000000-0005-0000-0000-0000E9420000}"/>
    <cellStyle name="Linked Cell 26 3 2" xfId="19248" xr:uid="{00000000-0005-0000-0000-0000EA420000}"/>
    <cellStyle name="Linked Cell 26 4" xfId="11052" xr:uid="{00000000-0005-0000-0000-0000EB420000}"/>
    <cellStyle name="Linked Cell 26 4 2" xfId="19249" xr:uid="{00000000-0005-0000-0000-0000EC420000}"/>
    <cellStyle name="Linked Cell 26 5" xfId="11053" xr:uid="{00000000-0005-0000-0000-0000ED420000}"/>
    <cellStyle name="Linked Cell 26 5 2" xfId="19250" xr:uid="{00000000-0005-0000-0000-0000EE420000}"/>
    <cellStyle name="Linked Cell 26 6" xfId="11054" xr:uid="{00000000-0005-0000-0000-0000EF420000}"/>
    <cellStyle name="Linked Cell 26 6 2" xfId="19251" xr:uid="{00000000-0005-0000-0000-0000F0420000}"/>
    <cellStyle name="Linked Cell 26 7" xfId="11055" xr:uid="{00000000-0005-0000-0000-0000F1420000}"/>
    <cellStyle name="Linked Cell 26 7 2" xfId="19252" xr:uid="{00000000-0005-0000-0000-0000F2420000}"/>
    <cellStyle name="Linked Cell 26 8" xfId="11056" xr:uid="{00000000-0005-0000-0000-0000F3420000}"/>
    <cellStyle name="Linked Cell 26 8 2" xfId="19253" xr:uid="{00000000-0005-0000-0000-0000F4420000}"/>
    <cellStyle name="Linked Cell 26 9" xfId="11057" xr:uid="{00000000-0005-0000-0000-0000F5420000}"/>
    <cellStyle name="Linked Cell 26 9 2" xfId="19254" xr:uid="{00000000-0005-0000-0000-0000F6420000}"/>
    <cellStyle name="Linked Cell 27" xfId="11058" xr:uid="{00000000-0005-0000-0000-0000F7420000}"/>
    <cellStyle name="Linked Cell 27 2" xfId="11059" xr:uid="{00000000-0005-0000-0000-0000F8420000}"/>
    <cellStyle name="Linked Cell 27 2 2" xfId="19255" xr:uid="{00000000-0005-0000-0000-0000F9420000}"/>
    <cellStyle name="Linked Cell 27 3" xfId="11060" xr:uid="{00000000-0005-0000-0000-0000FA420000}"/>
    <cellStyle name="Linked Cell 27 3 2" xfId="19256" xr:uid="{00000000-0005-0000-0000-0000FB420000}"/>
    <cellStyle name="Linked Cell 27 4" xfId="11061" xr:uid="{00000000-0005-0000-0000-0000FC420000}"/>
    <cellStyle name="Linked Cell 27 4 2" xfId="19257" xr:uid="{00000000-0005-0000-0000-0000FD420000}"/>
    <cellStyle name="Linked Cell 27 5" xfId="11062" xr:uid="{00000000-0005-0000-0000-0000FE420000}"/>
    <cellStyle name="Linked Cell 27 5 2" xfId="19258" xr:uid="{00000000-0005-0000-0000-0000FF420000}"/>
    <cellStyle name="Linked Cell 27 6" xfId="11063" xr:uid="{00000000-0005-0000-0000-000000430000}"/>
    <cellStyle name="Linked Cell 27 6 2" xfId="19259" xr:uid="{00000000-0005-0000-0000-000001430000}"/>
    <cellStyle name="Linked Cell 27 7" xfId="11064" xr:uid="{00000000-0005-0000-0000-000002430000}"/>
    <cellStyle name="Linked Cell 27 7 2" xfId="19260" xr:uid="{00000000-0005-0000-0000-000003430000}"/>
    <cellStyle name="Linked Cell 27 8" xfId="11065" xr:uid="{00000000-0005-0000-0000-000004430000}"/>
    <cellStyle name="Linked Cell 27 8 2" xfId="19261" xr:uid="{00000000-0005-0000-0000-000005430000}"/>
    <cellStyle name="Linked Cell 27 9" xfId="11066" xr:uid="{00000000-0005-0000-0000-000006430000}"/>
    <cellStyle name="Linked Cell 27 9 2" xfId="19262" xr:uid="{00000000-0005-0000-0000-000007430000}"/>
    <cellStyle name="Linked Cell 28" xfId="11067" xr:uid="{00000000-0005-0000-0000-000008430000}"/>
    <cellStyle name="Linked Cell 28 2" xfId="11068" xr:uid="{00000000-0005-0000-0000-000009430000}"/>
    <cellStyle name="Linked Cell 28 2 2" xfId="19263" xr:uid="{00000000-0005-0000-0000-00000A430000}"/>
    <cellStyle name="Linked Cell 28 3" xfId="11069" xr:uid="{00000000-0005-0000-0000-00000B430000}"/>
    <cellStyle name="Linked Cell 28 3 2" xfId="19264" xr:uid="{00000000-0005-0000-0000-00000C430000}"/>
    <cellStyle name="Linked Cell 28 4" xfId="11070" xr:uid="{00000000-0005-0000-0000-00000D430000}"/>
    <cellStyle name="Linked Cell 28 4 2" xfId="19265" xr:uid="{00000000-0005-0000-0000-00000E430000}"/>
    <cellStyle name="Linked Cell 28 5" xfId="11071" xr:uid="{00000000-0005-0000-0000-00000F430000}"/>
    <cellStyle name="Linked Cell 28 5 2" xfId="19266" xr:uid="{00000000-0005-0000-0000-000010430000}"/>
    <cellStyle name="Linked Cell 28 6" xfId="11072" xr:uid="{00000000-0005-0000-0000-000011430000}"/>
    <cellStyle name="Linked Cell 28 6 2" xfId="19267" xr:uid="{00000000-0005-0000-0000-000012430000}"/>
    <cellStyle name="Linked Cell 28 7" xfId="11073" xr:uid="{00000000-0005-0000-0000-000013430000}"/>
    <cellStyle name="Linked Cell 28 7 2" xfId="19268" xr:uid="{00000000-0005-0000-0000-000014430000}"/>
    <cellStyle name="Linked Cell 28 8" xfId="11074" xr:uid="{00000000-0005-0000-0000-000015430000}"/>
    <cellStyle name="Linked Cell 28 8 2" xfId="19269" xr:uid="{00000000-0005-0000-0000-000016430000}"/>
    <cellStyle name="Linked Cell 28 9" xfId="11075" xr:uid="{00000000-0005-0000-0000-000017430000}"/>
    <cellStyle name="Linked Cell 28 9 2" xfId="19270" xr:uid="{00000000-0005-0000-0000-000018430000}"/>
    <cellStyle name="Linked Cell 29" xfId="11076" xr:uid="{00000000-0005-0000-0000-000019430000}"/>
    <cellStyle name="Linked Cell 29 2" xfId="11077" xr:uid="{00000000-0005-0000-0000-00001A430000}"/>
    <cellStyle name="Linked Cell 29 2 2" xfId="19271" xr:uid="{00000000-0005-0000-0000-00001B430000}"/>
    <cellStyle name="Linked Cell 29 3" xfId="11078" xr:uid="{00000000-0005-0000-0000-00001C430000}"/>
    <cellStyle name="Linked Cell 29 3 2" xfId="19272" xr:uid="{00000000-0005-0000-0000-00001D430000}"/>
    <cellStyle name="Linked Cell 29 4" xfId="11079" xr:uid="{00000000-0005-0000-0000-00001E430000}"/>
    <cellStyle name="Linked Cell 29 4 2" xfId="19273" xr:uid="{00000000-0005-0000-0000-00001F430000}"/>
    <cellStyle name="Linked Cell 29 5" xfId="11080" xr:uid="{00000000-0005-0000-0000-000020430000}"/>
    <cellStyle name="Linked Cell 29 5 2" xfId="19274" xr:uid="{00000000-0005-0000-0000-000021430000}"/>
    <cellStyle name="Linked Cell 29 6" xfId="11081" xr:uid="{00000000-0005-0000-0000-000022430000}"/>
    <cellStyle name="Linked Cell 29 6 2" xfId="19275" xr:uid="{00000000-0005-0000-0000-000023430000}"/>
    <cellStyle name="Linked Cell 29 7" xfId="11082" xr:uid="{00000000-0005-0000-0000-000024430000}"/>
    <cellStyle name="Linked Cell 29 7 2" xfId="19276" xr:uid="{00000000-0005-0000-0000-000025430000}"/>
    <cellStyle name="Linked Cell 29 8" xfId="11083" xr:uid="{00000000-0005-0000-0000-000026430000}"/>
    <cellStyle name="Linked Cell 29 8 2" xfId="19277" xr:uid="{00000000-0005-0000-0000-000027430000}"/>
    <cellStyle name="Linked Cell 29 9" xfId="11084" xr:uid="{00000000-0005-0000-0000-000028430000}"/>
    <cellStyle name="Linked Cell 29 9 2" xfId="19278" xr:uid="{00000000-0005-0000-0000-000029430000}"/>
    <cellStyle name="Linked Cell 3" xfId="11085" xr:uid="{00000000-0005-0000-0000-00002A430000}"/>
    <cellStyle name="Linked Cell 3 10" xfId="11086" xr:uid="{00000000-0005-0000-0000-00002B430000}"/>
    <cellStyle name="Linked Cell 3 10 2" xfId="19279" xr:uid="{00000000-0005-0000-0000-00002C430000}"/>
    <cellStyle name="Linked Cell 3 11" xfId="11087" xr:uid="{00000000-0005-0000-0000-00002D430000}"/>
    <cellStyle name="Linked Cell 3 11 2" xfId="19280" xr:uid="{00000000-0005-0000-0000-00002E430000}"/>
    <cellStyle name="Linked Cell 3 12" xfId="22095" xr:uid="{00000000-0005-0000-0000-00002F430000}"/>
    <cellStyle name="Linked Cell 3 2" xfId="11088" xr:uid="{00000000-0005-0000-0000-000030430000}"/>
    <cellStyle name="Linked Cell 3 2 2" xfId="11089" xr:uid="{00000000-0005-0000-0000-000031430000}"/>
    <cellStyle name="Linked Cell 3 2 2 2" xfId="19281" xr:uid="{00000000-0005-0000-0000-000032430000}"/>
    <cellStyle name="Linked Cell 3 3" xfId="11090" xr:uid="{00000000-0005-0000-0000-000033430000}"/>
    <cellStyle name="Linked Cell 3 3 2" xfId="11091" xr:uid="{00000000-0005-0000-0000-000034430000}"/>
    <cellStyle name="Linked Cell 3 3 2 2" xfId="19282" xr:uid="{00000000-0005-0000-0000-000035430000}"/>
    <cellStyle name="Linked Cell 3 4" xfId="11092" xr:uid="{00000000-0005-0000-0000-000036430000}"/>
    <cellStyle name="Linked Cell 3 4 2" xfId="11093" xr:uid="{00000000-0005-0000-0000-000037430000}"/>
    <cellStyle name="Linked Cell 3 4 3" xfId="19283" xr:uid="{00000000-0005-0000-0000-000038430000}"/>
    <cellStyle name="Linked Cell 3 5" xfId="11094" xr:uid="{00000000-0005-0000-0000-000039430000}"/>
    <cellStyle name="Linked Cell 3 5 2" xfId="19284" xr:uid="{00000000-0005-0000-0000-00003A430000}"/>
    <cellStyle name="Linked Cell 3 6" xfId="11095" xr:uid="{00000000-0005-0000-0000-00003B430000}"/>
    <cellStyle name="Linked Cell 3 6 2" xfId="19285" xr:uid="{00000000-0005-0000-0000-00003C430000}"/>
    <cellStyle name="Linked Cell 3 7" xfId="11096" xr:uid="{00000000-0005-0000-0000-00003D430000}"/>
    <cellStyle name="Linked Cell 3 7 2" xfId="19286" xr:uid="{00000000-0005-0000-0000-00003E430000}"/>
    <cellStyle name="Linked Cell 3 8" xfId="11097" xr:uid="{00000000-0005-0000-0000-00003F430000}"/>
    <cellStyle name="Linked Cell 3 8 2" xfId="19287" xr:uid="{00000000-0005-0000-0000-000040430000}"/>
    <cellStyle name="Linked Cell 3 9" xfId="11098" xr:uid="{00000000-0005-0000-0000-000041430000}"/>
    <cellStyle name="Linked Cell 3 9 2" xfId="19288" xr:uid="{00000000-0005-0000-0000-000042430000}"/>
    <cellStyle name="Linked Cell 30" xfId="11099" xr:uid="{00000000-0005-0000-0000-000043430000}"/>
    <cellStyle name="Linked Cell 30 2" xfId="11100" xr:uid="{00000000-0005-0000-0000-000044430000}"/>
    <cellStyle name="Linked Cell 30 2 2" xfId="19289" xr:uid="{00000000-0005-0000-0000-000045430000}"/>
    <cellStyle name="Linked Cell 31" xfId="11101" xr:uid="{00000000-0005-0000-0000-000046430000}"/>
    <cellStyle name="Linked Cell 31 2" xfId="11102" xr:uid="{00000000-0005-0000-0000-000047430000}"/>
    <cellStyle name="Linked Cell 31 2 2" xfId="19290" xr:uid="{00000000-0005-0000-0000-000048430000}"/>
    <cellStyle name="Linked Cell 32" xfId="11103" xr:uid="{00000000-0005-0000-0000-000049430000}"/>
    <cellStyle name="Linked Cell 32 2" xfId="11104" xr:uid="{00000000-0005-0000-0000-00004A430000}"/>
    <cellStyle name="Linked Cell 32 2 2" xfId="19291" xr:uid="{00000000-0005-0000-0000-00004B430000}"/>
    <cellStyle name="Linked Cell 33" xfId="11105" xr:uid="{00000000-0005-0000-0000-00004C430000}"/>
    <cellStyle name="Linked Cell 33 2" xfId="11106" xr:uid="{00000000-0005-0000-0000-00004D430000}"/>
    <cellStyle name="Linked Cell 33 2 2" xfId="19292" xr:uid="{00000000-0005-0000-0000-00004E430000}"/>
    <cellStyle name="Linked Cell 34" xfId="11107" xr:uid="{00000000-0005-0000-0000-00004F430000}"/>
    <cellStyle name="Linked Cell 34 2" xfId="11108" xr:uid="{00000000-0005-0000-0000-000050430000}"/>
    <cellStyle name="Linked Cell 34 2 2" xfId="19293" xr:uid="{00000000-0005-0000-0000-000051430000}"/>
    <cellStyle name="Linked Cell 35" xfId="11109" xr:uid="{00000000-0005-0000-0000-000052430000}"/>
    <cellStyle name="Linked Cell 35 2" xfId="11110" xr:uid="{00000000-0005-0000-0000-000053430000}"/>
    <cellStyle name="Linked Cell 35 2 2" xfId="19294" xr:uid="{00000000-0005-0000-0000-000054430000}"/>
    <cellStyle name="Linked Cell 36" xfId="11111" xr:uid="{00000000-0005-0000-0000-000055430000}"/>
    <cellStyle name="Linked Cell 37" xfId="11112" xr:uid="{00000000-0005-0000-0000-000056430000}"/>
    <cellStyle name="Linked Cell 38" xfId="11113" xr:uid="{00000000-0005-0000-0000-000057430000}"/>
    <cellStyle name="Linked Cell 39" xfId="11114" xr:uid="{00000000-0005-0000-0000-000058430000}"/>
    <cellStyle name="Linked Cell 4" xfId="11115" xr:uid="{00000000-0005-0000-0000-000059430000}"/>
    <cellStyle name="Linked Cell 4 10" xfId="11116" xr:uid="{00000000-0005-0000-0000-00005A430000}"/>
    <cellStyle name="Linked Cell 4 10 2" xfId="19295" xr:uid="{00000000-0005-0000-0000-00005B430000}"/>
    <cellStyle name="Linked Cell 4 11" xfId="11117" xr:uid="{00000000-0005-0000-0000-00005C430000}"/>
    <cellStyle name="Linked Cell 4 11 2" xfId="19296" xr:uid="{00000000-0005-0000-0000-00005D430000}"/>
    <cellStyle name="Linked Cell 4 2" xfId="11118" xr:uid="{00000000-0005-0000-0000-00005E430000}"/>
    <cellStyle name="Linked Cell 4 2 2" xfId="11119" xr:uid="{00000000-0005-0000-0000-00005F430000}"/>
    <cellStyle name="Linked Cell 4 2 2 2" xfId="19297" xr:uid="{00000000-0005-0000-0000-000060430000}"/>
    <cellStyle name="Linked Cell 4 3" xfId="11120" xr:uid="{00000000-0005-0000-0000-000061430000}"/>
    <cellStyle name="Linked Cell 4 3 2" xfId="11121" xr:uid="{00000000-0005-0000-0000-000062430000}"/>
    <cellStyle name="Linked Cell 4 3 2 2" xfId="19298" xr:uid="{00000000-0005-0000-0000-000063430000}"/>
    <cellStyle name="Linked Cell 4 4" xfId="11122" xr:uid="{00000000-0005-0000-0000-000064430000}"/>
    <cellStyle name="Linked Cell 4 4 2" xfId="11123" xr:uid="{00000000-0005-0000-0000-000065430000}"/>
    <cellStyle name="Linked Cell 4 4 3" xfId="19299" xr:uid="{00000000-0005-0000-0000-000066430000}"/>
    <cellStyle name="Linked Cell 4 5" xfId="11124" xr:uid="{00000000-0005-0000-0000-000067430000}"/>
    <cellStyle name="Linked Cell 4 5 2" xfId="19300" xr:uid="{00000000-0005-0000-0000-000068430000}"/>
    <cellStyle name="Linked Cell 4 6" xfId="11125" xr:uid="{00000000-0005-0000-0000-000069430000}"/>
    <cellStyle name="Linked Cell 4 6 2" xfId="19301" xr:uid="{00000000-0005-0000-0000-00006A430000}"/>
    <cellStyle name="Linked Cell 4 7" xfId="11126" xr:uid="{00000000-0005-0000-0000-00006B430000}"/>
    <cellStyle name="Linked Cell 4 7 2" xfId="19302" xr:uid="{00000000-0005-0000-0000-00006C430000}"/>
    <cellStyle name="Linked Cell 4 8" xfId="11127" xr:uid="{00000000-0005-0000-0000-00006D430000}"/>
    <cellStyle name="Linked Cell 4 8 2" xfId="19303" xr:uid="{00000000-0005-0000-0000-00006E430000}"/>
    <cellStyle name="Linked Cell 4 9" xfId="11128" xr:uid="{00000000-0005-0000-0000-00006F430000}"/>
    <cellStyle name="Linked Cell 4 9 2" xfId="19304" xr:uid="{00000000-0005-0000-0000-000070430000}"/>
    <cellStyle name="Linked Cell 5" xfId="11129" xr:uid="{00000000-0005-0000-0000-000071430000}"/>
    <cellStyle name="Linked Cell 5 10" xfId="11130" xr:uid="{00000000-0005-0000-0000-000072430000}"/>
    <cellStyle name="Linked Cell 5 10 2" xfId="19305" xr:uid="{00000000-0005-0000-0000-000073430000}"/>
    <cellStyle name="Linked Cell 5 11" xfId="11131" xr:uid="{00000000-0005-0000-0000-000074430000}"/>
    <cellStyle name="Linked Cell 5 11 2" xfId="19306" xr:uid="{00000000-0005-0000-0000-000075430000}"/>
    <cellStyle name="Linked Cell 5 2" xfId="11132" xr:uid="{00000000-0005-0000-0000-000076430000}"/>
    <cellStyle name="Linked Cell 5 2 2" xfId="11133" xr:uid="{00000000-0005-0000-0000-000077430000}"/>
    <cellStyle name="Linked Cell 5 2 2 2" xfId="19307" xr:uid="{00000000-0005-0000-0000-000078430000}"/>
    <cellStyle name="Linked Cell 5 3" xfId="11134" xr:uid="{00000000-0005-0000-0000-000079430000}"/>
    <cellStyle name="Linked Cell 5 3 2" xfId="11135" xr:uid="{00000000-0005-0000-0000-00007A430000}"/>
    <cellStyle name="Linked Cell 5 3 2 2" xfId="19308" xr:uid="{00000000-0005-0000-0000-00007B430000}"/>
    <cellStyle name="Linked Cell 5 4" xfId="11136" xr:uid="{00000000-0005-0000-0000-00007C430000}"/>
    <cellStyle name="Linked Cell 5 4 2" xfId="11137" xr:uid="{00000000-0005-0000-0000-00007D430000}"/>
    <cellStyle name="Linked Cell 5 4 3" xfId="19309" xr:uid="{00000000-0005-0000-0000-00007E430000}"/>
    <cellStyle name="Linked Cell 5 5" xfId="11138" xr:uid="{00000000-0005-0000-0000-00007F430000}"/>
    <cellStyle name="Linked Cell 5 5 2" xfId="19310" xr:uid="{00000000-0005-0000-0000-000080430000}"/>
    <cellStyle name="Linked Cell 5 6" xfId="11139" xr:uid="{00000000-0005-0000-0000-000081430000}"/>
    <cellStyle name="Linked Cell 5 6 2" xfId="19311" xr:uid="{00000000-0005-0000-0000-000082430000}"/>
    <cellStyle name="Linked Cell 5 7" xfId="11140" xr:uid="{00000000-0005-0000-0000-000083430000}"/>
    <cellStyle name="Linked Cell 5 7 2" xfId="19312" xr:uid="{00000000-0005-0000-0000-000084430000}"/>
    <cellStyle name="Linked Cell 5 8" xfId="11141" xr:uid="{00000000-0005-0000-0000-000085430000}"/>
    <cellStyle name="Linked Cell 5 8 2" xfId="19313" xr:uid="{00000000-0005-0000-0000-000086430000}"/>
    <cellStyle name="Linked Cell 5 9" xfId="11142" xr:uid="{00000000-0005-0000-0000-000087430000}"/>
    <cellStyle name="Linked Cell 5 9 2" xfId="19314" xr:uid="{00000000-0005-0000-0000-000088430000}"/>
    <cellStyle name="Linked Cell 6" xfId="11143" xr:uid="{00000000-0005-0000-0000-000089430000}"/>
    <cellStyle name="Linked Cell 6 10" xfId="11144" xr:uid="{00000000-0005-0000-0000-00008A430000}"/>
    <cellStyle name="Linked Cell 6 10 2" xfId="19315" xr:uid="{00000000-0005-0000-0000-00008B430000}"/>
    <cellStyle name="Linked Cell 6 11" xfId="11145" xr:uid="{00000000-0005-0000-0000-00008C430000}"/>
    <cellStyle name="Linked Cell 6 11 2" xfId="19316" xr:uid="{00000000-0005-0000-0000-00008D430000}"/>
    <cellStyle name="Linked Cell 6 2" xfId="11146" xr:uid="{00000000-0005-0000-0000-00008E430000}"/>
    <cellStyle name="Linked Cell 6 2 2" xfId="11147" xr:uid="{00000000-0005-0000-0000-00008F430000}"/>
    <cellStyle name="Linked Cell 6 2 2 2" xfId="19317" xr:uid="{00000000-0005-0000-0000-000090430000}"/>
    <cellStyle name="Linked Cell 6 3" xfId="11148" xr:uid="{00000000-0005-0000-0000-000091430000}"/>
    <cellStyle name="Linked Cell 6 3 2" xfId="11149" xr:uid="{00000000-0005-0000-0000-000092430000}"/>
    <cellStyle name="Linked Cell 6 3 2 2" xfId="19318" xr:uid="{00000000-0005-0000-0000-000093430000}"/>
    <cellStyle name="Linked Cell 6 4" xfId="11150" xr:uid="{00000000-0005-0000-0000-000094430000}"/>
    <cellStyle name="Linked Cell 6 4 2" xfId="11151" xr:uid="{00000000-0005-0000-0000-000095430000}"/>
    <cellStyle name="Linked Cell 6 4 3" xfId="19319" xr:uid="{00000000-0005-0000-0000-000096430000}"/>
    <cellStyle name="Linked Cell 6 5" xfId="11152" xr:uid="{00000000-0005-0000-0000-000097430000}"/>
    <cellStyle name="Linked Cell 6 5 2" xfId="19320" xr:uid="{00000000-0005-0000-0000-000098430000}"/>
    <cellStyle name="Linked Cell 6 6" xfId="11153" xr:uid="{00000000-0005-0000-0000-000099430000}"/>
    <cellStyle name="Linked Cell 6 6 2" xfId="19321" xr:uid="{00000000-0005-0000-0000-00009A430000}"/>
    <cellStyle name="Linked Cell 6 7" xfId="11154" xr:uid="{00000000-0005-0000-0000-00009B430000}"/>
    <cellStyle name="Linked Cell 6 7 2" xfId="19322" xr:uid="{00000000-0005-0000-0000-00009C430000}"/>
    <cellStyle name="Linked Cell 6 8" xfId="11155" xr:uid="{00000000-0005-0000-0000-00009D430000}"/>
    <cellStyle name="Linked Cell 6 8 2" xfId="19323" xr:uid="{00000000-0005-0000-0000-00009E430000}"/>
    <cellStyle name="Linked Cell 6 9" xfId="11156" xr:uid="{00000000-0005-0000-0000-00009F430000}"/>
    <cellStyle name="Linked Cell 6 9 2" xfId="19324" xr:uid="{00000000-0005-0000-0000-0000A0430000}"/>
    <cellStyle name="Linked Cell 7" xfId="11157" xr:uid="{00000000-0005-0000-0000-0000A1430000}"/>
    <cellStyle name="Linked Cell 7 10" xfId="11158" xr:uid="{00000000-0005-0000-0000-0000A2430000}"/>
    <cellStyle name="Linked Cell 7 10 2" xfId="19325" xr:uid="{00000000-0005-0000-0000-0000A3430000}"/>
    <cellStyle name="Linked Cell 7 11" xfId="11159" xr:uid="{00000000-0005-0000-0000-0000A4430000}"/>
    <cellStyle name="Linked Cell 7 11 2" xfId="19326" xr:uid="{00000000-0005-0000-0000-0000A5430000}"/>
    <cellStyle name="Linked Cell 7 2" xfId="11160" xr:uid="{00000000-0005-0000-0000-0000A6430000}"/>
    <cellStyle name="Linked Cell 7 2 2" xfId="11161" xr:uid="{00000000-0005-0000-0000-0000A7430000}"/>
    <cellStyle name="Linked Cell 7 2 2 2" xfId="19327" xr:uid="{00000000-0005-0000-0000-0000A8430000}"/>
    <cellStyle name="Linked Cell 7 3" xfId="11162" xr:uid="{00000000-0005-0000-0000-0000A9430000}"/>
    <cellStyle name="Linked Cell 7 3 2" xfId="11163" xr:uid="{00000000-0005-0000-0000-0000AA430000}"/>
    <cellStyle name="Linked Cell 7 3 2 2" xfId="19328" xr:uid="{00000000-0005-0000-0000-0000AB430000}"/>
    <cellStyle name="Linked Cell 7 4" xfId="11164" xr:uid="{00000000-0005-0000-0000-0000AC430000}"/>
    <cellStyle name="Linked Cell 7 4 2" xfId="11165" xr:uid="{00000000-0005-0000-0000-0000AD430000}"/>
    <cellStyle name="Linked Cell 7 4 3" xfId="19329" xr:uid="{00000000-0005-0000-0000-0000AE430000}"/>
    <cellStyle name="Linked Cell 7 5" xfId="11166" xr:uid="{00000000-0005-0000-0000-0000AF430000}"/>
    <cellStyle name="Linked Cell 7 5 2" xfId="19330" xr:uid="{00000000-0005-0000-0000-0000B0430000}"/>
    <cellStyle name="Linked Cell 7 6" xfId="11167" xr:uid="{00000000-0005-0000-0000-0000B1430000}"/>
    <cellStyle name="Linked Cell 7 6 2" xfId="19331" xr:uid="{00000000-0005-0000-0000-0000B2430000}"/>
    <cellStyle name="Linked Cell 7 7" xfId="11168" xr:uid="{00000000-0005-0000-0000-0000B3430000}"/>
    <cellStyle name="Linked Cell 7 7 2" xfId="19332" xr:uid="{00000000-0005-0000-0000-0000B4430000}"/>
    <cellStyle name="Linked Cell 7 8" xfId="11169" xr:uid="{00000000-0005-0000-0000-0000B5430000}"/>
    <cellStyle name="Linked Cell 7 8 2" xfId="19333" xr:uid="{00000000-0005-0000-0000-0000B6430000}"/>
    <cellStyle name="Linked Cell 7 9" xfId="11170" xr:uid="{00000000-0005-0000-0000-0000B7430000}"/>
    <cellStyle name="Linked Cell 7 9 2" xfId="19334" xr:uid="{00000000-0005-0000-0000-0000B8430000}"/>
    <cellStyle name="Linked Cell 8" xfId="11171" xr:uid="{00000000-0005-0000-0000-0000B9430000}"/>
    <cellStyle name="Linked Cell 8 10" xfId="11172" xr:uid="{00000000-0005-0000-0000-0000BA430000}"/>
    <cellStyle name="Linked Cell 8 10 2" xfId="19335" xr:uid="{00000000-0005-0000-0000-0000BB430000}"/>
    <cellStyle name="Linked Cell 8 11" xfId="11173" xr:uid="{00000000-0005-0000-0000-0000BC430000}"/>
    <cellStyle name="Linked Cell 8 11 2" xfId="19336" xr:uid="{00000000-0005-0000-0000-0000BD430000}"/>
    <cellStyle name="Linked Cell 8 2" xfId="11174" xr:uid="{00000000-0005-0000-0000-0000BE430000}"/>
    <cellStyle name="Linked Cell 8 2 2" xfId="11175" xr:uid="{00000000-0005-0000-0000-0000BF430000}"/>
    <cellStyle name="Linked Cell 8 2 2 2" xfId="19337" xr:uid="{00000000-0005-0000-0000-0000C0430000}"/>
    <cellStyle name="Linked Cell 8 3" xfId="11176" xr:uid="{00000000-0005-0000-0000-0000C1430000}"/>
    <cellStyle name="Linked Cell 8 3 2" xfId="11177" xr:uid="{00000000-0005-0000-0000-0000C2430000}"/>
    <cellStyle name="Linked Cell 8 3 2 2" xfId="19338" xr:uid="{00000000-0005-0000-0000-0000C3430000}"/>
    <cellStyle name="Linked Cell 8 4" xfId="11178" xr:uid="{00000000-0005-0000-0000-0000C4430000}"/>
    <cellStyle name="Linked Cell 8 4 2" xfId="11179" xr:uid="{00000000-0005-0000-0000-0000C5430000}"/>
    <cellStyle name="Linked Cell 8 4 3" xfId="19339" xr:uid="{00000000-0005-0000-0000-0000C6430000}"/>
    <cellStyle name="Linked Cell 8 5" xfId="11180" xr:uid="{00000000-0005-0000-0000-0000C7430000}"/>
    <cellStyle name="Linked Cell 8 5 2" xfId="19340" xr:uid="{00000000-0005-0000-0000-0000C8430000}"/>
    <cellStyle name="Linked Cell 8 6" xfId="11181" xr:uid="{00000000-0005-0000-0000-0000C9430000}"/>
    <cellStyle name="Linked Cell 8 6 2" xfId="19341" xr:uid="{00000000-0005-0000-0000-0000CA430000}"/>
    <cellStyle name="Linked Cell 8 7" xfId="11182" xr:uid="{00000000-0005-0000-0000-0000CB430000}"/>
    <cellStyle name="Linked Cell 8 7 2" xfId="19342" xr:uid="{00000000-0005-0000-0000-0000CC430000}"/>
    <cellStyle name="Linked Cell 8 8" xfId="11183" xr:uid="{00000000-0005-0000-0000-0000CD430000}"/>
    <cellStyle name="Linked Cell 8 8 2" xfId="19343" xr:uid="{00000000-0005-0000-0000-0000CE430000}"/>
    <cellStyle name="Linked Cell 8 9" xfId="11184" xr:uid="{00000000-0005-0000-0000-0000CF430000}"/>
    <cellStyle name="Linked Cell 8 9 2" xfId="19344" xr:uid="{00000000-0005-0000-0000-0000D0430000}"/>
    <cellStyle name="Linked Cell 9" xfId="11185" xr:uid="{00000000-0005-0000-0000-0000D1430000}"/>
    <cellStyle name="Linked Cell 9 10" xfId="11186" xr:uid="{00000000-0005-0000-0000-0000D2430000}"/>
    <cellStyle name="Linked Cell 9 10 2" xfId="19345" xr:uid="{00000000-0005-0000-0000-0000D3430000}"/>
    <cellStyle name="Linked Cell 9 11" xfId="11187" xr:uid="{00000000-0005-0000-0000-0000D4430000}"/>
    <cellStyle name="Linked Cell 9 11 2" xfId="19346" xr:uid="{00000000-0005-0000-0000-0000D5430000}"/>
    <cellStyle name="Linked Cell 9 2" xfId="11188" xr:uid="{00000000-0005-0000-0000-0000D6430000}"/>
    <cellStyle name="Linked Cell 9 2 2" xfId="11189" xr:uid="{00000000-0005-0000-0000-0000D7430000}"/>
    <cellStyle name="Linked Cell 9 2 2 2" xfId="19347" xr:uid="{00000000-0005-0000-0000-0000D8430000}"/>
    <cellStyle name="Linked Cell 9 3" xfId="11190" xr:uid="{00000000-0005-0000-0000-0000D9430000}"/>
    <cellStyle name="Linked Cell 9 3 2" xfId="11191" xr:uid="{00000000-0005-0000-0000-0000DA430000}"/>
    <cellStyle name="Linked Cell 9 3 2 2" xfId="19348" xr:uid="{00000000-0005-0000-0000-0000DB430000}"/>
    <cellStyle name="Linked Cell 9 4" xfId="11192" xr:uid="{00000000-0005-0000-0000-0000DC430000}"/>
    <cellStyle name="Linked Cell 9 4 2" xfId="11193" xr:uid="{00000000-0005-0000-0000-0000DD430000}"/>
    <cellStyle name="Linked Cell 9 4 3" xfId="19349" xr:uid="{00000000-0005-0000-0000-0000DE430000}"/>
    <cellStyle name="Linked Cell 9 5" xfId="11194" xr:uid="{00000000-0005-0000-0000-0000DF430000}"/>
    <cellStyle name="Linked Cell 9 5 2" xfId="19350" xr:uid="{00000000-0005-0000-0000-0000E0430000}"/>
    <cellStyle name="Linked Cell 9 6" xfId="11195" xr:uid="{00000000-0005-0000-0000-0000E1430000}"/>
    <cellStyle name="Linked Cell 9 6 2" xfId="19351" xr:uid="{00000000-0005-0000-0000-0000E2430000}"/>
    <cellStyle name="Linked Cell 9 7" xfId="11196" xr:uid="{00000000-0005-0000-0000-0000E3430000}"/>
    <cellStyle name="Linked Cell 9 7 2" xfId="19352" xr:uid="{00000000-0005-0000-0000-0000E4430000}"/>
    <cellStyle name="Linked Cell 9 8" xfId="11197" xr:uid="{00000000-0005-0000-0000-0000E5430000}"/>
    <cellStyle name="Linked Cell 9 8 2" xfId="19353" xr:uid="{00000000-0005-0000-0000-0000E6430000}"/>
    <cellStyle name="Linked Cell 9 9" xfId="11198" xr:uid="{00000000-0005-0000-0000-0000E7430000}"/>
    <cellStyle name="Linked Cell 9 9 2" xfId="19354" xr:uid="{00000000-0005-0000-0000-0000E8430000}"/>
    <cellStyle name="Neutral 10" xfId="11199" xr:uid="{00000000-0005-0000-0000-0000E9430000}"/>
    <cellStyle name="Neutral 10 10" xfId="11200" xr:uid="{00000000-0005-0000-0000-0000EA430000}"/>
    <cellStyle name="Neutral 10 10 2" xfId="19355" xr:uid="{00000000-0005-0000-0000-0000EB430000}"/>
    <cellStyle name="Neutral 10 11" xfId="11201" xr:uid="{00000000-0005-0000-0000-0000EC430000}"/>
    <cellStyle name="Neutral 10 11 2" xfId="19356" xr:uid="{00000000-0005-0000-0000-0000ED430000}"/>
    <cellStyle name="Neutral 10 2" xfId="11202" xr:uid="{00000000-0005-0000-0000-0000EE430000}"/>
    <cellStyle name="Neutral 10 2 2" xfId="11203" xr:uid="{00000000-0005-0000-0000-0000EF430000}"/>
    <cellStyle name="Neutral 10 2 2 2" xfId="19357" xr:uid="{00000000-0005-0000-0000-0000F0430000}"/>
    <cellStyle name="Neutral 10 3" xfId="11204" xr:uid="{00000000-0005-0000-0000-0000F1430000}"/>
    <cellStyle name="Neutral 10 3 2" xfId="11205" xr:uid="{00000000-0005-0000-0000-0000F2430000}"/>
    <cellStyle name="Neutral 10 3 2 2" xfId="19358" xr:uid="{00000000-0005-0000-0000-0000F3430000}"/>
    <cellStyle name="Neutral 10 4" xfId="11206" xr:uid="{00000000-0005-0000-0000-0000F4430000}"/>
    <cellStyle name="Neutral 10 4 2" xfId="11207" xr:uid="{00000000-0005-0000-0000-0000F5430000}"/>
    <cellStyle name="Neutral 10 4 3" xfId="19359" xr:uid="{00000000-0005-0000-0000-0000F6430000}"/>
    <cellStyle name="Neutral 10 5" xfId="11208" xr:uid="{00000000-0005-0000-0000-0000F7430000}"/>
    <cellStyle name="Neutral 10 5 2" xfId="19360" xr:uid="{00000000-0005-0000-0000-0000F8430000}"/>
    <cellStyle name="Neutral 10 6" xfId="11209" xr:uid="{00000000-0005-0000-0000-0000F9430000}"/>
    <cellStyle name="Neutral 10 6 2" xfId="19361" xr:uid="{00000000-0005-0000-0000-0000FA430000}"/>
    <cellStyle name="Neutral 10 7" xfId="11210" xr:uid="{00000000-0005-0000-0000-0000FB430000}"/>
    <cellStyle name="Neutral 10 7 2" xfId="19362" xr:uid="{00000000-0005-0000-0000-0000FC430000}"/>
    <cellStyle name="Neutral 10 8" xfId="11211" xr:uid="{00000000-0005-0000-0000-0000FD430000}"/>
    <cellStyle name="Neutral 10 8 2" xfId="19363" xr:uid="{00000000-0005-0000-0000-0000FE430000}"/>
    <cellStyle name="Neutral 10 9" xfId="11212" xr:uid="{00000000-0005-0000-0000-0000FF430000}"/>
    <cellStyle name="Neutral 10 9 2" xfId="19364" xr:uid="{00000000-0005-0000-0000-000000440000}"/>
    <cellStyle name="Neutral 11" xfId="11213" xr:uid="{00000000-0005-0000-0000-000001440000}"/>
    <cellStyle name="Neutral 11 10" xfId="11214" xr:uid="{00000000-0005-0000-0000-000002440000}"/>
    <cellStyle name="Neutral 11 10 2" xfId="19365" xr:uid="{00000000-0005-0000-0000-000003440000}"/>
    <cellStyle name="Neutral 11 11" xfId="11215" xr:uid="{00000000-0005-0000-0000-000004440000}"/>
    <cellStyle name="Neutral 11 11 2" xfId="19366" xr:uid="{00000000-0005-0000-0000-000005440000}"/>
    <cellStyle name="Neutral 11 2" xfId="11216" xr:uid="{00000000-0005-0000-0000-000006440000}"/>
    <cellStyle name="Neutral 11 2 2" xfId="11217" xr:uid="{00000000-0005-0000-0000-000007440000}"/>
    <cellStyle name="Neutral 11 2 2 2" xfId="19367" xr:uid="{00000000-0005-0000-0000-000008440000}"/>
    <cellStyle name="Neutral 11 3" xfId="11218" xr:uid="{00000000-0005-0000-0000-000009440000}"/>
    <cellStyle name="Neutral 11 3 2" xfId="11219" xr:uid="{00000000-0005-0000-0000-00000A440000}"/>
    <cellStyle name="Neutral 11 3 2 2" xfId="19368" xr:uid="{00000000-0005-0000-0000-00000B440000}"/>
    <cellStyle name="Neutral 11 4" xfId="11220" xr:uid="{00000000-0005-0000-0000-00000C440000}"/>
    <cellStyle name="Neutral 11 4 2" xfId="11221" xr:uid="{00000000-0005-0000-0000-00000D440000}"/>
    <cellStyle name="Neutral 11 4 3" xfId="19369" xr:uid="{00000000-0005-0000-0000-00000E440000}"/>
    <cellStyle name="Neutral 11 5" xfId="11222" xr:uid="{00000000-0005-0000-0000-00000F440000}"/>
    <cellStyle name="Neutral 11 5 2" xfId="19370" xr:uid="{00000000-0005-0000-0000-000010440000}"/>
    <cellStyle name="Neutral 11 6" xfId="11223" xr:uid="{00000000-0005-0000-0000-000011440000}"/>
    <cellStyle name="Neutral 11 6 2" xfId="19371" xr:uid="{00000000-0005-0000-0000-000012440000}"/>
    <cellStyle name="Neutral 11 7" xfId="11224" xr:uid="{00000000-0005-0000-0000-000013440000}"/>
    <cellStyle name="Neutral 11 7 2" xfId="19372" xr:uid="{00000000-0005-0000-0000-000014440000}"/>
    <cellStyle name="Neutral 11 8" xfId="11225" xr:uid="{00000000-0005-0000-0000-000015440000}"/>
    <cellStyle name="Neutral 11 8 2" xfId="19373" xr:uid="{00000000-0005-0000-0000-000016440000}"/>
    <cellStyle name="Neutral 11 9" xfId="11226" xr:uid="{00000000-0005-0000-0000-000017440000}"/>
    <cellStyle name="Neutral 11 9 2" xfId="19374" xr:uid="{00000000-0005-0000-0000-000018440000}"/>
    <cellStyle name="Neutral 12" xfId="11227" xr:uid="{00000000-0005-0000-0000-000019440000}"/>
    <cellStyle name="Neutral 12 10" xfId="11228" xr:uid="{00000000-0005-0000-0000-00001A440000}"/>
    <cellStyle name="Neutral 12 10 2" xfId="19375" xr:uid="{00000000-0005-0000-0000-00001B440000}"/>
    <cellStyle name="Neutral 12 11" xfId="11229" xr:uid="{00000000-0005-0000-0000-00001C440000}"/>
    <cellStyle name="Neutral 12 11 2" xfId="19376" xr:uid="{00000000-0005-0000-0000-00001D440000}"/>
    <cellStyle name="Neutral 12 2" xfId="11230" xr:uid="{00000000-0005-0000-0000-00001E440000}"/>
    <cellStyle name="Neutral 12 2 2" xfId="11231" xr:uid="{00000000-0005-0000-0000-00001F440000}"/>
    <cellStyle name="Neutral 12 2 2 2" xfId="19377" xr:uid="{00000000-0005-0000-0000-000020440000}"/>
    <cellStyle name="Neutral 12 3" xfId="11232" xr:uid="{00000000-0005-0000-0000-000021440000}"/>
    <cellStyle name="Neutral 12 3 2" xfId="11233" xr:uid="{00000000-0005-0000-0000-000022440000}"/>
    <cellStyle name="Neutral 12 3 2 2" xfId="19378" xr:uid="{00000000-0005-0000-0000-000023440000}"/>
    <cellStyle name="Neutral 12 4" xfId="11234" xr:uid="{00000000-0005-0000-0000-000024440000}"/>
    <cellStyle name="Neutral 12 4 2" xfId="11235" xr:uid="{00000000-0005-0000-0000-000025440000}"/>
    <cellStyle name="Neutral 12 4 3" xfId="19379" xr:uid="{00000000-0005-0000-0000-000026440000}"/>
    <cellStyle name="Neutral 12 5" xfId="11236" xr:uid="{00000000-0005-0000-0000-000027440000}"/>
    <cellStyle name="Neutral 12 5 2" xfId="19380" xr:uid="{00000000-0005-0000-0000-000028440000}"/>
    <cellStyle name="Neutral 12 6" xfId="11237" xr:uid="{00000000-0005-0000-0000-000029440000}"/>
    <cellStyle name="Neutral 12 6 2" xfId="19381" xr:uid="{00000000-0005-0000-0000-00002A440000}"/>
    <cellStyle name="Neutral 12 7" xfId="11238" xr:uid="{00000000-0005-0000-0000-00002B440000}"/>
    <cellStyle name="Neutral 12 7 2" xfId="19382" xr:uid="{00000000-0005-0000-0000-00002C440000}"/>
    <cellStyle name="Neutral 12 8" xfId="11239" xr:uid="{00000000-0005-0000-0000-00002D440000}"/>
    <cellStyle name="Neutral 12 8 2" xfId="19383" xr:uid="{00000000-0005-0000-0000-00002E440000}"/>
    <cellStyle name="Neutral 12 9" xfId="11240" xr:uid="{00000000-0005-0000-0000-00002F440000}"/>
    <cellStyle name="Neutral 12 9 2" xfId="19384" xr:uid="{00000000-0005-0000-0000-000030440000}"/>
    <cellStyle name="Neutral 13" xfId="11241" xr:uid="{00000000-0005-0000-0000-000031440000}"/>
    <cellStyle name="Neutral 13 10" xfId="11242" xr:uid="{00000000-0005-0000-0000-000032440000}"/>
    <cellStyle name="Neutral 13 10 2" xfId="19385" xr:uid="{00000000-0005-0000-0000-000033440000}"/>
    <cellStyle name="Neutral 13 11" xfId="11243" xr:uid="{00000000-0005-0000-0000-000034440000}"/>
    <cellStyle name="Neutral 13 11 2" xfId="19386" xr:uid="{00000000-0005-0000-0000-000035440000}"/>
    <cellStyle name="Neutral 13 2" xfId="11244" xr:uid="{00000000-0005-0000-0000-000036440000}"/>
    <cellStyle name="Neutral 13 2 2" xfId="11245" xr:uid="{00000000-0005-0000-0000-000037440000}"/>
    <cellStyle name="Neutral 13 2 2 2" xfId="19387" xr:uid="{00000000-0005-0000-0000-000038440000}"/>
    <cellStyle name="Neutral 13 3" xfId="11246" xr:uid="{00000000-0005-0000-0000-000039440000}"/>
    <cellStyle name="Neutral 13 3 2" xfId="11247" xr:uid="{00000000-0005-0000-0000-00003A440000}"/>
    <cellStyle name="Neutral 13 3 2 2" xfId="19388" xr:uid="{00000000-0005-0000-0000-00003B440000}"/>
    <cellStyle name="Neutral 13 4" xfId="11248" xr:uid="{00000000-0005-0000-0000-00003C440000}"/>
    <cellStyle name="Neutral 13 4 2" xfId="19389" xr:uid="{00000000-0005-0000-0000-00003D440000}"/>
    <cellStyle name="Neutral 13 5" xfId="11249" xr:uid="{00000000-0005-0000-0000-00003E440000}"/>
    <cellStyle name="Neutral 13 5 2" xfId="19390" xr:uid="{00000000-0005-0000-0000-00003F440000}"/>
    <cellStyle name="Neutral 13 6" xfId="11250" xr:uid="{00000000-0005-0000-0000-000040440000}"/>
    <cellStyle name="Neutral 13 6 2" xfId="19391" xr:uid="{00000000-0005-0000-0000-000041440000}"/>
    <cellStyle name="Neutral 13 7" xfId="11251" xr:uid="{00000000-0005-0000-0000-000042440000}"/>
    <cellStyle name="Neutral 13 7 2" xfId="19392" xr:uid="{00000000-0005-0000-0000-000043440000}"/>
    <cellStyle name="Neutral 13 8" xfId="11252" xr:uid="{00000000-0005-0000-0000-000044440000}"/>
    <cellStyle name="Neutral 13 8 2" xfId="19393" xr:uid="{00000000-0005-0000-0000-000045440000}"/>
    <cellStyle name="Neutral 13 9" xfId="11253" xr:uid="{00000000-0005-0000-0000-000046440000}"/>
    <cellStyle name="Neutral 13 9 2" xfId="19394" xr:uid="{00000000-0005-0000-0000-000047440000}"/>
    <cellStyle name="Neutral 14" xfId="11254" xr:uid="{00000000-0005-0000-0000-000048440000}"/>
    <cellStyle name="Neutral 14 10" xfId="11255" xr:uid="{00000000-0005-0000-0000-000049440000}"/>
    <cellStyle name="Neutral 14 10 2" xfId="19395" xr:uid="{00000000-0005-0000-0000-00004A440000}"/>
    <cellStyle name="Neutral 14 11" xfId="11256" xr:uid="{00000000-0005-0000-0000-00004B440000}"/>
    <cellStyle name="Neutral 14 11 2" xfId="19396" xr:uid="{00000000-0005-0000-0000-00004C440000}"/>
    <cellStyle name="Neutral 14 2" xfId="11257" xr:uid="{00000000-0005-0000-0000-00004D440000}"/>
    <cellStyle name="Neutral 14 2 2" xfId="11258" xr:uid="{00000000-0005-0000-0000-00004E440000}"/>
    <cellStyle name="Neutral 14 2 2 2" xfId="19397" xr:uid="{00000000-0005-0000-0000-00004F440000}"/>
    <cellStyle name="Neutral 14 3" xfId="11259" xr:uid="{00000000-0005-0000-0000-000050440000}"/>
    <cellStyle name="Neutral 14 3 2" xfId="11260" xr:uid="{00000000-0005-0000-0000-000051440000}"/>
    <cellStyle name="Neutral 14 3 2 2" xfId="19398" xr:uid="{00000000-0005-0000-0000-000052440000}"/>
    <cellStyle name="Neutral 14 4" xfId="11261" xr:uid="{00000000-0005-0000-0000-000053440000}"/>
    <cellStyle name="Neutral 14 4 2" xfId="19399" xr:uid="{00000000-0005-0000-0000-000054440000}"/>
    <cellStyle name="Neutral 14 5" xfId="11262" xr:uid="{00000000-0005-0000-0000-000055440000}"/>
    <cellStyle name="Neutral 14 5 2" xfId="19400" xr:uid="{00000000-0005-0000-0000-000056440000}"/>
    <cellStyle name="Neutral 14 6" xfId="11263" xr:uid="{00000000-0005-0000-0000-000057440000}"/>
    <cellStyle name="Neutral 14 6 2" xfId="19401" xr:uid="{00000000-0005-0000-0000-000058440000}"/>
    <cellStyle name="Neutral 14 7" xfId="11264" xr:uid="{00000000-0005-0000-0000-000059440000}"/>
    <cellStyle name="Neutral 14 7 2" xfId="19402" xr:uid="{00000000-0005-0000-0000-00005A440000}"/>
    <cellStyle name="Neutral 14 8" xfId="11265" xr:uid="{00000000-0005-0000-0000-00005B440000}"/>
    <cellStyle name="Neutral 14 8 2" xfId="19403" xr:uid="{00000000-0005-0000-0000-00005C440000}"/>
    <cellStyle name="Neutral 14 9" xfId="11266" xr:uid="{00000000-0005-0000-0000-00005D440000}"/>
    <cellStyle name="Neutral 14 9 2" xfId="19404" xr:uid="{00000000-0005-0000-0000-00005E440000}"/>
    <cellStyle name="Neutral 15" xfId="11267" xr:uid="{00000000-0005-0000-0000-00005F440000}"/>
    <cellStyle name="Neutral 15 10" xfId="11268" xr:uid="{00000000-0005-0000-0000-000060440000}"/>
    <cellStyle name="Neutral 15 10 2" xfId="19405" xr:uid="{00000000-0005-0000-0000-000061440000}"/>
    <cellStyle name="Neutral 15 11" xfId="11269" xr:uid="{00000000-0005-0000-0000-000062440000}"/>
    <cellStyle name="Neutral 15 11 2" xfId="19406" xr:uid="{00000000-0005-0000-0000-000063440000}"/>
    <cellStyle name="Neutral 15 2" xfId="11270" xr:uid="{00000000-0005-0000-0000-000064440000}"/>
    <cellStyle name="Neutral 15 2 2" xfId="11271" xr:uid="{00000000-0005-0000-0000-000065440000}"/>
    <cellStyle name="Neutral 15 2 2 2" xfId="19407" xr:uid="{00000000-0005-0000-0000-000066440000}"/>
    <cellStyle name="Neutral 15 3" xfId="11272" xr:uid="{00000000-0005-0000-0000-000067440000}"/>
    <cellStyle name="Neutral 15 3 2" xfId="11273" xr:uid="{00000000-0005-0000-0000-000068440000}"/>
    <cellStyle name="Neutral 15 3 2 2" xfId="19408" xr:uid="{00000000-0005-0000-0000-000069440000}"/>
    <cellStyle name="Neutral 15 4" xfId="11274" xr:uid="{00000000-0005-0000-0000-00006A440000}"/>
    <cellStyle name="Neutral 15 4 2" xfId="19409" xr:uid="{00000000-0005-0000-0000-00006B440000}"/>
    <cellStyle name="Neutral 15 5" xfId="11275" xr:uid="{00000000-0005-0000-0000-00006C440000}"/>
    <cellStyle name="Neutral 15 5 2" xfId="19410" xr:uid="{00000000-0005-0000-0000-00006D440000}"/>
    <cellStyle name="Neutral 15 6" xfId="11276" xr:uid="{00000000-0005-0000-0000-00006E440000}"/>
    <cellStyle name="Neutral 15 6 2" xfId="19411" xr:uid="{00000000-0005-0000-0000-00006F440000}"/>
    <cellStyle name="Neutral 15 7" xfId="11277" xr:uid="{00000000-0005-0000-0000-000070440000}"/>
    <cellStyle name="Neutral 15 7 2" xfId="19412" xr:uid="{00000000-0005-0000-0000-000071440000}"/>
    <cellStyle name="Neutral 15 8" xfId="11278" xr:uid="{00000000-0005-0000-0000-000072440000}"/>
    <cellStyle name="Neutral 15 8 2" xfId="19413" xr:uid="{00000000-0005-0000-0000-000073440000}"/>
    <cellStyle name="Neutral 15 9" xfId="11279" xr:uid="{00000000-0005-0000-0000-000074440000}"/>
    <cellStyle name="Neutral 15 9 2" xfId="19414" xr:uid="{00000000-0005-0000-0000-000075440000}"/>
    <cellStyle name="Neutral 16" xfId="11280" xr:uid="{00000000-0005-0000-0000-000076440000}"/>
    <cellStyle name="Neutral 16 10" xfId="11281" xr:uid="{00000000-0005-0000-0000-000077440000}"/>
    <cellStyle name="Neutral 16 10 2" xfId="19415" xr:uid="{00000000-0005-0000-0000-000078440000}"/>
    <cellStyle name="Neutral 16 11" xfId="11282" xr:uid="{00000000-0005-0000-0000-000079440000}"/>
    <cellStyle name="Neutral 16 11 2" xfId="19416" xr:uid="{00000000-0005-0000-0000-00007A440000}"/>
    <cellStyle name="Neutral 16 2" xfId="11283" xr:uid="{00000000-0005-0000-0000-00007B440000}"/>
    <cellStyle name="Neutral 16 2 2" xfId="11284" xr:uid="{00000000-0005-0000-0000-00007C440000}"/>
    <cellStyle name="Neutral 16 2 2 2" xfId="19417" xr:uid="{00000000-0005-0000-0000-00007D440000}"/>
    <cellStyle name="Neutral 16 3" xfId="11285" xr:uid="{00000000-0005-0000-0000-00007E440000}"/>
    <cellStyle name="Neutral 16 3 2" xfId="11286" xr:uid="{00000000-0005-0000-0000-00007F440000}"/>
    <cellStyle name="Neutral 16 3 2 2" xfId="19418" xr:uid="{00000000-0005-0000-0000-000080440000}"/>
    <cellStyle name="Neutral 16 4" xfId="11287" xr:uid="{00000000-0005-0000-0000-000081440000}"/>
    <cellStyle name="Neutral 16 4 2" xfId="19419" xr:uid="{00000000-0005-0000-0000-000082440000}"/>
    <cellStyle name="Neutral 16 5" xfId="11288" xr:uid="{00000000-0005-0000-0000-000083440000}"/>
    <cellStyle name="Neutral 16 5 2" xfId="19420" xr:uid="{00000000-0005-0000-0000-000084440000}"/>
    <cellStyle name="Neutral 16 6" xfId="11289" xr:uid="{00000000-0005-0000-0000-000085440000}"/>
    <cellStyle name="Neutral 16 6 2" xfId="19421" xr:uid="{00000000-0005-0000-0000-000086440000}"/>
    <cellStyle name="Neutral 16 7" xfId="11290" xr:uid="{00000000-0005-0000-0000-000087440000}"/>
    <cellStyle name="Neutral 16 7 2" xfId="19422" xr:uid="{00000000-0005-0000-0000-000088440000}"/>
    <cellStyle name="Neutral 16 8" xfId="11291" xr:uid="{00000000-0005-0000-0000-000089440000}"/>
    <cellStyle name="Neutral 16 8 2" xfId="19423" xr:uid="{00000000-0005-0000-0000-00008A440000}"/>
    <cellStyle name="Neutral 16 9" xfId="11292" xr:uid="{00000000-0005-0000-0000-00008B440000}"/>
    <cellStyle name="Neutral 16 9 2" xfId="19424" xr:uid="{00000000-0005-0000-0000-00008C440000}"/>
    <cellStyle name="Neutral 17" xfId="11293" xr:uid="{00000000-0005-0000-0000-00008D440000}"/>
    <cellStyle name="Neutral 17 10" xfId="11294" xr:uid="{00000000-0005-0000-0000-00008E440000}"/>
    <cellStyle name="Neutral 17 10 2" xfId="19425" xr:uid="{00000000-0005-0000-0000-00008F440000}"/>
    <cellStyle name="Neutral 17 11" xfId="11295" xr:uid="{00000000-0005-0000-0000-000090440000}"/>
    <cellStyle name="Neutral 17 11 2" xfId="19426" xr:uid="{00000000-0005-0000-0000-000091440000}"/>
    <cellStyle name="Neutral 17 2" xfId="11296" xr:uid="{00000000-0005-0000-0000-000092440000}"/>
    <cellStyle name="Neutral 17 2 2" xfId="11297" xr:uid="{00000000-0005-0000-0000-000093440000}"/>
    <cellStyle name="Neutral 17 2 2 2" xfId="19427" xr:uid="{00000000-0005-0000-0000-000094440000}"/>
    <cellStyle name="Neutral 17 3" xfId="11298" xr:uid="{00000000-0005-0000-0000-000095440000}"/>
    <cellStyle name="Neutral 17 3 2" xfId="11299" xr:uid="{00000000-0005-0000-0000-000096440000}"/>
    <cellStyle name="Neutral 17 3 2 2" xfId="19428" xr:uid="{00000000-0005-0000-0000-000097440000}"/>
    <cellStyle name="Neutral 17 4" xfId="11300" xr:uid="{00000000-0005-0000-0000-000098440000}"/>
    <cellStyle name="Neutral 17 4 2" xfId="19429" xr:uid="{00000000-0005-0000-0000-000099440000}"/>
    <cellStyle name="Neutral 17 5" xfId="11301" xr:uid="{00000000-0005-0000-0000-00009A440000}"/>
    <cellStyle name="Neutral 17 5 2" xfId="19430" xr:uid="{00000000-0005-0000-0000-00009B440000}"/>
    <cellStyle name="Neutral 17 6" xfId="11302" xr:uid="{00000000-0005-0000-0000-00009C440000}"/>
    <cellStyle name="Neutral 17 6 2" xfId="19431" xr:uid="{00000000-0005-0000-0000-00009D440000}"/>
    <cellStyle name="Neutral 17 7" xfId="11303" xr:uid="{00000000-0005-0000-0000-00009E440000}"/>
    <cellStyle name="Neutral 17 7 2" xfId="19432" xr:uid="{00000000-0005-0000-0000-00009F440000}"/>
    <cellStyle name="Neutral 17 8" xfId="11304" xr:uid="{00000000-0005-0000-0000-0000A0440000}"/>
    <cellStyle name="Neutral 17 8 2" xfId="19433" xr:uid="{00000000-0005-0000-0000-0000A1440000}"/>
    <cellStyle name="Neutral 17 9" xfId="11305" xr:uid="{00000000-0005-0000-0000-0000A2440000}"/>
    <cellStyle name="Neutral 17 9 2" xfId="19434" xr:uid="{00000000-0005-0000-0000-0000A3440000}"/>
    <cellStyle name="Neutral 18" xfId="11306" xr:uid="{00000000-0005-0000-0000-0000A4440000}"/>
    <cellStyle name="Neutral 18 2" xfId="11307" xr:uid="{00000000-0005-0000-0000-0000A5440000}"/>
    <cellStyle name="Neutral 18 2 2" xfId="11308" xr:uid="{00000000-0005-0000-0000-0000A6440000}"/>
    <cellStyle name="Neutral 18 2 2 2" xfId="19435" xr:uid="{00000000-0005-0000-0000-0000A7440000}"/>
    <cellStyle name="Neutral 18 3" xfId="11309" xr:uid="{00000000-0005-0000-0000-0000A8440000}"/>
    <cellStyle name="Neutral 18 3 2" xfId="19436" xr:uid="{00000000-0005-0000-0000-0000A9440000}"/>
    <cellStyle name="Neutral 18 4" xfId="11310" xr:uid="{00000000-0005-0000-0000-0000AA440000}"/>
    <cellStyle name="Neutral 18 4 2" xfId="19437" xr:uid="{00000000-0005-0000-0000-0000AB440000}"/>
    <cellStyle name="Neutral 18 5" xfId="11311" xr:uid="{00000000-0005-0000-0000-0000AC440000}"/>
    <cellStyle name="Neutral 18 5 2" xfId="19438" xr:uid="{00000000-0005-0000-0000-0000AD440000}"/>
    <cellStyle name="Neutral 18 6" xfId="11312" xr:uid="{00000000-0005-0000-0000-0000AE440000}"/>
    <cellStyle name="Neutral 18 6 2" xfId="19439" xr:uid="{00000000-0005-0000-0000-0000AF440000}"/>
    <cellStyle name="Neutral 18 7" xfId="11313" xr:uid="{00000000-0005-0000-0000-0000B0440000}"/>
    <cellStyle name="Neutral 18 7 2" xfId="19440" xr:uid="{00000000-0005-0000-0000-0000B1440000}"/>
    <cellStyle name="Neutral 18 8" xfId="11314" xr:uid="{00000000-0005-0000-0000-0000B2440000}"/>
    <cellStyle name="Neutral 18 8 2" xfId="19441" xr:uid="{00000000-0005-0000-0000-0000B3440000}"/>
    <cellStyle name="Neutral 18 9" xfId="11315" xr:uid="{00000000-0005-0000-0000-0000B4440000}"/>
    <cellStyle name="Neutral 18 9 2" xfId="19442" xr:uid="{00000000-0005-0000-0000-0000B5440000}"/>
    <cellStyle name="Neutral 19" xfId="11316" xr:uid="{00000000-0005-0000-0000-0000B6440000}"/>
    <cellStyle name="Neutral 19 2" xfId="11317" xr:uid="{00000000-0005-0000-0000-0000B7440000}"/>
    <cellStyle name="Neutral 19 2 2" xfId="11318" xr:uid="{00000000-0005-0000-0000-0000B8440000}"/>
    <cellStyle name="Neutral 19 2 2 2" xfId="19443" xr:uid="{00000000-0005-0000-0000-0000B9440000}"/>
    <cellStyle name="Neutral 19 3" xfId="11319" xr:uid="{00000000-0005-0000-0000-0000BA440000}"/>
    <cellStyle name="Neutral 19 3 2" xfId="19444" xr:uid="{00000000-0005-0000-0000-0000BB440000}"/>
    <cellStyle name="Neutral 19 4" xfId="11320" xr:uid="{00000000-0005-0000-0000-0000BC440000}"/>
    <cellStyle name="Neutral 19 4 2" xfId="19445" xr:uid="{00000000-0005-0000-0000-0000BD440000}"/>
    <cellStyle name="Neutral 19 5" xfId="11321" xr:uid="{00000000-0005-0000-0000-0000BE440000}"/>
    <cellStyle name="Neutral 19 5 2" xfId="19446" xr:uid="{00000000-0005-0000-0000-0000BF440000}"/>
    <cellStyle name="Neutral 19 6" xfId="11322" xr:uid="{00000000-0005-0000-0000-0000C0440000}"/>
    <cellStyle name="Neutral 19 6 2" xfId="19447" xr:uid="{00000000-0005-0000-0000-0000C1440000}"/>
    <cellStyle name="Neutral 19 7" xfId="11323" xr:uid="{00000000-0005-0000-0000-0000C2440000}"/>
    <cellStyle name="Neutral 19 7 2" xfId="19448" xr:uid="{00000000-0005-0000-0000-0000C3440000}"/>
    <cellStyle name="Neutral 19 8" xfId="11324" xr:uid="{00000000-0005-0000-0000-0000C4440000}"/>
    <cellStyle name="Neutral 19 8 2" xfId="19449" xr:uid="{00000000-0005-0000-0000-0000C5440000}"/>
    <cellStyle name="Neutral 19 9" xfId="11325" xr:uid="{00000000-0005-0000-0000-0000C6440000}"/>
    <cellStyle name="Neutral 19 9 2" xfId="19450" xr:uid="{00000000-0005-0000-0000-0000C7440000}"/>
    <cellStyle name="Neutral 2" xfId="11326" xr:uid="{00000000-0005-0000-0000-0000C8440000}"/>
    <cellStyle name="Neutral 2 10" xfId="11327" xr:uid="{00000000-0005-0000-0000-0000C9440000}"/>
    <cellStyle name="Neutral 2 10 2" xfId="19451" xr:uid="{00000000-0005-0000-0000-0000CA440000}"/>
    <cellStyle name="Neutral 2 11" xfId="11328" xr:uid="{00000000-0005-0000-0000-0000CB440000}"/>
    <cellStyle name="Neutral 2 11 2" xfId="19452" xr:uid="{00000000-0005-0000-0000-0000CC440000}"/>
    <cellStyle name="Neutral 2 2" xfId="11329" xr:uid="{00000000-0005-0000-0000-0000CD440000}"/>
    <cellStyle name="Neutral 2 2 2" xfId="11330" xr:uid="{00000000-0005-0000-0000-0000CE440000}"/>
    <cellStyle name="Neutral 2 2 2 2" xfId="19453" xr:uid="{00000000-0005-0000-0000-0000CF440000}"/>
    <cellStyle name="Neutral 2 3" xfId="11331" xr:uid="{00000000-0005-0000-0000-0000D0440000}"/>
    <cellStyle name="Neutral 2 3 2" xfId="11332" xr:uid="{00000000-0005-0000-0000-0000D1440000}"/>
    <cellStyle name="Neutral 2 3 2 2" xfId="19454" xr:uid="{00000000-0005-0000-0000-0000D2440000}"/>
    <cellStyle name="Neutral 2 4" xfId="11333" xr:uid="{00000000-0005-0000-0000-0000D3440000}"/>
    <cellStyle name="Neutral 2 4 2" xfId="11334" xr:uid="{00000000-0005-0000-0000-0000D4440000}"/>
    <cellStyle name="Neutral 2 4 3" xfId="19455" xr:uid="{00000000-0005-0000-0000-0000D5440000}"/>
    <cellStyle name="Neutral 2 5" xfId="11335" xr:uid="{00000000-0005-0000-0000-0000D6440000}"/>
    <cellStyle name="Neutral 2 5 2" xfId="19456" xr:uid="{00000000-0005-0000-0000-0000D7440000}"/>
    <cellStyle name="Neutral 2 6" xfId="11336" xr:uid="{00000000-0005-0000-0000-0000D8440000}"/>
    <cellStyle name="Neutral 2 6 2" xfId="19457" xr:uid="{00000000-0005-0000-0000-0000D9440000}"/>
    <cellStyle name="Neutral 2 7" xfId="11337" xr:uid="{00000000-0005-0000-0000-0000DA440000}"/>
    <cellStyle name="Neutral 2 7 2" xfId="19458" xr:uid="{00000000-0005-0000-0000-0000DB440000}"/>
    <cellStyle name="Neutral 2 8" xfId="11338" xr:uid="{00000000-0005-0000-0000-0000DC440000}"/>
    <cellStyle name="Neutral 2 8 2" xfId="19459" xr:uid="{00000000-0005-0000-0000-0000DD440000}"/>
    <cellStyle name="Neutral 2 9" xfId="11339" xr:uid="{00000000-0005-0000-0000-0000DE440000}"/>
    <cellStyle name="Neutral 2 9 2" xfId="19460" xr:uid="{00000000-0005-0000-0000-0000DF440000}"/>
    <cellStyle name="Neutral 20" xfId="11340" xr:uid="{00000000-0005-0000-0000-0000E0440000}"/>
    <cellStyle name="Neutral 20 2" xfId="11341" xr:uid="{00000000-0005-0000-0000-0000E1440000}"/>
    <cellStyle name="Neutral 20 2 2" xfId="19461" xr:uid="{00000000-0005-0000-0000-0000E2440000}"/>
    <cellStyle name="Neutral 20 3" xfId="11342" xr:uid="{00000000-0005-0000-0000-0000E3440000}"/>
    <cellStyle name="Neutral 20 3 2" xfId="19462" xr:uid="{00000000-0005-0000-0000-0000E4440000}"/>
    <cellStyle name="Neutral 20 4" xfId="11343" xr:uid="{00000000-0005-0000-0000-0000E5440000}"/>
    <cellStyle name="Neutral 20 4 2" xfId="19463" xr:uid="{00000000-0005-0000-0000-0000E6440000}"/>
    <cellStyle name="Neutral 20 5" xfId="11344" xr:uid="{00000000-0005-0000-0000-0000E7440000}"/>
    <cellStyle name="Neutral 20 5 2" xfId="19464" xr:uid="{00000000-0005-0000-0000-0000E8440000}"/>
    <cellStyle name="Neutral 20 6" xfId="11345" xr:uid="{00000000-0005-0000-0000-0000E9440000}"/>
    <cellStyle name="Neutral 20 6 2" xfId="19465" xr:uid="{00000000-0005-0000-0000-0000EA440000}"/>
    <cellStyle name="Neutral 20 7" xfId="11346" xr:uid="{00000000-0005-0000-0000-0000EB440000}"/>
    <cellStyle name="Neutral 20 7 2" xfId="19466" xr:uid="{00000000-0005-0000-0000-0000EC440000}"/>
    <cellStyle name="Neutral 20 8" xfId="11347" xr:uid="{00000000-0005-0000-0000-0000ED440000}"/>
    <cellStyle name="Neutral 20 8 2" xfId="19467" xr:uid="{00000000-0005-0000-0000-0000EE440000}"/>
    <cellStyle name="Neutral 20 9" xfId="11348" xr:uid="{00000000-0005-0000-0000-0000EF440000}"/>
    <cellStyle name="Neutral 20 9 2" xfId="19468" xr:uid="{00000000-0005-0000-0000-0000F0440000}"/>
    <cellStyle name="Neutral 21" xfId="11349" xr:uid="{00000000-0005-0000-0000-0000F1440000}"/>
    <cellStyle name="Neutral 21 2" xfId="11350" xr:uid="{00000000-0005-0000-0000-0000F2440000}"/>
    <cellStyle name="Neutral 21 2 2" xfId="19469" xr:uid="{00000000-0005-0000-0000-0000F3440000}"/>
    <cellStyle name="Neutral 21 3" xfId="11351" xr:uid="{00000000-0005-0000-0000-0000F4440000}"/>
    <cellStyle name="Neutral 21 3 2" xfId="19470" xr:uid="{00000000-0005-0000-0000-0000F5440000}"/>
    <cellStyle name="Neutral 21 4" xfId="11352" xr:uid="{00000000-0005-0000-0000-0000F6440000}"/>
    <cellStyle name="Neutral 21 4 2" xfId="19471" xr:uid="{00000000-0005-0000-0000-0000F7440000}"/>
    <cellStyle name="Neutral 21 5" xfId="11353" xr:uid="{00000000-0005-0000-0000-0000F8440000}"/>
    <cellStyle name="Neutral 21 5 2" xfId="19472" xr:uid="{00000000-0005-0000-0000-0000F9440000}"/>
    <cellStyle name="Neutral 21 6" xfId="11354" xr:uid="{00000000-0005-0000-0000-0000FA440000}"/>
    <cellStyle name="Neutral 21 6 2" xfId="19473" xr:uid="{00000000-0005-0000-0000-0000FB440000}"/>
    <cellStyle name="Neutral 21 7" xfId="11355" xr:uid="{00000000-0005-0000-0000-0000FC440000}"/>
    <cellStyle name="Neutral 21 7 2" xfId="19474" xr:uid="{00000000-0005-0000-0000-0000FD440000}"/>
    <cellStyle name="Neutral 21 8" xfId="11356" xr:uid="{00000000-0005-0000-0000-0000FE440000}"/>
    <cellStyle name="Neutral 21 8 2" xfId="19475" xr:uid="{00000000-0005-0000-0000-0000FF440000}"/>
    <cellStyle name="Neutral 21 9" xfId="11357" xr:uid="{00000000-0005-0000-0000-000000450000}"/>
    <cellStyle name="Neutral 21 9 2" xfId="19476" xr:uid="{00000000-0005-0000-0000-000001450000}"/>
    <cellStyle name="Neutral 22" xfId="11358" xr:uid="{00000000-0005-0000-0000-000002450000}"/>
    <cellStyle name="Neutral 22 2" xfId="11359" xr:uid="{00000000-0005-0000-0000-000003450000}"/>
    <cellStyle name="Neutral 22 2 2" xfId="19477" xr:uid="{00000000-0005-0000-0000-000004450000}"/>
    <cellStyle name="Neutral 22 3" xfId="11360" xr:uid="{00000000-0005-0000-0000-000005450000}"/>
    <cellStyle name="Neutral 22 3 2" xfId="19478" xr:uid="{00000000-0005-0000-0000-000006450000}"/>
    <cellStyle name="Neutral 22 4" xfId="11361" xr:uid="{00000000-0005-0000-0000-000007450000}"/>
    <cellStyle name="Neutral 22 4 2" xfId="19479" xr:uid="{00000000-0005-0000-0000-000008450000}"/>
    <cellStyle name="Neutral 22 5" xfId="11362" xr:uid="{00000000-0005-0000-0000-000009450000}"/>
    <cellStyle name="Neutral 22 5 2" xfId="19480" xr:uid="{00000000-0005-0000-0000-00000A450000}"/>
    <cellStyle name="Neutral 22 6" xfId="11363" xr:uid="{00000000-0005-0000-0000-00000B450000}"/>
    <cellStyle name="Neutral 22 6 2" xfId="19481" xr:uid="{00000000-0005-0000-0000-00000C450000}"/>
    <cellStyle name="Neutral 22 7" xfId="11364" xr:uid="{00000000-0005-0000-0000-00000D450000}"/>
    <cellStyle name="Neutral 22 7 2" xfId="19482" xr:uid="{00000000-0005-0000-0000-00000E450000}"/>
    <cellStyle name="Neutral 22 8" xfId="11365" xr:uid="{00000000-0005-0000-0000-00000F450000}"/>
    <cellStyle name="Neutral 22 8 2" xfId="19483" xr:uid="{00000000-0005-0000-0000-000010450000}"/>
    <cellStyle name="Neutral 22 9" xfId="11366" xr:uid="{00000000-0005-0000-0000-000011450000}"/>
    <cellStyle name="Neutral 22 9 2" xfId="19484" xr:uid="{00000000-0005-0000-0000-000012450000}"/>
    <cellStyle name="Neutral 23" xfId="11367" xr:uid="{00000000-0005-0000-0000-000013450000}"/>
    <cellStyle name="Neutral 23 2" xfId="11368" xr:uid="{00000000-0005-0000-0000-000014450000}"/>
    <cellStyle name="Neutral 23 2 2" xfId="19485" xr:uid="{00000000-0005-0000-0000-000015450000}"/>
    <cellStyle name="Neutral 23 3" xfId="11369" xr:uid="{00000000-0005-0000-0000-000016450000}"/>
    <cellStyle name="Neutral 23 3 2" xfId="19486" xr:uid="{00000000-0005-0000-0000-000017450000}"/>
    <cellStyle name="Neutral 23 4" xfId="11370" xr:uid="{00000000-0005-0000-0000-000018450000}"/>
    <cellStyle name="Neutral 23 4 2" xfId="19487" xr:uid="{00000000-0005-0000-0000-000019450000}"/>
    <cellStyle name="Neutral 23 5" xfId="11371" xr:uid="{00000000-0005-0000-0000-00001A450000}"/>
    <cellStyle name="Neutral 23 5 2" xfId="19488" xr:uid="{00000000-0005-0000-0000-00001B450000}"/>
    <cellStyle name="Neutral 23 6" xfId="11372" xr:uid="{00000000-0005-0000-0000-00001C450000}"/>
    <cellStyle name="Neutral 23 6 2" xfId="19489" xr:uid="{00000000-0005-0000-0000-00001D450000}"/>
    <cellStyle name="Neutral 23 7" xfId="11373" xr:uid="{00000000-0005-0000-0000-00001E450000}"/>
    <cellStyle name="Neutral 23 7 2" xfId="19490" xr:uid="{00000000-0005-0000-0000-00001F450000}"/>
    <cellStyle name="Neutral 23 8" xfId="11374" xr:uid="{00000000-0005-0000-0000-000020450000}"/>
    <cellStyle name="Neutral 23 8 2" xfId="19491" xr:uid="{00000000-0005-0000-0000-000021450000}"/>
    <cellStyle name="Neutral 23 9" xfId="11375" xr:uid="{00000000-0005-0000-0000-000022450000}"/>
    <cellStyle name="Neutral 23 9 2" xfId="19492" xr:uid="{00000000-0005-0000-0000-000023450000}"/>
    <cellStyle name="Neutral 24" xfId="11376" xr:uid="{00000000-0005-0000-0000-000024450000}"/>
    <cellStyle name="Neutral 24 2" xfId="11377" xr:uid="{00000000-0005-0000-0000-000025450000}"/>
    <cellStyle name="Neutral 24 2 2" xfId="19493" xr:uid="{00000000-0005-0000-0000-000026450000}"/>
    <cellStyle name="Neutral 24 3" xfId="11378" xr:uid="{00000000-0005-0000-0000-000027450000}"/>
    <cellStyle name="Neutral 24 3 2" xfId="19494" xr:uid="{00000000-0005-0000-0000-000028450000}"/>
    <cellStyle name="Neutral 24 4" xfId="11379" xr:uid="{00000000-0005-0000-0000-000029450000}"/>
    <cellStyle name="Neutral 24 4 2" xfId="19495" xr:uid="{00000000-0005-0000-0000-00002A450000}"/>
    <cellStyle name="Neutral 24 5" xfId="11380" xr:uid="{00000000-0005-0000-0000-00002B450000}"/>
    <cellStyle name="Neutral 24 5 2" xfId="19496" xr:uid="{00000000-0005-0000-0000-00002C450000}"/>
    <cellStyle name="Neutral 24 6" xfId="11381" xr:uid="{00000000-0005-0000-0000-00002D450000}"/>
    <cellStyle name="Neutral 24 6 2" xfId="19497" xr:uid="{00000000-0005-0000-0000-00002E450000}"/>
    <cellStyle name="Neutral 24 7" xfId="11382" xr:uid="{00000000-0005-0000-0000-00002F450000}"/>
    <cellStyle name="Neutral 24 7 2" xfId="19498" xr:uid="{00000000-0005-0000-0000-000030450000}"/>
    <cellStyle name="Neutral 24 8" xfId="11383" xr:uid="{00000000-0005-0000-0000-000031450000}"/>
    <cellStyle name="Neutral 24 8 2" xfId="19499" xr:uid="{00000000-0005-0000-0000-000032450000}"/>
    <cellStyle name="Neutral 24 9" xfId="11384" xr:uid="{00000000-0005-0000-0000-000033450000}"/>
    <cellStyle name="Neutral 24 9 2" xfId="19500" xr:uid="{00000000-0005-0000-0000-000034450000}"/>
    <cellStyle name="Neutral 25" xfId="11385" xr:uid="{00000000-0005-0000-0000-000035450000}"/>
    <cellStyle name="Neutral 25 2" xfId="11386" xr:uid="{00000000-0005-0000-0000-000036450000}"/>
    <cellStyle name="Neutral 25 2 2" xfId="19501" xr:uid="{00000000-0005-0000-0000-000037450000}"/>
    <cellStyle name="Neutral 25 3" xfId="11387" xr:uid="{00000000-0005-0000-0000-000038450000}"/>
    <cellStyle name="Neutral 25 3 2" xfId="19502" xr:uid="{00000000-0005-0000-0000-000039450000}"/>
    <cellStyle name="Neutral 25 4" xfId="11388" xr:uid="{00000000-0005-0000-0000-00003A450000}"/>
    <cellStyle name="Neutral 25 4 2" xfId="19503" xr:uid="{00000000-0005-0000-0000-00003B450000}"/>
    <cellStyle name="Neutral 25 5" xfId="11389" xr:uid="{00000000-0005-0000-0000-00003C450000}"/>
    <cellStyle name="Neutral 25 5 2" xfId="19504" xr:uid="{00000000-0005-0000-0000-00003D450000}"/>
    <cellStyle name="Neutral 25 6" xfId="11390" xr:uid="{00000000-0005-0000-0000-00003E450000}"/>
    <cellStyle name="Neutral 25 6 2" xfId="19505" xr:uid="{00000000-0005-0000-0000-00003F450000}"/>
    <cellStyle name="Neutral 25 7" xfId="11391" xr:uid="{00000000-0005-0000-0000-000040450000}"/>
    <cellStyle name="Neutral 25 7 2" xfId="19506" xr:uid="{00000000-0005-0000-0000-000041450000}"/>
    <cellStyle name="Neutral 25 8" xfId="11392" xr:uid="{00000000-0005-0000-0000-000042450000}"/>
    <cellStyle name="Neutral 25 8 2" xfId="19507" xr:uid="{00000000-0005-0000-0000-000043450000}"/>
    <cellStyle name="Neutral 25 9" xfId="11393" xr:uid="{00000000-0005-0000-0000-000044450000}"/>
    <cellStyle name="Neutral 25 9 2" xfId="19508" xr:uid="{00000000-0005-0000-0000-000045450000}"/>
    <cellStyle name="Neutral 26" xfId="11394" xr:uid="{00000000-0005-0000-0000-000046450000}"/>
    <cellStyle name="Neutral 26 2" xfId="11395" xr:uid="{00000000-0005-0000-0000-000047450000}"/>
    <cellStyle name="Neutral 26 2 2" xfId="19509" xr:uid="{00000000-0005-0000-0000-000048450000}"/>
    <cellStyle name="Neutral 26 3" xfId="11396" xr:uid="{00000000-0005-0000-0000-000049450000}"/>
    <cellStyle name="Neutral 26 3 2" xfId="19510" xr:uid="{00000000-0005-0000-0000-00004A450000}"/>
    <cellStyle name="Neutral 26 4" xfId="11397" xr:uid="{00000000-0005-0000-0000-00004B450000}"/>
    <cellStyle name="Neutral 26 4 2" xfId="19511" xr:uid="{00000000-0005-0000-0000-00004C450000}"/>
    <cellStyle name="Neutral 26 5" xfId="11398" xr:uid="{00000000-0005-0000-0000-00004D450000}"/>
    <cellStyle name="Neutral 26 5 2" xfId="19512" xr:uid="{00000000-0005-0000-0000-00004E450000}"/>
    <cellStyle name="Neutral 26 6" xfId="11399" xr:uid="{00000000-0005-0000-0000-00004F450000}"/>
    <cellStyle name="Neutral 26 6 2" xfId="19513" xr:uid="{00000000-0005-0000-0000-000050450000}"/>
    <cellStyle name="Neutral 26 7" xfId="11400" xr:uid="{00000000-0005-0000-0000-000051450000}"/>
    <cellStyle name="Neutral 26 7 2" xfId="19514" xr:uid="{00000000-0005-0000-0000-000052450000}"/>
    <cellStyle name="Neutral 26 8" xfId="11401" xr:uid="{00000000-0005-0000-0000-000053450000}"/>
    <cellStyle name="Neutral 26 8 2" xfId="19515" xr:uid="{00000000-0005-0000-0000-000054450000}"/>
    <cellStyle name="Neutral 26 9" xfId="11402" xr:uid="{00000000-0005-0000-0000-000055450000}"/>
    <cellStyle name="Neutral 26 9 2" xfId="19516" xr:uid="{00000000-0005-0000-0000-000056450000}"/>
    <cellStyle name="Neutral 27" xfId="11403" xr:uid="{00000000-0005-0000-0000-000057450000}"/>
    <cellStyle name="Neutral 27 2" xfId="11404" xr:uid="{00000000-0005-0000-0000-000058450000}"/>
    <cellStyle name="Neutral 27 2 2" xfId="19517" xr:uid="{00000000-0005-0000-0000-000059450000}"/>
    <cellStyle name="Neutral 27 3" xfId="11405" xr:uid="{00000000-0005-0000-0000-00005A450000}"/>
    <cellStyle name="Neutral 27 3 2" xfId="19518" xr:uid="{00000000-0005-0000-0000-00005B450000}"/>
    <cellStyle name="Neutral 27 4" xfId="11406" xr:uid="{00000000-0005-0000-0000-00005C450000}"/>
    <cellStyle name="Neutral 27 4 2" xfId="19519" xr:uid="{00000000-0005-0000-0000-00005D450000}"/>
    <cellStyle name="Neutral 27 5" xfId="11407" xr:uid="{00000000-0005-0000-0000-00005E450000}"/>
    <cellStyle name="Neutral 27 5 2" xfId="19520" xr:uid="{00000000-0005-0000-0000-00005F450000}"/>
    <cellStyle name="Neutral 27 6" xfId="11408" xr:uid="{00000000-0005-0000-0000-000060450000}"/>
    <cellStyle name="Neutral 27 6 2" xfId="19521" xr:uid="{00000000-0005-0000-0000-000061450000}"/>
    <cellStyle name="Neutral 27 7" xfId="11409" xr:uid="{00000000-0005-0000-0000-000062450000}"/>
    <cellStyle name="Neutral 27 7 2" xfId="19522" xr:uid="{00000000-0005-0000-0000-000063450000}"/>
    <cellStyle name="Neutral 27 8" xfId="11410" xr:uid="{00000000-0005-0000-0000-000064450000}"/>
    <cellStyle name="Neutral 27 8 2" xfId="19523" xr:uid="{00000000-0005-0000-0000-000065450000}"/>
    <cellStyle name="Neutral 27 9" xfId="11411" xr:uid="{00000000-0005-0000-0000-000066450000}"/>
    <cellStyle name="Neutral 27 9 2" xfId="19524" xr:uid="{00000000-0005-0000-0000-000067450000}"/>
    <cellStyle name="Neutral 28" xfId="11412" xr:uid="{00000000-0005-0000-0000-000068450000}"/>
    <cellStyle name="Neutral 28 2" xfId="11413" xr:uid="{00000000-0005-0000-0000-000069450000}"/>
    <cellStyle name="Neutral 28 2 2" xfId="19525" xr:uid="{00000000-0005-0000-0000-00006A450000}"/>
    <cellStyle name="Neutral 28 3" xfId="11414" xr:uid="{00000000-0005-0000-0000-00006B450000}"/>
    <cellStyle name="Neutral 28 3 2" xfId="19526" xr:uid="{00000000-0005-0000-0000-00006C450000}"/>
    <cellStyle name="Neutral 28 4" xfId="11415" xr:uid="{00000000-0005-0000-0000-00006D450000}"/>
    <cellStyle name="Neutral 28 4 2" xfId="19527" xr:uid="{00000000-0005-0000-0000-00006E450000}"/>
    <cellStyle name="Neutral 28 5" xfId="11416" xr:uid="{00000000-0005-0000-0000-00006F450000}"/>
    <cellStyle name="Neutral 28 5 2" xfId="19528" xr:uid="{00000000-0005-0000-0000-000070450000}"/>
    <cellStyle name="Neutral 28 6" xfId="11417" xr:uid="{00000000-0005-0000-0000-000071450000}"/>
    <cellStyle name="Neutral 28 6 2" xfId="19529" xr:uid="{00000000-0005-0000-0000-000072450000}"/>
    <cellStyle name="Neutral 28 7" xfId="11418" xr:uid="{00000000-0005-0000-0000-000073450000}"/>
    <cellStyle name="Neutral 28 7 2" xfId="19530" xr:uid="{00000000-0005-0000-0000-000074450000}"/>
    <cellStyle name="Neutral 28 8" xfId="11419" xr:uid="{00000000-0005-0000-0000-000075450000}"/>
    <cellStyle name="Neutral 28 8 2" xfId="19531" xr:uid="{00000000-0005-0000-0000-000076450000}"/>
    <cellStyle name="Neutral 28 9" xfId="11420" xr:uid="{00000000-0005-0000-0000-000077450000}"/>
    <cellStyle name="Neutral 28 9 2" xfId="19532" xr:uid="{00000000-0005-0000-0000-000078450000}"/>
    <cellStyle name="Neutral 29" xfId="11421" xr:uid="{00000000-0005-0000-0000-000079450000}"/>
    <cellStyle name="Neutral 29 2" xfId="11422" xr:uid="{00000000-0005-0000-0000-00007A450000}"/>
    <cellStyle name="Neutral 29 2 2" xfId="19533" xr:uid="{00000000-0005-0000-0000-00007B450000}"/>
    <cellStyle name="Neutral 29 3" xfId="11423" xr:uid="{00000000-0005-0000-0000-00007C450000}"/>
    <cellStyle name="Neutral 29 3 2" xfId="19534" xr:uid="{00000000-0005-0000-0000-00007D450000}"/>
    <cellStyle name="Neutral 29 4" xfId="11424" xr:uid="{00000000-0005-0000-0000-00007E450000}"/>
    <cellStyle name="Neutral 29 4 2" xfId="19535" xr:uid="{00000000-0005-0000-0000-00007F450000}"/>
    <cellStyle name="Neutral 29 5" xfId="11425" xr:uid="{00000000-0005-0000-0000-000080450000}"/>
    <cellStyle name="Neutral 29 5 2" xfId="19536" xr:uid="{00000000-0005-0000-0000-000081450000}"/>
    <cellStyle name="Neutral 29 6" xfId="11426" xr:uid="{00000000-0005-0000-0000-000082450000}"/>
    <cellStyle name="Neutral 29 6 2" xfId="19537" xr:uid="{00000000-0005-0000-0000-000083450000}"/>
    <cellStyle name="Neutral 29 7" xfId="11427" xr:uid="{00000000-0005-0000-0000-000084450000}"/>
    <cellStyle name="Neutral 29 7 2" xfId="19538" xr:uid="{00000000-0005-0000-0000-000085450000}"/>
    <cellStyle name="Neutral 29 8" xfId="11428" xr:uid="{00000000-0005-0000-0000-000086450000}"/>
    <cellStyle name="Neutral 29 8 2" xfId="19539" xr:uid="{00000000-0005-0000-0000-000087450000}"/>
    <cellStyle name="Neutral 29 9" xfId="11429" xr:uid="{00000000-0005-0000-0000-000088450000}"/>
    <cellStyle name="Neutral 29 9 2" xfId="19540" xr:uid="{00000000-0005-0000-0000-000089450000}"/>
    <cellStyle name="Neutral 3" xfId="11430" xr:uid="{00000000-0005-0000-0000-00008A450000}"/>
    <cellStyle name="Neutral 3 10" xfId="11431" xr:uid="{00000000-0005-0000-0000-00008B450000}"/>
    <cellStyle name="Neutral 3 10 2" xfId="19541" xr:uid="{00000000-0005-0000-0000-00008C450000}"/>
    <cellStyle name="Neutral 3 11" xfId="11432" xr:uid="{00000000-0005-0000-0000-00008D450000}"/>
    <cellStyle name="Neutral 3 11 2" xfId="19542" xr:uid="{00000000-0005-0000-0000-00008E450000}"/>
    <cellStyle name="Neutral 3 12" xfId="22096" xr:uid="{00000000-0005-0000-0000-00008F450000}"/>
    <cellStyle name="Neutral 3 2" xfId="11433" xr:uid="{00000000-0005-0000-0000-000090450000}"/>
    <cellStyle name="Neutral 3 2 2" xfId="11434" xr:uid="{00000000-0005-0000-0000-000091450000}"/>
    <cellStyle name="Neutral 3 2 2 2" xfId="19543" xr:uid="{00000000-0005-0000-0000-000092450000}"/>
    <cellStyle name="Neutral 3 3" xfId="11435" xr:uid="{00000000-0005-0000-0000-000093450000}"/>
    <cellStyle name="Neutral 3 3 2" xfId="11436" xr:uid="{00000000-0005-0000-0000-000094450000}"/>
    <cellStyle name="Neutral 3 3 2 2" xfId="19544" xr:uid="{00000000-0005-0000-0000-000095450000}"/>
    <cellStyle name="Neutral 3 4" xfId="11437" xr:uid="{00000000-0005-0000-0000-000096450000}"/>
    <cellStyle name="Neutral 3 4 2" xfId="11438" xr:uid="{00000000-0005-0000-0000-000097450000}"/>
    <cellStyle name="Neutral 3 4 3" xfId="19545" xr:uid="{00000000-0005-0000-0000-000098450000}"/>
    <cellStyle name="Neutral 3 5" xfId="11439" xr:uid="{00000000-0005-0000-0000-000099450000}"/>
    <cellStyle name="Neutral 3 5 2" xfId="19546" xr:uid="{00000000-0005-0000-0000-00009A450000}"/>
    <cellStyle name="Neutral 3 6" xfId="11440" xr:uid="{00000000-0005-0000-0000-00009B450000}"/>
    <cellStyle name="Neutral 3 6 2" xfId="19547" xr:uid="{00000000-0005-0000-0000-00009C450000}"/>
    <cellStyle name="Neutral 3 7" xfId="11441" xr:uid="{00000000-0005-0000-0000-00009D450000}"/>
    <cellStyle name="Neutral 3 7 2" xfId="19548" xr:uid="{00000000-0005-0000-0000-00009E450000}"/>
    <cellStyle name="Neutral 3 8" xfId="11442" xr:uid="{00000000-0005-0000-0000-00009F450000}"/>
    <cellStyle name="Neutral 3 8 2" xfId="19549" xr:uid="{00000000-0005-0000-0000-0000A0450000}"/>
    <cellStyle name="Neutral 3 9" xfId="11443" xr:uid="{00000000-0005-0000-0000-0000A1450000}"/>
    <cellStyle name="Neutral 3 9 2" xfId="19550" xr:uid="{00000000-0005-0000-0000-0000A2450000}"/>
    <cellStyle name="Neutral 30" xfId="11444" xr:uid="{00000000-0005-0000-0000-0000A3450000}"/>
    <cellStyle name="Neutral 30 2" xfId="11445" xr:uid="{00000000-0005-0000-0000-0000A4450000}"/>
    <cellStyle name="Neutral 30 2 2" xfId="19551" xr:uid="{00000000-0005-0000-0000-0000A5450000}"/>
    <cellStyle name="Neutral 31" xfId="11446" xr:uid="{00000000-0005-0000-0000-0000A6450000}"/>
    <cellStyle name="Neutral 31 2" xfId="11447" xr:uid="{00000000-0005-0000-0000-0000A7450000}"/>
    <cellStyle name="Neutral 31 2 2" xfId="19552" xr:uid="{00000000-0005-0000-0000-0000A8450000}"/>
    <cellStyle name="Neutral 32" xfId="11448" xr:uid="{00000000-0005-0000-0000-0000A9450000}"/>
    <cellStyle name="Neutral 32 2" xfId="11449" xr:uid="{00000000-0005-0000-0000-0000AA450000}"/>
    <cellStyle name="Neutral 32 2 2" xfId="19553" xr:uid="{00000000-0005-0000-0000-0000AB450000}"/>
    <cellStyle name="Neutral 33" xfId="11450" xr:uid="{00000000-0005-0000-0000-0000AC450000}"/>
    <cellStyle name="Neutral 33 2" xfId="11451" xr:uid="{00000000-0005-0000-0000-0000AD450000}"/>
    <cellStyle name="Neutral 33 2 2" xfId="19554" xr:uid="{00000000-0005-0000-0000-0000AE450000}"/>
    <cellStyle name="Neutral 34" xfId="11452" xr:uid="{00000000-0005-0000-0000-0000AF450000}"/>
    <cellStyle name="Neutral 34 2" xfId="11453" xr:uid="{00000000-0005-0000-0000-0000B0450000}"/>
    <cellStyle name="Neutral 34 2 2" xfId="19555" xr:uid="{00000000-0005-0000-0000-0000B1450000}"/>
    <cellStyle name="Neutral 35" xfId="11454" xr:uid="{00000000-0005-0000-0000-0000B2450000}"/>
    <cellStyle name="Neutral 35 2" xfId="11455" xr:uid="{00000000-0005-0000-0000-0000B3450000}"/>
    <cellStyle name="Neutral 35 2 2" xfId="19556" xr:uid="{00000000-0005-0000-0000-0000B4450000}"/>
    <cellStyle name="Neutral 36" xfId="11456" xr:uid="{00000000-0005-0000-0000-0000B5450000}"/>
    <cellStyle name="Neutral 37" xfId="11457" xr:uid="{00000000-0005-0000-0000-0000B6450000}"/>
    <cellStyle name="Neutral 38" xfId="11458" xr:uid="{00000000-0005-0000-0000-0000B7450000}"/>
    <cellStyle name="Neutral 39" xfId="11459" xr:uid="{00000000-0005-0000-0000-0000B8450000}"/>
    <cellStyle name="Neutral 4" xfId="11460" xr:uid="{00000000-0005-0000-0000-0000B9450000}"/>
    <cellStyle name="Neutral 4 10" xfId="11461" xr:uid="{00000000-0005-0000-0000-0000BA450000}"/>
    <cellStyle name="Neutral 4 10 2" xfId="19557" xr:uid="{00000000-0005-0000-0000-0000BB450000}"/>
    <cellStyle name="Neutral 4 11" xfId="11462" xr:uid="{00000000-0005-0000-0000-0000BC450000}"/>
    <cellStyle name="Neutral 4 11 2" xfId="19558" xr:uid="{00000000-0005-0000-0000-0000BD450000}"/>
    <cellStyle name="Neutral 4 2" xfId="11463" xr:uid="{00000000-0005-0000-0000-0000BE450000}"/>
    <cellStyle name="Neutral 4 2 2" xfId="11464" xr:uid="{00000000-0005-0000-0000-0000BF450000}"/>
    <cellStyle name="Neutral 4 2 2 2" xfId="19559" xr:uid="{00000000-0005-0000-0000-0000C0450000}"/>
    <cellStyle name="Neutral 4 3" xfId="11465" xr:uid="{00000000-0005-0000-0000-0000C1450000}"/>
    <cellStyle name="Neutral 4 3 2" xfId="11466" xr:uid="{00000000-0005-0000-0000-0000C2450000}"/>
    <cellStyle name="Neutral 4 3 2 2" xfId="19560" xr:uid="{00000000-0005-0000-0000-0000C3450000}"/>
    <cellStyle name="Neutral 4 4" xfId="11467" xr:uid="{00000000-0005-0000-0000-0000C4450000}"/>
    <cellStyle name="Neutral 4 4 2" xfId="11468" xr:uid="{00000000-0005-0000-0000-0000C5450000}"/>
    <cellStyle name="Neutral 4 4 3" xfId="19561" xr:uid="{00000000-0005-0000-0000-0000C6450000}"/>
    <cellStyle name="Neutral 4 5" xfId="11469" xr:uid="{00000000-0005-0000-0000-0000C7450000}"/>
    <cellStyle name="Neutral 4 5 2" xfId="19562" xr:uid="{00000000-0005-0000-0000-0000C8450000}"/>
    <cellStyle name="Neutral 4 6" xfId="11470" xr:uid="{00000000-0005-0000-0000-0000C9450000}"/>
    <cellStyle name="Neutral 4 6 2" xfId="19563" xr:uid="{00000000-0005-0000-0000-0000CA450000}"/>
    <cellStyle name="Neutral 4 7" xfId="11471" xr:uid="{00000000-0005-0000-0000-0000CB450000}"/>
    <cellStyle name="Neutral 4 7 2" xfId="19564" xr:uid="{00000000-0005-0000-0000-0000CC450000}"/>
    <cellStyle name="Neutral 4 8" xfId="11472" xr:uid="{00000000-0005-0000-0000-0000CD450000}"/>
    <cellStyle name="Neutral 4 8 2" xfId="19565" xr:uid="{00000000-0005-0000-0000-0000CE450000}"/>
    <cellStyle name="Neutral 4 9" xfId="11473" xr:uid="{00000000-0005-0000-0000-0000CF450000}"/>
    <cellStyle name="Neutral 4 9 2" xfId="19566" xr:uid="{00000000-0005-0000-0000-0000D0450000}"/>
    <cellStyle name="Neutral 40" xfId="27166" xr:uid="{89434F95-251F-4BEB-9FE9-FE5FA62ADFE3}"/>
    <cellStyle name="Neutral 5" xfId="11474" xr:uid="{00000000-0005-0000-0000-0000D1450000}"/>
    <cellStyle name="Neutral 5 10" xfId="11475" xr:uid="{00000000-0005-0000-0000-0000D2450000}"/>
    <cellStyle name="Neutral 5 10 2" xfId="19567" xr:uid="{00000000-0005-0000-0000-0000D3450000}"/>
    <cellStyle name="Neutral 5 11" xfId="11476" xr:uid="{00000000-0005-0000-0000-0000D4450000}"/>
    <cellStyle name="Neutral 5 11 2" xfId="19568" xr:uid="{00000000-0005-0000-0000-0000D5450000}"/>
    <cellStyle name="Neutral 5 2" xfId="11477" xr:uid="{00000000-0005-0000-0000-0000D6450000}"/>
    <cellStyle name="Neutral 5 2 2" xfId="11478" xr:uid="{00000000-0005-0000-0000-0000D7450000}"/>
    <cellStyle name="Neutral 5 2 2 2" xfId="19569" xr:uid="{00000000-0005-0000-0000-0000D8450000}"/>
    <cellStyle name="Neutral 5 3" xfId="11479" xr:uid="{00000000-0005-0000-0000-0000D9450000}"/>
    <cellStyle name="Neutral 5 3 2" xfId="11480" xr:uid="{00000000-0005-0000-0000-0000DA450000}"/>
    <cellStyle name="Neutral 5 3 2 2" xfId="19570" xr:uid="{00000000-0005-0000-0000-0000DB450000}"/>
    <cellStyle name="Neutral 5 4" xfId="11481" xr:uid="{00000000-0005-0000-0000-0000DC450000}"/>
    <cellStyle name="Neutral 5 4 2" xfId="11482" xr:uid="{00000000-0005-0000-0000-0000DD450000}"/>
    <cellStyle name="Neutral 5 4 3" xfId="19571" xr:uid="{00000000-0005-0000-0000-0000DE450000}"/>
    <cellStyle name="Neutral 5 5" xfId="11483" xr:uid="{00000000-0005-0000-0000-0000DF450000}"/>
    <cellStyle name="Neutral 5 5 2" xfId="19572" xr:uid="{00000000-0005-0000-0000-0000E0450000}"/>
    <cellStyle name="Neutral 5 6" xfId="11484" xr:uid="{00000000-0005-0000-0000-0000E1450000}"/>
    <cellStyle name="Neutral 5 6 2" xfId="19573" xr:uid="{00000000-0005-0000-0000-0000E2450000}"/>
    <cellStyle name="Neutral 5 7" xfId="11485" xr:uid="{00000000-0005-0000-0000-0000E3450000}"/>
    <cellStyle name="Neutral 5 7 2" xfId="19574" xr:uid="{00000000-0005-0000-0000-0000E4450000}"/>
    <cellStyle name="Neutral 5 8" xfId="11486" xr:uid="{00000000-0005-0000-0000-0000E5450000}"/>
    <cellStyle name="Neutral 5 8 2" xfId="19575" xr:uid="{00000000-0005-0000-0000-0000E6450000}"/>
    <cellStyle name="Neutral 5 9" xfId="11487" xr:uid="{00000000-0005-0000-0000-0000E7450000}"/>
    <cellStyle name="Neutral 5 9 2" xfId="19576" xr:uid="{00000000-0005-0000-0000-0000E8450000}"/>
    <cellStyle name="Neutral 6" xfId="11488" xr:uid="{00000000-0005-0000-0000-0000E9450000}"/>
    <cellStyle name="Neutral 6 10" xfId="11489" xr:uid="{00000000-0005-0000-0000-0000EA450000}"/>
    <cellStyle name="Neutral 6 10 2" xfId="19577" xr:uid="{00000000-0005-0000-0000-0000EB450000}"/>
    <cellStyle name="Neutral 6 11" xfId="11490" xr:uid="{00000000-0005-0000-0000-0000EC450000}"/>
    <cellStyle name="Neutral 6 11 2" xfId="19578" xr:uid="{00000000-0005-0000-0000-0000ED450000}"/>
    <cellStyle name="Neutral 6 2" xfId="11491" xr:uid="{00000000-0005-0000-0000-0000EE450000}"/>
    <cellStyle name="Neutral 6 2 2" xfId="11492" xr:uid="{00000000-0005-0000-0000-0000EF450000}"/>
    <cellStyle name="Neutral 6 2 2 2" xfId="19579" xr:uid="{00000000-0005-0000-0000-0000F0450000}"/>
    <cellStyle name="Neutral 6 3" xfId="11493" xr:uid="{00000000-0005-0000-0000-0000F1450000}"/>
    <cellStyle name="Neutral 6 3 2" xfId="11494" xr:uid="{00000000-0005-0000-0000-0000F2450000}"/>
    <cellStyle name="Neutral 6 3 2 2" xfId="19580" xr:uid="{00000000-0005-0000-0000-0000F3450000}"/>
    <cellStyle name="Neutral 6 4" xfId="11495" xr:uid="{00000000-0005-0000-0000-0000F4450000}"/>
    <cellStyle name="Neutral 6 4 2" xfId="11496" xr:uid="{00000000-0005-0000-0000-0000F5450000}"/>
    <cellStyle name="Neutral 6 4 3" xfId="19581" xr:uid="{00000000-0005-0000-0000-0000F6450000}"/>
    <cellStyle name="Neutral 6 5" xfId="11497" xr:uid="{00000000-0005-0000-0000-0000F7450000}"/>
    <cellStyle name="Neutral 6 5 2" xfId="19582" xr:uid="{00000000-0005-0000-0000-0000F8450000}"/>
    <cellStyle name="Neutral 6 6" xfId="11498" xr:uid="{00000000-0005-0000-0000-0000F9450000}"/>
    <cellStyle name="Neutral 6 6 2" xfId="19583" xr:uid="{00000000-0005-0000-0000-0000FA450000}"/>
    <cellStyle name="Neutral 6 7" xfId="11499" xr:uid="{00000000-0005-0000-0000-0000FB450000}"/>
    <cellStyle name="Neutral 6 7 2" xfId="19584" xr:uid="{00000000-0005-0000-0000-0000FC450000}"/>
    <cellStyle name="Neutral 6 8" xfId="11500" xr:uid="{00000000-0005-0000-0000-0000FD450000}"/>
    <cellStyle name="Neutral 6 8 2" xfId="19585" xr:uid="{00000000-0005-0000-0000-0000FE450000}"/>
    <cellStyle name="Neutral 6 9" xfId="11501" xr:uid="{00000000-0005-0000-0000-0000FF450000}"/>
    <cellStyle name="Neutral 6 9 2" xfId="19586" xr:uid="{00000000-0005-0000-0000-000000460000}"/>
    <cellStyle name="Neutral 7" xfId="11502" xr:uid="{00000000-0005-0000-0000-000001460000}"/>
    <cellStyle name="Neutral 7 10" xfId="11503" xr:uid="{00000000-0005-0000-0000-000002460000}"/>
    <cellStyle name="Neutral 7 10 2" xfId="19587" xr:uid="{00000000-0005-0000-0000-000003460000}"/>
    <cellStyle name="Neutral 7 11" xfId="11504" xr:uid="{00000000-0005-0000-0000-000004460000}"/>
    <cellStyle name="Neutral 7 11 2" xfId="19588" xr:uid="{00000000-0005-0000-0000-000005460000}"/>
    <cellStyle name="Neutral 7 2" xfId="11505" xr:uid="{00000000-0005-0000-0000-000006460000}"/>
    <cellStyle name="Neutral 7 2 2" xfId="11506" xr:uid="{00000000-0005-0000-0000-000007460000}"/>
    <cellStyle name="Neutral 7 2 2 2" xfId="19589" xr:uid="{00000000-0005-0000-0000-000008460000}"/>
    <cellStyle name="Neutral 7 3" xfId="11507" xr:uid="{00000000-0005-0000-0000-000009460000}"/>
    <cellStyle name="Neutral 7 3 2" xfId="11508" xr:uid="{00000000-0005-0000-0000-00000A460000}"/>
    <cellStyle name="Neutral 7 3 2 2" xfId="19590" xr:uid="{00000000-0005-0000-0000-00000B460000}"/>
    <cellStyle name="Neutral 7 4" xfId="11509" xr:uid="{00000000-0005-0000-0000-00000C460000}"/>
    <cellStyle name="Neutral 7 4 2" xfId="11510" xr:uid="{00000000-0005-0000-0000-00000D460000}"/>
    <cellStyle name="Neutral 7 4 3" xfId="19591" xr:uid="{00000000-0005-0000-0000-00000E460000}"/>
    <cellStyle name="Neutral 7 5" xfId="11511" xr:uid="{00000000-0005-0000-0000-00000F460000}"/>
    <cellStyle name="Neutral 7 5 2" xfId="19592" xr:uid="{00000000-0005-0000-0000-000010460000}"/>
    <cellStyle name="Neutral 7 6" xfId="11512" xr:uid="{00000000-0005-0000-0000-000011460000}"/>
    <cellStyle name="Neutral 7 6 2" xfId="19593" xr:uid="{00000000-0005-0000-0000-000012460000}"/>
    <cellStyle name="Neutral 7 7" xfId="11513" xr:uid="{00000000-0005-0000-0000-000013460000}"/>
    <cellStyle name="Neutral 7 7 2" xfId="19594" xr:uid="{00000000-0005-0000-0000-000014460000}"/>
    <cellStyle name="Neutral 7 8" xfId="11514" xr:uid="{00000000-0005-0000-0000-000015460000}"/>
    <cellStyle name="Neutral 7 8 2" xfId="19595" xr:uid="{00000000-0005-0000-0000-000016460000}"/>
    <cellStyle name="Neutral 7 9" xfId="11515" xr:uid="{00000000-0005-0000-0000-000017460000}"/>
    <cellStyle name="Neutral 7 9 2" xfId="19596" xr:uid="{00000000-0005-0000-0000-000018460000}"/>
    <cellStyle name="Neutral 8" xfId="11516" xr:uid="{00000000-0005-0000-0000-000019460000}"/>
    <cellStyle name="Neutral 8 10" xfId="11517" xr:uid="{00000000-0005-0000-0000-00001A460000}"/>
    <cellStyle name="Neutral 8 10 2" xfId="19597" xr:uid="{00000000-0005-0000-0000-00001B460000}"/>
    <cellStyle name="Neutral 8 11" xfId="11518" xr:uid="{00000000-0005-0000-0000-00001C460000}"/>
    <cellStyle name="Neutral 8 11 2" xfId="19598" xr:uid="{00000000-0005-0000-0000-00001D460000}"/>
    <cellStyle name="Neutral 8 2" xfId="11519" xr:uid="{00000000-0005-0000-0000-00001E460000}"/>
    <cellStyle name="Neutral 8 2 2" xfId="11520" xr:uid="{00000000-0005-0000-0000-00001F460000}"/>
    <cellStyle name="Neutral 8 2 2 2" xfId="19599" xr:uid="{00000000-0005-0000-0000-000020460000}"/>
    <cellStyle name="Neutral 8 3" xfId="11521" xr:uid="{00000000-0005-0000-0000-000021460000}"/>
    <cellStyle name="Neutral 8 3 2" xfId="11522" xr:uid="{00000000-0005-0000-0000-000022460000}"/>
    <cellStyle name="Neutral 8 3 2 2" xfId="19600" xr:uid="{00000000-0005-0000-0000-000023460000}"/>
    <cellStyle name="Neutral 8 4" xfId="11523" xr:uid="{00000000-0005-0000-0000-000024460000}"/>
    <cellStyle name="Neutral 8 4 2" xfId="11524" xr:uid="{00000000-0005-0000-0000-000025460000}"/>
    <cellStyle name="Neutral 8 4 3" xfId="19601" xr:uid="{00000000-0005-0000-0000-000026460000}"/>
    <cellStyle name="Neutral 8 5" xfId="11525" xr:uid="{00000000-0005-0000-0000-000027460000}"/>
    <cellStyle name="Neutral 8 5 2" xfId="19602" xr:uid="{00000000-0005-0000-0000-000028460000}"/>
    <cellStyle name="Neutral 8 6" xfId="11526" xr:uid="{00000000-0005-0000-0000-000029460000}"/>
    <cellStyle name="Neutral 8 6 2" xfId="19603" xr:uid="{00000000-0005-0000-0000-00002A460000}"/>
    <cellStyle name="Neutral 8 7" xfId="11527" xr:uid="{00000000-0005-0000-0000-00002B460000}"/>
    <cellStyle name="Neutral 8 7 2" xfId="19604" xr:uid="{00000000-0005-0000-0000-00002C460000}"/>
    <cellStyle name="Neutral 8 8" xfId="11528" xr:uid="{00000000-0005-0000-0000-00002D460000}"/>
    <cellStyle name="Neutral 8 8 2" xfId="19605" xr:uid="{00000000-0005-0000-0000-00002E460000}"/>
    <cellStyle name="Neutral 8 9" xfId="11529" xr:uid="{00000000-0005-0000-0000-00002F460000}"/>
    <cellStyle name="Neutral 8 9 2" xfId="19606" xr:uid="{00000000-0005-0000-0000-000030460000}"/>
    <cellStyle name="Neutral 9" xfId="11530" xr:uid="{00000000-0005-0000-0000-000031460000}"/>
    <cellStyle name="Neutral 9 10" xfId="11531" xr:uid="{00000000-0005-0000-0000-000032460000}"/>
    <cellStyle name="Neutral 9 10 2" xfId="19607" xr:uid="{00000000-0005-0000-0000-000033460000}"/>
    <cellStyle name="Neutral 9 11" xfId="11532" xr:uid="{00000000-0005-0000-0000-000034460000}"/>
    <cellStyle name="Neutral 9 11 2" xfId="19608" xr:uid="{00000000-0005-0000-0000-000035460000}"/>
    <cellStyle name="Neutral 9 2" xfId="11533" xr:uid="{00000000-0005-0000-0000-000036460000}"/>
    <cellStyle name="Neutral 9 2 2" xfId="11534" xr:uid="{00000000-0005-0000-0000-000037460000}"/>
    <cellStyle name="Neutral 9 2 2 2" xfId="19609" xr:uid="{00000000-0005-0000-0000-000038460000}"/>
    <cellStyle name="Neutral 9 3" xfId="11535" xr:uid="{00000000-0005-0000-0000-000039460000}"/>
    <cellStyle name="Neutral 9 3 2" xfId="11536" xr:uid="{00000000-0005-0000-0000-00003A460000}"/>
    <cellStyle name="Neutral 9 3 2 2" xfId="19610" xr:uid="{00000000-0005-0000-0000-00003B460000}"/>
    <cellStyle name="Neutral 9 4" xfId="11537" xr:uid="{00000000-0005-0000-0000-00003C460000}"/>
    <cellStyle name="Neutral 9 4 2" xfId="11538" xr:uid="{00000000-0005-0000-0000-00003D460000}"/>
    <cellStyle name="Neutral 9 4 3" xfId="19611" xr:uid="{00000000-0005-0000-0000-00003E460000}"/>
    <cellStyle name="Neutral 9 5" xfId="11539" xr:uid="{00000000-0005-0000-0000-00003F460000}"/>
    <cellStyle name="Neutral 9 5 2" xfId="19612" xr:uid="{00000000-0005-0000-0000-000040460000}"/>
    <cellStyle name="Neutral 9 6" xfId="11540" xr:uid="{00000000-0005-0000-0000-000041460000}"/>
    <cellStyle name="Neutral 9 6 2" xfId="19613" xr:uid="{00000000-0005-0000-0000-000042460000}"/>
    <cellStyle name="Neutral 9 7" xfId="11541" xr:uid="{00000000-0005-0000-0000-000043460000}"/>
    <cellStyle name="Neutral 9 7 2" xfId="19614" xr:uid="{00000000-0005-0000-0000-000044460000}"/>
    <cellStyle name="Neutral 9 8" xfId="11542" xr:uid="{00000000-0005-0000-0000-000045460000}"/>
    <cellStyle name="Neutral 9 8 2" xfId="19615" xr:uid="{00000000-0005-0000-0000-000046460000}"/>
    <cellStyle name="Neutral 9 9" xfId="11543" xr:uid="{00000000-0005-0000-0000-000047460000}"/>
    <cellStyle name="Neutral 9 9 2" xfId="19616" xr:uid="{00000000-0005-0000-0000-000048460000}"/>
    <cellStyle name="Normal" xfId="0" builtinId="0"/>
    <cellStyle name="Normal 10" xfId="14127" xr:uid="{00000000-0005-0000-0000-00004A460000}"/>
    <cellStyle name="Normal 10 10" xfId="11544" xr:uid="{00000000-0005-0000-0000-00004B460000}"/>
    <cellStyle name="Normal 10 10 2" xfId="11545" xr:uid="{00000000-0005-0000-0000-00004C460000}"/>
    <cellStyle name="Normal 10 10 2 2" xfId="19617" xr:uid="{00000000-0005-0000-0000-00004D460000}"/>
    <cellStyle name="Normal 10 11" xfId="11546" xr:uid="{00000000-0005-0000-0000-00004E460000}"/>
    <cellStyle name="Normal 10 11 2" xfId="11547" xr:uid="{00000000-0005-0000-0000-00004F460000}"/>
    <cellStyle name="Normal 10 11 2 2" xfId="19618" xr:uid="{00000000-0005-0000-0000-000050460000}"/>
    <cellStyle name="Normal 10 12" xfId="11548" xr:uid="{00000000-0005-0000-0000-000051460000}"/>
    <cellStyle name="Normal 10 12 2" xfId="11549" xr:uid="{00000000-0005-0000-0000-000052460000}"/>
    <cellStyle name="Normal 10 12 2 2" xfId="19619" xr:uid="{00000000-0005-0000-0000-000053460000}"/>
    <cellStyle name="Normal 10 13" xfId="11550" xr:uid="{00000000-0005-0000-0000-000054460000}"/>
    <cellStyle name="Normal 10 13 2" xfId="11551" xr:uid="{00000000-0005-0000-0000-000055460000}"/>
    <cellStyle name="Normal 10 13 2 2" xfId="19620" xr:uid="{00000000-0005-0000-0000-000056460000}"/>
    <cellStyle name="Normal 10 14" xfId="11552" xr:uid="{00000000-0005-0000-0000-000057460000}"/>
    <cellStyle name="Normal 10 14 2" xfId="11553" xr:uid="{00000000-0005-0000-0000-000058460000}"/>
    <cellStyle name="Normal 10 14 2 2" xfId="19621" xr:uid="{00000000-0005-0000-0000-000059460000}"/>
    <cellStyle name="Normal 10 15" xfId="11554" xr:uid="{00000000-0005-0000-0000-00005A460000}"/>
    <cellStyle name="Normal 10 15 2" xfId="11555" xr:uid="{00000000-0005-0000-0000-00005B460000}"/>
    <cellStyle name="Normal 10 15 2 2" xfId="19622" xr:uid="{00000000-0005-0000-0000-00005C460000}"/>
    <cellStyle name="Normal 10 16" xfId="11556" xr:uid="{00000000-0005-0000-0000-00005D460000}"/>
    <cellStyle name="Normal 10 16 2" xfId="11557" xr:uid="{00000000-0005-0000-0000-00005E460000}"/>
    <cellStyle name="Normal 10 16 2 2" xfId="19623" xr:uid="{00000000-0005-0000-0000-00005F460000}"/>
    <cellStyle name="Normal 10 17" xfId="11558" xr:uid="{00000000-0005-0000-0000-000060460000}"/>
    <cellStyle name="Normal 10 17 2" xfId="11559" xr:uid="{00000000-0005-0000-0000-000061460000}"/>
    <cellStyle name="Normal 10 17 2 2" xfId="19624" xr:uid="{00000000-0005-0000-0000-000062460000}"/>
    <cellStyle name="Normal 10 18" xfId="11560" xr:uid="{00000000-0005-0000-0000-000063460000}"/>
    <cellStyle name="Normal 10 18 2" xfId="11561" xr:uid="{00000000-0005-0000-0000-000064460000}"/>
    <cellStyle name="Normal 10 18 2 2" xfId="19625" xr:uid="{00000000-0005-0000-0000-000065460000}"/>
    <cellStyle name="Normal 10 19" xfId="21670" xr:uid="{00000000-0005-0000-0000-000066460000}"/>
    <cellStyle name="Normal 10 2" xfId="11562" xr:uid="{00000000-0005-0000-0000-000067460000}"/>
    <cellStyle name="Normal 10 2 2" xfId="11563" xr:uid="{00000000-0005-0000-0000-000068460000}"/>
    <cellStyle name="Normal 10 2 2 2" xfId="19626" xr:uid="{00000000-0005-0000-0000-000069460000}"/>
    <cellStyle name="Normal 10 3" xfId="11564" xr:uid="{00000000-0005-0000-0000-00006A460000}"/>
    <cellStyle name="Normal 10 3 2" xfId="11565" xr:uid="{00000000-0005-0000-0000-00006B460000}"/>
    <cellStyle name="Normal 10 3 2 2" xfId="19627" xr:uid="{00000000-0005-0000-0000-00006C460000}"/>
    <cellStyle name="Normal 10 4" xfId="11566" xr:uid="{00000000-0005-0000-0000-00006D460000}"/>
    <cellStyle name="Normal 10 4 2" xfId="11567" xr:uid="{00000000-0005-0000-0000-00006E460000}"/>
    <cellStyle name="Normal 10 4 2 2" xfId="19628" xr:uid="{00000000-0005-0000-0000-00006F460000}"/>
    <cellStyle name="Normal 10 5" xfId="11568" xr:uid="{00000000-0005-0000-0000-000070460000}"/>
    <cellStyle name="Normal 10 5 2" xfId="11569" xr:uid="{00000000-0005-0000-0000-000071460000}"/>
    <cellStyle name="Normal 10 5 2 2" xfId="19629" xr:uid="{00000000-0005-0000-0000-000072460000}"/>
    <cellStyle name="Normal 10 6" xfId="11570" xr:uid="{00000000-0005-0000-0000-000073460000}"/>
    <cellStyle name="Normal 10 6 2" xfId="11571" xr:uid="{00000000-0005-0000-0000-000074460000}"/>
    <cellStyle name="Normal 10 6 2 2" xfId="19630" xr:uid="{00000000-0005-0000-0000-000075460000}"/>
    <cellStyle name="Normal 10 7" xfId="11572" xr:uid="{00000000-0005-0000-0000-000076460000}"/>
    <cellStyle name="Normal 10 7 2" xfId="11573" xr:uid="{00000000-0005-0000-0000-000077460000}"/>
    <cellStyle name="Normal 10 7 2 2" xfId="19631" xr:uid="{00000000-0005-0000-0000-000078460000}"/>
    <cellStyle name="Normal 10 8" xfId="11574" xr:uid="{00000000-0005-0000-0000-000079460000}"/>
    <cellStyle name="Normal 10 8 2" xfId="11575" xr:uid="{00000000-0005-0000-0000-00007A460000}"/>
    <cellStyle name="Normal 10 8 2 2" xfId="19632" xr:uid="{00000000-0005-0000-0000-00007B460000}"/>
    <cellStyle name="Normal 10 9" xfId="11576" xr:uid="{00000000-0005-0000-0000-00007C460000}"/>
    <cellStyle name="Normal 10 9 2" xfId="11577" xr:uid="{00000000-0005-0000-0000-00007D460000}"/>
    <cellStyle name="Normal 10 9 2 2" xfId="19633" xr:uid="{00000000-0005-0000-0000-00007E460000}"/>
    <cellStyle name="Normal 100" xfId="27157" xr:uid="{7B319A25-36F3-45E7-824D-5C99013A1186}"/>
    <cellStyle name="Normal 11" xfId="11578" xr:uid="{00000000-0005-0000-0000-00007F460000}"/>
    <cellStyle name="Normal 11 2" xfId="11579" xr:uid="{00000000-0005-0000-0000-000080460000}"/>
    <cellStyle name="Normal 11 2 2" xfId="11580" xr:uid="{00000000-0005-0000-0000-000081460000}"/>
    <cellStyle name="Normal 11 2 2 2" xfId="19634" xr:uid="{00000000-0005-0000-0000-000082460000}"/>
    <cellStyle name="Normal 11 2 3" xfId="22098" xr:uid="{00000000-0005-0000-0000-000083460000}"/>
    <cellStyle name="Normal 11 3" xfId="11581" xr:uid="{00000000-0005-0000-0000-000084460000}"/>
    <cellStyle name="Normal 11 3 2" xfId="11582" xr:uid="{00000000-0005-0000-0000-000085460000}"/>
    <cellStyle name="Normal 11 3 2 2" xfId="19635" xr:uid="{00000000-0005-0000-0000-000086460000}"/>
    <cellStyle name="Normal 11 4" xfId="11583" xr:uid="{00000000-0005-0000-0000-000087460000}"/>
    <cellStyle name="Normal 11 4 2" xfId="11584" xr:uid="{00000000-0005-0000-0000-000088460000}"/>
    <cellStyle name="Normal 11 4 2 2" xfId="19636" xr:uid="{00000000-0005-0000-0000-000089460000}"/>
    <cellStyle name="Normal 11 5" xfId="11585" xr:uid="{00000000-0005-0000-0000-00008A460000}"/>
    <cellStyle name="Normal 11 5 2" xfId="11586" xr:uid="{00000000-0005-0000-0000-00008B460000}"/>
    <cellStyle name="Normal 11 5 2 2" xfId="19637" xr:uid="{00000000-0005-0000-0000-00008C460000}"/>
    <cellStyle name="Normal 11 6" xfId="11587" xr:uid="{00000000-0005-0000-0000-00008D460000}"/>
    <cellStyle name="Normal 11 6 2" xfId="11588" xr:uid="{00000000-0005-0000-0000-00008E460000}"/>
    <cellStyle name="Normal 11 6 2 2" xfId="19638" xr:uid="{00000000-0005-0000-0000-00008F460000}"/>
    <cellStyle name="Normal 11 7" xfId="22097" xr:uid="{00000000-0005-0000-0000-000090460000}"/>
    <cellStyle name="Normal 12" xfId="21667" xr:uid="{00000000-0005-0000-0000-000091460000}"/>
    <cellStyle name="Normal 12 2" xfId="22099" xr:uid="{00000000-0005-0000-0000-000092460000}"/>
    <cellStyle name="Normal 13" xfId="21745" xr:uid="{00000000-0005-0000-0000-000093460000}"/>
    <cellStyle name="Normal 13 2" xfId="21804" xr:uid="{00000000-0005-0000-0000-000094460000}"/>
    <cellStyle name="Normal 13 2 2" xfId="21896" xr:uid="{00000000-0005-0000-0000-000095460000}"/>
    <cellStyle name="Normal 13 2 2 2" xfId="22645" xr:uid="{00000000-0005-0000-0000-000096460000}"/>
    <cellStyle name="Normal 13 2 2 2 2" xfId="23171" xr:uid="{00000000-0005-0000-0000-000097460000}"/>
    <cellStyle name="Normal 13 2 2 2 2 2" xfId="24463" xr:uid="{00000000-0005-0000-0000-00009C020000}"/>
    <cellStyle name="Normal 13 2 2 2 2 2 2" xfId="26721" xr:uid="{00000000-0005-0000-0000-00009C020000}"/>
    <cellStyle name="Normal 13 2 2 2 2 3" xfId="25585" xr:uid="{00000000-0005-0000-0000-00009C020000}"/>
    <cellStyle name="Normal 13 2 2 2 3" xfId="23955" xr:uid="{00000000-0005-0000-0000-00009B020000}"/>
    <cellStyle name="Normal 13 2 2 2 3 2" xfId="26190" xr:uid="{00000000-0005-0000-0000-00009B020000}"/>
    <cellStyle name="Normal 13 2 2 2 4" xfId="25063" xr:uid="{00000000-0005-0000-0000-00009B020000}"/>
    <cellStyle name="Normal 13 2 2 3" xfId="22907" xr:uid="{00000000-0005-0000-0000-000098460000}"/>
    <cellStyle name="Normal 13 2 2 3 2" xfId="24207" xr:uid="{00000000-0005-0000-0000-00009D020000}"/>
    <cellStyle name="Normal 13 2 2 3 2 2" xfId="26456" xr:uid="{00000000-0005-0000-0000-00009D020000}"/>
    <cellStyle name="Normal 13 2 2 3 3" xfId="25326" xr:uid="{00000000-0005-0000-0000-00009D020000}"/>
    <cellStyle name="Normal 13 2 2 4" xfId="22385" xr:uid="{00000000-0005-0000-0000-000099460000}"/>
    <cellStyle name="Normal 13 2 2 4 2" xfId="25957" xr:uid="{00000000-0005-0000-0000-00009A020000}"/>
    <cellStyle name="Normal 13 2 2 5" xfId="24802" xr:uid="{00000000-0005-0000-0000-00009A020000}"/>
    <cellStyle name="Normal 13 2 3" xfId="22516" xr:uid="{00000000-0005-0000-0000-00009A460000}"/>
    <cellStyle name="Normal 13 2 3 2" xfId="23042" xr:uid="{00000000-0005-0000-0000-00009B460000}"/>
    <cellStyle name="Normal 13 2 3 2 2" xfId="24339" xr:uid="{00000000-0005-0000-0000-00009F020000}"/>
    <cellStyle name="Normal 13 2 3 2 2 2" xfId="26592" xr:uid="{00000000-0005-0000-0000-00009F020000}"/>
    <cellStyle name="Normal 13 2 3 2 3" xfId="25458" xr:uid="{00000000-0005-0000-0000-00009F020000}"/>
    <cellStyle name="Normal 13 2 3 3" xfId="23851" xr:uid="{00000000-0005-0000-0000-00009E020000}"/>
    <cellStyle name="Normal 13 2 3 3 2" xfId="26076" xr:uid="{00000000-0005-0000-0000-00009E020000}"/>
    <cellStyle name="Normal 13 2 3 4" xfId="24936" xr:uid="{00000000-0005-0000-0000-00009E020000}"/>
    <cellStyle name="Normal 13 2 4" xfId="22778" xr:uid="{00000000-0005-0000-0000-00009C460000}"/>
    <cellStyle name="Normal 13 2 4 2" xfId="24090" xr:uid="{00000000-0005-0000-0000-0000A0020000}"/>
    <cellStyle name="Normal 13 2 4 2 2" xfId="26327" xr:uid="{00000000-0005-0000-0000-0000A0020000}"/>
    <cellStyle name="Normal 13 2 4 3" xfId="25198" xr:uid="{00000000-0005-0000-0000-0000A0020000}"/>
    <cellStyle name="Normal 13 2 5" xfId="23257" xr:uid="{00000000-0005-0000-0000-00009D460000}"/>
    <cellStyle name="Normal 13 2 5 2" xfId="24497" xr:uid="{00000000-0005-0000-0000-0000A1020000}"/>
    <cellStyle name="Normal 13 2 5 2 2" xfId="26761" xr:uid="{00000000-0005-0000-0000-0000A1020000}"/>
    <cellStyle name="Normal 13 2 5 3" xfId="25668" xr:uid="{00000000-0005-0000-0000-0000A1020000}"/>
    <cellStyle name="Normal 13 2 6" xfId="22260" xr:uid="{00000000-0005-0000-0000-00009E460000}"/>
    <cellStyle name="Normal 13 2 6 2" xfId="25843" xr:uid="{00000000-0005-0000-0000-000099020000}"/>
    <cellStyle name="Normal 13 2 7" xfId="24676" xr:uid="{00000000-0005-0000-0000-000099020000}"/>
    <cellStyle name="Normal 13 3" xfId="21771" xr:uid="{00000000-0005-0000-0000-00009F460000}"/>
    <cellStyle name="Normal 13 3 2" xfId="23302" xr:uid="{00000000-0005-0000-0000-0000A0460000}"/>
    <cellStyle name="Normal 13 3 2 2" xfId="26803" xr:uid="{00000000-0005-0000-0000-0000A2020000}"/>
    <cellStyle name="Normal 13 3 3" xfId="25706" xr:uid="{00000000-0005-0000-0000-0000A2020000}"/>
    <cellStyle name="Normal 13 4" xfId="23311" xr:uid="{00000000-0005-0000-0000-0000A1460000}"/>
    <cellStyle name="Normal 13 4 2" xfId="24529" xr:uid="{00000000-0005-0000-0000-0000A3020000}"/>
    <cellStyle name="Normal 13 4 2 2" xfId="26811" xr:uid="{00000000-0005-0000-0000-0000A3020000}"/>
    <cellStyle name="Normal 13 4 3" xfId="25715" xr:uid="{00000000-0005-0000-0000-0000A3020000}"/>
    <cellStyle name="Normal 14" xfId="22100" xr:uid="{00000000-0005-0000-0000-0000A2460000}"/>
    <cellStyle name="Normal 14 2" xfId="22261" xr:uid="{00000000-0005-0000-0000-0000A3460000}"/>
    <cellStyle name="Normal 14 2 2" xfId="22386" xr:uid="{00000000-0005-0000-0000-0000A4460000}"/>
    <cellStyle name="Normal 14 2 2 2" xfId="22646" xr:uid="{00000000-0005-0000-0000-0000A5460000}"/>
    <cellStyle name="Normal 14 2 2 2 2" xfId="23172" xr:uid="{00000000-0005-0000-0000-0000A6460000}"/>
    <cellStyle name="Normal 14 2 2 2 2 2" xfId="24464" xr:uid="{00000000-0005-0000-0000-0000A8020000}"/>
    <cellStyle name="Normal 14 2 2 2 2 2 2" xfId="26722" xr:uid="{00000000-0005-0000-0000-0000A8020000}"/>
    <cellStyle name="Normal 14 2 2 2 2 3" xfId="25586" xr:uid="{00000000-0005-0000-0000-0000A8020000}"/>
    <cellStyle name="Normal 14 2 2 2 3" xfId="23956" xr:uid="{00000000-0005-0000-0000-0000A7020000}"/>
    <cellStyle name="Normal 14 2 2 2 3 2" xfId="26191" xr:uid="{00000000-0005-0000-0000-0000A7020000}"/>
    <cellStyle name="Normal 14 2 2 2 4" xfId="25064" xr:uid="{00000000-0005-0000-0000-0000A7020000}"/>
    <cellStyle name="Normal 14 2 2 3" xfId="22908" xr:uid="{00000000-0005-0000-0000-0000A7460000}"/>
    <cellStyle name="Normal 14 2 2 3 2" xfId="24208" xr:uid="{00000000-0005-0000-0000-0000A9020000}"/>
    <cellStyle name="Normal 14 2 2 3 2 2" xfId="26457" xr:uid="{00000000-0005-0000-0000-0000A9020000}"/>
    <cellStyle name="Normal 14 2 2 3 3" xfId="25327" xr:uid="{00000000-0005-0000-0000-0000A9020000}"/>
    <cellStyle name="Normal 14 2 2 4" xfId="23740" xr:uid="{00000000-0005-0000-0000-0000A6020000}"/>
    <cellStyle name="Normal 14 2 2 4 2" xfId="25958" xr:uid="{00000000-0005-0000-0000-0000A6020000}"/>
    <cellStyle name="Normal 14 2 2 5" xfId="24803" xr:uid="{00000000-0005-0000-0000-0000A6020000}"/>
    <cellStyle name="Normal 14 2 3" xfId="22517" xr:uid="{00000000-0005-0000-0000-0000A8460000}"/>
    <cellStyle name="Normal 14 2 3 2" xfId="23043" xr:uid="{00000000-0005-0000-0000-0000A9460000}"/>
    <cellStyle name="Normal 14 2 3 2 2" xfId="24340" xr:uid="{00000000-0005-0000-0000-0000AB020000}"/>
    <cellStyle name="Normal 14 2 3 2 2 2" xfId="26593" xr:uid="{00000000-0005-0000-0000-0000AB020000}"/>
    <cellStyle name="Normal 14 2 3 2 3" xfId="25459" xr:uid="{00000000-0005-0000-0000-0000AB020000}"/>
    <cellStyle name="Normal 14 2 3 3" xfId="23852" xr:uid="{00000000-0005-0000-0000-0000AA020000}"/>
    <cellStyle name="Normal 14 2 3 3 2" xfId="26077" xr:uid="{00000000-0005-0000-0000-0000AA020000}"/>
    <cellStyle name="Normal 14 2 3 4" xfId="24937" xr:uid="{00000000-0005-0000-0000-0000AA020000}"/>
    <cellStyle name="Normal 14 2 4" xfId="22779" xr:uid="{00000000-0005-0000-0000-0000AA460000}"/>
    <cellStyle name="Normal 14 2 4 2" xfId="24091" xr:uid="{00000000-0005-0000-0000-0000AC020000}"/>
    <cellStyle name="Normal 14 2 4 2 2" xfId="26328" xr:uid="{00000000-0005-0000-0000-0000AC020000}"/>
    <cellStyle name="Normal 14 2 4 3" xfId="25199" xr:uid="{00000000-0005-0000-0000-0000AC020000}"/>
    <cellStyle name="Normal 14 2 5" xfId="23640" xr:uid="{00000000-0005-0000-0000-0000A5020000}"/>
    <cellStyle name="Normal 14 2 5 2" xfId="25844" xr:uid="{00000000-0005-0000-0000-0000A5020000}"/>
    <cellStyle name="Normal 14 2 6" xfId="24677" xr:uid="{00000000-0005-0000-0000-0000A5020000}"/>
    <cellStyle name="Normal 14 3" xfId="23275" xr:uid="{00000000-0005-0000-0000-0000AB460000}"/>
    <cellStyle name="Normal 14 3 2" xfId="24507" xr:uid="{00000000-0005-0000-0000-0000AD020000}"/>
    <cellStyle name="Normal 14 3 2 2" xfId="26778" xr:uid="{00000000-0005-0000-0000-0000AD020000}"/>
    <cellStyle name="Normal 14 3 3" xfId="25685" xr:uid="{00000000-0005-0000-0000-0000AD020000}"/>
    <cellStyle name="Normal 14 4" xfId="23290" xr:uid="{00000000-0005-0000-0000-0000AC460000}"/>
    <cellStyle name="Normal 14 4 2" xfId="24517" xr:uid="{00000000-0005-0000-0000-0000AE020000}"/>
    <cellStyle name="Normal 14 4 2 2" xfId="26793" xr:uid="{00000000-0005-0000-0000-0000AE020000}"/>
    <cellStyle name="Normal 14 4 3" xfId="25698" xr:uid="{00000000-0005-0000-0000-0000AE020000}"/>
    <cellStyle name="Normal 14 5" xfId="23546" xr:uid="{1B281BD1-778E-46DA-B05C-0F91DDED1493}"/>
    <cellStyle name="Normal 15" xfId="22101" xr:uid="{00000000-0005-0000-0000-0000AD460000}"/>
    <cellStyle name="Normal 15 2" xfId="22262" xr:uid="{00000000-0005-0000-0000-0000AE460000}"/>
    <cellStyle name="Normal 15 2 2" xfId="22387" xr:uid="{00000000-0005-0000-0000-0000AF460000}"/>
    <cellStyle name="Normal 15 2 2 2" xfId="22647" xr:uid="{00000000-0005-0000-0000-0000B0460000}"/>
    <cellStyle name="Normal 15 2 2 2 2" xfId="23173" xr:uid="{00000000-0005-0000-0000-0000B1460000}"/>
    <cellStyle name="Normal 15 2 2 2 2 2" xfId="24465" xr:uid="{00000000-0005-0000-0000-0000B3020000}"/>
    <cellStyle name="Normal 15 2 2 2 2 2 2" xfId="26723" xr:uid="{00000000-0005-0000-0000-0000B3020000}"/>
    <cellStyle name="Normal 15 2 2 2 2 3" xfId="25587" xr:uid="{00000000-0005-0000-0000-0000B3020000}"/>
    <cellStyle name="Normal 15 2 2 2 3" xfId="23957" xr:uid="{00000000-0005-0000-0000-0000B2020000}"/>
    <cellStyle name="Normal 15 2 2 2 3 2" xfId="26192" xr:uid="{00000000-0005-0000-0000-0000B2020000}"/>
    <cellStyle name="Normal 15 2 2 2 4" xfId="25065" xr:uid="{00000000-0005-0000-0000-0000B2020000}"/>
    <cellStyle name="Normal 15 2 2 3" xfId="22909" xr:uid="{00000000-0005-0000-0000-0000B2460000}"/>
    <cellStyle name="Normal 15 2 2 3 2" xfId="24209" xr:uid="{00000000-0005-0000-0000-0000B4020000}"/>
    <cellStyle name="Normal 15 2 2 3 2 2" xfId="26458" xr:uid="{00000000-0005-0000-0000-0000B4020000}"/>
    <cellStyle name="Normal 15 2 2 3 3" xfId="25328" xr:uid="{00000000-0005-0000-0000-0000B4020000}"/>
    <cellStyle name="Normal 15 2 2 4" xfId="23741" xr:uid="{00000000-0005-0000-0000-0000B1020000}"/>
    <cellStyle name="Normal 15 2 2 4 2" xfId="25959" xr:uid="{00000000-0005-0000-0000-0000B1020000}"/>
    <cellStyle name="Normal 15 2 2 5" xfId="24804" xr:uid="{00000000-0005-0000-0000-0000B1020000}"/>
    <cellStyle name="Normal 15 2 3" xfId="22518" xr:uid="{00000000-0005-0000-0000-0000B3460000}"/>
    <cellStyle name="Normal 15 2 3 2" xfId="23044" xr:uid="{00000000-0005-0000-0000-0000B4460000}"/>
    <cellStyle name="Normal 15 2 3 2 2" xfId="24341" xr:uid="{00000000-0005-0000-0000-0000B6020000}"/>
    <cellStyle name="Normal 15 2 3 2 2 2" xfId="26594" xr:uid="{00000000-0005-0000-0000-0000B6020000}"/>
    <cellStyle name="Normal 15 2 3 2 3" xfId="25460" xr:uid="{00000000-0005-0000-0000-0000B6020000}"/>
    <cellStyle name="Normal 15 2 3 3" xfId="23853" xr:uid="{00000000-0005-0000-0000-0000B5020000}"/>
    <cellStyle name="Normal 15 2 3 3 2" xfId="26078" xr:uid="{00000000-0005-0000-0000-0000B5020000}"/>
    <cellStyle name="Normal 15 2 3 4" xfId="24938" xr:uid="{00000000-0005-0000-0000-0000B5020000}"/>
    <cellStyle name="Normal 15 2 4" xfId="22780" xr:uid="{00000000-0005-0000-0000-0000B5460000}"/>
    <cellStyle name="Normal 15 2 4 2" xfId="24092" xr:uid="{00000000-0005-0000-0000-0000B7020000}"/>
    <cellStyle name="Normal 15 2 4 2 2" xfId="26329" xr:uid="{00000000-0005-0000-0000-0000B7020000}"/>
    <cellStyle name="Normal 15 2 4 3" xfId="25200" xr:uid="{00000000-0005-0000-0000-0000B7020000}"/>
    <cellStyle name="Normal 15 2 5" xfId="23641" xr:uid="{00000000-0005-0000-0000-0000B0020000}"/>
    <cellStyle name="Normal 15 2 5 2" xfId="25845" xr:uid="{00000000-0005-0000-0000-0000B0020000}"/>
    <cellStyle name="Normal 15 2 6" xfId="24678" xr:uid="{00000000-0005-0000-0000-0000B0020000}"/>
    <cellStyle name="Normal 16" xfId="22102" xr:uid="{00000000-0005-0000-0000-0000B6460000}"/>
    <cellStyle name="Normal 17" xfId="11589" xr:uid="{00000000-0005-0000-0000-0000B7460000}"/>
    <cellStyle name="Normal 17 2" xfId="19639" xr:uid="{00000000-0005-0000-0000-0000B8460000}"/>
    <cellStyle name="Normal 17 3" xfId="22103" xr:uid="{00000000-0005-0000-0000-0000B9460000}"/>
    <cellStyle name="Normal 18" xfId="11590" xr:uid="{00000000-0005-0000-0000-0000BA460000}"/>
    <cellStyle name="Normal 18 2" xfId="19640" xr:uid="{00000000-0005-0000-0000-0000BB460000}"/>
    <cellStyle name="Normal 18 2 2" xfId="22226" xr:uid="{00000000-0005-0000-0000-0000BC460000}"/>
    <cellStyle name="Normal 18 2 2 2" xfId="22352" xr:uid="{00000000-0005-0000-0000-0000BD460000}"/>
    <cellStyle name="Normal 18 2 2 2 2" xfId="22612" xr:uid="{00000000-0005-0000-0000-0000BE460000}"/>
    <cellStyle name="Normal 18 2 2 2 2 2" xfId="23138" xr:uid="{00000000-0005-0000-0000-0000BF460000}"/>
    <cellStyle name="Normal 18 2 2 2 2 2 2" xfId="24430" xr:uid="{00000000-0005-0000-0000-0000BF020000}"/>
    <cellStyle name="Normal 18 2 2 2 2 2 2 2" xfId="26688" xr:uid="{00000000-0005-0000-0000-0000BF020000}"/>
    <cellStyle name="Normal 18 2 2 2 2 2 3" xfId="25552" xr:uid="{00000000-0005-0000-0000-0000BF020000}"/>
    <cellStyle name="Normal 18 2 2 2 2 3" xfId="23924" xr:uid="{00000000-0005-0000-0000-0000BE020000}"/>
    <cellStyle name="Normal 18 2 2 2 2 3 2" xfId="26157" xr:uid="{00000000-0005-0000-0000-0000BE020000}"/>
    <cellStyle name="Normal 18 2 2 2 2 4" xfId="25030" xr:uid="{00000000-0005-0000-0000-0000BE020000}"/>
    <cellStyle name="Normal 18 2 2 2 3" xfId="22874" xr:uid="{00000000-0005-0000-0000-0000C0460000}"/>
    <cellStyle name="Normal 18 2 2 2 3 2" xfId="24174" xr:uid="{00000000-0005-0000-0000-0000C0020000}"/>
    <cellStyle name="Normal 18 2 2 2 3 2 2" xfId="26423" xr:uid="{00000000-0005-0000-0000-0000C0020000}"/>
    <cellStyle name="Normal 18 2 2 2 3 3" xfId="25293" xr:uid="{00000000-0005-0000-0000-0000C0020000}"/>
    <cellStyle name="Normal 18 2 2 2 4" xfId="23710" xr:uid="{00000000-0005-0000-0000-0000BD020000}"/>
    <cellStyle name="Normal 18 2 2 2 4 2" xfId="25924" xr:uid="{00000000-0005-0000-0000-0000BD020000}"/>
    <cellStyle name="Normal 18 2 2 2 5" xfId="24769" xr:uid="{00000000-0005-0000-0000-0000BD020000}"/>
    <cellStyle name="Normal 18 2 2 3" xfId="22483" xr:uid="{00000000-0005-0000-0000-0000C1460000}"/>
    <cellStyle name="Normal 18 2 2 3 2" xfId="23009" xr:uid="{00000000-0005-0000-0000-0000C2460000}"/>
    <cellStyle name="Normal 18 2 2 3 2 2" xfId="24307" xr:uid="{00000000-0005-0000-0000-0000C2020000}"/>
    <cellStyle name="Normal 18 2 2 3 2 2 2" xfId="26559" xr:uid="{00000000-0005-0000-0000-0000C2020000}"/>
    <cellStyle name="Normal 18 2 2 3 2 3" xfId="25425" xr:uid="{00000000-0005-0000-0000-0000C2020000}"/>
    <cellStyle name="Normal 18 2 2 3 3" xfId="23819" xr:uid="{00000000-0005-0000-0000-0000C1020000}"/>
    <cellStyle name="Normal 18 2 2 3 3 2" xfId="26043" xr:uid="{00000000-0005-0000-0000-0000C1020000}"/>
    <cellStyle name="Normal 18 2 2 3 4" xfId="24903" xr:uid="{00000000-0005-0000-0000-0000C1020000}"/>
    <cellStyle name="Normal 18 2 2 4" xfId="22745" xr:uid="{00000000-0005-0000-0000-0000C3460000}"/>
    <cellStyle name="Normal 18 2 2 4 2" xfId="24058" xr:uid="{00000000-0005-0000-0000-0000C3020000}"/>
    <cellStyle name="Normal 18 2 2 4 2 2" xfId="26294" xr:uid="{00000000-0005-0000-0000-0000C3020000}"/>
    <cellStyle name="Normal 18 2 2 4 3" xfId="25165" xr:uid="{00000000-0005-0000-0000-0000C3020000}"/>
    <cellStyle name="Normal 18 2 2 5" xfId="23612" xr:uid="{00000000-0005-0000-0000-0000BC020000}"/>
    <cellStyle name="Normal 18 2 2 5 2" xfId="25810" xr:uid="{00000000-0005-0000-0000-0000BC020000}"/>
    <cellStyle name="Normal 18 2 2 6" xfId="24643" xr:uid="{00000000-0005-0000-0000-0000BC020000}"/>
    <cellStyle name="Normal 18 2 3" xfId="22297" xr:uid="{00000000-0005-0000-0000-0000C4460000}"/>
    <cellStyle name="Normal 18 2 3 2" xfId="22555" xr:uid="{00000000-0005-0000-0000-0000C5460000}"/>
    <cellStyle name="Normal 18 2 3 2 2" xfId="23081" xr:uid="{00000000-0005-0000-0000-0000C6460000}"/>
    <cellStyle name="Normal 18 2 3 2 2 2" xfId="24375" xr:uid="{00000000-0005-0000-0000-0000C6020000}"/>
    <cellStyle name="Normal 18 2 3 2 2 2 2" xfId="26631" xr:uid="{00000000-0005-0000-0000-0000C6020000}"/>
    <cellStyle name="Normal 18 2 3 2 2 3" xfId="25495" xr:uid="{00000000-0005-0000-0000-0000C6020000}"/>
    <cellStyle name="Normal 18 2 3 2 3" xfId="23877" xr:uid="{00000000-0005-0000-0000-0000C5020000}"/>
    <cellStyle name="Normal 18 2 3 2 3 2" xfId="26106" xr:uid="{00000000-0005-0000-0000-0000C5020000}"/>
    <cellStyle name="Normal 18 2 3 2 4" xfId="24973" xr:uid="{00000000-0005-0000-0000-0000C5020000}"/>
    <cellStyle name="Normal 18 2 3 3" xfId="22817" xr:uid="{00000000-0005-0000-0000-0000C7460000}"/>
    <cellStyle name="Normal 18 2 3 3 2" xfId="24119" xr:uid="{00000000-0005-0000-0000-0000C7020000}"/>
    <cellStyle name="Normal 18 2 3 3 2 2" xfId="26366" xr:uid="{00000000-0005-0000-0000-0000C7020000}"/>
    <cellStyle name="Normal 18 2 3 3 3" xfId="25237" xr:uid="{00000000-0005-0000-0000-0000C7020000}"/>
    <cellStyle name="Normal 18 2 3 4" xfId="23664" xr:uid="{00000000-0005-0000-0000-0000C4020000}"/>
    <cellStyle name="Normal 18 2 3 4 2" xfId="25873" xr:uid="{00000000-0005-0000-0000-0000C4020000}"/>
    <cellStyle name="Normal 18 2 3 5" xfId="24713" xr:uid="{00000000-0005-0000-0000-0000C4020000}"/>
    <cellStyle name="Normal 18 2 4" xfId="22421" xr:uid="{00000000-0005-0000-0000-0000C8460000}"/>
    <cellStyle name="Normal 18 2 4 2" xfId="22947" xr:uid="{00000000-0005-0000-0000-0000C9460000}"/>
    <cellStyle name="Normal 18 2 4 2 2" xfId="24245" xr:uid="{00000000-0005-0000-0000-0000C9020000}"/>
    <cellStyle name="Normal 18 2 4 2 2 2" xfId="26496" xr:uid="{00000000-0005-0000-0000-0000C9020000}"/>
    <cellStyle name="Normal 18 2 4 2 3" xfId="25364" xr:uid="{00000000-0005-0000-0000-0000C9020000}"/>
    <cellStyle name="Normal 18 2 4 3" xfId="23767" xr:uid="{00000000-0005-0000-0000-0000C8020000}"/>
    <cellStyle name="Normal 18 2 4 3 2" xfId="25988" xr:uid="{00000000-0005-0000-0000-0000C8020000}"/>
    <cellStyle name="Normal 18 2 4 4" xfId="24841" xr:uid="{00000000-0005-0000-0000-0000C8020000}"/>
    <cellStyle name="Normal 18 2 5" xfId="22683" xr:uid="{00000000-0005-0000-0000-0000CA460000}"/>
    <cellStyle name="Normal 18 2 5 2" xfId="23995" xr:uid="{00000000-0005-0000-0000-0000CA020000}"/>
    <cellStyle name="Normal 18 2 5 2 2" xfId="26231" xr:uid="{00000000-0005-0000-0000-0000CA020000}"/>
    <cellStyle name="Normal 18 2 5 3" xfId="25102" xr:uid="{00000000-0005-0000-0000-0000CA020000}"/>
    <cellStyle name="Normal 18 2 6" xfId="22105" xr:uid="{00000000-0005-0000-0000-0000CB460000}"/>
    <cellStyle name="Normal 18 2 6 2" xfId="25755" xr:uid="{00000000-0005-0000-0000-0000BB020000}"/>
    <cellStyle name="Normal 18 2 7" xfId="24580" xr:uid="{00000000-0005-0000-0000-0000BB020000}"/>
    <cellStyle name="Normal 18 3" xfId="22225" xr:uid="{00000000-0005-0000-0000-0000CC460000}"/>
    <cellStyle name="Normal 18 3 2" xfId="22351" xr:uid="{00000000-0005-0000-0000-0000CD460000}"/>
    <cellStyle name="Normal 18 3 2 2" xfId="22611" xr:uid="{00000000-0005-0000-0000-0000CE460000}"/>
    <cellStyle name="Normal 18 3 2 2 2" xfId="23137" xr:uid="{00000000-0005-0000-0000-0000CF460000}"/>
    <cellStyle name="Normal 18 3 2 2 2 2" xfId="24429" xr:uid="{00000000-0005-0000-0000-0000CE020000}"/>
    <cellStyle name="Normal 18 3 2 2 2 2 2" xfId="26687" xr:uid="{00000000-0005-0000-0000-0000CE020000}"/>
    <cellStyle name="Normal 18 3 2 2 2 3" xfId="25551" xr:uid="{00000000-0005-0000-0000-0000CE020000}"/>
    <cellStyle name="Normal 18 3 2 2 3" xfId="23923" xr:uid="{00000000-0005-0000-0000-0000CD020000}"/>
    <cellStyle name="Normal 18 3 2 2 3 2" xfId="26156" xr:uid="{00000000-0005-0000-0000-0000CD020000}"/>
    <cellStyle name="Normal 18 3 2 2 4" xfId="25029" xr:uid="{00000000-0005-0000-0000-0000CD020000}"/>
    <cellStyle name="Normal 18 3 2 3" xfId="22873" xr:uid="{00000000-0005-0000-0000-0000D0460000}"/>
    <cellStyle name="Normal 18 3 2 3 2" xfId="24173" xr:uid="{00000000-0005-0000-0000-0000CF020000}"/>
    <cellStyle name="Normal 18 3 2 3 2 2" xfId="26422" xr:uid="{00000000-0005-0000-0000-0000CF020000}"/>
    <cellStyle name="Normal 18 3 2 3 3" xfId="25292" xr:uid="{00000000-0005-0000-0000-0000CF020000}"/>
    <cellStyle name="Normal 18 3 2 4" xfId="23709" xr:uid="{00000000-0005-0000-0000-0000CC020000}"/>
    <cellStyle name="Normal 18 3 2 4 2" xfId="25923" xr:uid="{00000000-0005-0000-0000-0000CC020000}"/>
    <cellStyle name="Normal 18 3 2 5" xfId="24768" xr:uid="{00000000-0005-0000-0000-0000CC020000}"/>
    <cellStyle name="Normal 18 3 3" xfId="22482" xr:uid="{00000000-0005-0000-0000-0000D1460000}"/>
    <cellStyle name="Normal 18 3 3 2" xfId="23008" xr:uid="{00000000-0005-0000-0000-0000D2460000}"/>
    <cellStyle name="Normal 18 3 3 2 2" xfId="24306" xr:uid="{00000000-0005-0000-0000-0000D1020000}"/>
    <cellStyle name="Normal 18 3 3 2 2 2" xfId="26558" xr:uid="{00000000-0005-0000-0000-0000D1020000}"/>
    <cellStyle name="Normal 18 3 3 2 3" xfId="25424" xr:uid="{00000000-0005-0000-0000-0000D1020000}"/>
    <cellStyle name="Normal 18 3 3 3" xfId="23818" xr:uid="{00000000-0005-0000-0000-0000D0020000}"/>
    <cellStyle name="Normal 18 3 3 3 2" xfId="26042" xr:uid="{00000000-0005-0000-0000-0000D0020000}"/>
    <cellStyle name="Normal 18 3 3 4" xfId="24902" xr:uid="{00000000-0005-0000-0000-0000D0020000}"/>
    <cellStyle name="Normal 18 3 4" xfId="22744" xr:uid="{00000000-0005-0000-0000-0000D3460000}"/>
    <cellStyle name="Normal 18 3 4 2" xfId="24057" xr:uid="{00000000-0005-0000-0000-0000D2020000}"/>
    <cellStyle name="Normal 18 3 4 2 2" xfId="26293" xr:uid="{00000000-0005-0000-0000-0000D2020000}"/>
    <cellStyle name="Normal 18 3 4 3" xfId="25164" xr:uid="{00000000-0005-0000-0000-0000D2020000}"/>
    <cellStyle name="Normal 18 3 5" xfId="23611" xr:uid="{00000000-0005-0000-0000-0000CB020000}"/>
    <cellStyle name="Normal 18 3 5 2" xfId="25809" xr:uid="{00000000-0005-0000-0000-0000CB020000}"/>
    <cellStyle name="Normal 18 3 6" xfId="24642" xr:uid="{00000000-0005-0000-0000-0000CB020000}"/>
    <cellStyle name="Normal 18 4" xfId="22296" xr:uid="{00000000-0005-0000-0000-0000D4460000}"/>
    <cellStyle name="Normal 18 4 2" xfId="22554" xr:uid="{00000000-0005-0000-0000-0000D5460000}"/>
    <cellStyle name="Normal 18 4 2 2" xfId="23080" xr:uid="{00000000-0005-0000-0000-0000D6460000}"/>
    <cellStyle name="Normal 18 4 2 2 2" xfId="24374" xr:uid="{00000000-0005-0000-0000-0000D5020000}"/>
    <cellStyle name="Normal 18 4 2 2 2 2" xfId="26630" xr:uid="{00000000-0005-0000-0000-0000D5020000}"/>
    <cellStyle name="Normal 18 4 2 2 3" xfId="25494" xr:uid="{00000000-0005-0000-0000-0000D5020000}"/>
    <cellStyle name="Normal 18 4 2 3" xfId="23876" xr:uid="{00000000-0005-0000-0000-0000D4020000}"/>
    <cellStyle name="Normal 18 4 2 3 2" xfId="26105" xr:uid="{00000000-0005-0000-0000-0000D4020000}"/>
    <cellStyle name="Normal 18 4 2 4" xfId="24972" xr:uid="{00000000-0005-0000-0000-0000D4020000}"/>
    <cellStyle name="Normal 18 4 3" xfId="22816" xr:uid="{00000000-0005-0000-0000-0000D7460000}"/>
    <cellStyle name="Normal 18 4 3 2" xfId="24118" xr:uid="{00000000-0005-0000-0000-0000D6020000}"/>
    <cellStyle name="Normal 18 4 3 2 2" xfId="26365" xr:uid="{00000000-0005-0000-0000-0000D6020000}"/>
    <cellStyle name="Normal 18 4 3 3" xfId="25236" xr:uid="{00000000-0005-0000-0000-0000D6020000}"/>
    <cellStyle name="Normal 18 4 4" xfId="23663" xr:uid="{00000000-0005-0000-0000-0000D3020000}"/>
    <cellStyle name="Normal 18 4 4 2" xfId="25872" xr:uid="{00000000-0005-0000-0000-0000D3020000}"/>
    <cellStyle name="Normal 18 4 5" xfId="24712" xr:uid="{00000000-0005-0000-0000-0000D3020000}"/>
    <cellStyle name="Normal 18 5" xfId="22420" xr:uid="{00000000-0005-0000-0000-0000D8460000}"/>
    <cellStyle name="Normal 18 5 2" xfId="22946" xr:uid="{00000000-0005-0000-0000-0000D9460000}"/>
    <cellStyle name="Normal 18 5 2 2" xfId="24244" xr:uid="{00000000-0005-0000-0000-0000D8020000}"/>
    <cellStyle name="Normal 18 5 2 2 2" xfId="26495" xr:uid="{00000000-0005-0000-0000-0000D8020000}"/>
    <cellStyle name="Normal 18 5 2 3" xfId="25363" xr:uid="{00000000-0005-0000-0000-0000D8020000}"/>
    <cellStyle name="Normal 18 5 3" xfId="23766" xr:uid="{00000000-0005-0000-0000-0000D7020000}"/>
    <cellStyle name="Normal 18 5 3 2" xfId="25987" xr:uid="{00000000-0005-0000-0000-0000D7020000}"/>
    <cellStyle name="Normal 18 5 4" xfId="24840" xr:uid="{00000000-0005-0000-0000-0000D7020000}"/>
    <cellStyle name="Normal 18 6" xfId="22682" xr:uid="{00000000-0005-0000-0000-0000DA460000}"/>
    <cellStyle name="Normal 18 6 2" xfId="23994" xr:uid="{00000000-0005-0000-0000-0000D9020000}"/>
    <cellStyle name="Normal 18 6 2 2" xfId="26230" xr:uid="{00000000-0005-0000-0000-0000D9020000}"/>
    <cellStyle name="Normal 18 6 3" xfId="25101" xr:uid="{00000000-0005-0000-0000-0000D9020000}"/>
    <cellStyle name="Normal 18 7" xfId="22104" xr:uid="{00000000-0005-0000-0000-0000DB460000}"/>
    <cellStyle name="Normal 18 7 2" xfId="25754" xr:uid="{00000000-0005-0000-0000-0000BA020000}"/>
    <cellStyle name="Normal 18 8" xfId="24579" xr:uid="{00000000-0005-0000-0000-0000BA020000}"/>
    <cellStyle name="Normal 19" xfId="22106" xr:uid="{00000000-0005-0000-0000-0000DC460000}"/>
    <cellStyle name="Normal 2" xfId="1" xr:uid="{00000000-0005-0000-0000-0000DD460000}"/>
    <cellStyle name="Normal 2 10" xfId="11591" xr:uid="{00000000-0005-0000-0000-0000DE460000}"/>
    <cellStyle name="Normal 2 10 2" xfId="11592" xr:uid="{00000000-0005-0000-0000-0000DF460000}"/>
    <cellStyle name="Normal 2 10 2 2" xfId="19641" xr:uid="{00000000-0005-0000-0000-0000E0460000}"/>
    <cellStyle name="Normal 2 11" xfId="11593" xr:uid="{00000000-0005-0000-0000-0000E1460000}"/>
    <cellStyle name="Normal 2 11 2" xfId="19642" xr:uid="{00000000-0005-0000-0000-0000E2460000}"/>
    <cellStyle name="Normal 2 12" xfId="21746" xr:uid="{00000000-0005-0000-0000-0000E3460000}"/>
    <cellStyle name="Normal 2 12 2" xfId="21814" xr:uid="{00000000-0005-0000-0000-0000E4460000}"/>
    <cellStyle name="Normal 2 12 2 2" xfId="21897" xr:uid="{00000000-0005-0000-0000-0000E5460000}"/>
    <cellStyle name="Normal 2 12 3" xfId="21781" xr:uid="{00000000-0005-0000-0000-0000E6460000}"/>
    <cellStyle name="Normal 2 2" xfId="7" xr:uid="{00000000-0005-0000-0000-0000E7460000}"/>
    <cellStyle name="Normal 2 2 10" xfId="22108" xr:uid="{00000000-0005-0000-0000-0000E8460000}"/>
    <cellStyle name="Normal 2 2 11" xfId="22109" xr:uid="{00000000-0005-0000-0000-0000E9460000}"/>
    <cellStyle name="Normal 2 2 12" xfId="22110" xr:uid="{00000000-0005-0000-0000-0000EA460000}"/>
    <cellStyle name="Normal 2 2 13" xfId="22111" xr:uid="{00000000-0005-0000-0000-0000EB460000}"/>
    <cellStyle name="Normal 2 2 14" xfId="22112" xr:uid="{00000000-0005-0000-0000-0000EC460000}"/>
    <cellStyle name="Normal 2 2 15" xfId="22113" xr:uid="{00000000-0005-0000-0000-0000ED460000}"/>
    <cellStyle name="Normal 2 2 16" xfId="22114" xr:uid="{00000000-0005-0000-0000-0000EE460000}"/>
    <cellStyle name="Normal 2 2 17" xfId="22115" xr:uid="{00000000-0005-0000-0000-0000EF460000}"/>
    <cellStyle name="Normal 2 2 18" xfId="22116" xr:uid="{00000000-0005-0000-0000-0000F0460000}"/>
    <cellStyle name="Normal 2 2 19" xfId="22117" xr:uid="{00000000-0005-0000-0000-0000F1460000}"/>
    <cellStyle name="Normal 2 2 2" xfId="11594" xr:uid="{00000000-0005-0000-0000-0000F2460000}"/>
    <cellStyle name="Normal 2 2 2 2" xfId="19643" xr:uid="{00000000-0005-0000-0000-0000F3460000}"/>
    <cellStyle name="Normal 2 2 2 3" xfId="22118" xr:uid="{00000000-0005-0000-0000-0000F4460000}"/>
    <cellStyle name="Normal 2 2 20" xfId="22119" xr:uid="{00000000-0005-0000-0000-0000F5460000}"/>
    <cellStyle name="Normal 2 2 21" xfId="22120" xr:uid="{00000000-0005-0000-0000-0000F6460000}"/>
    <cellStyle name="Normal 2 2 22" xfId="22121" xr:uid="{00000000-0005-0000-0000-0000F7460000}"/>
    <cellStyle name="Normal 2 2 23" xfId="22227" xr:uid="{00000000-0005-0000-0000-0000F8460000}"/>
    <cellStyle name="Normal 2 2 23 2" xfId="22353" xr:uid="{00000000-0005-0000-0000-0000F9460000}"/>
    <cellStyle name="Normal 2 2 23 2 2" xfId="22613" xr:uid="{00000000-0005-0000-0000-0000FA460000}"/>
    <cellStyle name="Normal 2 2 23 2 2 2" xfId="23139" xr:uid="{00000000-0005-0000-0000-0000FB460000}"/>
    <cellStyle name="Normal 2 2 23 2 2 2 2" xfId="24431" xr:uid="{00000000-0005-0000-0000-0000EE020000}"/>
    <cellStyle name="Normal 2 2 23 2 2 2 2 2" xfId="26689" xr:uid="{00000000-0005-0000-0000-0000EE020000}"/>
    <cellStyle name="Normal 2 2 23 2 2 2 3" xfId="25553" xr:uid="{00000000-0005-0000-0000-0000EE020000}"/>
    <cellStyle name="Normal 2 2 23 2 2 3" xfId="23925" xr:uid="{00000000-0005-0000-0000-0000ED020000}"/>
    <cellStyle name="Normal 2 2 23 2 2 3 2" xfId="26158" xr:uid="{00000000-0005-0000-0000-0000ED020000}"/>
    <cellStyle name="Normal 2 2 23 2 2 4" xfId="25031" xr:uid="{00000000-0005-0000-0000-0000ED020000}"/>
    <cellStyle name="Normal 2 2 23 2 3" xfId="22875" xr:uid="{00000000-0005-0000-0000-0000FC460000}"/>
    <cellStyle name="Normal 2 2 23 2 3 2" xfId="24175" xr:uid="{00000000-0005-0000-0000-0000EF020000}"/>
    <cellStyle name="Normal 2 2 23 2 3 2 2" xfId="26424" xr:uid="{00000000-0005-0000-0000-0000EF020000}"/>
    <cellStyle name="Normal 2 2 23 2 3 3" xfId="25294" xr:uid="{00000000-0005-0000-0000-0000EF020000}"/>
    <cellStyle name="Normal 2 2 23 2 4" xfId="23711" xr:uid="{00000000-0005-0000-0000-0000EC020000}"/>
    <cellStyle name="Normal 2 2 23 2 4 2" xfId="25925" xr:uid="{00000000-0005-0000-0000-0000EC020000}"/>
    <cellStyle name="Normal 2 2 23 2 5" xfId="24770" xr:uid="{00000000-0005-0000-0000-0000EC020000}"/>
    <cellStyle name="Normal 2 2 23 3" xfId="22484" xr:uid="{00000000-0005-0000-0000-0000FD460000}"/>
    <cellStyle name="Normal 2 2 23 3 2" xfId="23010" xr:uid="{00000000-0005-0000-0000-0000FE460000}"/>
    <cellStyle name="Normal 2 2 23 3 2 2" xfId="24308" xr:uid="{00000000-0005-0000-0000-0000F1020000}"/>
    <cellStyle name="Normal 2 2 23 3 2 2 2" xfId="26560" xr:uid="{00000000-0005-0000-0000-0000F1020000}"/>
    <cellStyle name="Normal 2 2 23 3 2 3" xfId="25426" xr:uid="{00000000-0005-0000-0000-0000F1020000}"/>
    <cellStyle name="Normal 2 2 23 3 3" xfId="23820" xr:uid="{00000000-0005-0000-0000-0000F0020000}"/>
    <cellStyle name="Normal 2 2 23 3 3 2" xfId="26044" xr:uid="{00000000-0005-0000-0000-0000F0020000}"/>
    <cellStyle name="Normal 2 2 23 3 4" xfId="24904" xr:uid="{00000000-0005-0000-0000-0000F0020000}"/>
    <cellStyle name="Normal 2 2 23 4" xfId="22746" xr:uid="{00000000-0005-0000-0000-0000FF460000}"/>
    <cellStyle name="Normal 2 2 23 4 2" xfId="24059" xr:uid="{00000000-0005-0000-0000-0000F2020000}"/>
    <cellStyle name="Normal 2 2 23 4 2 2" xfId="26295" xr:uid="{00000000-0005-0000-0000-0000F2020000}"/>
    <cellStyle name="Normal 2 2 23 4 3" xfId="25166" xr:uid="{00000000-0005-0000-0000-0000F2020000}"/>
    <cellStyle name="Normal 2 2 23 5" xfId="23613" xr:uid="{00000000-0005-0000-0000-0000EB020000}"/>
    <cellStyle name="Normal 2 2 23 5 2" xfId="25811" xr:uid="{00000000-0005-0000-0000-0000EB020000}"/>
    <cellStyle name="Normal 2 2 23 6" xfId="24644" xr:uid="{00000000-0005-0000-0000-0000EB020000}"/>
    <cellStyle name="Normal 2 2 24" xfId="22298" xr:uid="{00000000-0005-0000-0000-000000470000}"/>
    <cellStyle name="Normal 2 2 24 2" xfId="22556" xr:uid="{00000000-0005-0000-0000-000001470000}"/>
    <cellStyle name="Normal 2 2 24 2 2" xfId="23082" xr:uid="{00000000-0005-0000-0000-000002470000}"/>
    <cellStyle name="Normal 2 2 24 2 2 2" xfId="24376" xr:uid="{00000000-0005-0000-0000-0000F5020000}"/>
    <cellStyle name="Normal 2 2 24 2 2 2 2" xfId="26632" xr:uid="{00000000-0005-0000-0000-0000F5020000}"/>
    <cellStyle name="Normal 2 2 24 2 2 3" xfId="25496" xr:uid="{00000000-0005-0000-0000-0000F5020000}"/>
    <cellStyle name="Normal 2 2 24 2 3" xfId="23878" xr:uid="{00000000-0005-0000-0000-0000F4020000}"/>
    <cellStyle name="Normal 2 2 24 2 3 2" xfId="26107" xr:uid="{00000000-0005-0000-0000-0000F4020000}"/>
    <cellStyle name="Normal 2 2 24 2 4" xfId="24974" xr:uid="{00000000-0005-0000-0000-0000F4020000}"/>
    <cellStyle name="Normal 2 2 24 3" xfId="22818" xr:uid="{00000000-0005-0000-0000-000003470000}"/>
    <cellStyle name="Normal 2 2 24 3 2" xfId="24120" xr:uid="{00000000-0005-0000-0000-0000F6020000}"/>
    <cellStyle name="Normal 2 2 24 3 2 2" xfId="26367" xr:uid="{00000000-0005-0000-0000-0000F6020000}"/>
    <cellStyle name="Normal 2 2 24 3 3" xfId="25238" xr:uid="{00000000-0005-0000-0000-0000F6020000}"/>
    <cellStyle name="Normal 2 2 24 4" xfId="23665" xr:uid="{00000000-0005-0000-0000-0000F3020000}"/>
    <cellStyle name="Normal 2 2 24 4 2" xfId="25874" xr:uid="{00000000-0005-0000-0000-0000F3020000}"/>
    <cellStyle name="Normal 2 2 24 5" xfId="24714" xr:uid="{00000000-0005-0000-0000-0000F3020000}"/>
    <cellStyle name="Normal 2 2 25" xfId="22422" xr:uid="{00000000-0005-0000-0000-000004470000}"/>
    <cellStyle name="Normal 2 2 25 2" xfId="22948" xr:uid="{00000000-0005-0000-0000-000005470000}"/>
    <cellStyle name="Normal 2 2 25 2 2" xfId="24246" xr:uid="{00000000-0005-0000-0000-0000F8020000}"/>
    <cellStyle name="Normal 2 2 25 2 2 2" xfId="26497" xr:uid="{00000000-0005-0000-0000-0000F8020000}"/>
    <cellStyle name="Normal 2 2 25 2 3" xfId="25365" xr:uid="{00000000-0005-0000-0000-0000F8020000}"/>
    <cellStyle name="Normal 2 2 25 3" xfId="23768" xr:uid="{00000000-0005-0000-0000-0000F7020000}"/>
    <cellStyle name="Normal 2 2 25 3 2" xfId="25989" xr:uid="{00000000-0005-0000-0000-0000F7020000}"/>
    <cellStyle name="Normal 2 2 25 4" xfId="24842" xr:uid="{00000000-0005-0000-0000-0000F7020000}"/>
    <cellStyle name="Normal 2 2 26" xfId="22684" xr:uid="{00000000-0005-0000-0000-000006470000}"/>
    <cellStyle name="Normal 2 2 26 2" xfId="23996" xr:uid="{00000000-0005-0000-0000-0000F9020000}"/>
    <cellStyle name="Normal 2 2 26 2 2" xfId="26232" xr:uid="{00000000-0005-0000-0000-0000F9020000}"/>
    <cellStyle name="Normal 2 2 26 3" xfId="25103" xr:uid="{00000000-0005-0000-0000-0000F9020000}"/>
    <cellStyle name="Normal 2 2 27" xfId="23242" xr:uid="{00000000-0005-0000-0000-000007470000}"/>
    <cellStyle name="Normal 2 2 27 2" xfId="24487" xr:uid="{00000000-0005-0000-0000-0000FA020000}"/>
    <cellStyle name="Normal 2 2 27 2 2" xfId="26746" xr:uid="{00000000-0005-0000-0000-0000FA020000}"/>
    <cellStyle name="Normal 2 2 27 3" xfId="25654" xr:uid="{00000000-0005-0000-0000-0000FA020000}"/>
    <cellStyle name="Normal 2 2 28" xfId="23246" xr:uid="{00000000-0005-0000-0000-000008470000}"/>
    <cellStyle name="Normal 2 2 28 2" xfId="24490" xr:uid="{00000000-0005-0000-0000-0000FB020000}"/>
    <cellStyle name="Normal 2 2 28 2 2" xfId="26750" xr:uid="{00000000-0005-0000-0000-0000FB020000}"/>
    <cellStyle name="Normal 2 2 28 3" xfId="25657" xr:uid="{00000000-0005-0000-0000-0000FB020000}"/>
    <cellStyle name="Normal 2 2 29" xfId="23273" xr:uid="{00000000-0005-0000-0000-000009470000}"/>
    <cellStyle name="Normal 2 2 29 2" xfId="24506" xr:uid="{00000000-0005-0000-0000-0000FC020000}"/>
    <cellStyle name="Normal 2 2 29 2 2" xfId="26777" xr:uid="{00000000-0005-0000-0000-0000FC020000}"/>
    <cellStyle name="Normal 2 2 29 3" xfId="25684" xr:uid="{00000000-0005-0000-0000-0000FC020000}"/>
    <cellStyle name="Normal 2 2 3" xfId="21898" xr:uid="{00000000-0005-0000-0000-00000A470000}"/>
    <cellStyle name="Normal 2 2 3 2" xfId="22122" xr:uid="{00000000-0005-0000-0000-00000B470000}"/>
    <cellStyle name="Normal 2 2 30" xfId="23293" xr:uid="{00000000-0005-0000-0000-00000C470000}"/>
    <cellStyle name="Normal 2 2 30 2" xfId="24519" xr:uid="{00000000-0005-0000-0000-0000FE020000}"/>
    <cellStyle name="Normal 2 2 30 2 2" xfId="26795" xr:uid="{00000000-0005-0000-0000-0000FE020000}"/>
    <cellStyle name="Normal 2 2 30 3" xfId="25699" xr:uid="{00000000-0005-0000-0000-0000FE020000}"/>
    <cellStyle name="Normal 2 2 31" xfId="23301" xr:uid="{00000000-0005-0000-0000-00000D470000}"/>
    <cellStyle name="Normal 2 2 31 2" xfId="24524" xr:uid="{00000000-0005-0000-0000-0000FF020000}"/>
    <cellStyle name="Normal 2 2 31 2 2" xfId="26802" xr:uid="{00000000-0005-0000-0000-0000FF020000}"/>
    <cellStyle name="Normal 2 2 31 3" xfId="25705" xr:uid="{00000000-0005-0000-0000-0000FF020000}"/>
    <cellStyle name="Normal 2 2 32" xfId="23309" xr:uid="{00000000-0005-0000-0000-00000E470000}"/>
    <cellStyle name="Normal 2 2 32 2" xfId="24527" xr:uid="{00000000-0005-0000-0000-000000030000}"/>
    <cellStyle name="Normal 2 2 32 2 2" xfId="26809" xr:uid="{00000000-0005-0000-0000-000000030000}"/>
    <cellStyle name="Normal 2 2 32 3" xfId="25713" xr:uid="{00000000-0005-0000-0000-000000030000}"/>
    <cellStyle name="Normal 2 2 33" xfId="22107" xr:uid="{00000000-0005-0000-0000-00000F470000}"/>
    <cellStyle name="Normal 2 2 33 2" xfId="25756" xr:uid="{00000000-0005-0000-0000-0000DC020000}"/>
    <cellStyle name="Normal 2 2 34" xfId="24581" xr:uid="{00000000-0005-0000-0000-0000DC020000}"/>
    <cellStyle name="Normal 2 2 4" xfId="22123" xr:uid="{00000000-0005-0000-0000-000010470000}"/>
    <cellStyle name="Normal 2 2 5" xfId="22124" xr:uid="{00000000-0005-0000-0000-000011470000}"/>
    <cellStyle name="Normal 2 2 6" xfId="22125" xr:uid="{00000000-0005-0000-0000-000012470000}"/>
    <cellStyle name="Normal 2 2 7" xfId="22126" xr:uid="{00000000-0005-0000-0000-000013470000}"/>
    <cellStyle name="Normal 2 2 8" xfId="22127" xr:uid="{00000000-0005-0000-0000-000014470000}"/>
    <cellStyle name="Normal 2 2 9" xfId="22128" xr:uid="{00000000-0005-0000-0000-000015470000}"/>
    <cellStyle name="Normal 2 2_32_Santee_May09 (2)" xfId="22129" xr:uid="{00000000-0005-0000-0000-000016470000}"/>
    <cellStyle name="Normal 2 3" xfId="11595" xr:uid="{00000000-0005-0000-0000-000017470000}"/>
    <cellStyle name="Normal 2 3 2" xfId="11596" xr:uid="{00000000-0005-0000-0000-000018470000}"/>
    <cellStyle name="Normal 2 3 2 2" xfId="19644" xr:uid="{00000000-0005-0000-0000-000019470000}"/>
    <cellStyle name="Normal 2 3 2 3" xfId="22131" xr:uid="{00000000-0005-0000-0000-00001A470000}"/>
    <cellStyle name="Normal 2 3 3" xfId="22130" xr:uid="{00000000-0005-0000-0000-00001B470000}"/>
    <cellStyle name="Normal 2 4" xfId="11597" xr:uid="{00000000-0005-0000-0000-00001C470000}"/>
    <cellStyle name="Normal 2 4 2" xfId="11598" xr:uid="{00000000-0005-0000-0000-00001D470000}"/>
    <cellStyle name="Normal 2 4 2 2" xfId="19645" xr:uid="{00000000-0005-0000-0000-00001E470000}"/>
    <cellStyle name="Normal 2 4 2 2 2" xfId="26823" xr:uid="{1617D065-8797-4B48-837F-F861C930EB23}"/>
    <cellStyle name="Normal 2 4 2 3" xfId="24537" xr:uid="{1617D065-8797-4B48-837F-F861C930EB23}"/>
    <cellStyle name="Normal 2 4 3" xfId="25727" xr:uid="{1617D065-8797-4B48-837F-F861C930EB23}"/>
    <cellStyle name="Normal 2 4 4" xfId="23549" xr:uid="{1617D065-8797-4B48-837F-F861C930EB23}"/>
    <cellStyle name="Normal 2 5" xfId="11599" xr:uid="{00000000-0005-0000-0000-00001F470000}"/>
    <cellStyle name="Normal 2 5 2" xfId="11600" xr:uid="{00000000-0005-0000-0000-000020470000}"/>
    <cellStyle name="Normal 2 5 2 2" xfId="19646" xr:uid="{00000000-0005-0000-0000-000021470000}"/>
    <cellStyle name="Normal 2 6" xfId="11601" xr:uid="{00000000-0005-0000-0000-000022470000}"/>
    <cellStyle name="Normal 2 6 2" xfId="11602" xr:uid="{00000000-0005-0000-0000-000023470000}"/>
    <cellStyle name="Normal 2 6 2 2" xfId="19647" xr:uid="{00000000-0005-0000-0000-000024470000}"/>
    <cellStyle name="Normal 2 7" xfId="11603" xr:uid="{00000000-0005-0000-0000-000025470000}"/>
    <cellStyle name="Normal 2 7 2" xfId="11604" xr:uid="{00000000-0005-0000-0000-000026470000}"/>
    <cellStyle name="Normal 2 7 2 2" xfId="19648" xr:uid="{00000000-0005-0000-0000-000027470000}"/>
    <cellStyle name="Normal 2 8" xfId="11605" xr:uid="{00000000-0005-0000-0000-000028470000}"/>
    <cellStyle name="Normal 2 8 2" xfId="11606" xr:uid="{00000000-0005-0000-0000-000029470000}"/>
    <cellStyle name="Normal 2 8 2 2" xfId="19649" xr:uid="{00000000-0005-0000-0000-00002A470000}"/>
    <cellStyle name="Normal 2 9" xfId="11607" xr:uid="{00000000-0005-0000-0000-00002B470000}"/>
    <cellStyle name="Normal 2 9 2" xfId="11608" xr:uid="{00000000-0005-0000-0000-00002C470000}"/>
    <cellStyle name="Normal 2 9 2 2" xfId="19650" xr:uid="{00000000-0005-0000-0000-00002D470000}"/>
    <cellStyle name="Normal 2_Special Ed P-2" xfId="22132" xr:uid="{00000000-0005-0000-0000-00002E470000}"/>
    <cellStyle name="Normal 20" xfId="22133" xr:uid="{00000000-0005-0000-0000-00002F470000}"/>
    <cellStyle name="Normal 21" xfId="22134" xr:uid="{00000000-0005-0000-0000-000030470000}"/>
    <cellStyle name="Normal 22" xfId="22135" xr:uid="{00000000-0005-0000-0000-000031470000}"/>
    <cellStyle name="Normal 22 2" xfId="22228" xr:uid="{00000000-0005-0000-0000-000032470000}"/>
    <cellStyle name="Normal 22 2 2" xfId="22354" xr:uid="{00000000-0005-0000-0000-000033470000}"/>
    <cellStyle name="Normal 22 2 2 2" xfId="22614" xr:uid="{00000000-0005-0000-0000-000034470000}"/>
    <cellStyle name="Normal 22 2 2 2 2" xfId="23140" xr:uid="{00000000-0005-0000-0000-000035470000}"/>
    <cellStyle name="Normal 22 2 2 2 2 2" xfId="24432" xr:uid="{00000000-0005-0000-0000-000011030000}"/>
    <cellStyle name="Normal 22 2 2 2 2 2 2" xfId="26690" xr:uid="{00000000-0005-0000-0000-000011030000}"/>
    <cellStyle name="Normal 22 2 2 2 2 3" xfId="25554" xr:uid="{00000000-0005-0000-0000-000011030000}"/>
    <cellStyle name="Normal 22 2 2 2 3" xfId="23926" xr:uid="{00000000-0005-0000-0000-000010030000}"/>
    <cellStyle name="Normal 22 2 2 2 3 2" xfId="26159" xr:uid="{00000000-0005-0000-0000-000010030000}"/>
    <cellStyle name="Normal 22 2 2 2 4" xfId="25032" xr:uid="{00000000-0005-0000-0000-000010030000}"/>
    <cellStyle name="Normal 22 2 2 3" xfId="22876" xr:uid="{00000000-0005-0000-0000-000036470000}"/>
    <cellStyle name="Normal 22 2 2 3 2" xfId="24176" xr:uid="{00000000-0005-0000-0000-000012030000}"/>
    <cellStyle name="Normal 22 2 2 3 2 2" xfId="26425" xr:uid="{00000000-0005-0000-0000-000012030000}"/>
    <cellStyle name="Normal 22 2 2 3 3" xfId="25295" xr:uid="{00000000-0005-0000-0000-000012030000}"/>
    <cellStyle name="Normal 22 2 2 4" xfId="23712" xr:uid="{00000000-0005-0000-0000-00000F030000}"/>
    <cellStyle name="Normal 22 2 2 4 2" xfId="25926" xr:uid="{00000000-0005-0000-0000-00000F030000}"/>
    <cellStyle name="Normal 22 2 2 5" xfId="24771" xr:uid="{00000000-0005-0000-0000-00000F030000}"/>
    <cellStyle name="Normal 22 2 3" xfId="22485" xr:uid="{00000000-0005-0000-0000-000037470000}"/>
    <cellStyle name="Normal 22 2 3 2" xfId="23011" xr:uid="{00000000-0005-0000-0000-000038470000}"/>
    <cellStyle name="Normal 22 2 3 2 2" xfId="24309" xr:uid="{00000000-0005-0000-0000-000014030000}"/>
    <cellStyle name="Normal 22 2 3 2 2 2" xfId="26561" xr:uid="{00000000-0005-0000-0000-000014030000}"/>
    <cellStyle name="Normal 22 2 3 2 3" xfId="25427" xr:uid="{00000000-0005-0000-0000-000014030000}"/>
    <cellStyle name="Normal 22 2 3 3" xfId="23821" xr:uid="{00000000-0005-0000-0000-000013030000}"/>
    <cellStyle name="Normal 22 2 3 3 2" xfId="26045" xr:uid="{00000000-0005-0000-0000-000013030000}"/>
    <cellStyle name="Normal 22 2 3 4" xfId="24905" xr:uid="{00000000-0005-0000-0000-000013030000}"/>
    <cellStyle name="Normal 22 2 4" xfId="22747" xr:uid="{00000000-0005-0000-0000-000039470000}"/>
    <cellStyle name="Normal 22 2 4 2" xfId="24060" xr:uid="{00000000-0005-0000-0000-000015030000}"/>
    <cellStyle name="Normal 22 2 4 2 2" xfId="26296" xr:uid="{00000000-0005-0000-0000-000015030000}"/>
    <cellStyle name="Normal 22 2 4 3" xfId="25167" xr:uid="{00000000-0005-0000-0000-000015030000}"/>
    <cellStyle name="Normal 22 2 5" xfId="23614" xr:uid="{00000000-0005-0000-0000-00000E030000}"/>
    <cellStyle name="Normal 22 2 5 2" xfId="25812" xr:uid="{00000000-0005-0000-0000-00000E030000}"/>
    <cellStyle name="Normal 22 2 6" xfId="24645" xr:uid="{00000000-0005-0000-0000-00000E030000}"/>
    <cellStyle name="Normal 22 3" xfId="22304" xr:uid="{00000000-0005-0000-0000-00003A470000}"/>
    <cellStyle name="Normal 22 3 2" xfId="22563" xr:uid="{00000000-0005-0000-0000-00003B470000}"/>
    <cellStyle name="Normal 22 3 2 2" xfId="23089" xr:uid="{00000000-0005-0000-0000-00003C470000}"/>
    <cellStyle name="Normal 22 3 2 2 2" xfId="24383" xr:uid="{00000000-0005-0000-0000-000018030000}"/>
    <cellStyle name="Normal 22 3 2 2 2 2" xfId="26639" xr:uid="{00000000-0005-0000-0000-000018030000}"/>
    <cellStyle name="Normal 22 3 2 2 3" xfId="25503" xr:uid="{00000000-0005-0000-0000-000018030000}"/>
    <cellStyle name="Normal 22 3 2 3" xfId="23879" xr:uid="{00000000-0005-0000-0000-000017030000}"/>
    <cellStyle name="Normal 22 3 2 3 2" xfId="26108" xr:uid="{00000000-0005-0000-0000-000017030000}"/>
    <cellStyle name="Normal 22 3 2 4" xfId="24981" xr:uid="{00000000-0005-0000-0000-000017030000}"/>
    <cellStyle name="Normal 22 3 3" xfId="22825" xr:uid="{00000000-0005-0000-0000-00003D470000}"/>
    <cellStyle name="Normal 22 3 3 2" xfId="24125" xr:uid="{00000000-0005-0000-0000-000019030000}"/>
    <cellStyle name="Normal 22 3 3 2 2" xfId="26374" xr:uid="{00000000-0005-0000-0000-000019030000}"/>
    <cellStyle name="Normal 22 3 3 3" xfId="25245" xr:uid="{00000000-0005-0000-0000-000019030000}"/>
    <cellStyle name="Normal 22 3 4" xfId="23666" xr:uid="{00000000-0005-0000-0000-000016030000}"/>
    <cellStyle name="Normal 22 3 4 2" xfId="25875" xr:uid="{00000000-0005-0000-0000-000016030000}"/>
    <cellStyle name="Normal 22 3 5" xfId="24721" xr:uid="{00000000-0005-0000-0000-000016030000}"/>
    <cellStyle name="Normal 22 4" xfId="22423" xr:uid="{00000000-0005-0000-0000-00003E470000}"/>
    <cellStyle name="Normal 22 4 2" xfId="22949" xr:uid="{00000000-0005-0000-0000-00003F470000}"/>
    <cellStyle name="Normal 22 4 2 2" xfId="24247" xr:uid="{00000000-0005-0000-0000-00001B030000}"/>
    <cellStyle name="Normal 22 4 2 2 2" xfId="26498" xr:uid="{00000000-0005-0000-0000-00001B030000}"/>
    <cellStyle name="Normal 22 4 2 3" xfId="25366" xr:uid="{00000000-0005-0000-0000-00001B030000}"/>
    <cellStyle name="Normal 22 4 3" xfId="23769" xr:uid="{00000000-0005-0000-0000-00001A030000}"/>
    <cellStyle name="Normal 22 4 3 2" xfId="25990" xr:uid="{00000000-0005-0000-0000-00001A030000}"/>
    <cellStyle name="Normal 22 4 4" xfId="24843" xr:uid="{00000000-0005-0000-0000-00001A030000}"/>
    <cellStyle name="Normal 22 5" xfId="22685" xr:uid="{00000000-0005-0000-0000-000040470000}"/>
    <cellStyle name="Normal 22 5 2" xfId="23997" xr:uid="{00000000-0005-0000-0000-00001C030000}"/>
    <cellStyle name="Normal 22 5 2 2" xfId="26233" xr:uid="{00000000-0005-0000-0000-00001C030000}"/>
    <cellStyle name="Normal 22 5 3" xfId="25104" xr:uid="{00000000-0005-0000-0000-00001C030000}"/>
    <cellStyle name="Normal 22 6" xfId="23565" xr:uid="{00000000-0005-0000-0000-00000D030000}"/>
    <cellStyle name="Normal 22 6 2" xfId="25757" xr:uid="{00000000-0005-0000-0000-00000D030000}"/>
    <cellStyle name="Normal 22 7" xfId="24582" xr:uid="{00000000-0005-0000-0000-00000D030000}"/>
    <cellStyle name="Normal 23" xfId="22136" xr:uid="{00000000-0005-0000-0000-000041470000}"/>
    <cellStyle name="Normal 24" xfId="22137" xr:uid="{00000000-0005-0000-0000-000042470000}"/>
    <cellStyle name="Normal 25" xfId="22138" xr:uid="{00000000-0005-0000-0000-000043470000}"/>
    <cellStyle name="Normal 26" xfId="22139" xr:uid="{00000000-0005-0000-0000-000044470000}"/>
    <cellStyle name="Normal 27" xfId="22140" xr:uid="{00000000-0005-0000-0000-000045470000}"/>
    <cellStyle name="Normal 28" xfId="22141" xr:uid="{00000000-0005-0000-0000-000046470000}"/>
    <cellStyle name="Normal 29" xfId="22142" xr:uid="{00000000-0005-0000-0000-000047470000}"/>
    <cellStyle name="Normal 3" xfId="6" xr:uid="{00000000-0005-0000-0000-000048470000}"/>
    <cellStyle name="Normal 3 2" xfId="11609" xr:uid="{00000000-0005-0000-0000-000049470000}"/>
    <cellStyle name="Normal 3 2 2" xfId="21899" xr:uid="{00000000-0005-0000-0000-00004A470000}"/>
    <cellStyle name="Normal 3 2 2 2" xfId="22591" xr:uid="{00000000-0005-0000-0000-00004B470000}"/>
    <cellStyle name="Normal 3 2 2 2 2" xfId="23117" xr:uid="{00000000-0005-0000-0000-00004C470000}"/>
    <cellStyle name="Normal 3 2 2 2 2 2" xfId="24409" xr:uid="{00000000-0005-0000-0000-000028030000}"/>
    <cellStyle name="Normal 3 2 2 2 2 2 2" xfId="26667" xr:uid="{00000000-0005-0000-0000-000028030000}"/>
    <cellStyle name="Normal 3 2 2 2 2 3" xfId="25531" xr:uid="{00000000-0005-0000-0000-000028030000}"/>
    <cellStyle name="Normal 3 2 2 2 3" xfId="23905" xr:uid="{00000000-0005-0000-0000-000027030000}"/>
    <cellStyle name="Normal 3 2 2 2 3 2" xfId="26136" xr:uid="{00000000-0005-0000-0000-000027030000}"/>
    <cellStyle name="Normal 3 2 2 2 4" xfId="25009" xr:uid="{00000000-0005-0000-0000-000027030000}"/>
    <cellStyle name="Normal 3 2 2 3" xfId="22853" xr:uid="{00000000-0005-0000-0000-00004D470000}"/>
    <cellStyle name="Normal 3 2 2 3 2" xfId="24153" xr:uid="{00000000-0005-0000-0000-000029030000}"/>
    <cellStyle name="Normal 3 2 2 3 2 2" xfId="26402" xr:uid="{00000000-0005-0000-0000-000029030000}"/>
    <cellStyle name="Normal 3 2 2 3 3" xfId="25272" xr:uid="{00000000-0005-0000-0000-000029030000}"/>
    <cellStyle name="Normal 3 2 2 4" xfId="23692" xr:uid="{00000000-0005-0000-0000-000026030000}"/>
    <cellStyle name="Normal 3 2 2 4 2" xfId="25903" xr:uid="{00000000-0005-0000-0000-000026030000}"/>
    <cellStyle name="Normal 3 2 2 5" xfId="24748" xr:uid="{00000000-0005-0000-0000-000026030000}"/>
    <cellStyle name="Normal 3 2 3" xfId="21900" xr:uid="{00000000-0005-0000-0000-00004E470000}"/>
    <cellStyle name="Normal 3 2 3 2" xfId="22988" xr:uid="{00000000-0005-0000-0000-00004F470000}"/>
    <cellStyle name="Normal 3 2 3 2 2" xfId="24286" xr:uid="{00000000-0005-0000-0000-00002B030000}"/>
    <cellStyle name="Normal 3 2 3 2 2 2" xfId="26538" xr:uid="{00000000-0005-0000-0000-00002B030000}"/>
    <cellStyle name="Normal 3 2 3 2 3" xfId="25404" xr:uid="{00000000-0005-0000-0000-00002B030000}"/>
    <cellStyle name="Normal 3 2 3 3" xfId="22462" xr:uid="{00000000-0005-0000-0000-000050470000}"/>
    <cellStyle name="Normal 3 2 3 3 2" xfId="26022" xr:uid="{00000000-0005-0000-0000-00002A030000}"/>
    <cellStyle name="Normal 3 2 3 4" xfId="24882" xr:uid="{00000000-0005-0000-0000-00002A030000}"/>
    <cellStyle name="Normal 3 2 4" xfId="22724" xr:uid="{00000000-0005-0000-0000-000051470000}"/>
    <cellStyle name="Normal 3 2 4 2" xfId="24037" xr:uid="{00000000-0005-0000-0000-00002C030000}"/>
    <cellStyle name="Normal 3 2 4 2 2" xfId="26273" xr:uid="{00000000-0005-0000-0000-00002C030000}"/>
    <cellStyle name="Normal 3 2 4 3" xfId="25144" xr:uid="{00000000-0005-0000-0000-00002C030000}"/>
    <cellStyle name="Normal 3 2 5" xfId="23595" xr:uid="{00000000-0005-0000-0000-000025030000}"/>
    <cellStyle name="Normal 3 2 5 2" xfId="25789" xr:uid="{00000000-0005-0000-0000-000025030000}"/>
    <cellStyle name="Normal 3 2 6" xfId="24622" xr:uid="{00000000-0005-0000-0000-000025030000}"/>
    <cellStyle name="Normal 3 3" xfId="11610" xr:uid="{00000000-0005-0000-0000-000052470000}"/>
    <cellStyle name="Normal 3 3 2" xfId="22523" xr:uid="{00000000-0005-0000-0000-000053470000}"/>
    <cellStyle name="Normal 3 3 2 2" xfId="23049" xr:uid="{00000000-0005-0000-0000-000054470000}"/>
    <cellStyle name="Normal 3 3 2 2 2" xfId="24346" xr:uid="{00000000-0005-0000-0000-00002F030000}"/>
    <cellStyle name="Normal 3 3 2 2 2 2" xfId="26599" xr:uid="{00000000-0005-0000-0000-00002F030000}"/>
    <cellStyle name="Normal 3 3 2 2 3" xfId="25465" xr:uid="{00000000-0005-0000-0000-00002F030000}"/>
    <cellStyle name="Normal 3 3 2 3" xfId="23858" xr:uid="{00000000-0005-0000-0000-00002E030000}"/>
    <cellStyle name="Normal 3 3 2 3 2" xfId="26083" xr:uid="{00000000-0005-0000-0000-00002E030000}"/>
    <cellStyle name="Normal 3 3 2 4" xfId="24943" xr:uid="{00000000-0005-0000-0000-00002E030000}"/>
    <cellStyle name="Normal 3 3 3" xfId="22785" xr:uid="{00000000-0005-0000-0000-000055470000}"/>
    <cellStyle name="Normal 3 3 3 2" xfId="24097" xr:uid="{00000000-0005-0000-0000-000030030000}"/>
    <cellStyle name="Normal 3 3 3 2 2" xfId="26334" xr:uid="{00000000-0005-0000-0000-000030030000}"/>
    <cellStyle name="Normal 3 3 3 3" xfId="25205" xr:uid="{00000000-0005-0000-0000-000030030000}"/>
    <cellStyle name="Normal 3 3 4" xfId="22267" xr:uid="{00000000-0005-0000-0000-000056470000}"/>
    <cellStyle name="Normal 3 3 4 2" xfId="25850" xr:uid="{00000000-0005-0000-0000-00002D030000}"/>
    <cellStyle name="Normal 3 3 5" xfId="24683" xr:uid="{00000000-0005-0000-0000-00002D030000}"/>
    <cellStyle name="Normal 3 4" xfId="11611" xr:uid="{00000000-0005-0000-0000-000057470000}"/>
    <cellStyle name="Normal 3 4 2" xfId="22918" xr:uid="{00000000-0005-0000-0000-000058470000}"/>
    <cellStyle name="Normal 3 4 2 2" xfId="24217" xr:uid="{00000000-0005-0000-0000-000032030000}"/>
    <cellStyle name="Normal 3 4 2 2 2" xfId="26467" xr:uid="{00000000-0005-0000-0000-000032030000}"/>
    <cellStyle name="Normal 3 4 2 3" xfId="25337" xr:uid="{00000000-0005-0000-0000-000032030000}"/>
    <cellStyle name="Normal 3 4 3" xfId="22395" xr:uid="{00000000-0005-0000-0000-000059470000}"/>
    <cellStyle name="Normal 3 4 3 2" xfId="25967" xr:uid="{00000000-0005-0000-0000-000031030000}"/>
    <cellStyle name="Normal 3 4 4" xfId="24812" xr:uid="{00000000-0005-0000-0000-000031030000}"/>
    <cellStyle name="Normal 3 5" xfId="11612" xr:uid="{00000000-0005-0000-0000-00005A470000}"/>
    <cellStyle name="Normal 3 5 2" xfId="22657" xr:uid="{00000000-0005-0000-0000-00005B470000}"/>
    <cellStyle name="Normal 3 5 2 2" xfId="26202" xr:uid="{00000000-0005-0000-0000-000033030000}"/>
    <cellStyle name="Normal 3 5 3" xfId="25075" xr:uid="{00000000-0005-0000-0000-000033030000}"/>
    <cellStyle name="Normal 3 6" xfId="14134" xr:uid="{00000000-0005-0000-0000-00005C470000}"/>
    <cellStyle name="Normal 3 6 2" xfId="23243" xr:uid="{00000000-0005-0000-0000-00005D470000}"/>
    <cellStyle name="Normal 3 6 2 2" xfId="26747" xr:uid="{00000000-0005-0000-0000-000034030000}"/>
    <cellStyle name="Normal 3 6 3" xfId="25655" xr:uid="{00000000-0005-0000-0000-000034030000}"/>
    <cellStyle name="Normal 3 7" xfId="21747" xr:uid="{00000000-0005-0000-0000-00005E470000}"/>
    <cellStyle name="Normal 3 7 2" xfId="21901" xr:uid="{00000000-0005-0000-0000-00005F470000}"/>
    <cellStyle name="Normal 3 7 2 2" xfId="25734" xr:uid="{00000000-0005-0000-0000-000024030000}"/>
    <cellStyle name="Normal 3 7 3" xfId="23562" xr:uid="{00000000-0005-0000-0000-000024030000}"/>
    <cellStyle name="Normal 3 8" xfId="24544" xr:uid="{00000000-0005-0000-0000-000024030000}"/>
    <cellStyle name="Normal 30" xfId="22143" xr:uid="{00000000-0005-0000-0000-000060470000}"/>
    <cellStyle name="Normal 31" xfId="22144" xr:uid="{00000000-0005-0000-0000-000061470000}"/>
    <cellStyle name="Normal 32" xfId="22145" xr:uid="{00000000-0005-0000-0000-000062470000}"/>
    <cellStyle name="Normal 32 2" xfId="22229" xr:uid="{00000000-0005-0000-0000-000063470000}"/>
    <cellStyle name="Normal 32 2 2" xfId="22355" xr:uid="{00000000-0005-0000-0000-000064470000}"/>
    <cellStyle name="Normal 32 2 2 2" xfId="22615" xr:uid="{00000000-0005-0000-0000-000065470000}"/>
    <cellStyle name="Normal 32 2 2 2 2" xfId="23141" xr:uid="{00000000-0005-0000-0000-000066470000}"/>
    <cellStyle name="Normal 32 2 2 2 2 2" xfId="24433" xr:uid="{00000000-0005-0000-0000-00003B030000}"/>
    <cellStyle name="Normal 32 2 2 2 2 2 2" xfId="26691" xr:uid="{00000000-0005-0000-0000-00003B030000}"/>
    <cellStyle name="Normal 32 2 2 2 2 3" xfId="25555" xr:uid="{00000000-0005-0000-0000-00003B030000}"/>
    <cellStyle name="Normal 32 2 2 2 3" xfId="23927" xr:uid="{00000000-0005-0000-0000-00003A030000}"/>
    <cellStyle name="Normal 32 2 2 2 3 2" xfId="26160" xr:uid="{00000000-0005-0000-0000-00003A030000}"/>
    <cellStyle name="Normal 32 2 2 2 4" xfId="25033" xr:uid="{00000000-0005-0000-0000-00003A030000}"/>
    <cellStyle name="Normal 32 2 2 3" xfId="22877" xr:uid="{00000000-0005-0000-0000-000067470000}"/>
    <cellStyle name="Normal 32 2 2 3 2" xfId="24177" xr:uid="{00000000-0005-0000-0000-00003C030000}"/>
    <cellStyle name="Normal 32 2 2 3 2 2" xfId="26426" xr:uid="{00000000-0005-0000-0000-00003C030000}"/>
    <cellStyle name="Normal 32 2 2 3 3" xfId="25296" xr:uid="{00000000-0005-0000-0000-00003C030000}"/>
    <cellStyle name="Normal 32 2 2 4" xfId="23713" xr:uid="{00000000-0005-0000-0000-000039030000}"/>
    <cellStyle name="Normal 32 2 2 4 2" xfId="25927" xr:uid="{00000000-0005-0000-0000-000039030000}"/>
    <cellStyle name="Normal 32 2 2 5" xfId="24772" xr:uid="{00000000-0005-0000-0000-000039030000}"/>
    <cellStyle name="Normal 32 2 3" xfId="22486" xr:uid="{00000000-0005-0000-0000-000068470000}"/>
    <cellStyle name="Normal 32 2 3 2" xfId="23012" xr:uid="{00000000-0005-0000-0000-000069470000}"/>
    <cellStyle name="Normal 32 2 3 2 2" xfId="24310" xr:uid="{00000000-0005-0000-0000-00003E030000}"/>
    <cellStyle name="Normal 32 2 3 2 2 2" xfId="26562" xr:uid="{00000000-0005-0000-0000-00003E030000}"/>
    <cellStyle name="Normal 32 2 3 2 3" xfId="25428" xr:uid="{00000000-0005-0000-0000-00003E030000}"/>
    <cellStyle name="Normal 32 2 3 3" xfId="23822" xr:uid="{00000000-0005-0000-0000-00003D030000}"/>
    <cellStyle name="Normal 32 2 3 3 2" xfId="26046" xr:uid="{00000000-0005-0000-0000-00003D030000}"/>
    <cellStyle name="Normal 32 2 3 4" xfId="24906" xr:uid="{00000000-0005-0000-0000-00003D030000}"/>
    <cellStyle name="Normal 32 2 4" xfId="22748" xr:uid="{00000000-0005-0000-0000-00006A470000}"/>
    <cellStyle name="Normal 32 2 4 2" xfId="24061" xr:uid="{00000000-0005-0000-0000-00003F030000}"/>
    <cellStyle name="Normal 32 2 4 2 2" xfId="26297" xr:uid="{00000000-0005-0000-0000-00003F030000}"/>
    <cellStyle name="Normal 32 2 4 3" xfId="25168" xr:uid="{00000000-0005-0000-0000-00003F030000}"/>
    <cellStyle name="Normal 32 2 5" xfId="23615" xr:uid="{00000000-0005-0000-0000-000038030000}"/>
    <cellStyle name="Normal 32 2 5 2" xfId="25813" xr:uid="{00000000-0005-0000-0000-000038030000}"/>
    <cellStyle name="Normal 32 2 6" xfId="24646" xr:uid="{00000000-0005-0000-0000-000038030000}"/>
    <cellStyle name="Normal 32 3" xfId="22305" xr:uid="{00000000-0005-0000-0000-00006B470000}"/>
    <cellStyle name="Normal 32 3 2" xfId="22564" xr:uid="{00000000-0005-0000-0000-00006C470000}"/>
    <cellStyle name="Normal 32 3 2 2" xfId="23090" xr:uid="{00000000-0005-0000-0000-00006D470000}"/>
    <cellStyle name="Normal 32 3 2 2 2" xfId="24384" xr:uid="{00000000-0005-0000-0000-000042030000}"/>
    <cellStyle name="Normal 32 3 2 2 2 2" xfId="26640" xr:uid="{00000000-0005-0000-0000-000042030000}"/>
    <cellStyle name="Normal 32 3 2 2 3" xfId="25504" xr:uid="{00000000-0005-0000-0000-000042030000}"/>
    <cellStyle name="Normal 32 3 2 3" xfId="23880" xr:uid="{00000000-0005-0000-0000-000041030000}"/>
    <cellStyle name="Normal 32 3 2 3 2" xfId="26109" xr:uid="{00000000-0005-0000-0000-000041030000}"/>
    <cellStyle name="Normal 32 3 2 4" xfId="24982" xr:uid="{00000000-0005-0000-0000-000041030000}"/>
    <cellStyle name="Normal 32 3 3" xfId="22826" xr:uid="{00000000-0005-0000-0000-00006E470000}"/>
    <cellStyle name="Normal 32 3 3 2" xfId="24126" xr:uid="{00000000-0005-0000-0000-000043030000}"/>
    <cellStyle name="Normal 32 3 3 2 2" xfId="26375" xr:uid="{00000000-0005-0000-0000-000043030000}"/>
    <cellStyle name="Normal 32 3 3 3" xfId="25246" xr:uid="{00000000-0005-0000-0000-000043030000}"/>
    <cellStyle name="Normal 32 3 4" xfId="23667" xr:uid="{00000000-0005-0000-0000-000040030000}"/>
    <cellStyle name="Normal 32 3 4 2" xfId="25876" xr:uid="{00000000-0005-0000-0000-000040030000}"/>
    <cellStyle name="Normal 32 3 5" xfId="24722" xr:uid="{00000000-0005-0000-0000-000040030000}"/>
    <cellStyle name="Normal 32 4" xfId="22424" xr:uid="{00000000-0005-0000-0000-00006F470000}"/>
    <cellStyle name="Normal 32 4 2" xfId="22950" xr:uid="{00000000-0005-0000-0000-000070470000}"/>
    <cellStyle name="Normal 32 4 2 2" xfId="24248" xr:uid="{00000000-0005-0000-0000-000045030000}"/>
    <cellStyle name="Normal 32 4 2 2 2" xfId="26499" xr:uid="{00000000-0005-0000-0000-000045030000}"/>
    <cellStyle name="Normal 32 4 2 3" xfId="25367" xr:uid="{00000000-0005-0000-0000-000045030000}"/>
    <cellStyle name="Normal 32 4 3" xfId="23770" xr:uid="{00000000-0005-0000-0000-000044030000}"/>
    <cellStyle name="Normal 32 4 3 2" xfId="25991" xr:uid="{00000000-0005-0000-0000-000044030000}"/>
    <cellStyle name="Normal 32 4 4" xfId="24844" xr:uid="{00000000-0005-0000-0000-000044030000}"/>
    <cellStyle name="Normal 32 5" xfId="22686" xr:uid="{00000000-0005-0000-0000-000071470000}"/>
    <cellStyle name="Normal 32 5 2" xfId="23998" xr:uid="{00000000-0005-0000-0000-000046030000}"/>
    <cellStyle name="Normal 32 5 2 2" xfId="26234" xr:uid="{00000000-0005-0000-0000-000046030000}"/>
    <cellStyle name="Normal 32 5 3" xfId="25105" xr:uid="{00000000-0005-0000-0000-000046030000}"/>
    <cellStyle name="Normal 32 6" xfId="23566" xr:uid="{00000000-0005-0000-0000-000037030000}"/>
    <cellStyle name="Normal 32 6 2" xfId="25758" xr:uid="{00000000-0005-0000-0000-000037030000}"/>
    <cellStyle name="Normal 32 7" xfId="24583" xr:uid="{00000000-0005-0000-0000-000037030000}"/>
    <cellStyle name="Normal 33" xfId="22146" xr:uid="{00000000-0005-0000-0000-000072470000}"/>
    <cellStyle name="Normal 33 2" xfId="22147" xr:uid="{00000000-0005-0000-0000-000073470000}"/>
    <cellStyle name="Normal 34" xfId="22148" xr:uid="{00000000-0005-0000-0000-000074470000}"/>
    <cellStyle name="Normal 35" xfId="22149" xr:uid="{00000000-0005-0000-0000-000075470000}"/>
    <cellStyle name="Normal 36" xfId="22150" xr:uid="{00000000-0005-0000-0000-000076470000}"/>
    <cellStyle name="Normal 37" xfId="22151" xr:uid="{00000000-0005-0000-0000-000077470000}"/>
    <cellStyle name="Normal 37 2" xfId="22230" xr:uid="{00000000-0005-0000-0000-000078470000}"/>
    <cellStyle name="Normal 37 2 2" xfId="22356" xr:uid="{00000000-0005-0000-0000-000079470000}"/>
    <cellStyle name="Normal 37 2 2 2" xfId="22616" xr:uid="{00000000-0005-0000-0000-00007A470000}"/>
    <cellStyle name="Normal 37 2 2 2 2" xfId="23142" xr:uid="{00000000-0005-0000-0000-00007B470000}"/>
    <cellStyle name="Normal 37 2 2 2 2 2" xfId="24434" xr:uid="{00000000-0005-0000-0000-000050030000}"/>
    <cellStyle name="Normal 37 2 2 2 2 2 2" xfId="26692" xr:uid="{00000000-0005-0000-0000-000050030000}"/>
    <cellStyle name="Normal 37 2 2 2 2 3" xfId="25556" xr:uid="{00000000-0005-0000-0000-000050030000}"/>
    <cellStyle name="Normal 37 2 2 2 3" xfId="23928" xr:uid="{00000000-0005-0000-0000-00004F030000}"/>
    <cellStyle name="Normal 37 2 2 2 3 2" xfId="26161" xr:uid="{00000000-0005-0000-0000-00004F030000}"/>
    <cellStyle name="Normal 37 2 2 2 4" xfId="25034" xr:uid="{00000000-0005-0000-0000-00004F030000}"/>
    <cellStyle name="Normal 37 2 2 3" xfId="22878" xr:uid="{00000000-0005-0000-0000-00007C470000}"/>
    <cellStyle name="Normal 37 2 2 3 2" xfId="24178" xr:uid="{00000000-0005-0000-0000-000051030000}"/>
    <cellStyle name="Normal 37 2 2 3 2 2" xfId="26427" xr:uid="{00000000-0005-0000-0000-000051030000}"/>
    <cellStyle name="Normal 37 2 2 3 3" xfId="25297" xr:uid="{00000000-0005-0000-0000-000051030000}"/>
    <cellStyle name="Normal 37 2 2 4" xfId="23714" xr:uid="{00000000-0005-0000-0000-00004E030000}"/>
    <cellStyle name="Normal 37 2 2 4 2" xfId="25928" xr:uid="{00000000-0005-0000-0000-00004E030000}"/>
    <cellStyle name="Normal 37 2 2 5" xfId="24773" xr:uid="{00000000-0005-0000-0000-00004E030000}"/>
    <cellStyle name="Normal 37 2 3" xfId="22487" xr:uid="{00000000-0005-0000-0000-00007D470000}"/>
    <cellStyle name="Normal 37 2 3 2" xfId="23013" xr:uid="{00000000-0005-0000-0000-00007E470000}"/>
    <cellStyle name="Normal 37 2 3 2 2" xfId="24311" xr:uid="{00000000-0005-0000-0000-000053030000}"/>
    <cellStyle name="Normal 37 2 3 2 2 2" xfId="26563" xr:uid="{00000000-0005-0000-0000-000053030000}"/>
    <cellStyle name="Normal 37 2 3 2 3" xfId="25429" xr:uid="{00000000-0005-0000-0000-000053030000}"/>
    <cellStyle name="Normal 37 2 3 3" xfId="23823" xr:uid="{00000000-0005-0000-0000-000052030000}"/>
    <cellStyle name="Normal 37 2 3 3 2" xfId="26047" xr:uid="{00000000-0005-0000-0000-000052030000}"/>
    <cellStyle name="Normal 37 2 3 4" xfId="24907" xr:uid="{00000000-0005-0000-0000-000052030000}"/>
    <cellStyle name="Normal 37 2 4" xfId="22749" xr:uid="{00000000-0005-0000-0000-00007F470000}"/>
    <cellStyle name="Normal 37 2 4 2" xfId="24062" xr:uid="{00000000-0005-0000-0000-000054030000}"/>
    <cellStyle name="Normal 37 2 4 2 2" xfId="26298" xr:uid="{00000000-0005-0000-0000-000054030000}"/>
    <cellStyle name="Normal 37 2 4 3" xfId="25169" xr:uid="{00000000-0005-0000-0000-000054030000}"/>
    <cellStyle name="Normal 37 2 5" xfId="23616" xr:uid="{00000000-0005-0000-0000-00004D030000}"/>
    <cellStyle name="Normal 37 2 5 2" xfId="25814" xr:uid="{00000000-0005-0000-0000-00004D030000}"/>
    <cellStyle name="Normal 37 2 6" xfId="24647" xr:uid="{00000000-0005-0000-0000-00004D030000}"/>
    <cellStyle name="Normal 37 3" xfId="22306" xr:uid="{00000000-0005-0000-0000-000080470000}"/>
    <cellStyle name="Normal 37 3 2" xfId="22565" xr:uid="{00000000-0005-0000-0000-000081470000}"/>
    <cellStyle name="Normal 37 3 2 2" xfId="23091" xr:uid="{00000000-0005-0000-0000-000082470000}"/>
    <cellStyle name="Normal 37 3 2 2 2" xfId="24385" xr:uid="{00000000-0005-0000-0000-000057030000}"/>
    <cellStyle name="Normal 37 3 2 2 2 2" xfId="26641" xr:uid="{00000000-0005-0000-0000-000057030000}"/>
    <cellStyle name="Normal 37 3 2 2 3" xfId="25505" xr:uid="{00000000-0005-0000-0000-000057030000}"/>
    <cellStyle name="Normal 37 3 2 3" xfId="23881" xr:uid="{00000000-0005-0000-0000-000056030000}"/>
    <cellStyle name="Normal 37 3 2 3 2" xfId="26110" xr:uid="{00000000-0005-0000-0000-000056030000}"/>
    <cellStyle name="Normal 37 3 2 4" xfId="24983" xr:uid="{00000000-0005-0000-0000-000056030000}"/>
    <cellStyle name="Normal 37 3 3" xfId="22827" xr:uid="{00000000-0005-0000-0000-000083470000}"/>
    <cellStyle name="Normal 37 3 3 2" xfId="24127" xr:uid="{00000000-0005-0000-0000-000058030000}"/>
    <cellStyle name="Normal 37 3 3 2 2" xfId="26376" xr:uid="{00000000-0005-0000-0000-000058030000}"/>
    <cellStyle name="Normal 37 3 3 3" xfId="25247" xr:uid="{00000000-0005-0000-0000-000058030000}"/>
    <cellStyle name="Normal 37 3 4" xfId="23668" xr:uid="{00000000-0005-0000-0000-000055030000}"/>
    <cellStyle name="Normal 37 3 4 2" xfId="25877" xr:uid="{00000000-0005-0000-0000-000055030000}"/>
    <cellStyle name="Normal 37 3 5" xfId="24723" xr:uid="{00000000-0005-0000-0000-000055030000}"/>
    <cellStyle name="Normal 37 4" xfId="22425" xr:uid="{00000000-0005-0000-0000-000084470000}"/>
    <cellStyle name="Normal 37 4 2" xfId="22951" xr:uid="{00000000-0005-0000-0000-000085470000}"/>
    <cellStyle name="Normal 37 4 2 2" xfId="24249" xr:uid="{00000000-0005-0000-0000-00005A030000}"/>
    <cellStyle name="Normal 37 4 2 2 2" xfId="26500" xr:uid="{00000000-0005-0000-0000-00005A030000}"/>
    <cellStyle name="Normal 37 4 2 3" xfId="25368" xr:uid="{00000000-0005-0000-0000-00005A030000}"/>
    <cellStyle name="Normal 37 4 3" xfId="23771" xr:uid="{00000000-0005-0000-0000-000059030000}"/>
    <cellStyle name="Normal 37 4 3 2" xfId="25992" xr:uid="{00000000-0005-0000-0000-000059030000}"/>
    <cellStyle name="Normal 37 4 4" xfId="24845" xr:uid="{00000000-0005-0000-0000-000059030000}"/>
    <cellStyle name="Normal 37 5" xfId="22687" xr:uid="{00000000-0005-0000-0000-000086470000}"/>
    <cellStyle name="Normal 37 5 2" xfId="23999" xr:uid="{00000000-0005-0000-0000-00005B030000}"/>
    <cellStyle name="Normal 37 5 2 2" xfId="26235" xr:uid="{00000000-0005-0000-0000-00005B030000}"/>
    <cellStyle name="Normal 37 5 3" xfId="25106" xr:uid="{00000000-0005-0000-0000-00005B030000}"/>
    <cellStyle name="Normal 37 6" xfId="23567" xr:uid="{00000000-0005-0000-0000-00004C030000}"/>
    <cellStyle name="Normal 37 6 2" xfId="25759" xr:uid="{00000000-0005-0000-0000-00004C030000}"/>
    <cellStyle name="Normal 37 7" xfId="24584" xr:uid="{00000000-0005-0000-0000-00004C030000}"/>
    <cellStyle name="Normal 38" xfId="22152" xr:uid="{00000000-0005-0000-0000-000087470000}"/>
    <cellStyle name="Normal 38 2" xfId="22231" xr:uid="{00000000-0005-0000-0000-000088470000}"/>
    <cellStyle name="Normal 38 2 2" xfId="22357" xr:uid="{00000000-0005-0000-0000-000089470000}"/>
    <cellStyle name="Normal 38 2 2 2" xfId="22617" xr:uid="{00000000-0005-0000-0000-00008A470000}"/>
    <cellStyle name="Normal 38 2 2 2 2" xfId="23143" xr:uid="{00000000-0005-0000-0000-00008B470000}"/>
    <cellStyle name="Normal 38 2 2 2 2 2" xfId="24435" xr:uid="{00000000-0005-0000-0000-000060030000}"/>
    <cellStyle name="Normal 38 2 2 2 2 2 2" xfId="26693" xr:uid="{00000000-0005-0000-0000-000060030000}"/>
    <cellStyle name="Normal 38 2 2 2 2 3" xfId="25557" xr:uid="{00000000-0005-0000-0000-000060030000}"/>
    <cellStyle name="Normal 38 2 2 2 3" xfId="23929" xr:uid="{00000000-0005-0000-0000-00005F030000}"/>
    <cellStyle name="Normal 38 2 2 2 3 2" xfId="26162" xr:uid="{00000000-0005-0000-0000-00005F030000}"/>
    <cellStyle name="Normal 38 2 2 2 4" xfId="25035" xr:uid="{00000000-0005-0000-0000-00005F030000}"/>
    <cellStyle name="Normal 38 2 2 3" xfId="22879" xr:uid="{00000000-0005-0000-0000-00008C470000}"/>
    <cellStyle name="Normal 38 2 2 3 2" xfId="24179" xr:uid="{00000000-0005-0000-0000-000061030000}"/>
    <cellStyle name="Normal 38 2 2 3 2 2" xfId="26428" xr:uid="{00000000-0005-0000-0000-000061030000}"/>
    <cellStyle name="Normal 38 2 2 3 3" xfId="25298" xr:uid="{00000000-0005-0000-0000-000061030000}"/>
    <cellStyle name="Normal 38 2 2 4" xfId="23715" xr:uid="{00000000-0005-0000-0000-00005E030000}"/>
    <cellStyle name="Normal 38 2 2 4 2" xfId="25929" xr:uid="{00000000-0005-0000-0000-00005E030000}"/>
    <cellStyle name="Normal 38 2 2 5" xfId="24774" xr:uid="{00000000-0005-0000-0000-00005E030000}"/>
    <cellStyle name="Normal 38 2 3" xfId="22488" xr:uid="{00000000-0005-0000-0000-00008D470000}"/>
    <cellStyle name="Normal 38 2 3 2" xfId="23014" xr:uid="{00000000-0005-0000-0000-00008E470000}"/>
    <cellStyle name="Normal 38 2 3 2 2" xfId="24312" xr:uid="{00000000-0005-0000-0000-000063030000}"/>
    <cellStyle name="Normal 38 2 3 2 2 2" xfId="26564" xr:uid="{00000000-0005-0000-0000-000063030000}"/>
    <cellStyle name="Normal 38 2 3 2 3" xfId="25430" xr:uid="{00000000-0005-0000-0000-000063030000}"/>
    <cellStyle name="Normal 38 2 3 3" xfId="23824" xr:uid="{00000000-0005-0000-0000-000062030000}"/>
    <cellStyle name="Normal 38 2 3 3 2" xfId="26048" xr:uid="{00000000-0005-0000-0000-000062030000}"/>
    <cellStyle name="Normal 38 2 3 4" xfId="24908" xr:uid="{00000000-0005-0000-0000-000062030000}"/>
    <cellStyle name="Normal 38 2 4" xfId="22750" xr:uid="{00000000-0005-0000-0000-00008F470000}"/>
    <cellStyle name="Normal 38 2 4 2" xfId="24063" xr:uid="{00000000-0005-0000-0000-000064030000}"/>
    <cellStyle name="Normal 38 2 4 2 2" xfId="26299" xr:uid="{00000000-0005-0000-0000-000064030000}"/>
    <cellStyle name="Normal 38 2 4 3" xfId="25170" xr:uid="{00000000-0005-0000-0000-000064030000}"/>
    <cellStyle name="Normal 38 2 5" xfId="23617" xr:uid="{00000000-0005-0000-0000-00005D030000}"/>
    <cellStyle name="Normal 38 2 5 2" xfId="25815" xr:uid="{00000000-0005-0000-0000-00005D030000}"/>
    <cellStyle name="Normal 38 2 6" xfId="24648" xr:uid="{00000000-0005-0000-0000-00005D030000}"/>
    <cellStyle name="Normal 38 3" xfId="22307" xr:uid="{00000000-0005-0000-0000-000090470000}"/>
    <cellStyle name="Normal 38 3 2" xfId="22566" xr:uid="{00000000-0005-0000-0000-000091470000}"/>
    <cellStyle name="Normal 38 3 2 2" xfId="23092" xr:uid="{00000000-0005-0000-0000-000092470000}"/>
    <cellStyle name="Normal 38 3 2 2 2" xfId="24386" xr:uid="{00000000-0005-0000-0000-000067030000}"/>
    <cellStyle name="Normal 38 3 2 2 2 2" xfId="26642" xr:uid="{00000000-0005-0000-0000-000067030000}"/>
    <cellStyle name="Normal 38 3 2 2 3" xfId="25506" xr:uid="{00000000-0005-0000-0000-000067030000}"/>
    <cellStyle name="Normal 38 3 2 3" xfId="23882" xr:uid="{00000000-0005-0000-0000-000066030000}"/>
    <cellStyle name="Normal 38 3 2 3 2" xfId="26111" xr:uid="{00000000-0005-0000-0000-000066030000}"/>
    <cellStyle name="Normal 38 3 2 4" xfId="24984" xr:uid="{00000000-0005-0000-0000-000066030000}"/>
    <cellStyle name="Normal 38 3 3" xfId="22828" xr:uid="{00000000-0005-0000-0000-000093470000}"/>
    <cellStyle name="Normal 38 3 3 2" xfId="24128" xr:uid="{00000000-0005-0000-0000-000068030000}"/>
    <cellStyle name="Normal 38 3 3 2 2" xfId="26377" xr:uid="{00000000-0005-0000-0000-000068030000}"/>
    <cellStyle name="Normal 38 3 3 3" xfId="25248" xr:uid="{00000000-0005-0000-0000-000068030000}"/>
    <cellStyle name="Normal 38 3 4" xfId="23669" xr:uid="{00000000-0005-0000-0000-000065030000}"/>
    <cellStyle name="Normal 38 3 4 2" xfId="25878" xr:uid="{00000000-0005-0000-0000-000065030000}"/>
    <cellStyle name="Normal 38 3 5" xfId="24724" xr:uid="{00000000-0005-0000-0000-000065030000}"/>
    <cellStyle name="Normal 38 4" xfId="22426" xr:uid="{00000000-0005-0000-0000-000094470000}"/>
    <cellStyle name="Normal 38 4 2" xfId="22952" xr:uid="{00000000-0005-0000-0000-000095470000}"/>
    <cellStyle name="Normal 38 4 2 2" xfId="24250" xr:uid="{00000000-0005-0000-0000-00006A030000}"/>
    <cellStyle name="Normal 38 4 2 2 2" xfId="26501" xr:uid="{00000000-0005-0000-0000-00006A030000}"/>
    <cellStyle name="Normal 38 4 2 3" xfId="25369" xr:uid="{00000000-0005-0000-0000-00006A030000}"/>
    <cellStyle name="Normal 38 4 3" xfId="23772" xr:uid="{00000000-0005-0000-0000-000069030000}"/>
    <cellStyle name="Normal 38 4 3 2" xfId="25993" xr:uid="{00000000-0005-0000-0000-000069030000}"/>
    <cellStyle name="Normal 38 4 4" xfId="24846" xr:uid="{00000000-0005-0000-0000-000069030000}"/>
    <cellStyle name="Normal 38 5" xfId="22688" xr:uid="{00000000-0005-0000-0000-000096470000}"/>
    <cellStyle name="Normal 38 5 2" xfId="24000" xr:uid="{00000000-0005-0000-0000-00006B030000}"/>
    <cellStyle name="Normal 38 5 2 2" xfId="26236" xr:uid="{00000000-0005-0000-0000-00006B030000}"/>
    <cellStyle name="Normal 38 5 3" xfId="25107" xr:uid="{00000000-0005-0000-0000-00006B030000}"/>
    <cellStyle name="Normal 38 6" xfId="23568" xr:uid="{00000000-0005-0000-0000-00005C030000}"/>
    <cellStyle name="Normal 38 6 2" xfId="25760" xr:uid="{00000000-0005-0000-0000-00005C030000}"/>
    <cellStyle name="Normal 38 7" xfId="24585" xr:uid="{00000000-0005-0000-0000-00005C030000}"/>
    <cellStyle name="Normal 39" xfId="22153" xr:uid="{00000000-0005-0000-0000-000097470000}"/>
    <cellStyle name="Normal 39 2" xfId="22232" xr:uid="{00000000-0005-0000-0000-000098470000}"/>
    <cellStyle name="Normal 39 2 2" xfId="22358" xr:uid="{00000000-0005-0000-0000-000099470000}"/>
    <cellStyle name="Normal 39 2 2 2" xfId="22618" xr:uid="{00000000-0005-0000-0000-00009A470000}"/>
    <cellStyle name="Normal 39 2 2 2 2" xfId="23144" xr:uid="{00000000-0005-0000-0000-00009B470000}"/>
    <cellStyle name="Normal 39 2 2 2 2 2" xfId="24436" xr:uid="{00000000-0005-0000-0000-000070030000}"/>
    <cellStyle name="Normal 39 2 2 2 2 2 2" xfId="26694" xr:uid="{00000000-0005-0000-0000-000070030000}"/>
    <cellStyle name="Normal 39 2 2 2 2 3" xfId="25558" xr:uid="{00000000-0005-0000-0000-000070030000}"/>
    <cellStyle name="Normal 39 2 2 2 3" xfId="23930" xr:uid="{00000000-0005-0000-0000-00006F030000}"/>
    <cellStyle name="Normal 39 2 2 2 3 2" xfId="26163" xr:uid="{00000000-0005-0000-0000-00006F030000}"/>
    <cellStyle name="Normal 39 2 2 2 4" xfId="25036" xr:uid="{00000000-0005-0000-0000-00006F030000}"/>
    <cellStyle name="Normal 39 2 2 3" xfId="22880" xr:uid="{00000000-0005-0000-0000-00009C470000}"/>
    <cellStyle name="Normal 39 2 2 3 2" xfId="24180" xr:uid="{00000000-0005-0000-0000-000071030000}"/>
    <cellStyle name="Normal 39 2 2 3 2 2" xfId="26429" xr:uid="{00000000-0005-0000-0000-000071030000}"/>
    <cellStyle name="Normal 39 2 2 3 3" xfId="25299" xr:uid="{00000000-0005-0000-0000-000071030000}"/>
    <cellStyle name="Normal 39 2 2 4" xfId="23716" xr:uid="{00000000-0005-0000-0000-00006E030000}"/>
    <cellStyle name="Normal 39 2 2 4 2" xfId="25930" xr:uid="{00000000-0005-0000-0000-00006E030000}"/>
    <cellStyle name="Normal 39 2 2 5" xfId="24775" xr:uid="{00000000-0005-0000-0000-00006E030000}"/>
    <cellStyle name="Normal 39 2 3" xfId="22489" xr:uid="{00000000-0005-0000-0000-00009D470000}"/>
    <cellStyle name="Normal 39 2 3 2" xfId="23015" xr:uid="{00000000-0005-0000-0000-00009E470000}"/>
    <cellStyle name="Normal 39 2 3 2 2" xfId="24313" xr:uid="{00000000-0005-0000-0000-000073030000}"/>
    <cellStyle name="Normal 39 2 3 2 2 2" xfId="26565" xr:uid="{00000000-0005-0000-0000-000073030000}"/>
    <cellStyle name="Normal 39 2 3 2 3" xfId="25431" xr:uid="{00000000-0005-0000-0000-000073030000}"/>
    <cellStyle name="Normal 39 2 3 3" xfId="23825" xr:uid="{00000000-0005-0000-0000-000072030000}"/>
    <cellStyle name="Normal 39 2 3 3 2" xfId="26049" xr:uid="{00000000-0005-0000-0000-000072030000}"/>
    <cellStyle name="Normal 39 2 3 4" xfId="24909" xr:uid="{00000000-0005-0000-0000-000072030000}"/>
    <cellStyle name="Normal 39 2 4" xfId="22751" xr:uid="{00000000-0005-0000-0000-00009F470000}"/>
    <cellStyle name="Normal 39 2 4 2" xfId="24064" xr:uid="{00000000-0005-0000-0000-000074030000}"/>
    <cellStyle name="Normal 39 2 4 2 2" xfId="26300" xr:uid="{00000000-0005-0000-0000-000074030000}"/>
    <cellStyle name="Normal 39 2 4 3" xfId="25171" xr:uid="{00000000-0005-0000-0000-000074030000}"/>
    <cellStyle name="Normal 39 2 5" xfId="23618" xr:uid="{00000000-0005-0000-0000-00006D030000}"/>
    <cellStyle name="Normal 39 2 5 2" xfId="25816" xr:uid="{00000000-0005-0000-0000-00006D030000}"/>
    <cellStyle name="Normal 39 2 6" xfId="24649" xr:uid="{00000000-0005-0000-0000-00006D030000}"/>
    <cellStyle name="Normal 39 3" xfId="22308" xr:uid="{00000000-0005-0000-0000-0000A0470000}"/>
    <cellStyle name="Normal 39 3 2" xfId="22567" xr:uid="{00000000-0005-0000-0000-0000A1470000}"/>
    <cellStyle name="Normal 39 3 2 2" xfId="23093" xr:uid="{00000000-0005-0000-0000-0000A2470000}"/>
    <cellStyle name="Normal 39 3 2 2 2" xfId="24387" xr:uid="{00000000-0005-0000-0000-000077030000}"/>
    <cellStyle name="Normal 39 3 2 2 2 2" xfId="26643" xr:uid="{00000000-0005-0000-0000-000077030000}"/>
    <cellStyle name="Normal 39 3 2 2 3" xfId="25507" xr:uid="{00000000-0005-0000-0000-000077030000}"/>
    <cellStyle name="Normal 39 3 2 3" xfId="23883" xr:uid="{00000000-0005-0000-0000-000076030000}"/>
    <cellStyle name="Normal 39 3 2 3 2" xfId="26112" xr:uid="{00000000-0005-0000-0000-000076030000}"/>
    <cellStyle name="Normal 39 3 2 4" xfId="24985" xr:uid="{00000000-0005-0000-0000-000076030000}"/>
    <cellStyle name="Normal 39 3 3" xfId="22829" xr:uid="{00000000-0005-0000-0000-0000A3470000}"/>
    <cellStyle name="Normal 39 3 3 2" xfId="24129" xr:uid="{00000000-0005-0000-0000-000078030000}"/>
    <cellStyle name="Normal 39 3 3 2 2" xfId="26378" xr:uid="{00000000-0005-0000-0000-000078030000}"/>
    <cellStyle name="Normal 39 3 3 3" xfId="25249" xr:uid="{00000000-0005-0000-0000-000078030000}"/>
    <cellStyle name="Normal 39 3 4" xfId="23670" xr:uid="{00000000-0005-0000-0000-000075030000}"/>
    <cellStyle name="Normal 39 3 4 2" xfId="25879" xr:uid="{00000000-0005-0000-0000-000075030000}"/>
    <cellStyle name="Normal 39 3 5" xfId="24725" xr:uid="{00000000-0005-0000-0000-000075030000}"/>
    <cellStyle name="Normal 39 4" xfId="22427" xr:uid="{00000000-0005-0000-0000-0000A4470000}"/>
    <cellStyle name="Normal 39 4 2" xfId="22953" xr:uid="{00000000-0005-0000-0000-0000A5470000}"/>
    <cellStyle name="Normal 39 4 2 2" xfId="24251" xr:uid="{00000000-0005-0000-0000-00007A030000}"/>
    <cellStyle name="Normal 39 4 2 2 2" xfId="26502" xr:uid="{00000000-0005-0000-0000-00007A030000}"/>
    <cellStyle name="Normal 39 4 2 3" xfId="25370" xr:uid="{00000000-0005-0000-0000-00007A030000}"/>
    <cellStyle name="Normal 39 4 3" xfId="23773" xr:uid="{00000000-0005-0000-0000-000079030000}"/>
    <cellStyle name="Normal 39 4 3 2" xfId="25994" xr:uid="{00000000-0005-0000-0000-000079030000}"/>
    <cellStyle name="Normal 39 4 4" xfId="24847" xr:uid="{00000000-0005-0000-0000-000079030000}"/>
    <cellStyle name="Normal 39 5" xfId="22689" xr:uid="{00000000-0005-0000-0000-0000A6470000}"/>
    <cellStyle name="Normal 39 5 2" xfId="24001" xr:uid="{00000000-0005-0000-0000-00007B030000}"/>
    <cellStyle name="Normal 39 5 2 2" xfId="26237" xr:uid="{00000000-0005-0000-0000-00007B030000}"/>
    <cellStyle name="Normal 39 5 3" xfId="25108" xr:uid="{00000000-0005-0000-0000-00007B030000}"/>
    <cellStyle name="Normal 39 6" xfId="23569" xr:uid="{00000000-0005-0000-0000-00006C030000}"/>
    <cellStyle name="Normal 39 6 2" xfId="25761" xr:uid="{00000000-0005-0000-0000-00006C030000}"/>
    <cellStyle name="Normal 39 7" xfId="24586" xr:uid="{00000000-0005-0000-0000-00006C030000}"/>
    <cellStyle name="Normal 4" xfId="3" xr:uid="{00000000-0005-0000-0000-0000A7470000}"/>
    <cellStyle name="Normal 4 10" xfId="11613" xr:uid="{00000000-0005-0000-0000-0000A8470000}"/>
    <cellStyle name="Normal 4 11" xfId="11614" xr:uid="{00000000-0005-0000-0000-0000A9470000}"/>
    <cellStyle name="Normal 4 12" xfId="21902" xr:uid="{00000000-0005-0000-0000-0000AA470000}"/>
    <cellStyle name="Normal 4 12 2" xfId="21903" xr:uid="{00000000-0005-0000-0000-0000AB470000}"/>
    <cellStyle name="Normal 4 13" xfId="22154" xr:uid="{00000000-0005-0000-0000-0000AC470000}"/>
    <cellStyle name="Normal 4 2" xfId="11615" xr:uid="{00000000-0005-0000-0000-0000AD470000}"/>
    <cellStyle name="Normal 4 2 2" xfId="11616" xr:uid="{00000000-0005-0000-0000-0000AE470000}"/>
    <cellStyle name="Normal 4 2 2 2" xfId="19651" xr:uid="{00000000-0005-0000-0000-0000AF470000}"/>
    <cellStyle name="Normal 4 3" xfId="11" xr:uid="{00000000-0005-0000-0000-0000B0470000}"/>
    <cellStyle name="Normal 4 3 2" xfId="11617" xr:uid="{00000000-0005-0000-0000-0000B1470000}"/>
    <cellStyle name="Normal 4 3 2 2" xfId="19652" xr:uid="{00000000-0005-0000-0000-0000B2470000}"/>
    <cellStyle name="Normal 4 4" xfId="11618" xr:uid="{00000000-0005-0000-0000-0000B3470000}"/>
    <cellStyle name="Normal 4 4 2" xfId="11619" xr:uid="{00000000-0005-0000-0000-0000B4470000}"/>
    <cellStyle name="Normal 4 4 2 2" xfId="19653" xr:uid="{00000000-0005-0000-0000-0000B5470000}"/>
    <cellStyle name="Normal 4 5" xfId="11620" xr:uid="{00000000-0005-0000-0000-0000B6470000}"/>
    <cellStyle name="Normal 4 5 2" xfId="11621" xr:uid="{00000000-0005-0000-0000-0000B7470000}"/>
    <cellStyle name="Normal 4 5 2 2" xfId="19654" xr:uid="{00000000-0005-0000-0000-0000B8470000}"/>
    <cellStyle name="Normal 4 6" xfId="11622" xr:uid="{00000000-0005-0000-0000-0000B9470000}"/>
    <cellStyle name="Normal 4 6 2" xfId="11623" xr:uid="{00000000-0005-0000-0000-0000BA470000}"/>
    <cellStyle name="Normal 4 6 2 2" xfId="19655" xr:uid="{00000000-0005-0000-0000-0000BB470000}"/>
    <cellStyle name="Normal 4 7" xfId="11624" xr:uid="{00000000-0005-0000-0000-0000BC470000}"/>
    <cellStyle name="Normal 4 7 2" xfId="11625" xr:uid="{00000000-0005-0000-0000-0000BD470000}"/>
    <cellStyle name="Normal 4 7 2 2" xfId="19656" xr:uid="{00000000-0005-0000-0000-0000BE470000}"/>
    <cellStyle name="Normal 4 8" xfId="11626" xr:uid="{00000000-0005-0000-0000-0000BF470000}"/>
    <cellStyle name="Normal 4 9" xfId="11627" xr:uid="{00000000-0005-0000-0000-0000C0470000}"/>
    <cellStyle name="Normal 40" xfId="22155" xr:uid="{00000000-0005-0000-0000-0000C1470000}"/>
    <cellStyle name="Normal 40 2" xfId="22233" xr:uid="{00000000-0005-0000-0000-0000C2470000}"/>
    <cellStyle name="Normal 40 2 2" xfId="22359" xr:uid="{00000000-0005-0000-0000-0000C3470000}"/>
    <cellStyle name="Normal 40 2 2 2" xfId="22619" xr:uid="{00000000-0005-0000-0000-0000C4470000}"/>
    <cellStyle name="Normal 40 2 2 2 2" xfId="23145" xr:uid="{00000000-0005-0000-0000-0000C5470000}"/>
    <cellStyle name="Normal 40 2 2 2 2 2" xfId="24437" xr:uid="{00000000-0005-0000-0000-000082030000}"/>
    <cellStyle name="Normal 40 2 2 2 2 2 2" xfId="26695" xr:uid="{00000000-0005-0000-0000-000082030000}"/>
    <cellStyle name="Normal 40 2 2 2 2 3" xfId="25559" xr:uid="{00000000-0005-0000-0000-000082030000}"/>
    <cellStyle name="Normal 40 2 2 2 3" xfId="23931" xr:uid="{00000000-0005-0000-0000-000081030000}"/>
    <cellStyle name="Normal 40 2 2 2 3 2" xfId="26164" xr:uid="{00000000-0005-0000-0000-000081030000}"/>
    <cellStyle name="Normal 40 2 2 2 4" xfId="25037" xr:uid="{00000000-0005-0000-0000-000081030000}"/>
    <cellStyle name="Normal 40 2 2 3" xfId="22881" xr:uid="{00000000-0005-0000-0000-0000C6470000}"/>
    <cellStyle name="Normal 40 2 2 3 2" xfId="24181" xr:uid="{00000000-0005-0000-0000-000083030000}"/>
    <cellStyle name="Normal 40 2 2 3 2 2" xfId="26430" xr:uid="{00000000-0005-0000-0000-000083030000}"/>
    <cellStyle name="Normal 40 2 2 3 3" xfId="25300" xr:uid="{00000000-0005-0000-0000-000083030000}"/>
    <cellStyle name="Normal 40 2 2 4" xfId="23717" xr:uid="{00000000-0005-0000-0000-000080030000}"/>
    <cellStyle name="Normal 40 2 2 4 2" xfId="25931" xr:uid="{00000000-0005-0000-0000-000080030000}"/>
    <cellStyle name="Normal 40 2 2 5" xfId="24776" xr:uid="{00000000-0005-0000-0000-000080030000}"/>
    <cellStyle name="Normal 40 2 3" xfId="22490" xr:uid="{00000000-0005-0000-0000-0000C7470000}"/>
    <cellStyle name="Normal 40 2 3 2" xfId="23016" xr:uid="{00000000-0005-0000-0000-0000C8470000}"/>
    <cellStyle name="Normal 40 2 3 2 2" xfId="24314" xr:uid="{00000000-0005-0000-0000-000085030000}"/>
    <cellStyle name="Normal 40 2 3 2 2 2" xfId="26566" xr:uid="{00000000-0005-0000-0000-000085030000}"/>
    <cellStyle name="Normal 40 2 3 2 3" xfId="25432" xr:uid="{00000000-0005-0000-0000-000085030000}"/>
    <cellStyle name="Normal 40 2 3 3" xfId="23826" xr:uid="{00000000-0005-0000-0000-000084030000}"/>
    <cellStyle name="Normal 40 2 3 3 2" xfId="26050" xr:uid="{00000000-0005-0000-0000-000084030000}"/>
    <cellStyle name="Normal 40 2 3 4" xfId="24910" xr:uid="{00000000-0005-0000-0000-000084030000}"/>
    <cellStyle name="Normal 40 2 4" xfId="22752" xr:uid="{00000000-0005-0000-0000-0000C9470000}"/>
    <cellStyle name="Normal 40 2 4 2" xfId="24065" xr:uid="{00000000-0005-0000-0000-000086030000}"/>
    <cellStyle name="Normal 40 2 4 2 2" xfId="26301" xr:uid="{00000000-0005-0000-0000-000086030000}"/>
    <cellStyle name="Normal 40 2 4 3" xfId="25172" xr:uid="{00000000-0005-0000-0000-000086030000}"/>
    <cellStyle name="Normal 40 2 5" xfId="23619" xr:uid="{00000000-0005-0000-0000-00007F030000}"/>
    <cellStyle name="Normal 40 2 5 2" xfId="25817" xr:uid="{00000000-0005-0000-0000-00007F030000}"/>
    <cellStyle name="Normal 40 2 6" xfId="24650" xr:uid="{00000000-0005-0000-0000-00007F030000}"/>
    <cellStyle name="Normal 40 3" xfId="22309" xr:uid="{00000000-0005-0000-0000-0000CA470000}"/>
    <cellStyle name="Normal 40 3 2" xfId="22568" xr:uid="{00000000-0005-0000-0000-0000CB470000}"/>
    <cellStyle name="Normal 40 3 2 2" xfId="23094" xr:uid="{00000000-0005-0000-0000-0000CC470000}"/>
    <cellStyle name="Normal 40 3 2 2 2" xfId="24388" xr:uid="{00000000-0005-0000-0000-000089030000}"/>
    <cellStyle name="Normal 40 3 2 2 2 2" xfId="26644" xr:uid="{00000000-0005-0000-0000-000089030000}"/>
    <cellStyle name="Normal 40 3 2 2 3" xfId="25508" xr:uid="{00000000-0005-0000-0000-000089030000}"/>
    <cellStyle name="Normal 40 3 2 3" xfId="23884" xr:uid="{00000000-0005-0000-0000-000088030000}"/>
    <cellStyle name="Normal 40 3 2 3 2" xfId="26113" xr:uid="{00000000-0005-0000-0000-000088030000}"/>
    <cellStyle name="Normal 40 3 2 4" xfId="24986" xr:uid="{00000000-0005-0000-0000-000088030000}"/>
    <cellStyle name="Normal 40 3 3" xfId="22830" xr:uid="{00000000-0005-0000-0000-0000CD470000}"/>
    <cellStyle name="Normal 40 3 3 2" xfId="24130" xr:uid="{00000000-0005-0000-0000-00008A030000}"/>
    <cellStyle name="Normal 40 3 3 2 2" xfId="26379" xr:uid="{00000000-0005-0000-0000-00008A030000}"/>
    <cellStyle name="Normal 40 3 3 3" xfId="25250" xr:uid="{00000000-0005-0000-0000-00008A030000}"/>
    <cellStyle name="Normal 40 3 4" xfId="23671" xr:uid="{00000000-0005-0000-0000-000087030000}"/>
    <cellStyle name="Normal 40 3 4 2" xfId="25880" xr:uid="{00000000-0005-0000-0000-000087030000}"/>
    <cellStyle name="Normal 40 3 5" xfId="24726" xr:uid="{00000000-0005-0000-0000-000087030000}"/>
    <cellStyle name="Normal 40 4" xfId="22428" xr:uid="{00000000-0005-0000-0000-0000CE470000}"/>
    <cellStyle name="Normal 40 4 2" xfId="22954" xr:uid="{00000000-0005-0000-0000-0000CF470000}"/>
    <cellStyle name="Normal 40 4 2 2" xfId="24252" xr:uid="{00000000-0005-0000-0000-00008C030000}"/>
    <cellStyle name="Normal 40 4 2 2 2" xfId="26503" xr:uid="{00000000-0005-0000-0000-00008C030000}"/>
    <cellStyle name="Normal 40 4 2 3" xfId="25371" xr:uid="{00000000-0005-0000-0000-00008C030000}"/>
    <cellStyle name="Normal 40 4 3" xfId="23774" xr:uid="{00000000-0005-0000-0000-00008B030000}"/>
    <cellStyle name="Normal 40 4 3 2" xfId="25995" xr:uid="{00000000-0005-0000-0000-00008B030000}"/>
    <cellStyle name="Normal 40 4 4" xfId="24848" xr:uid="{00000000-0005-0000-0000-00008B030000}"/>
    <cellStyle name="Normal 40 5" xfId="22690" xr:uid="{00000000-0005-0000-0000-0000D0470000}"/>
    <cellStyle name="Normal 40 5 2" xfId="24002" xr:uid="{00000000-0005-0000-0000-00008D030000}"/>
    <cellStyle name="Normal 40 5 2 2" xfId="26238" xr:uid="{00000000-0005-0000-0000-00008D030000}"/>
    <cellStyle name="Normal 40 5 3" xfId="25109" xr:uid="{00000000-0005-0000-0000-00008D030000}"/>
    <cellStyle name="Normal 40 6" xfId="23570" xr:uid="{00000000-0005-0000-0000-00007E030000}"/>
    <cellStyle name="Normal 40 6 2" xfId="25762" xr:uid="{00000000-0005-0000-0000-00007E030000}"/>
    <cellStyle name="Normal 40 7" xfId="24587" xr:uid="{00000000-0005-0000-0000-00007E030000}"/>
    <cellStyle name="Normal 41" xfId="22156" xr:uid="{00000000-0005-0000-0000-0000D1470000}"/>
    <cellStyle name="Normal 41 2" xfId="22234" xr:uid="{00000000-0005-0000-0000-0000D2470000}"/>
    <cellStyle name="Normal 41 2 2" xfId="22360" xr:uid="{00000000-0005-0000-0000-0000D3470000}"/>
    <cellStyle name="Normal 41 2 2 2" xfId="22620" xr:uid="{00000000-0005-0000-0000-0000D4470000}"/>
    <cellStyle name="Normal 41 2 2 2 2" xfId="23146" xr:uid="{00000000-0005-0000-0000-0000D5470000}"/>
    <cellStyle name="Normal 41 2 2 2 2 2" xfId="24438" xr:uid="{00000000-0005-0000-0000-000092030000}"/>
    <cellStyle name="Normal 41 2 2 2 2 2 2" xfId="26696" xr:uid="{00000000-0005-0000-0000-000092030000}"/>
    <cellStyle name="Normal 41 2 2 2 2 3" xfId="25560" xr:uid="{00000000-0005-0000-0000-000092030000}"/>
    <cellStyle name="Normal 41 2 2 2 3" xfId="23932" xr:uid="{00000000-0005-0000-0000-000091030000}"/>
    <cellStyle name="Normal 41 2 2 2 3 2" xfId="26165" xr:uid="{00000000-0005-0000-0000-000091030000}"/>
    <cellStyle name="Normal 41 2 2 2 4" xfId="25038" xr:uid="{00000000-0005-0000-0000-000091030000}"/>
    <cellStyle name="Normal 41 2 2 3" xfId="22882" xr:uid="{00000000-0005-0000-0000-0000D6470000}"/>
    <cellStyle name="Normal 41 2 2 3 2" xfId="24182" xr:uid="{00000000-0005-0000-0000-000093030000}"/>
    <cellStyle name="Normal 41 2 2 3 2 2" xfId="26431" xr:uid="{00000000-0005-0000-0000-000093030000}"/>
    <cellStyle name="Normal 41 2 2 3 3" xfId="25301" xr:uid="{00000000-0005-0000-0000-000093030000}"/>
    <cellStyle name="Normal 41 2 2 4" xfId="23718" xr:uid="{00000000-0005-0000-0000-000090030000}"/>
    <cellStyle name="Normal 41 2 2 4 2" xfId="25932" xr:uid="{00000000-0005-0000-0000-000090030000}"/>
    <cellStyle name="Normal 41 2 2 5" xfId="24777" xr:uid="{00000000-0005-0000-0000-000090030000}"/>
    <cellStyle name="Normal 41 2 3" xfId="22491" xr:uid="{00000000-0005-0000-0000-0000D7470000}"/>
    <cellStyle name="Normal 41 2 3 2" xfId="23017" xr:uid="{00000000-0005-0000-0000-0000D8470000}"/>
    <cellStyle name="Normal 41 2 3 2 2" xfId="24315" xr:uid="{00000000-0005-0000-0000-000095030000}"/>
    <cellStyle name="Normal 41 2 3 2 2 2" xfId="26567" xr:uid="{00000000-0005-0000-0000-000095030000}"/>
    <cellStyle name="Normal 41 2 3 2 3" xfId="25433" xr:uid="{00000000-0005-0000-0000-000095030000}"/>
    <cellStyle name="Normal 41 2 3 3" xfId="23827" xr:uid="{00000000-0005-0000-0000-000094030000}"/>
    <cellStyle name="Normal 41 2 3 3 2" xfId="26051" xr:uid="{00000000-0005-0000-0000-000094030000}"/>
    <cellStyle name="Normal 41 2 3 4" xfId="24911" xr:uid="{00000000-0005-0000-0000-000094030000}"/>
    <cellStyle name="Normal 41 2 4" xfId="22753" xr:uid="{00000000-0005-0000-0000-0000D9470000}"/>
    <cellStyle name="Normal 41 2 4 2" xfId="24066" xr:uid="{00000000-0005-0000-0000-000096030000}"/>
    <cellStyle name="Normal 41 2 4 2 2" xfId="26302" xr:uid="{00000000-0005-0000-0000-000096030000}"/>
    <cellStyle name="Normal 41 2 4 3" xfId="25173" xr:uid="{00000000-0005-0000-0000-000096030000}"/>
    <cellStyle name="Normal 41 2 5" xfId="23620" xr:uid="{00000000-0005-0000-0000-00008F030000}"/>
    <cellStyle name="Normal 41 2 5 2" xfId="25818" xr:uid="{00000000-0005-0000-0000-00008F030000}"/>
    <cellStyle name="Normal 41 2 6" xfId="24651" xr:uid="{00000000-0005-0000-0000-00008F030000}"/>
    <cellStyle name="Normal 41 3" xfId="22310" xr:uid="{00000000-0005-0000-0000-0000DA470000}"/>
    <cellStyle name="Normal 41 3 2" xfId="22569" xr:uid="{00000000-0005-0000-0000-0000DB470000}"/>
    <cellStyle name="Normal 41 3 2 2" xfId="23095" xr:uid="{00000000-0005-0000-0000-0000DC470000}"/>
    <cellStyle name="Normal 41 3 2 2 2" xfId="24389" xr:uid="{00000000-0005-0000-0000-000099030000}"/>
    <cellStyle name="Normal 41 3 2 2 2 2" xfId="26645" xr:uid="{00000000-0005-0000-0000-000099030000}"/>
    <cellStyle name="Normal 41 3 2 2 3" xfId="25509" xr:uid="{00000000-0005-0000-0000-000099030000}"/>
    <cellStyle name="Normal 41 3 2 3" xfId="23885" xr:uid="{00000000-0005-0000-0000-000098030000}"/>
    <cellStyle name="Normal 41 3 2 3 2" xfId="26114" xr:uid="{00000000-0005-0000-0000-000098030000}"/>
    <cellStyle name="Normal 41 3 2 4" xfId="24987" xr:uid="{00000000-0005-0000-0000-000098030000}"/>
    <cellStyle name="Normal 41 3 3" xfId="22831" xr:uid="{00000000-0005-0000-0000-0000DD470000}"/>
    <cellStyle name="Normal 41 3 3 2" xfId="24131" xr:uid="{00000000-0005-0000-0000-00009A030000}"/>
    <cellStyle name="Normal 41 3 3 2 2" xfId="26380" xr:uid="{00000000-0005-0000-0000-00009A030000}"/>
    <cellStyle name="Normal 41 3 3 3" xfId="25251" xr:uid="{00000000-0005-0000-0000-00009A030000}"/>
    <cellStyle name="Normal 41 3 4" xfId="23672" xr:uid="{00000000-0005-0000-0000-000097030000}"/>
    <cellStyle name="Normal 41 3 4 2" xfId="25881" xr:uid="{00000000-0005-0000-0000-000097030000}"/>
    <cellStyle name="Normal 41 3 5" xfId="24727" xr:uid="{00000000-0005-0000-0000-000097030000}"/>
    <cellStyle name="Normal 41 4" xfId="22429" xr:uid="{00000000-0005-0000-0000-0000DE470000}"/>
    <cellStyle name="Normal 41 4 2" xfId="22955" xr:uid="{00000000-0005-0000-0000-0000DF470000}"/>
    <cellStyle name="Normal 41 4 2 2" xfId="24253" xr:uid="{00000000-0005-0000-0000-00009C030000}"/>
    <cellStyle name="Normal 41 4 2 2 2" xfId="26504" xr:uid="{00000000-0005-0000-0000-00009C030000}"/>
    <cellStyle name="Normal 41 4 2 3" xfId="25372" xr:uid="{00000000-0005-0000-0000-00009C030000}"/>
    <cellStyle name="Normal 41 4 3" xfId="23775" xr:uid="{00000000-0005-0000-0000-00009B030000}"/>
    <cellStyle name="Normal 41 4 3 2" xfId="25996" xr:uid="{00000000-0005-0000-0000-00009B030000}"/>
    <cellStyle name="Normal 41 4 4" xfId="24849" xr:uid="{00000000-0005-0000-0000-00009B030000}"/>
    <cellStyle name="Normal 41 5" xfId="22691" xr:uid="{00000000-0005-0000-0000-0000E0470000}"/>
    <cellStyle name="Normal 41 5 2" xfId="24003" xr:uid="{00000000-0005-0000-0000-00009D030000}"/>
    <cellStyle name="Normal 41 5 2 2" xfId="26239" xr:uid="{00000000-0005-0000-0000-00009D030000}"/>
    <cellStyle name="Normal 41 5 3" xfId="25110" xr:uid="{00000000-0005-0000-0000-00009D030000}"/>
    <cellStyle name="Normal 41 6" xfId="23571" xr:uid="{00000000-0005-0000-0000-00008E030000}"/>
    <cellStyle name="Normal 41 6 2" xfId="25763" xr:uid="{00000000-0005-0000-0000-00008E030000}"/>
    <cellStyle name="Normal 41 7" xfId="24588" xr:uid="{00000000-0005-0000-0000-00008E030000}"/>
    <cellStyle name="Normal 42" xfId="22157" xr:uid="{00000000-0005-0000-0000-0000E1470000}"/>
    <cellStyle name="Normal 42 2" xfId="22235" xr:uid="{00000000-0005-0000-0000-0000E2470000}"/>
    <cellStyle name="Normal 42 2 2" xfId="22361" xr:uid="{00000000-0005-0000-0000-0000E3470000}"/>
    <cellStyle name="Normal 42 2 2 2" xfId="22621" xr:uid="{00000000-0005-0000-0000-0000E4470000}"/>
    <cellStyle name="Normal 42 2 2 2 2" xfId="23147" xr:uid="{00000000-0005-0000-0000-0000E5470000}"/>
    <cellStyle name="Normal 42 2 2 2 2 2" xfId="24439" xr:uid="{00000000-0005-0000-0000-0000A2030000}"/>
    <cellStyle name="Normal 42 2 2 2 2 2 2" xfId="26697" xr:uid="{00000000-0005-0000-0000-0000A2030000}"/>
    <cellStyle name="Normal 42 2 2 2 2 3" xfId="25561" xr:uid="{00000000-0005-0000-0000-0000A2030000}"/>
    <cellStyle name="Normal 42 2 2 2 3" xfId="23933" xr:uid="{00000000-0005-0000-0000-0000A1030000}"/>
    <cellStyle name="Normal 42 2 2 2 3 2" xfId="26166" xr:uid="{00000000-0005-0000-0000-0000A1030000}"/>
    <cellStyle name="Normal 42 2 2 2 4" xfId="25039" xr:uid="{00000000-0005-0000-0000-0000A1030000}"/>
    <cellStyle name="Normal 42 2 2 3" xfId="22883" xr:uid="{00000000-0005-0000-0000-0000E6470000}"/>
    <cellStyle name="Normal 42 2 2 3 2" xfId="24183" xr:uid="{00000000-0005-0000-0000-0000A3030000}"/>
    <cellStyle name="Normal 42 2 2 3 2 2" xfId="26432" xr:uid="{00000000-0005-0000-0000-0000A3030000}"/>
    <cellStyle name="Normal 42 2 2 3 3" xfId="25302" xr:uid="{00000000-0005-0000-0000-0000A3030000}"/>
    <cellStyle name="Normal 42 2 2 4" xfId="23719" xr:uid="{00000000-0005-0000-0000-0000A0030000}"/>
    <cellStyle name="Normal 42 2 2 4 2" xfId="25933" xr:uid="{00000000-0005-0000-0000-0000A0030000}"/>
    <cellStyle name="Normal 42 2 2 5" xfId="24778" xr:uid="{00000000-0005-0000-0000-0000A0030000}"/>
    <cellStyle name="Normal 42 2 3" xfId="22492" xr:uid="{00000000-0005-0000-0000-0000E7470000}"/>
    <cellStyle name="Normal 42 2 3 2" xfId="23018" xr:uid="{00000000-0005-0000-0000-0000E8470000}"/>
    <cellStyle name="Normal 42 2 3 2 2" xfId="24316" xr:uid="{00000000-0005-0000-0000-0000A5030000}"/>
    <cellStyle name="Normal 42 2 3 2 2 2" xfId="26568" xr:uid="{00000000-0005-0000-0000-0000A5030000}"/>
    <cellStyle name="Normal 42 2 3 2 3" xfId="25434" xr:uid="{00000000-0005-0000-0000-0000A5030000}"/>
    <cellStyle name="Normal 42 2 3 3" xfId="23828" xr:uid="{00000000-0005-0000-0000-0000A4030000}"/>
    <cellStyle name="Normal 42 2 3 3 2" xfId="26052" xr:uid="{00000000-0005-0000-0000-0000A4030000}"/>
    <cellStyle name="Normal 42 2 3 4" xfId="24912" xr:uid="{00000000-0005-0000-0000-0000A4030000}"/>
    <cellStyle name="Normal 42 2 4" xfId="22754" xr:uid="{00000000-0005-0000-0000-0000E9470000}"/>
    <cellStyle name="Normal 42 2 4 2" xfId="24067" xr:uid="{00000000-0005-0000-0000-0000A6030000}"/>
    <cellStyle name="Normal 42 2 4 2 2" xfId="26303" xr:uid="{00000000-0005-0000-0000-0000A6030000}"/>
    <cellStyle name="Normal 42 2 4 3" xfId="25174" xr:uid="{00000000-0005-0000-0000-0000A6030000}"/>
    <cellStyle name="Normal 42 2 5" xfId="23621" xr:uid="{00000000-0005-0000-0000-00009F030000}"/>
    <cellStyle name="Normal 42 2 5 2" xfId="25819" xr:uid="{00000000-0005-0000-0000-00009F030000}"/>
    <cellStyle name="Normal 42 2 6" xfId="24652" xr:uid="{00000000-0005-0000-0000-00009F030000}"/>
    <cellStyle name="Normal 42 3" xfId="22311" xr:uid="{00000000-0005-0000-0000-0000EA470000}"/>
    <cellStyle name="Normal 42 3 2" xfId="22570" xr:uid="{00000000-0005-0000-0000-0000EB470000}"/>
    <cellStyle name="Normal 42 3 2 2" xfId="23096" xr:uid="{00000000-0005-0000-0000-0000EC470000}"/>
    <cellStyle name="Normal 42 3 2 2 2" xfId="24390" xr:uid="{00000000-0005-0000-0000-0000A9030000}"/>
    <cellStyle name="Normal 42 3 2 2 2 2" xfId="26646" xr:uid="{00000000-0005-0000-0000-0000A9030000}"/>
    <cellStyle name="Normal 42 3 2 2 3" xfId="25510" xr:uid="{00000000-0005-0000-0000-0000A9030000}"/>
    <cellStyle name="Normal 42 3 2 3" xfId="23886" xr:uid="{00000000-0005-0000-0000-0000A8030000}"/>
    <cellStyle name="Normal 42 3 2 3 2" xfId="26115" xr:uid="{00000000-0005-0000-0000-0000A8030000}"/>
    <cellStyle name="Normal 42 3 2 4" xfId="24988" xr:uid="{00000000-0005-0000-0000-0000A8030000}"/>
    <cellStyle name="Normal 42 3 3" xfId="22832" xr:uid="{00000000-0005-0000-0000-0000ED470000}"/>
    <cellStyle name="Normal 42 3 3 2" xfId="24132" xr:uid="{00000000-0005-0000-0000-0000AA030000}"/>
    <cellStyle name="Normal 42 3 3 2 2" xfId="26381" xr:uid="{00000000-0005-0000-0000-0000AA030000}"/>
    <cellStyle name="Normal 42 3 3 3" xfId="25252" xr:uid="{00000000-0005-0000-0000-0000AA030000}"/>
    <cellStyle name="Normal 42 3 4" xfId="23673" xr:uid="{00000000-0005-0000-0000-0000A7030000}"/>
    <cellStyle name="Normal 42 3 4 2" xfId="25882" xr:uid="{00000000-0005-0000-0000-0000A7030000}"/>
    <cellStyle name="Normal 42 3 5" xfId="24728" xr:uid="{00000000-0005-0000-0000-0000A7030000}"/>
    <cellStyle name="Normal 42 4" xfId="22430" xr:uid="{00000000-0005-0000-0000-0000EE470000}"/>
    <cellStyle name="Normal 42 4 2" xfId="22956" xr:uid="{00000000-0005-0000-0000-0000EF470000}"/>
    <cellStyle name="Normal 42 4 2 2" xfId="24254" xr:uid="{00000000-0005-0000-0000-0000AC030000}"/>
    <cellStyle name="Normal 42 4 2 2 2" xfId="26505" xr:uid="{00000000-0005-0000-0000-0000AC030000}"/>
    <cellStyle name="Normal 42 4 2 3" xfId="25373" xr:uid="{00000000-0005-0000-0000-0000AC030000}"/>
    <cellStyle name="Normal 42 4 3" xfId="23776" xr:uid="{00000000-0005-0000-0000-0000AB030000}"/>
    <cellStyle name="Normal 42 4 3 2" xfId="25997" xr:uid="{00000000-0005-0000-0000-0000AB030000}"/>
    <cellStyle name="Normal 42 4 4" xfId="24850" xr:uid="{00000000-0005-0000-0000-0000AB030000}"/>
    <cellStyle name="Normal 42 5" xfId="22692" xr:uid="{00000000-0005-0000-0000-0000F0470000}"/>
    <cellStyle name="Normal 42 5 2" xfId="24004" xr:uid="{00000000-0005-0000-0000-0000AD030000}"/>
    <cellStyle name="Normal 42 5 2 2" xfId="26240" xr:uid="{00000000-0005-0000-0000-0000AD030000}"/>
    <cellStyle name="Normal 42 5 3" xfId="25111" xr:uid="{00000000-0005-0000-0000-0000AD030000}"/>
    <cellStyle name="Normal 42 6" xfId="23572" xr:uid="{00000000-0005-0000-0000-00009E030000}"/>
    <cellStyle name="Normal 42 6 2" xfId="25764" xr:uid="{00000000-0005-0000-0000-00009E030000}"/>
    <cellStyle name="Normal 42 7" xfId="24589" xr:uid="{00000000-0005-0000-0000-00009E030000}"/>
    <cellStyle name="Normal 43" xfId="22158" xr:uid="{00000000-0005-0000-0000-0000F1470000}"/>
    <cellStyle name="Normal 43 2" xfId="22236" xr:uid="{00000000-0005-0000-0000-0000F2470000}"/>
    <cellStyle name="Normal 43 2 2" xfId="22362" xr:uid="{00000000-0005-0000-0000-0000F3470000}"/>
    <cellStyle name="Normal 43 2 2 2" xfId="22622" xr:uid="{00000000-0005-0000-0000-0000F4470000}"/>
    <cellStyle name="Normal 43 2 2 2 2" xfId="23148" xr:uid="{00000000-0005-0000-0000-0000F5470000}"/>
    <cellStyle name="Normal 43 2 2 2 2 2" xfId="24440" xr:uid="{00000000-0005-0000-0000-0000B2030000}"/>
    <cellStyle name="Normal 43 2 2 2 2 2 2" xfId="26698" xr:uid="{00000000-0005-0000-0000-0000B2030000}"/>
    <cellStyle name="Normal 43 2 2 2 2 3" xfId="25562" xr:uid="{00000000-0005-0000-0000-0000B2030000}"/>
    <cellStyle name="Normal 43 2 2 2 3" xfId="23934" xr:uid="{00000000-0005-0000-0000-0000B1030000}"/>
    <cellStyle name="Normal 43 2 2 2 3 2" xfId="26167" xr:uid="{00000000-0005-0000-0000-0000B1030000}"/>
    <cellStyle name="Normal 43 2 2 2 4" xfId="25040" xr:uid="{00000000-0005-0000-0000-0000B1030000}"/>
    <cellStyle name="Normal 43 2 2 3" xfId="22884" xr:uid="{00000000-0005-0000-0000-0000F6470000}"/>
    <cellStyle name="Normal 43 2 2 3 2" xfId="24184" xr:uid="{00000000-0005-0000-0000-0000B3030000}"/>
    <cellStyle name="Normal 43 2 2 3 2 2" xfId="26433" xr:uid="{00000000-0005-0000-0000-0000B3030000}"/>
    <cellStyle name="Normal 43 2 2 3 3" xfId="25303" xr:uid="{00000000-0005-0000-0000-0000B3030000}"/>
    <cellStyle name="Normal 43 2 2 4" xfId="23720" xr:uid="{00000000-0005-0000-0000-0000B0030000}"/>
    <cellStyle name="Normal 43 2 2 4 2" xfId="25934" xr:uid="{00000000-0005-0000-0000-0000B0030000}"/>
    <cellStyle name="Normal 43 2 2 5" xfId="24779" xr:uid="{00000000-0005-0000-0000-0000B0030000}"/>
    <cellStyle name="Normal 43 2 3" xfId="22493" xr:uid="{00000000-0005-0000-0000-0000F7470000}"/>
    <cellStyle name="Normal 43 2 3 2" xfId="23019" xr:uid="{00000000-0005-0000-0000-0000F8470000}"/>
    <cellStyle name="Normal 43 2 3 2 2" xfId="24317" xr:uid="{00000000-0005-0000-0000-0000B5030000}"/>
    <cellStyle name="Normal 43 2 3 2 2 2" xfId="26569" xr:uid="{00000000-0005-0000-0000-0000B5030000}"/>
    <cellStyle name="Normal 43 2 3 2 3" xfId="25435" xr:uid="{00000000-0005-0000-0000-0000B5030000}"/>
    <cellStyle name="Normal 43 2 3 3" xfId="23829" xr:uid="{00000000-0005-0000-0000-0000B4030000}"/>
    <cellStyle name="Normal 43 2 3 3 2" xfId="26053" xr:uid="{00000000-0005-0000-0000-0000B4030000}"/>
    <cellStyle name="Normal 43 2 3 4" xfId="24913" xr:uid="{00000000-0005-0000-0000-0000B4030000}"/>
    <cellStyle name="Normal 43 2 4" xfId="22755" xr:uid="{00000000-0005-0000-0000-0000F9470000}"/>
    <cellStyle name="Normal 43 2 4 2" xfId="24068" xr:uid="{00000000-0005-0000-0000-0000B6030000}"/>
    <cellStyle name="Normal 43 2 4 2 2" xfId="26304" xr:uid="{00000000-0005-0000-0000-0000B6030000}"/>
    <cellStyle name="Normal 43 2 4 3" xfId="25175" xr:uid="{00000000-0005-0000-0000-0000B6030000}"/>
    <cellStyle name="Normal 43 2 5" xfId="23622" xr:uid="{00000000-0005-0000-0000-0000AF030000}"/>
    <cellStyle name="Normal 43 2 5 2" xfId="25820" xr:uid="{00000000-0005-0000-0000-0000AF030000}"/>
    <cellStyle name="Normal 43 2 6" xfId="24653" xr:uid="{00000000-0005-0000-0000-0000AF030000}"/>
    <cellStyle name="Normal 43 3" xfId="22312" xr:uid="{00000000-0005-0000-0000-0000FA470000}"/>
    <cellStyle name="Normal 43 3 2" xfId="22571" xr:uid="{00000000-0005-0000-0000-0000FB470000}"/>
    <cellStyle name="Normal 43 3 2 2" xfId="23097" xr:uid="{00000000-0005-0000-0000-0000FC470000}"/>
    <cellStyle name="Normal 43 3 2 2 2" xfId="24391" xr:uid="{00000000-0005-0000-0000-0000B9030000}"/>
    <cellStyle name="Normal 43 3 2 2 2 2" xfId="26647" xr:uid="{00000000-0005-0000-0000-0000B9030000}"/>
    <cellStyle name="Normal 43 3 2 2 3" xfId="25511" xr:uid="{00000000-0005-0000-0000-0000B9030000}"/>
    <cellStyle name="Normal 43 3 2 3" xfId="23887" xr:uid="{00000000-0005-0000-0000-0000B8030000}"/>
    <cellStyle name="Normal 43 3 2 3 2" xfId="26116" xr:uid="{00000000-0005-0000-0000-0000B8030000}"/>
    <cellStyle name="Normal 43 3 2 4" xfId="24989" xr:uid="{00000000-0005-0000-0000-0000B8030000}"/>
    <cellStyle name="Normal 43 3 3" xfId="22833" xr:uid="{00000000-0005-0000-0000-0000FD470000}"/>
    <cellStyle name="Normal 43 3 3 2" xfId="24133" xr:uid="{00000000-0005-0000-0000-0000BA030000}"/>
    <cellStyle name="Normal 43 3 3 2 2" xfId="26382" xr:uid="{00000000-0005-0000-0000-0000BA030000}"/>
    <cellStyle name="Normal 43 3 3 3" xfId="25253" xr:uid="{00000000-0005-0000-0000-0000BA030000}"/>
    <cellStyle name="Normal 43 3 4" xfId="23674" xr:uid="{00000000-0005-0000-0000-0000B7030000}"/>
    <cellStyle name="Normal 43 3 4 2" xfId="25883" xr:uid="{00000000-0005-0000-0000-0000B7030000}"/>
    <cellStyle name="Normal 43 3 5" xfId="24729" xr:uid="{00000000-0005-0000-0000-0000B7030000}"/>
    <cellStyle name="Normal 43 4" xfId="22431" xr:uid="{00000000-0005-0000-0000-0000FE470000}"/>
    <cellStyle name="Normal 43 4 2" xfId="22957" xr:uid="{00000000-0005-0000-0000-0000FF470000}"/>
    <cellStyle name="Normal 43 4 2 2" xfId="24255" xr:uid="{00000000-0005-0000-0000-0000BC030000}"/>
    <cellStyle name="Normal 43 4 2 2 2" xfId="26506" xr:uid="{00000000-0005-0000-0000-0000BC030000}"/>
    <cellStyle name="Normal 43 4 2 3" xfId="25374" xr:uid="{00000000-0005-0000-0000-0000BC030000}"/>
    <cellStyle name="Normal 43 4 3" xfId="23777" xr:uid="{00000000-0005-0000-0000-0000BB030000}"/>
    <cellStyle name="Normal 43 4 3 2" xfId="25998" xr:uid="{00000000-0005-0000-0000-0000BB030000}"/>
    <cellStyle name="Normal 43 4 4" xfId="24851" xr:uid="{00000000-0005-0000-0000-0000BB030000}"/>
    <cellStyle name="Normal 43 5" xfId="22693" xr:uid="{00000000-0005-0000-0000-000000480000}"/>
    <cellStyle name="Normal 43 5 2" xfId="24005" xr:uid="{00000000-0005-0000-0000-0000BD030000}"/>
    <cellStyle name="Normal 43 5 2 2" xfId="26241" xr:uid="{00000000-0005-0000-0000-0000BD030000}"/>
    <cellStyle name="Normal 43 5 3" xfId="25112" xr:uid="{00000000-0005-0000-0000-0000BD030000}"/>
    <cellStyle name="Normal 43 6" xfId="23573" xr:uid="{00000000-0005-0000-0000-0000AE030000}"/>
    <cellStyle name="Normal 43 6 2" xfId="25765" xr:uid="{00000000-0005-0000-0000-0000AE030000}"/>
    <cellStyle name="Normal 43 7" xfId="24590" xr:uid="{00000000-0005-0000-0000-0000AE030000}"/>
    <cellStyle name="Normal 44" xfId="22159" xr:uid="{00000000-0005-0000-0000-000001480000}"/>
    <cellStyle name="Normal 44 2" xfId="22237" xr:uid="{00000000-0005-0000-0000-000002480000}"/>
    <cellStyle name="Normal 44 2 2" xfId="22363" xr:uid="{00000000-0005-0000-0000-000003480000}"/>
    <cellStyle name="Normal 44 2 2 2" xfId="22623" xr:uid="{00000000-0005-0000-0000-000004480000}"/>
    <cellStyle name="Normal 44 2 2 2 2" xfId="23149" xr:uid="{00000000-0005-0000-0000-000005480000}"/>
    <cellStyle name="Normal 44 2 2 2 2 2" xfId="24441" xr:uid="{00000000-0005-0000-0000-0000C2030000}"/>
    <cellStyle name="Normal 44 2 2 2 2 2 2" xfId="26699" xr:uid="{00000000-0005-0000-0000-0000C2030000}"/>
    <cellStyle name="Normal 44 2 2 2 2 3" xfId="25563" xr:uid="{00000000-0005-0000-0000-0000C2030000}"/>
    <cellStyle name="Normal 44 2 2 2 3" xfId="23935" xr:uid="{00000000-0005-0000-0000-0000C1030000}"/>
    <cellStyle name="Normal 44 2 2 2 3 2" xfId="26168" xr:uid="{00000000-0005-0000-0000-0000C1030000}"/>
    <cellStyle name="Normal 44 2 2 2 4" xfId="25041" xr:uid="{00000000-0005-0000-0000-0000C1030000}"/>
    <cellStyle name="Normal 44 2 2 3" xfId="22885" xr:uid="{00000000-0005-0000-0000-000006480000}"/>
    <cellStyle name="Normal 44 2 2 3 2" xfId="24185" xr:uid="{00000000-0005-0000-0000-0000C3030000}"/>
    <cellStyle name="Normal 44 2 2 3 2 2" xfId="26434" xr:uid="{00000000-0005-0000-0000-0000C3030000}"/>
    <cellStyle name="Normal 44 2 2 3 3" xfId="25304" xr:uid="{00000000-0005-0000-0000-0000C3030000}"/>
    <cellStyle name="Normal 44 2 2 4" xfId="23721" xr:uid="{00000000-0005-0000-0000-0000C0030000}"/>
    <cellStyle name="Normal 44 2 2 4 2" xfId="25935" xr:uid="{00000000-0005-0000-0000-0000C0030000}"/>
    <cellStyle name="Normal 44 2 2 5" xfId="24780" xr:uid="{00000000-0005-0000-0000-0000C0030000}"/>
    <cellStyle name="Normal 44 2 3" xfId="22494" xr:uid="{00000000-0005-0000-0000-000007480000}"/>
    <cellStyle name="Normal 44 2 3 2" xfId="23020" xr:uid="{00000000-0005-0000-0000-000008480000}"/>
    <cellStyle name="Normal 44 2 3 2 2" xfId="24318" xr:uid="{00000000-0005-0000-0000-0000C5030000}"/>
    <cellStyle name="Normal 44 2 3 2 2 2" xfId="26570" xr:uid="{00000000-0005-0000-0000-0000C5030000}"/>
    <cellStyle name="Normal 44 2 3 2 3" xfId="25436" xr:uid="{00000000-0005-0000-0000-0000C5030000}"/>
    <cellStyle name="Normal 44 2 3 3" xfId="23830" xr:uid="{00000000-0005-0000-0000-0000C4030000}"/>
    <cellStyle name="Normal 44 2 3 3 2" xfId="26054" xr:uid="{00000000-0005-0000-0000-0000C4030000}"/>
    <cellStyle name="Normal 44 2 3 4" xfId="24914" xr:uid="{00000000-0005-0000-0000-0000C4030000}"/>
    <cellStyle name="Normal 44 2 4" xfId="22756" xr:uid="{00000000-0005-0000-0000-000009480000}"/>
    <cellStyle name="Normal 44 2 4 2" xfId="24069" xr:uid="{00000000-0005-0000-0000-0000C6030000}"/>
    <cellStyle name="Normal 44 2 4 2 2" xfId="26305" xr:uid="{00000000-0005-0000-0000-0000C6030000}"/>
    <cellStyle name="Normal 44 2 4 3" xfId="25176" xr:uid="{00000000-0005-0000-0000-0000C6030000}"/>
    <cellStyle name="Normal 44 2 5" xfId="23623" xr:uid="{00000000-0005-0000-0000-0000BF030000}"/>
    <cellStyle name="Normal 44 2 5 2" xfId="25821" xr:uid="{00000000-0005-0000-0000-0000BF030000}"/>
    <cellStyle name="Normal 44 2 6" xfId="24654" xr:uid="{00000000-0005-0000-0000-0000BF030000}"/>
    <cellStyle name="Normal 44 3" xfId="22313" xr:uid="{00000000-0005-0000-0000-00000A480000}"/>
    <cellStyle name="Normal 44 3 2" xfId="22572" xr:uid="{00000000-0005-0000-0000-00000B480000}"/>
    <cellStyle name="Normal 44 3 2 2" xfId="23098" xr:uid="{00000000-0005-0000-0000-00000C480000}"/>
    <cellStyle name="Normal 44 3 2 2 2" xfId="24392" xr:uid="{00000000-0005-0000-0000-0000C9030000}"/>
    <cellStyle name="Normal 44 3 2 2 2 2" xfId="26648" xr:uid="{00000000-0005-0000-0000-0000C9030000}"/>
    <cellStyle name="Normal 44 3 2 2 3" xfId="25512" xr:uid="{00000000-0005-0000-0000-0000C9030000}"/>
    <cellStyle name="Normal 44 3 2 3" xfId="23888" xr:uid="{00000000-0005-0000-0000-0000C8030000}"/>
    <cellStyle name="Normal 44 3 2 3 2" xfId="26117" xr:uid="{00000000-0005-0000-0000-0000C8030000}"/>
    <cellStyle name="Normal 44 3 2 4" xfId="24990" xr:uid="{00000000-0005-0000-0000-0000C8030000}"/>
    <cellStyle name="Normal 44 3 3" xfId="22834" xr:uid="{00000000-0005-0000-0000-00000D480000}"/>
    <cellStyle name="Normal 44 3 3 2" xfId="24134" xr:uid="{00000000-0005-0000-0000-0000CA030000}"/>
    <cellStyle name="Normal 44 3 3 2 2" xfId="26383" xr:uid="{00000000-0005-0000-0000-0000CA030000}"/>
    <cellStyle name="Normal 44 3 3 3" xfId="25254" xr:uid="{00000000-0005-0000-0000-0000CA030000}"/>
    <cellStyle name="Normal 44 3 4" xfId="23675" xr:uid="{00000000-0005-0000-0000-0000C7030000}"/>
    <cellStyle name="Normal 44 3 4 2" xfId="25884" xr:uid="{00000000-0005-0000-0000-0000C7030000}"/>
    <cellStyle name="Normal 44 3 5" xfId="24730" xr:uid="{00000000-0005-0000-0000-0000C7030000}"/>
    <cellStyle name="Normal 44 4" xfId="22432" xr:uid="{00000000-0005-0000-0000-00000E480000}"/>
    <cellStyle name="Normal 44 4 2" xfId="22958" xr:uid="{00000000-0005-0000-0000-00000F480000}"/>
    <cellStyle name="Normal 44 4 2 2" xfId="24256" xr:uid="{00000000-0005-0000-0000-0000CC030000}"/>
    <cellStyle name="Normal 44 4 2 2 2" xfId="26507" xr:uid="{00000000-0005-0000-0000-0000CC030000}"/>
    <cellStyle name="Normal 44 4 2 3" xfId="25375" xr:uid="{00000000-0005-0000-0000-0000CC030000}"/>
    <cellStyle name="Normal 44 4 3" xfId="23778" xr:uid="{00000000-0005-0000-0000-0000CB030000}"/>
    <cellStyle name="Normal 44 4 3 2" xfId="25999" xr:uid="{00000000-0005-0000-0000-0000CB030000}"/>
    <cellStyle name="Normal 44 4 4" xfId="24852" xr:uid="{00000000-0005-0000-0000-0000CB030000}"/>
    <cellStyle name="Normal 44 5" xfId="22694" xr:uid="{00000000-0005-0000-0000-000010480000}"/>
    <cellStyle name="Normal 44 5 2" xfId="24006" xr:uid="{00000000-0005-0000-0000-0000CD030000}"/>
    <cellStyle name="Normal 44 5 2 2" xfId="26242" xr:uid="{00000000-0005-0000-0000-0000CD030000}"/>
    <cellStyle name="Normal 44 5 3" xfId="25113" xr:uid="{00000000-0005-0000-0000-0000CD030000}"/>
    <cellStyle name="Normal 44 6" xfId="23574" xr:uid="{00000000-0005-0000-0000-0000BE030000}"/>
    <cellStyle name="Normal 44 6 2" xfId="25766" xr:uid="{00000000-0005-0000-0000-0000BE030000}"/>
    <cellStyle name="Normal 44 7" xfId="24591" xr:uid="{00000000-0005-0000-0000-0000BE030000}"/>
    <cellStyle name="Normal 45" xfId="22160" xr:uid="{00000000-0005-0000-0000-000011480000}"/>
    <cellStyle name="Normal 45 2" xfId="22238" xr:uid="{00000000-0005-0000-0000-000012480000}"/>
    <cellStyle name="Normal 45 2 2" xfId="22364" xr:uid="{00000000-0005-0000-0000-000013480000}"/>
    <cellStyle name="Normal 45 2 2 2" xfId="22624" xr:uid="{00000000-0005-0000-0000-000014480000}"/>
    <cellStyle name="Normal 45 2 2 2 2" xfId="23150" xr:uid="{00000000-0005-0000-0000-000015480000}"/>
    <cellStyle name="Normal 45 2 2 2 2 2" xfId="24442" xr:uid="{00000000-0005-0000-0000-0000D2030000}"/>
    <cellStyle name="Normal 45 2 2 2 2 2 2" xfId="26700" xr:uid="{00000000-0005-0000-0000-0000D2030000}"/>
    <cellStyle name="Normal 45 2 2 2 2 3" xfId="25564" xr:uid="{00000000-0005-0000-0000-0000D2030000}"/>
    <cellStyle name="Normal 45 2 2 2 3" xfId="23936" xr:uid="{00000000-0005-0000-0000-0000D1030000}"/>
    <cellStyle name="Normal 45 2 2 2 3 2" xfId="26169" xr:uid="{00000000-0005-0000-0000-0000D1030000}"/>
    <cellStyle name="Normal 45 2 2 2 4" xfId="25042" xr:uid="{00000000-0005-0000-0000-0000D1030000}"/>
    <cellStyle name="Normal 45 2 2 3" xfId="22886" xr:uid="{00000000-0005-0000-0000-000016480000}"/>
    <cellStyle name="Normal 45 2 2 3 2" xfId="24186" xr:uid="{00000000-0005-0000-0000-0000D3030000}"/>
    <cellStyle name="Normal 45 2 2 3 2 2" xfId="26435" xr:uid="{00000000-0005-0000-0000-0000D3030000}"/>
    <cellStyle name="Normal 45 2 2 3 3" xfId="25305" xr:uid="{00000000-0005-0000-0000-0000D3030000}"/>
    <cellStyle name="Normal 45 2 2 4" xfId="23722" xr:uid="{00000000-0005-0000-0000-0000D0030000}"/>
    <cellStyle name="Normal 45 2 2 4 2" xfId="25936" xr:uid="{00000000-0005-0000-0000-0000D0030000}"/>
    <cellStyle name="Normal 45 2 2 5" xfId="24781" xr:uid="{00000000-0005-0000-0000-0000D0030000}"/>
    <cellStyle name="Normal 45 2 3" xfId="22495" xr:uid="{00000000-0005-0000-0000-000017480000}"/>
    <cellStyle name="Normal 45 2 3 2" xfId="23021" xr:uid="{00000000-0005-0000-0000-000018480000}"/>
    <cellStyle name="Normal 45 2 3 2 2" xfId="24319" xr:uid="{00000000-0005-0000-0000-0000D5030000}"/>
    <cellStyle name="Normal 45 2 3 2 2 2" xfId="26571" xr:uid="{00000000-0005-0000-0000-0000D5030000}"/>
    <cellStyle name="Normal 45 2 3 2 3" xfId="25437" xr:uid="{00000000-0005-0000-0000-0000D5030000}"/>
    <cellStyle name="Normal 45 2 3 3" xfId="23831" xr:uid="{00000000-0005-0000-0000-0000D4030000}"/>
    <cellStyle name="Normal 45 2 3 3 2" xfId="26055" xr:uid="{00000000-0005-0000-0000-0000D4030000}"/>
    <cellStyle name="Normal 45 2 3 4" xfId="24915" xr:uid="{00000000-0005-0000-0000-0000D4030000}"/>
    <cellStyle name="Normal 45 2 4" xfId="22757" xr:uid="{00000000-0005-0000-0000-000019480000}"/>
    <cellStyle name="Normal 45 2 4 2" xfId="24070" xr:uid="{00000000-0005-0000-0000-0000D6030000}"/>
    <cellStyle name="Normal 45 2 4 2 2" xfId="26306" xr:uid="{00000000-0005-0000-0000-0000D6030000}"/>
    <cellStyle name="Normal 45 2 4 3" xfId="25177" xr:uid="{00000000-0005-0000-0000-0000D6030000}"/>
    <cellStyle name="Normal 45 2 5" xfId="23624" xr:uid="{00000000-0005-0000-0000-0000CF030000}"/>
    <cellStyle name="Normal 45 2 5 2" xfId="25822" xr:uid="{00000000-0005-0000-0000-0000CF030000}"/>
    <cellStyle name="Normal 45 2 6" xfId="24655" xr:uid="{00000000-0005-0000-0000-0000CF030000}"/>
    <cellStyle name="Normal 45 3" xfId="22314" xr:uid="{00000000-0005-0000-0000-00001A480000}"/>
    <cellStyle name="Normal 45 3 2" xfId="22573" xr:uid="{00000000-0005-0000-0000-00001B480000}"/>
    <cellStyle name="Normal 45 3 2 2" xfId="23099" xr:uid="{00000000-0005-0000-0000-00001C480000}"/>
    <cellStyle name="Normal 45 3 2 2 2" xfId="24393" xr:uid="{00000000-0005-0000-0000-0000D9030000}"/>
    <cellStyle name="Normal 45 3 2 2 2 2" xfId="26649" xr:uid="{00000000-0005-0000-0000-0000D9030000}"/>
    <cellStyle name="Normal 45 3 2 2 3" xfId="25513" xr:uid="{00000000-0005-0000-0000-0000D9030000}"/>
    <cellStyle name="Normal 45 3 2 3" xfId="23889" xr:uid="{00000000-0005-0000-0000-0000D8030000}"/>
    <cellStyle name="Normal 45 3 2 3 2" xfId="26118" xr:uid="{00000000-0005-0000-0000-0000D8030000}"/>
    <cellStyle name="Normal 45 3 2 4" xfId="24991" xr:uid="{00000000-0005-0000-0000-0000D8030000}"/>
    <cellStyle name="Normal 45 3 3" xfId="22835" xr:uid="{00000000-0005-0000-0000-00001D480000}"/>
    <cellStyle name="Normal 45 3 3 2" xfId="24135" xr:uid="{00000000-0005-0000-0000-0000DA030000}"/>
    <cellStyle name="Normal 45 3 3 2 2" xfId="26384" xr:uid="{00000000-0005-0000-0000-0000DA030000}"/>
    <cellStyle name="Normal 45 3 3 3" xfId="25255" xr:uid="{00000000-0005-0000-0000-0000DA030000}"/>
    <cellStyle name="Normal 45 3 4" xfId="23676" xr:uid="{00000000-0005-0000-0000-0000D7030000}"/>
    <cellStyle name="Normal 45 3 4 2" xfId="25885" xr:uid="{00000000-0005-0000-0000-0000D7030000}"/>
    <cellStyle name="Normal 45 3 5" xfId="24731" xr:uid="{00000000-0005-0000-0000-0000D7030000}"/>
    <cellStyle name="Normal 45 4" xfId="22433" xr:uid="{00000000-0005-0000-0000-00001E480000}"/>
    <cellStyle name="Normal 45 4 2" xfId="22959" xr:uid="{00000000-0005-0000-0000-00001F480000}"/>
    <cellStyle name="Normal 45 4 2 2" xfId="24257" xr:uid="{00000000-0005-0000-0000-0000DC030000}"/>
    <cellStyle name="Normal 45 4 2 2 2" xfId="26508" xr:uid="{00000000-0005-0000-0000-0000DC030000}"/>
    <cellStyle name="Normal 45 4 2 3" xfId="25376" xr:uid="{00000000-0005-0000-0000-0000DC030000}"/>
    <cellStyle name="Normal 45 4 3" xfId="23779" xr:uid="{00000000-0005-0000-0000-0000DB030000}"/>
    <cellStyle name="Normal 45 4 3 2" xfId="26000" xr:uid="{00000000-0005-0000-0000-0000DB030000}"/>
    <cellStyle name="Normal 45 4 4" xfId="24853" xr:uid="{00000000-0005-0000-0000-0000DB030000}"/>
    <cellStyle name="Normal 45 5" xfId="22695" xr:uid="{00000000-0005-0000-0000-000020480000}"/>
    <cellStyle name="Normal 45 5 2" xfId="24007" xr:uid="{00000000-0005-0000-0000-0000DD030000}"/>
    <cellStyle name="Normal 45 5 2 2" xfId="26243" xr:uid="{00000000-0005-0000-0000-0000DD030000}"/>
    <cellStyle name="Normal 45 5 3" xfId="25114" xr:uid="{00000000-0005-0000-0000-0000DD030000}"/>
    <cellStyle name="Normal 45 6" xfId="23575" xr:uid="{00000000-0005-0000-0000-0000CE030000}"/>
    <cellStyle name="Normal 45 6 2" xfId="25767" xr:uid="{00000000-0005-0000-0000-0000CE030000}"/>
    <cellStyle name="Normal 45 7" xfId="24592" xr:uid="{00000000-0005-0000-0000-0000CE030000}"/>
    <cellStyle name="Normal 46" xfId="22161" xr:uid="{00000000-0005-0000-0000-000021480000}"/>
    <cellStyle name="Normal 46 2" xfId="22239" xr:uid="{00000000-0005-0000-0000-000022480000}"/>
    <cellStyle name="Normal 46 2 2" xfId="22365" xr:uid="{00000000-0005-0000-0000-000023480000}"/>
    <cellStyle name="Normal 46 2 2 2" xfId="22625" xr:uid="{00000000-0005-0000-0000-000024480000}"/>
    <cellStyle name="Normal 46 2 2 2 2" xfId="23151" xr:uid="{00000000-0005-0000-0000-000025480000}"/>
    <cellStyle name="Normal 46 2 2 2 2 2" xfId="24443" xr:uid="{00000000-0005-0000-0000-0000E2030000}"/>
    <cellStyle name="Normal 46 2 2 2 2 2 2" xfId="26701" xr:uid="{00000000-0005-0000-0000-0000E2030000}"/>
    <cellStyle name="Normal 46 2 2 2 2 3" xfId="25565" xr:uid="{00000000-0005-0000-0000-0000E2030000}"/>
    <cellStyle name="Normal 46 2 2 2 3" xfId="23937" xr:uid="{00000000-0005-0000-0000-0000E1030000}"/>
    <cellStyle name="Normal 46 2 2 2 3 2" xfId="26170" xr:uid="{00000000-0005-0000-0000-0000E1030000}"/>
    <cellStyle name="Normal 46 2 2 2 4" xfId="25043" xr:uid="{00000000-0005-0000-0000-0000E1030000}"/>
    <cellStyle name="Normal 46 2 2 3" xfId="22887" xr:uid="{00000000-0005-0000-0000-000026480000}"/>
    <cellStyle name="Normal 46 2 2 3 2" xfId="24187" xr:uid="{00000000-0005-0000-0000-0000E3030000}"/>
    <cellStyle name="Normal 46 2 2 3 2 2" xfId="26436" xr:uid="{00000000-0005-0000-0000-0000E3030000}"/>
    <cellStyle name="Normal 46 2 2 3 3" xfId="25306" xr:uid="{00000000-0005-0000-0000-0000E3030000}"/>
    <cellStyle name="Normal 46 2 2 4" xfId="23723" xr:uid="{00000000-0005-0000-0000-0000E0030000}"/>
    <cellStyle name="Normal 46 2 2 4 2" xfId="25937" xr:uid="{00000000-0005-0000-0000-0000E0030000}"/>
    <cellStyle name="Normal 46 2 2 5" xfId="24782" xr:uid="{00000000-0005-0000-0000-0000E0030000}"/>
    <cellStyle name="Normal 46 2 3" xfId="22496" xr:uid="{00000000-0005-0000-0000-000027480000}"/>
    <cellStyle name="Normal 46 2 3 2" xfId="23022" xr:uid="{00000000-0005-0000-0000-000028480000}"/>
    <cellStyle name="Normal 46 2 3 2 2" xfId="24320" xr:uid="{00000000-0005-0000-0000-0000E5030000}"/>
    <cellStyle name="Normal 46 2 3 2 2 2" xfId="26572" xr:uid="{00000000-0005-0000-0000-0000E5030000}"/>
    <cellStyle name="Normal 46 2 3 2 3" xfId="25438" xr:uid="{00000000-0005-0000-0000-0000E5030000}"/>
    <cellStyle name="Normal 46 2 3 3" xfId="23832" xr:uid="{00000000-0005-0000-0000-0000E4030000}"/>
    <cellStyle name="Normal 46 2 3 3 2" xfId="26056" xr:uid="{00000000-0005-0000-0000-0000E4030000}"/>
    <cellStyle name="Normal 46 2 3 4" xfId="24916" xr:uid="{00000000-0005-0000-0000-0000E4030000}"/>
    <cellStyle name="Normal 46 2 4" xfId="22758" xr:uid="{00000000-0005-0000-0000-000029480000}"/>
    <cellStyle name="Normal 46 2 4 2" xfId="24071" xr:uid="{00000000-0005-0000-0000-0000E6030000}"/>
    <cellStyle name="Normal 46 2 4 2 2" xfId="26307" xr:uid="{00000000-0005-0000-0000-0000E6030000}"/>
    <cellStyle name="Normal 46 2 4 3" xfId="25178" xr:uid="{00000000-0005-0000-0000-0000E6030000}"/>
    <cellStyle name="Normal 46 2 5" xfId="23625" xr:uid="{00000000-0005-0000-0000-0000DF030000}"/>
    <cellStyle name="Normal 46 2 5 2" xfId="25823" xr:uid="{00000000-0005-0000-0000-0000DF030000}"/>
    <cellStyle name="Normal 46 2 6" xfId="24656" xr:uid="{00000000-0005-0000-0000-0000DF030000}"/>
    <cellStyle name="Normal 46 3" xfId="22315" xr:uid="{00000000-0005-0000-0000-00002A480000}"/>
    <cellStyle name="Normal 46 3 2" xfId="22574" xr:uid="{00000000-0005-0000-0000-00002B480000}"/>
    <cellStyle name="Normal 46 3 2 2" xfId="23100" xr:uid="{00000000-0005-0000-0000-00002C480000}"/>
    <cellStyle name="Normal 46 3 2 2 2" xfId="24394" xr:uid="{00000000-0005-0000-0000-0000E9030000}"/>
    <cellStyle name="Normal 46 3 2 2 2 2" xfId="26650" xr:uid="{00000000-0005-0000-0000-0000E9030000}"/>
    <cellStyle name="Normal 46 3 2 2 3" xfId="25514" xr:uid="{00000000-0005-0000-0000-0000E9030000}"/>
    <cellStyle name="Normal 46 3 2 3" xfId="23890" xr:uid="{00000000-0005-0000-0000-0000E8030000}"/>
    <cellStyle name="Normal 46 3 2 3 2" xfId="26119" xr:uid="{00000000-0005-0000-0000-0000E8030000}"/>
    <cellStyle name="Normal 46 3 2 4" xfId="24992" xr:uid="{00000000-0005-0000-0000-0000E8030000}"/>
    <cellStyle name="Normal 46 3 3" xfId="22836" xr:uid="{00000000-0005-0000-0000-00002D480000}"/>
    <cellStyle name="Normal 46 3 3 2" xfId="24136" xr:uid="{00000000-0005-0000-0000-0000EA030000}"/>
    <cellStyle name="Normal 46 3 3 2 2" xfId="26385" xr:uid="{00000000-0005-0000-0000-0000EA030000}"/>
    <cellStyle name="Normal 46 3 3 3" xfId="25256" xr:uid="{00000000-0005-0000-0000-0000EA030000}"/>
    <cellStyle name="Normal 46 3 4" xfId="23677" xr:uid="{00000000-0005-0000-0000-0000E7030000}"/>
    <cellStyle name="Normal 46 3 4 2" xfId="25886" xr:uid="{00000000-0005-0000-0000-0000E7030000}"/>
    <cellStyle name="Normal 46 3 5" xfId="24732" xr:uid="{00000000-0005-0000-0000-0000E7030000}"/>
    <cellStyle name="Normal 46 4" xfId="22434" xr:uid="{00000000-0005-0000-0000-00002E480000}"/>
    <cellStyle name="Normal 46 4 2" xfId="22960" xr:uid="{00000000-0005-0000-0000-00002F480000}"/>
    <cellStyle name="Normal 46 4 2 2" xfId="24258" xr:uid="{00000000-0005-0000-0000-0000EC030000}"/>
    <cellStyle name="Normal 46 4 2 2 2" xfId="26509" xr:uid="{00000000-0005-0000-0000-0000EC030000}"/>
    <cellStyle name="Normal 46 4 2 3" xfId="25377" xr:uid="{00000000-0005-0000-0000-0000EC030000}"/>
    <cellStyle name="Normal 46 4 3" xfId="23780" xr:uid="{00000000-0005-0000-0000-0000EB030000}"/>
    <cellStyle name="Normal 46 4 3 2" xfId="26001" xr:uid="{00000000-0005-0000-0000-0000EB030000}"/>
    <cellStyle name="Normal 46 4 4" xfId="24854" xr:uid="{00000000-0005-0000-0000-0000EB030000}"/>
    <cellStyle name="Normal 46 5" xfId="22696" xr:uid="{00000000-0005-0000-0000-000030480000}"/>
    <cellStyle name="Normal 46 5 2" xfId="24008" xr:uid="{00000000-0005-0000-0000-0000ED030000}"/>
    <cellStyle name="Normal 46 5 2 2" xfId="26244" xr:uid="{00000000-0005-0000-0000-0000ED030000}"/>
    <cellStyle name="Normal 46 5 3" xfId="25115" xr:uid="{00000000-0005-0000-0000-0000ED030000}"/>
    <cellStyle name="Normal 46 6" xfId="23576" xr:uid="{00000000-0005-0000-0000-0000DE030000}"/>
    <cellStyle name="Normal 46 6 2" xfId="25768" xr:uid="{00000000-0005-0000-0000-0000DE030000}"/>
    <cellStyle name="Normal 46 7" xfId="24593" xr:uid="{00000000-0005-0000-0000-0000DE030000}"/>
    <cellStyle name="Normal 47" xfId="22162" xr:uid="{00000000-0005-0000-0000-000031480000}"/>
    <cellStyle name="Normal 47 2" xfId="22240" xr:uid="{00000000-0005-0000-0000-000032480000}"/>
    <cellStyle name="Normal 47 2 2" xfId="22366" xr:uid="{00000000-0005-0000-0000-000033480000}"/>
    <cellStyle name="Normal 47 2 2 2" xfId="22626" xr:uid="{00000000-0005-0000-0000-000034480000}"/>
    <cellStyle name="Normal 47 2 2 2 2" xfId="23152" xr:uid="{00000000-0005-0000-0000-000035480000}"/>
    <cellStyle name="Normal 47 2 2 2 2 2" xfId="24444" xr:uid="{00000000-0005-0000-0000-0000F2030000}"/>
    <cellStyle name="Normal 47 2 2 2 2 2 2" xfId="26702" xr:uid="{00000000-0005-0000-0000-0000F2030000}"/>
    <cellStyle name="Normal 47 2 2 2 2 3" xfId="25566" xr:uid="{00000000-0005-0000-0000-0000F2030000}"/>
    <cellStyle name="Normal 47 2 2 2 3" xfId="23938" xr:uid="{00000000-0005-0000-0000-0000F1030000}"/>
    <cellStyle name="Normal 47 2 2 2 3 2" xfId="26171" xr:uid="{00000000-0005-0000-0000-0000F1030000}"/>
    <cellStyle name="Normal 47 2 2 2 4" xfId="25044" xr:uid="{00000000-0005-0000-0000-0000F1030000}"/>
    <cellStyle name="Normal 47 2 2 3" xfId="22888" xr:uid="{00000000-0005-0000-0000-000036480000}"/>
    <cellStyle name="Normal 47 2 2 3 2" xfId="24188" xr:uid="{00000000-0005-0000-0000-0000F3030000}"/>
    <cellStyle name="Normal 47 2 2 3 2 2" xfId="26437" xr:uid="{00000000-0005-0000-0000-0000F3030000}"/>
    <cellStyle name="Normal 47 2 2 3 3" xfId="25307" xr:uid="{00000000-0005-0000-0000-0000F3030000}"/>
    <cellStyle name="Normal 47 2 2 4" xfId="23724" xr:uid="{00000000-0005-0000-0000-0000F0030000}"/>
    <cellStyle name="Normal 47 2 2 4 2" xfId="25938" xr:uid="{00000000-0005-0000-0000-0000F0030000}"/>
    <cellStyle name="Normal 47 2 2 5" xfId="24783" xr:uid="{00000000-0005-0000-0000-0000F0030000}"/>
    <cellStyle name="Normal 47 2 3" xfId="22497" xr:uid="{00000000-0005-0000-0000-000037480000}"/>
    <cellStyle name="Normal 47 2 3 2" xfId="23023" xr:uid="{00000000-0005-0000-0000-000038480000}"/>
    <cellStyle name="Normal 47 2 3 2 2" xfId="24321" xr:uid="{00000000-0005-0000-0000-0000F5030000}"/>
    <cellStyle name="Normal 47 2 3 2 2 2" xfId="26573" xr:uid="{00000000-0005-0000-0000-0000F5030000}"/>
    <cellStyle name="Normal 47 2 3 2 3" xfId="25439" xr:uid="{00000000-0005-0000-0000-0000F5030000}"/>
    <cellStyle name="Normal 47 2 3 3" xfId="23833" xr:uid="{00000000-0005-0000-0000-0000F4030000}"/>
    <cellStyle name="Normal 47 2 3 3 2" xfId="26057" xr:uid="{00000000-0005-0000-0000-0000F4030000}"/>
    <cellStyle name="Normal 47 2 3 4" xfId="24917" xr:uid="{00000000-0005-0000-0000-0000F4030000}"/>
    <cellStyle name="Normal 47 2 4" xfId="22759" xr:uid="{00000000-0005-0000-0000-000039480000}"/>
    <cellStyle name="Normal 47 2 4 2" xfId="24072" xr:uid="{00000000-0005-0000-0000-0000F6030000}"/>
    <cellStyle name="Normal 47 2 4 2 2" xfId="26308" xr:uid="{00000000-0005-0000-0000-0000F6030000}"/>
    <cellStyle name="Normal 47 2 4 3" xfId="25179" xr:uid="{00000000-0005-0000-0000-0000F6030000}"/>
    <cellStyle name="Normal 47 2 5" xfId="23626" xr:uid="{00000000-0005-0000-0000-0000EF030000}"/>
    <cellStyle name="Normal 47 2 5 2" xfId="25824" xr:uid="{00000000-0005-0000-0000-0000EF030000}"/>
    <cellStyle name="Normal 47 2 6" xfId="24657" xr:uid="{00000000-0005-0000-0000-0000EF030000}"/>
    <cellStyle name="Normal 47 3" xfId="22316" xr:uid="{00000000-0005-0000-0000-00003A480000}"/>
    <cellStyle name="Normal 47 3 2" xfId="22575" xr:uid="{00000000-0005-0000-0000-00003B480000}"/>
    <cellStyle name="Normal 47 3 2 2" xfId="23101" xr:uid="{00000000-0005-0000-0000-00003C480000}"/>
    <cellStyle name="Normal 47 3 2 2 2" xfId="24395" xr:uid="{00000000-0005-0000-0000-0000F9030000}"/>
    <cellStyle name="Normal 47 3 2 2 2 2" xfId="26651" xr:uid="{00000000-0005-0000-0000-0000F9030000}"/>
    <cellStyle name="Normal 47 3 2 2 3" xfId="25515" xr:uid="{00000000-0005-0000-0000-0000F9030000}"/>
    <cellStyle name="Normal 47 3 2 3" xfId="23891" xr:uid="{00000000-0005-0000-0000-0000F8030000}"/>
    <cellStyle name="Normal 47 3 2 3 2" xfId="26120" xr:uid="{00000000-0005-0000-0000-0000F8030000}"/>
    <cellStyle name="Normal 47 3 2 4" xfId="24993" xr:uid="{00000000-0005-0000-0000-0000F8030000}"/>
    <cellStyle name="Normal 47 3 3" xfId="22837" xr:uid="{00000000-0005-0000-0000-00003D480000}"/>
    <cellStyle name="Normal 47 3 3 2" xfId="24137" xr:uid="{00000000-0005-0000-0000-0000FA030000}"/>
    <cellStyle name="Normal 47 3 3 2 2" xfId="26386" xr:uid="{00000000-0005-0000-0000-0000FA030000}"/>
    <cellStyle name="Normal 47 3 3 3" xfId="25257" xr:uid="{00000000-0005-0000-0000-0000FA030000}"/>
    <cellStyle name="Normal 47 3 4" xfId="23678" xr:uid="{00000000-0005-0000-0000-0000F7030000}"/>
    <cellStyle name="Normal 47 3 4 2" xfId="25887" xr:uid="{00000000-0005-0000-0000-0000F7030000}"/>
    <cellStyle name="Normal 47 3 5" xfId="24733" xr:uid="{00000000-0005-0000-0000-0000F7030000}"/>
    <cellStyle name="Normal 47 4" xfId="22435" xr:uid="{00000000-0005-0000-0000-00003E480000}"/>
    <cellStyle name="Normal 47 4 2" xfId="22961" xr:uid="{00000000-0005-0000-0000-00003F480000}"/>
    <cellStyle name="Normal 47 4 2 2" xfId="24259" xr:uid="{00000000-0005-0000-0000-0000FC030000}"/>
    <cellStyle name="Normal 47 4 2 2 2" xfId="26510" xr:uid="{00000000-0005-0000-0000-0000FC030000}"/>
    <cellStyle name="Normal 47 4 2 3" xfId="25378" xr:uid="{00000000-0005-0000-0000-0000FC030000}"/>
    <cellStyle name="Normal 47 4 3" xfId="23781" xr:uid="{00000000-0005-0000-0000-0000FB030000}"/>
    <cellStyle name="Normal 47 4 3 2" xfId="26002" xr:uid="{00000000-0005-0000-0000-0000FB030000}"/>
    <cellStyle name="Normal 47 4 4" xfId="24855" xr:uid="{00000000-0005-0000-0000-0000FB030000}"/>
    <cellStyle name="Normal 47 5" xfId="22697" xr:uid="{00000000-0005-0000-0000-000040480000}"/>
    <cellStyle name="Normal 47 5 2" xfId="24009" xr:uid="{00000000-0005-0000-0000-0000FD030000}"/>
    <cellStyle name="Normal 47 5 2 2" xfId="26245" xr:uid="{00000000-0005-0000-0000-0000FD030000}"/>
    <cellStyle name="Normal 47 5 3" xfId="25116" xr:uid="{00000000-0005-0000-0000-0000FD030000}"/>
    <cellStyle name="Normal 47 6" xfId="23577" xr:uid="{00000000-0005-0000-0000-0000EE030000}"/>
    <cellStyle name="Normal 47 6 2" xfId="25769" xr:uid="{00000000-0005-0000-0000-0000EE030000}"/>
    <cellStyle name="Normal 47 7" xfId="24594" xr:uid="{00000000-0005-0000-0000-0000EE030000}"/>
    <cellStyle name="Normal 48" xfId="22163" xr:uid="{00000000-0005-0000-0000-000041480000}"/>
    <cellStyle name="Normal 48 2" xfId="22241" xr:uid="{00000000-0005-0000-0000-000042480000}"/>
    <cellStyle name="Normal 48 2 2" xfId="22367" xr:uid="{00000000-0005-0000-0000-000043480000}"/>
    <cellStyle name="Normal 48 2 2 2" xfId="22627" xr:uid="{00000000-0005-0000-0000-000044480000}"/>
    <cellStyle name="Normal 48 2 2 2 2" xfId="23153" xr:uid="{00000000-0005-0000-0000-000045480000}"/>
    <cellStyle name="Normal 48 2 2 2 2 2" xfId="24445" xr:uid="{00000000-0005-0000-0000-000002040000}"/>
    <cellStyle name="Normal 48 2 2 2 2 2 2" xfId="26703" xr:uid="{00000000-0005-0000-0000-000002040000}"/>
    <cellStyle name="Normal 48 2 2 2 2 3" xfId="25567" xr:uid="{00000000-0005-0000-0000-000002040000}"/>
    <cellStyle name="Normal 48 2 2 2 3" xfId="23939" xr:uid="{00000000-0005-0000-0000-000001040000}"/>
    <cellStyle name="Normal 48 2 2 2 3 2" xfId="26172" xr:uid="{00000000-0005-0000-0000-000001040000}"/>
    <cellStyle name="Normal 48 2 2 2 4" xfId="25045" xr:uid="{00000000-0005-0000-0000-000001040000}"/>
    <cellStyle name="Normal 48 2 2 3" xfId="22889" xr:uid="{00000000-0005-0000-0000-000046480000}"/>
    <cellStyle name="Normal 48 2 2 3 2" xfId="24189" xr:uid="{00000000-0005-0000-0000-000003040000}"/>
    <cellStyle name="Normal 48 2 2 3 2 2" xfId="26438" xr:uid="{00000000-0005-0000-0000-000003040000}"/>
    <cellStyle name="Normal 48 2 2 3 3" xfId="25308" xr:uid="{00000000-0005-0000-0000-000003040000}"/>
    <cellStyle name="Normal 48 2 2 4" xfId="23725" xr:uid="{00000000-0005-0000-0000-000000040000}"/>
    <cellStyle name="Normal 48 2 2 4 2" xfId="25939" xr:uid="{00000000-0005-0000-0000-000000040000}"/>
    <cellStyle name="Normal 48 2 2 5" xfId="24784" xr:uid="{00000000-0005-0000-0000-000000040000}"/>
    <cellStyle name="Normal 48 2 3" xfId="22498" xr:uid="{00000000-0005-0000-0000-000047480000}"/>
    <cellStyle name="Normal 48 2 3 2" xfId="23024" xr:uid="{00000000-0005-0000-0000-000048480000}"/>
    <cellStyle name="Normal 48 2 3 2 2" xfId="24322" xr:uid="{00000000-0005-0000-0000-000005040000}"/>
    <cellStyle name="Normal 48 2 3 2 2 2" xfId="26574" xr:uid="{00000000-0005-0000-0000-000005040000}"/>
    <cellStyle name="Normal 48 2 3 2 3" xfId="25440" xr:uid="{00000000-0005-0000-0000-000005040000}"/>
    <cellStyle name="Normal 48 2 3 3" xfId="23834" xr:uid="{00000000-0005-0000-0000-000004040000}"/>
    <cellStyle name="Normal 48 2 3 3 2" xfId="26058" xr:uid="{00000000-0005-0000-0000-000004040000}"/>
    <cellStyle name="Normal 48 2 3 4" xfId="24918" xr:uid="{00000000-0005-0000-0000-000004040000}"/>
    <cellStyle name="Normal 48 2 4" xfId="22760" xr:uid="{00000000-0005-0000-0000-000049480000}"/>
    <cellStyle name="Normal 48 2 4 2" xfId="24073" xr:uid="{00000000-0005-0000-0000-000006040000}"/>
    <cellStyle name="Normal 48 2 4 2 2" xfId="26309" xr:uid="{00000000-0005-0000-0000-000006040000}"/>
    <cellStyle name="Normal 48 2 4 3" xfId="25180" xr:uid="{00000000-0005-0000-0000-000006040000}"/>
    <cellStyle name="Normal 48 2 5" xfId="23627" xr:uid="{00000000-0005-0000-0000-0000FF030000}"/>
    <cellStyle name="Normal 48 2 5 2" xfId="25825" xr:uid="{00000000-0005-0000-0000-0000FF030000}"/>
    <cellStyle name="Normal 48 2 6" xfId="24658" xr:uid="{00000000-0005-0000-0000-0000FF030000}"/>
    <cellStyle name="Normal 48 3" xfId="22317" xr:uid="{00000000-0005-0000-0000-00004A480000}"/>
    <cellStyle name="Normal 48 3 2" xfId="22576" xr:uid="{00000000-0005-0000-0000-00004B480000}"/>
    <cellStyle name="Normal 48 3 2 2" xfId="23102" xr:uid="{00000000-0005-0000-0000-00004C480000}"/>
    <cellStyle name="Normal 48 3 2 2 2" xfId="24396" xr:uid="{00000000-0005-0000-0000-000009040000}"/>
    <cellStyle name="Normal 48 3 2 2 2 2" xfId="26652" xr:uid="{00000000-0005-0000-0000-000009040000}"/>
    <cellStyle name="Normal 48 3 2 2 3" xfId="25516" xr:uid="{00000000-0005-0000-0000-000009040000}"/>
    <cellStyle name="Normal 48 3 2 3" xfId="23892" xr:uid="{00000000-0005-0000-0000-000008040000}"/>
    <cellStyle name="Normal 48 3 2 3 2" xfId="26121" xr:uid="{00000000-0005-0000-0000-000008040000}"/>
    <cellStyle name="Normal 48 3 2 4" xfId="24994" xr:uid="{00000000-0005-0000-0000-000008040000}"/>
    <cellStyle name="Normal 48 3 3" xfId="22838" xr:uid="{00000000-0005-0000-0000-00004D480000}"/>
    <cellStyle name="Normal 48 3 3 2" xfId="24138" xr:uid="{00000000-0005-0000-0000-00000A040000}"/>
    <cellStyle name="Normal 48 3 3 2 2" xfId="26387" xr:uid="{00000000-0005-0000-0000-00000A040000}"/>
    <cellStyle name="Normal 48 3 3 3" xfId="25258" xr:uid="{00000000-0005-0000-0000-00000A040000}"/>
    <cellStyle name="Normal 48 3 4" xfId="23679" xr:uid="{00000000-0005-0000-0000-000007040000}"/>
    <cellStyle name="Normal 48 3 4 2" xfId="25888" xr:uid="{00000000-0005-0000-0000-000007040000}"/>
    <cellStyle name="Normal 48 3 5" xfId="24734" xr:uid="{00000000-0005-0000-0000-000007040000}"/>
    <cellStyle name="Normal 48 4" xfId="22436" xr:uid="{00000000-0005-0000-0000-00004E480000}"/>
    <cellStyle name="Normal 48 4 2" xfId="22962" xr:uid="{00000000-0005-0000-0000-00004F480000}"/>
    <cellStyle name="Normal 48 4 2 2" xfId="24260" xr:uid="{00000000-0005-0000-0000-00000C040000}"/>
    <cellStyle name="Normal 48 4 2 2 2" xfId="26511" xr:uid="{00000000-0005-0000-0000-00000C040000}"/>
    <cellStyle name="Normal 48 4 2 3" xfId="25379" xr:uid="{00000000-0005-0000-0000-00000C040000}"/>
    <cellStyle name="Normal 48 4 3" xfId="23782" xr:uid="{00000000-0005-0000-0000-00000B040000}"/>
    <cellStyle name="Normal 48 4 3 2" xfId="26003" xr:uid="{00000000-0005-0000-0000-00000B040000}"/>
    <cellStyle name="Normal 48 4 4" xfId="24856" xr:uid="{00000000-0005-0000-0000-00000B040000}"/>
    <cellStyle name="Normal 48 5" xfId="22698" xr:uid="{00000000-0005-0000-0000-000050480000}"/>
    <cellStyle name="Normal 48 5 2" xfId="24010" xr:uid="{00000000-0005-0000-0000-00000D040000}"/>
    <cellStyle name="Normal 48 5 2 2" xfId="26246" xr:uid="{00000000-0005-0000-0000-00000D040000}"/>
    <cellStyle name="Normal 48 5 3" xfId="25117" xr:uid="{00000000-0005-0000-0000-00000D040000}"/>
    <cellStyle name="Normal 48 6" xfId="23578" xr:uid="{00000000-0005-0000-0000-0000FE030000}"/>
    <cellStyle name="Normal 48 6 2" xfId="25770" xr:uid="{00000000-0005-0000-0000-0000FE030000}"/>
    <cellStyle name="Normal 48 7" xfId="24595" xr:uid="{00000000-0005-0000-0000-0000FE030000}"/>
    <cellStyle name="Normal 49" xfId="22164" xr:uid="{00000000-0005-0000-0000-000051480000}"/>
    <cellStyle name="Normal 49 2" xfId="22242" xr:uid="{00000000-0005-0000-0000-000052480000}"/>
    <cellStyle name="Normal 49 2 2" xfId="22368" xr:uid="{00000000-0005-0000-0000-000053480000}"/>
    <cellStyle name="Normal 49 2 2 2" xfId="22628" xr:uid="{00000000-0005-0000-0000-000054480000}"/>
    <cellStyle name="Normal 49 2 2 2 2" xfId="23154" xr:uid="{00000000-0005-0000-0000-000055480000}"/>
    <cellStyle name="Normal 49 2 2 2 2 2" xfId="24446" xr:uid="{00000000-0005-0000-0000-000012040000}"/>
    <cellStyle name="Normal 49 2 2 2 2 2 2" xfId="26704" xr:uid="{00000000-0005-0000-0000-000012040000}"/>
    <cellStyle name="Normal 49 2 2 2 2 3" xfId="25568" xr:uid="{00000000-0005-0000-0000-000012040000}"/>
    <cellStyle name="Normal 49 2 2 2 3" xfId="23940" xr:uid="{00000000-0005-0000-0000-000011040000}"/>
    <cellStyle name="Normal 49 2 2 2 3 2" xfId="26173" xr:uid="{00000000-0005-0000-0000-000011040000}"/>
    <cellStyle name="Normal 49 2 2 2 4" xfId="25046" xr:uid="{00000000-0005-0000-0000-000011040000}"/>
    <cellStyle name="Normal 49 2 2 3" xfId="22890" xr:uid="{00000000-0005-0000-0000-000056480000}"/>
    <cellStyle name="Normal 49 2 2 3 2" xfId="24190" xr:uid="{00000000-0005-0000-0000-000013040000}"/>
    <cellStyle name="Normal 49 2 2 3 2 2" xfId="26439" xr:uid="{00000000-0005-0000-0000-000013040000}"/>
    <cellStyle name="Normal 49 2 2 3 3" xfId="25309" xr:uid="{00000000-0005-0000-0000-000013040000}"/>
    <cellStyle name="Normal 49 2 2 4" xfId="23726" xr:uid="{00000000-0005-0000-0000-000010040000}"/>
    <cellStyle name="Normal 49 2 2 4 2" xfId="25940" xr:uid="{00000000-0005-0000-0000-000010040000}"/>
    <cellStyle name="Normal 49 2 2 5" xfId="24785" xr:uid="{00000000-0005-0000-0000-000010040000}"/>
    <cellStyle name="Normal 49 2 3" xfId="22499" xr:uid="{00000000-0005-0000-0000-000057480000}"/>
    <cellStyle name="Normal 49 2 3 2" xfId="23025" xr:uid="{00000000-0005-0000-0000-000058480000}"/>
    <cellStyle name="Normal 49 2 3 2 2" xfId="24323" xr:uid="{00000000-0005-0000-0000-000015040000}"/>
    <cellStyle name="Normal 49 2 3 2 2 2" xfId="26575" xr:uid="{00000000-0005-0000-0000-000015040000}"/>
    <cellStyle name="Normal 49 2 3 2 3" xfId="25441" xr:uid="{00000000-0005-0000-0000-000015040000}"/>
    <cellStyle name="Normal 49 2 3 3" xfId="23835" xr:uid="{00000000-0005-0000-0000-000014040000}"/>
    <cellStyle name="Normal 49 2 3 3 2" xfId="26059" xr:uid="{00000000-0005-0000-0000-000014040000}"/>
    <cellStyle name="Normal 49 2 3 4" xfId="24919" xr:uid="{00000000-0005-0000-0000-000014040000}"/>
    <cellStyle name="Normal 49 2 4" xfId="22761" xr:uid="{00000000-0005-0000-0000-000059480000}"/>
    <cellStyle name="Normal 49 2 4 2" xfId="24074" xr:uid="{00000000-0005-0000-0000-000016040000}"/>
    <cellStyle name="Normal 49 2 4 2 2" xfId="26310" xr:uid="{00000000-0005-0000-0000-000016040000}"/>
    <cellStyle name="Normal 49 2 4 3" xfId="25181" xr:uid="{00000000-0005-0000-0000-000016040000}"/>
    <cellStyle name="Normal 49 2 5" xfId="23628" xr:uid="{00000000-0005-0000-0000-00000F040000}"/>
    <cellStyle name="Normal 49 2 5 2" xfId="25826" xr:uid="{00000000-0005-0000-0000-00000F040000}"/>
    <cellStyle name="Normal 49 2 6" xfId="24659" xr:uid="{00000000-0005-0000-0000-00000F040000}"/>
    <cellStyle name="Normal 49 3" xfId="22318" xr:uid="{00000000-0005-0000-0000-00005A480000}"/>
    <cellStyle name="Normal 49 3 2" xfId="22577" xr:uid="{00000000-0005-0000-0000-00005B480000}"/>
    <cellStyle name="Normal 49 3 2 2" xfId="23103" xr:uid="{00000000-0005-0000-0000-00005C480000}"/>
    <cellStyle name="Normal 49 3 2 2 2" xfId="24397" xr:uid="{00000000-0005-0000-0000-000019040000}"/>
    <cellStyle name="Normal 49 3 2 2 2 2" xfId="26653" xr:uid="{00000000-0005-0000-0000-000019040000}"/>
    <cellStyle name="Normal 49 3 2 2 3" xfId="25517" xr:uid="{00000000-0005-0000-0000-000019040000}"/>
    <cellStyle name="Normal 49 3 2 3" xfId="23893" xr:uid="{00000000-0005-0000-0000-000018040000}"/>
    <cellStyle name="Normal 49 3 2 3 2" xfId="26122" xr:uid="{00000000-0005-0000-0000-000018040000}"/>
    <cellStyle name="Normal 49 3 2 4" xfId="24995" xr:uid="{00000000-0005-0000-0000-000018040000}"/>
    <cellStyle name="Normal 49 3 3" xfId="22839" xr:uid="{00000000-0005-0000-0000-00005D480000}"/>
    <cellStyle name="Normal 49 3 3 2" xfId="24139" xr:uid="{00000000-0005-0000-0000-00001A040000}"/>
    <cellStyle name="Normal 49 3 3 2 2" xfId="26388" xr:uid="{00000000-0005-0000-0000-00001A040000}"/>
    <cellStyle name="Normal 49 3 3 3" xfId="25259" xr:uid="{00000000-0005-0000-0000-00001A040000}"/>
    <cellStyle name="Normal 49 3 4" xfId="23680" xr:uid="{00000000-0005-0000-0000-000017040000}"/>
    <cellStyle name="Normal 49 3 4 2" xfId="25889" xr:uid="{00000000-0005-0000-0000-000017040000}"/>
    <cellStyle name="Normal 49 3 5" xfId="24735" xr:uid="{00000000-0005-0000-0000-000017040000}"/>
    <cellStyle name="Normal 49 4" xfId="22437" xr:uid="{00000000-0005-0000-0000-00005E480000}"/>
    <cellStyle name="Normal 49 4 2" xfId="22963" xr:uid="{00000000-0005-0000-0000-00005F480000}"/>
    <cellStyle name="Normal 49 4 2 2" xfId="24261" xr:uid="{00000000-0005-0000-0000-00001C040000}"/>
    <cellStyle name="Normal 49 4 2 2 2" xfId="26512" xr:uid="{00000000-0005-0000-0000-00001C040000}"/>
    <cellStyle name="Normal 49 4 2 3" xfId="25380" xr:uid="{00000000-0005-0000-0000-00001C040000}"/>
    <cellStyle name="Normal 49 4 3" xfId="23783" xr:uid="{00000000-0005-0000-0000-00001B040000}"/>
    <cellStyle name="Normal 49 4 3 2" xfId="26004" xr:uid="{00000000-0005-0000-0000-00001B040000}"/>
    <cellStyle name="Normal 49 4 4" xfId="24857" xr:uid="{00000000-0005-0000-0000-00001B040000}"/>
    <cellStyle name="Normal 49 5" xfId="22699" xr:uid="{00000000-0005-0000-0000-000060480000}"/>
    <cellStyle name="Normal 49 5 2" xfId="24011" xr:uid="{00000000-0005-0000-0000-00001D040000}"/>
    <cellStyle name="Normal 49 5 2 2" xfId="26247" xr:uid="{00000000-0005-0000-0000-00001D040000}"/>
    <cellStyle name="Normal 49 5 3" xfId="25118" xr:uid="{00000000-0005-0000-0000-00001D040000}"/>
    <cellStyle name="Normal 49 6" xfId="23579" xr:uid="{00000000-0005-0000-0000-00000E040000}"/>
    <cellStyle name="Normal 49 6 2" xfId="25771" xr:uid="{00000000-0005-0000-0000-00000E040000}"/>
    <cellStyle name="Normal 49 7" xfId="24596" xr:uid="{00000000-0005-0000-0000-00000E040000}"/>
    <cellStyle name="Normal 5" xfId="11628" xr:uid="{00000000-0005-0000-0000-000061480000}"/>
    <cellStyle name="Normal 5 2" xfId="11629" xr:uid="{00000000-0005-0000-0000-000062480000}"/>
    <cellStyle name="Normal 5 2 2" xfId="19657" xr:uid="{00000000-0005-0000-0000-000063480000}"/>
    <cellStyle name="Normal 5 2 3" xfId="21748" xr:uid="{00000000-0005-0000-0000-000064480000}"/>
    <cellStyle name="Normal 5 2 3 2" xfId="21815" xr:uid="{00000000-0005-0000-0000-000065480000}"/>
    <cellStyle name="Normal 5 2 3 3" xfId="21782" xr:uid="{00000000-0005-0000-0000-000066480000}"/>
    <cellStyle name="Normal 5 3" xfId="21749" xr:uid="{00000000-0005-0000-0000-000067480000}"/>
    <cellStyle name="Normal 5 3 2" xfId="21904" xr:uid="{00000000-0005-0000-0000-000068480000}"/>
    <cellStyle name="Normal 5 4" xfId="22165" xr:uid="{00000000-0005-0000-0000-000069480000}"/>
    <cellStyle name="Normal 50" xfId="22166" xr:uid="{00000000-0005-0000-0000-00006A480000}"/>
    <cellStyle name="Normal 51" xfId="22167" xr:uid="{00000000-0005-0000-0000-00006B480000}"/>
    <cellStyle name="Normal 52" xfId="22168" xr:uid="{00000000-0005-0000-0000-00006C480000}"/>
    <cellStyle name="Normal 53" xfId="22169" xr:uid="{00000000-0005-0000-0000-00006D480000}"/>
    <cellStyle name="Normal 53 2" xfId="22243" xr:uid="{00000000-0005-0000-0000-00006E480000}"/>
    <cellStyle name="Normal 53 2 2" xfId="22369" xr:uid="{00000000-0005-0000-0000-00006F480000}"/>
    <cellStyle name="Normal 53 2 2 2" xfId="22629" xr:uid="{00000000-0005-0000-0000-000070480000}"/>
    <cellStyle name="Normal 53 2 2 2 2" xfId="23155" xr:uid="{00000000-0005-0000-0000-000071480000}"/>
    <cellStyle name="Normal 53 2 2 2 2 2" xfId="24447" xr:uid="{00000000-0005-0000-0000-000026040000}"/>
    <cellStyle name="Normal 53 2 2 2 2 2 2" xfId="26705" xr:uid="{00000000-0005-0000-0000-000026040000}"/>
    <cellStyle name="Normal 53 2 2 2 2 3" xfId="25569" xr:uid="{00000000-0005-0000-0000-000026040000}"/>
    <cellStyle name="Normal 53 2 2 2 3" xfId="23941" xr:uid="{00000000-0005-0000-0000-000025040000}"/>
    <cellStyle name="Normal 53 2 2 2 3 2" xfId="26174" xr:uid="{00000000-0005-0000-0000-000025040000}"/>
    <cellStyle name="Normal 53 2 2 2 4" xfId="25047" xr:uid="{00000000-0005-0000-0000-000025040000}"/>
    <cellStyle name="Normal 53 2 2 3" xfId="22891" xr:uid="{00000000-0005-0000-0000-000072480000}"/>
    <cellStyle name="Normal 53 2 2 3 2" xfId="24191" xr:uid="{00000000-0005-0000-0000-000027040000}"/>
    <cellStyle name="Normal 53 2 2 3 2 2" xfId="26440" xr:uid="{00000000-0005-0000-0000-000027040000}"/>
    <cellStyle name="Normal 53 2 2 3 3" xfId="25310" xr:uid="{00000000-0005-0000-0000-000027040000}"/>
    <cellStyle name="Normal 53 2 2 4" xfId="23727" xr:uid="{00000000-0005-0000-0000-000024040000}"/>
    <cellStyle name="Normal 53 2 2 4 2" xfId="25941" xr:uid="{00000000-0005-0000-0000-000024040000}"/>
    <cellStyle name="Normal 53 2 2 5" xfId="24786" xr:uid="{00000000-0005-0000-0000-000024040000}"/>
    <cellStyle name="Normal 53 2 3" xfId="22500" xr:uid="{00000000-0005-0000-0000-000073480000}"/>
    <cellStyle name="Normal 53 2 3 2" xfId="23026" xr:uid="{00000000-0005-0000-0000-000074480000}"/>
    <cellStyle name="Normal 53 2 3 2 2" xfId="24324" xr:uid="{00000000-0005-0000-0000-000029040000}"/>
    <cellStyle name="Normal 53 2 3 2 2 2" xfId="26576" xr:uid="{00000000-0005-0000-0000-000029040000}"/>
    <cellStyle name="Normal 53 2 3 2 3" xfId="25442" xr:uid="{00000000-0005-0000-0000-000029040000}"/>
    <cellStyle name="Normal 53 2 3 3" xfId="23836" xr:uid="{00000000-0005-0000-0000-000028040000}"/>
    <cellStyle name="Normal 53 2 3 3 2" xfId="26060" xr:uid="{00000000-0005-0000-0000-000028040000}"/>
    <cellStyle name="Normal 53 2 3 4" xfId="24920" xr:uid="{00000000-0005-0000-0000-000028040000}"/>
    <cellStyle name="Normal 53 2 4" xfId="22762" xr:uid="{00000000-0005-0000-0000-000075480000}"/>
    <cellStyle name="Normal 53 2 4 2" xfId="24075" xr:uid="{00000000-0005-0000-0000-00002A040000}"/>
    <cellStyle name="Normal 53 2 4 2 2" xfId="26311" xr:uid="{00000000-0005-0000-0000-00002A040000}"/>
    <cellStyle name="Normal 53 2 4 3" xfId="25182" xr:uid="{00000000-0005-0000-0000-00002A040000}"/>
    <cellStyle name="Normal 53 2 5" xfId="23629" xr:uid="{00000000-0005-0000-0000-000023040000}"/>
    <cellStyle name="Normal 53 2 5 2" xfId="25827" xr:uid="{00000000-0005-0000-0000-000023040000}"/>
    <cellStyle name="Normal 53 2 6" xfId="24660" xr:uid="{00000000-0005-0000-0000-000023040000}"/>
    <cellStyle name="Normal 53 3" xfId="22319" xr:uid="{00000000-0005-0000-0000-000076480000}"/>
    <cellStyle name="Normal 53 3 2" xfId="22578" xr:uid="{00000000-0005-0000-0000-000077480000}"/>
    <cellStyle name="Normal 53 3 2 2" xfId="23104" xr:uid="{00000000-0005-0000-0000-000078480000}"/>
    <cellStyle name="Normal 53 3 2 2 2" xfId="24398" xr:uid="{00000000-0005-0000-0000-00002D040000}"/>
    <cellStyle name="Normal 53 3 2 2 2 2" xfId="26654" xr:uid="{00000000-0005-0000-0000-00002D040000}"/>
    <cellStyle name="Normal 53 3 2 2 3" xfId="25518" xr:uid="{00000000-0005-0000-0000-00002D040000}"/>
    <cellStyle name="Normal 53 3 2 3" xfId="23894" xr:uid="{00000000-0005-0000-0000-00002C040000}"/>
    <cellStyle name="Normal 53 3 2 3 2" xfId="26123" xr:uid="{00000000-0005-0000-0000-00002C040000}"/>
    <cellStyle name="Normal 53 3 2 4" xfId="24996" xr:uid="{00000000-0005-0000-0000-00002C040000}"/>
    <cellStyle name="Normal 53 3 3" xfId="22840" xr:uid="{00000000-0005-0000-0000-000079480000}"/>
    <cellStyle name="Normal 53 3 3 2" xfId="24140" xr:uid="{00000000-0005-0000-0000-00002E040000}"/>
    <cellStyle name="Normal 53 3 3 2 2" xfId="26389" xr:uid="{00000000-0005-0000-0000-00002E040000}"/>
    <cellStyle name="Normal 53 3 3 3" xfId="25260" xr:uid="{00000000-0005-0000-0000-00002E040000}"/>
    <cellStyle name="Normal 53 3 4" xfId="23681" xr:uid="{00000000-0005-0000-0000-00002B040000}"/>
    <cellStyle name="Normal 53 3 4 2" xfId="25890" xr:uid="{00000000-0005-0000-0000-00002B040000}"/>
    <cellStyle name="Normal 53 3 5" xfId="24736" xr:uid="{00000000-0005-0000-0000-00002B040000}"/>
    <cellStyle name="Normal 53 4" xfId="22438" xr:uid="{00000000-0005-0000-0000-00007A480000}"/>
    <cellStyle name="Normal 53 4 2" xfId="22964" xr:uid="{00000000-0005-0000-0000-00007B480000}"/>
    <cellStyle name="Normal 53 4 2 2" xfId="24262" xr:uid="{00000000-0005-0000-0000-000030040000}"/>
    <cellStyle name="Normal 53 4 2 2 2" xfId="26513" xr:uid="{00000000-0005-0000-0000-000030040000}"/>
    <cellStyle name="Normal 53 4 2 3" xfId="25381" xr:uid="{00000000-0005-0000-0000-000030040000}"/>
    <cellStyle name="Normal 53 4 3" xfId="23784" xr:uid="{00000000-0005-0000-0000-00002F040000}"/>
    <cellStyle name="Normal 53 4 3 2" xfId="26005" xr:uid="{00000000-0005-0000-0000-00002F040000}"/>
    <cellStyle name="Normal 53 4 4" xfId="24858" xr:uid="{00000000-0005-0000-0000-00002F040000}"/>
    <cellStyle name="Normal 53 5" xfId="22700" xr:uid="{00000000-0005-0000-0000-00007C480000}"/>
    <cellStyle name="Normal 53 5 2" xfId="24012" xr:uid="{00000000-0005-0000-0000-000031040000}"/>
    <cellStyle name="Normal 53 5 2 2" xfId="26248" xr:uid="{00000000-0005-0000-0000-000031040000}"/>
    <cellStyle name="Normal 53 5 3" xfId="25119" xr:uid="{00000000-0005-0000-0000-000031040000}"/>
    <cellStyle name="Normal 53 6" xfId="23580" xr:uid="{00000000-0005-0000-0000-000022040000}"/>
    <cellStyle name="Normal 53 6 2" xfId="25772" xr:uid="{00000000-0005-0000-0000-000022040000}"/>
    <cellStyle name="Normal 53 7" xfId="24597" xr:uid="{00000000-0005-0000-0000-000022040000}"/>
    <cellStyle name="Normal 54" xfId="22170" xr:uid="{00000000-0005-0000-0000-00007D480000}"/>
    <cellStyle name="Normal 54 2" xfId="22244" xr:uid="{00000000-0005-0000-0000-00007E480000}"/>
    <cellStyle name="Normal 54 2 2" xfId="22370" xr:uid="{00000000-0005-0000-0000-00007F480000}"/>
    <cellStyle name="Normal 54 2 2 2" xfId="22630" xr:uid="{00000000-0005-0000-0000-000080480000}"/>
    <cellStyle name="Normal 54 2 2 2 2" xfId="23156" xr:uid="{00000000-0005-0000-0000-000081480000}"/>
    <cellStyle name="Normal 54 2 2 2 2 2" xfId="24448" xr:uid="{00000000-0005-0000-0000-000036040000}"/>
    <cellStyle name="Normal 54 2 2 2 2 2 2" xfId="26706" xr:uid="{00000000-0005-0000-0000-000036040000}"/>
    <cellStyle name="Normal 54 2 2 2 2 3" xfId="25570" xr:uid="{00000000-0005-0000-0000-000036040000}"/>
    <cellStyle name="Normal 54 2 2 2 3" xfId="23942" xr:uid="{00000000-0005-0000-0000-000035040000}"/>
    <cellStyle name="Normal 54 2 2 2 3 2" xfId="26175" xr:uid="{00000000-0005-0000-0000-000035040000}"/>
    <cellStyle name="Normal 54 2 2 2 4" xfId="25048" xr:uid="{00000000-0005-0000-0000-000035040000}"/>
    <cellStyle name="Normal 54 2 2 3" xfId="22892" xr:uid="{00000000-0005-0000-0000-000082480000}"/>
    <cellStyle name="Normal 54 2 2 3 2" xfId="24192" xr:uid="{00000000-0005-0000-0000-000037040000}"/>
    <cellStyle name="Normal 54 2 2 3 2 2" xfId="26441" xr:uid="{00000000-0005-0000-0000-000037040000}"/>
    <cellStyle name="Normal 54 2 2 3 3" xfId="25311" xr:uid="{00000000-0005-0000-0000-000037040000}"/>
    <cellStyle name="Normal 54 2 2 4" xfId="23728" xr:uid="{00000000-0005-0000-0000-000034040000}"/>
    <cellStyle name="Normal 54 2 2 4 2" xfId="25942" xr:uid="{00000000-0005-0000-0000-000034040000}"/>
    <cellStyle name="Normal 54 2 2 5" xfId="24787" xr:uid="{00000000-0005-0000-0000-000034040000}"/>
    <cellStyle name="Normal 54 2 3" xfId="22501" xr:uid="{00000000-0005-0000-0000-000083480000}"/>
    <cellStyle name="Normal 54 2 3 2" xfId="23027" xr:uid="{00000000-0005-0000-0000-000084480000}"/>
    <cellStyle name="Normal 54 2 3 2 2" xfId="24325" xr:uid="{00000000-0005-0000-0000-000039040000}"/>
    <cellStyle name="Normal 54 2 3 2 2 2" xfId="26577" xr:uid="{00000000-0005-0000-0000-000039040000}"/>
    <cellStyle name="Normal 54 2 3 2 3" xfId="25443" xr:uid="{00000000-0005-0000-0000-000039040000}"/>
    <cellStyle name="Normal 54 2 3 3" xfId="23837" xr:uid="{00000000-0005-0000-0000-000038040000}"/>
    <cellStyle name="Normal 54 2 3 3 2" xfId="26061" xr:uid="{00000000-0005-0000-0000-000038040000}"/>
    <cellStyle name="Normal 54 2 3 4" xfId="24921" xr:uid="{00000000-0005-0000-0000-000038040000}"/>
    <cellStyle name="Normal 54 2 4" xfId="22763" xr:uid="{00000000-0005-0000-0000-000085480000}"/>
    <cellStyle name="Normal 54 2 4 2" xfId="24076" xr:uid="{00000000-0005-0000-0000-00003A040000}"/>
    <cellStyle name="Normal 54 2 4 2 2" xfId="26312" xr:uid="{00000000-0005-0000-0000-00003A040000}"/>
    <cellStyle name="Normal 54 2 4 3" xfId="25183" xr:uid="{00000000-0005-0000-0000-00003A040000}"/>
    <cellStyle name="Normal 54 2 5" xfId="23630" xr:uid="{00000000-0005-0000-0000-000033040000}"/>
    <cellStyle name="Normal 54 2 5 2" xfId="25828" xr:uid="{00000000-0005-0000-0000-000033040000}"/>
    <cellStyle name="Normal 54 2 6" xfId="24661" xr:uid="{00000000-0005-0000-0000-000033040000}"/>
    <cellStyle name="Normal 54 3" xfId="22320" xr:uid="{00000000-0005-0000-0000-000086480000}"/>
    <cellStyle name="Normal 54 3 2" xfId="22579" xr:uid="{00000000-0005-0000-0000-000087480000}"/>
    <cellStyle name="Normal 54 3 2 2" xfId="23105" xr:uid="{00000000-0005-0000-0000-000088480000}"/>
    <cellStyle name="Normal 54 3 2 2 2" xfId="24399" xr:uid="{00000000-0005-0000-0000-00003D040000}"/>
    <cellStyle name="Normal 54 3 2 2 2 2" xfId="26655" xr:uid="{00000000-0005-0000-0000-00003D040000}"/>
    <cellStyle name="Normal 54 3 2 2 3" xfId="25519" xr:uid="{00000000-0005-0000-0000-00003D040000}"/>
    <cellStyle name="Normal 54 3 2 3" xfId="23895" xr:uid="{00000000-0005-0000-0000-00003C040000}"/>
    <cellStyle name="Normal 54 3 2 3 2" xfId="26124" xr:uid="{00000000-0005-0000-0000-00003C040000}"/>
    <cellStyle name="Normal 54 3 2 4" xfId="24997" xr:uid="{00000000-0005-0000-0000-00003C040000}"/>
    <cellStyle name="Normal 54 3 3" xfId="22841" xr:uid="{00000000-0005-0000-0000-000089480000}"/>
    <cellStyle name="Normal 54 3 3 2" xfId="24141" xr:uid="{00000000-0005-0000-0000-00003E040000}"/>
    <cellStyle name="Normal 54 3 3 2 2" xfId="26390" xr:uid="{00000000-0005-0000-0000-00003E040000}"/>
    <cellStyle name="Normal 54 3 3 3" xfId="25261" xr:uid="{00000000-0005-0000-0000-00003E040000}"/>
    <cellStyle name="Normal 54 3 4" xfId="23682" xr:uid="{00000000-0005-0000-0000-00003B040000}"/>
    <cellStyle name="Normal 54 3 4 2" xfId="25891" xr:uid="{00000000-0005-0000-0000-00003B040000}"/>
    <cellStyle name="Normal 54 3 5" xfId="24737" xr:uid="{00000000-0005-0000-0000-00003B040000}"/>
    <cellStyle name="Normal 54 4" xfId="22439" xr:uid="{00000000-0005-0000-0000-00008A480000}"/>
    <cellStyle name="Normal 54 4 2" xfId="22965" xr:uid="{00000000-0005-0000-0000-00008B480000}"/>
    <cellStyle name="Normal 54 4 2 2" xfId="24263" xr:uid="{00000000-0005-0000-0000-000040040000}"/>
    <cellStyle name="Normal 54 4 2 2 2" xfId="26514" xr:uid="{00000000-0005-0000-0000-000040040000}"/>
    <cellStyle name="Normal 54 4 2 3" xfId="25382" xr:uid="{00000000-0005-0000-0000-000040040000}"/>
    <cellStyle name="Normal 54 4 3" xfId="23785" xr:uid="{00000000-0005-0000-0000-00003F040000}"/>
    <cellStyle name="Normal 54 4 3 2" xfId="26006" xr:uid="{00000000-0005-0000-0000-00003F040000}"/>
    <cellStyle name="Normal 54 4 4" xfId="24859" xr:uid="{00000000-0005-0000-0000-00003F040000}"/>
    <cellStyle name="Normal 54 5" xfId="22701" xr:uid="{00000000-0005-0000-0000-00008C480000}"/>
    <cellStyle name="Normal 54 5 2" xfId="24013" xr:uid="{00000000-0005-0000-0000-000041040000}"/>
    <cellStyle name="Normal 54 5 2 2" xfId="26249" xr:uid="{00000000-0005-0000-0000-000041040000}"/>
    <cellStyle name="Normal 54 5 3" xfId="25120" xr:uid="{00000000-0005-0000-0000-000041040000}"/>
    <cellStyle name="Normal 54 6" xfId="23581" xr:uid="{00000000-0005-0000-0000-000032040000}"/>
    <cellStyle name="Normal 54 6 2" xfId="25773" xr:uid="{00000000-0005-0000-0000-000032040000}"/>
    <cellStyle name="Normal 54 7" xfId="24598" xr:uid="{00000000-0005-0000-0000-000032040000}"/>
    <cellStyle name="Normal 55" xfId="22171" xr:uid="{00000000-0005-0000-0000-00008D480000}"/>
    <cellStyle name="Normal 56" xfId="22172" xr:uid="{00000000-0005-0000-0000-00008E480000}"/>
    <cellStyle name="Normal 56 2" xfId="22245" xr:uid="{00000000-0005-0000-0000-00008F480000}"/>
    <cellStyle name="Normal 56 2 2" xfId="22371" xr:uid="{00000000-0005-0000-0000-000090480000}"/>
    <cellStyle name="Normal 56 2 2 2" xfId="22631" xr:uid="{00000000-0005-0000-0000-000091480000}"/>
    <cellStyle name="Normal 56 2 2 2 2" xfId="23157" xr:uid="{00000000-0005-0000-0000-000092480000}"/>
    <cellStyle name="Normal 56 2 2 2 2 2" xfId="24449" xr:uid="{00000000-0005-0000-0000-000047040000}"/>
    <cellStyle name="Normal 56 2 2 2 2 2 2" xfId="26707" xr:uid="{00000000-0005-0000-0000-000047040000}"/>
    <cellStyle name="Normal 56 2 2 2 2 3" xfId="25571" xr:uid="{00000000-0005-0000-0000-000047040000}"/>
    <cellStyle name="Normal 56 2 2 2 3" xfId="23943" xr:uid="{00000000-0005-0000-0000-000046040000}"/>
    <cellStyle name="Normal 56 2 2 2 3 2" xfId="26176" xr:uid="{00000000-0005-0000-0000-000046040000}"/>
    <cellStyle name="Normal 56 2 2 2 4" xfId="25049" xr:uid="{00000000-0005-0000-0000-000046040000}"/>
    <cellStyle name="Normal 56 2 2 3" xfId="22893" xr:uid="{00000000-0005-0000-0000-000093480000}"/>
    <cellStyle name="Normal 56 2 2 3 2" xfId="24193" xr:uid="{00000000-0005-0000-0000-000048040000}"/>
    <cellStyle name="Normal 56 2 2 3 2 2" xfId="26442" xr:uid="{00000000-0005-0000-0000-000048040000}"/>
    <cellStyle name="Normal 56 2 2 3 3" xfId="25312" xr:uid="{00000000-0005-0000-0000-000048040000}"/>
    <cellStyle name="Normal 56 2 2 4" xfId="23729" xr:uid="{00000000-0005-0000-0000-000045040000}"/>
    <cellStyle name="Normal 56 2 2 4 2" xfId="25943" xr:uid="{00000000-0005-0000-0000-000045040000}"/>
    <cellStyle name="Normal 56 2 2 5" xfId="24788" xr:uid="{00000000-0005-0000-0000-000045040000}"/>
    <cellStyle name="Normal 56 2 3" xfId="22502" xr:uid="{00000000-0005-0000-0000-000094480000}"/>
    <cellStyle name="Normal 56 2 3 2" xfId="23028" xr:uid="{00000000-0005-0000-0000-000095480000}"/>
    <cellStyle name="Normal 56 2 3 2 2" xfId="24326" xr:uid="{00000000-0005-0000-0000-00004A040000}"/>
    <cellStyle name="Normal 56 2 3 2 2 2" xfId="26578" xr:uid="{00000000-0005-0000-0000-00004A040000}"/>
    <cellStyle name="Normal 56 2 3 2 3" xfId="25444" xr:uid="{00000000-0005-0000-0000-00004A040000}"/>
    <cellStyle name="Normal 56 2 3 3" xfId="23838" xr:uid="{00000000-0005-0000-0000-000049040000}"/>
    <cellStyle name="Normal 56 2 3 3 2" xfId="26062" xr:uid="{00000000-0005-0000-0000-000049040000}"/>
    <cellStyle name="Normal 56 2 3 4" xfId="24922" xr:uid="{00000000-0005-0000-0000-000049040000}"/>
    <cellStyle name="Normal 56 2 4" xfId="22764" xr:uid="{00000000-0005-0000-0000-000096480000}"/>
    <cellStyle name="Normal 56 2 4 2" xfId="24077" xr:uid="{00000000-0005-0000-0000-00004B040000}"/>
    <cellStyle name="Normal 56 2 4 2 2" xfId="26313" xr:uid="{00000000-0005-0000-0000-00004B040000}"/>
    <cellStyle name="Normal 56 2 4 3" xfId="25184" xr:uid="{00000000-0005-0000-0000-00004B040000}"/>
    <cellStyle name="Normal 56 2 5" xfId="23631" xr:uid="{00000000-0005-0000-0000-000044040000}"/>
    <cellStyle name="Normal 56 2 5 2" xfId="25829" xr:uid="{00000000-0005-0000-0000-000044040000}"/>
    <cellStyle name="Normal 56 2 6" xfId="24662" xr:uid="{00000000-0005-0000-0000-000044040000}"/>
    <cellStyle name="Normal 56 3" xfId="22321" xr:uid="{00000000-0005-0000-0000-000097480000}"/>
    <cellStyle name="Normal 56 3 2" xfId="22580" xr:uid="{00000000-0005-0000-0000-000098480000}"/>
    <cellStyle name="Normal 56 3 2 2" xfId="23106" xr:uid="{00000000-0005-0000-0000-000099480000}"/>
    <cellStyle name="Normal 56 3 2 2 2" xfId="24400" xr:uid="{00000000-0005-0000-0000-00004E040000}"/>
    <cellStyle name="Normal 56 3 2 2 2 2" xfId="26656" xr:uid="{00000000-0005-0000-0000-00004E040000}"/>
    <cellStyle name="Normal 56 3 2 2 3" xfId="25520" xr:uid="{00000000-0005-0000-0000-00004E040000}"/>
    <cellStyle name="Normal 56 3 2 3" xfId="23896" xr:uid="{00000000-0005-0000-0000-00004D040000}"/>
    <cellStyle name="Normal 56 3 2 3 2" xfId="26125" xr:uid="{00000000-0005-0000-0000-00004D040000}"/>
    <cellStyle name="Normal 56 3 2 4" xfId="24998" xr:uid="{00000000-0005-0000-0000-00004D040000}"/>
    <cellStyle name="Normal 56 3 3" xfId="22842" xr:uid="{00000000-0005-0000-0000-00009A480000}"/>
    <cellStyle name="Normal 56 3 3 2" xfId="24142" xr:uid="{00000000-0005-0000-0000-00004F040000}"/>
    <cellStyle name="Normal 56 3 3 2 2" xfId="26391" xr:uid="{00000000-0005-0000-0000-00004F040000}"/>
    <cellStyle name="Normal 56 3 3 3" xfId="25262" xr:uid="{00000000-0005-0000-0000-00004F040000}"/>
    <cellStyle name="Normal 56 3 4" xfId="23683" xr:uid="{00000000-0005-0000-0000-00004C040000}"/>
    <cellStyle name="Normal 56 3 4 2" xfId="25892" xr:uid="{00000000-0005-0000-0000-00004C040000}"/>
    <cellStyle name="Normal 56 3 5" xfId="24738" xr:uid="{00000000-0005-0000-0000-00004C040000}"/>
    <cellStyle name="Normal 56 4" xfId="22440" xr:uid="{00000000-0005-0000-0000-00009B480000}"/>
    <cellStyle name="Normal 56 4 2" xfId="22966" xr:uid="{00000000-0005-0000-0000-00009C480000}"/>
    <cellStyle name="Normal 56 4 2 2" xfId="24264" xr:uid="{00000000-0005-0000-0000-000051040000}"/>
    <cellStyle name="Normal 56 4 2 2 2" xfId="26515" xr:uid="{00000000-0005-0000-0000-000051040000}"/>
    <cellStyle name="Normal 56 4 2 3" xfId="25383" xr:uid="{00000000-0005-0000-0000-000051040000}"/>
    <cellStyle name="Normal 56 4 3" xfId="23786" xr:uid="{00000000-0005-0000-0000-000050040000}"/>
    <cellStyle name="Normal 56 4 3 2" xfId="26007" xr:uid="{00000000-0005-0000-0000-000050040000}"/>
    <cellStyle name="Normal 56 4 4" xfId="24860" xr:uid="{00000000-0005-0000-0000-000050040000}"/>
    <cellStyle name="Normal 56 5" xfId="22702" xr:uid="{00000000-0005-0000-0000-00009D480000}"/>
    <cellStyle name="Normal 56 5 2" xfId="24014" xr:uid="{00000000-0005-0000-0000-000052040000}"/>
    <cellStyle name="Normal 56 5 2 2" xfId="26250" xr:uid="{00000000-0005-0000-0000-000052040000}"/>
    <cellStyle name="Normal 56 5 3" xfId="25121" xr:uid="{00000000-0005-0000-0000-000052040000}"/>
    <cellStyle name="Normal 56 6" xfId="23582" xr:uid="{00000000-0005-0000-0000-000043040000}"/>
    <cellStyle name="Normal 56 6 2" xfId="25774" xr:uid="{00000000-0005-0000-0000-000043040000}"/>
    <cellStyle name="Normal 56 7" xfId="24599" xr:uid="{00000000-0005-0000-0000-000043040000}"/>
    <cellStyle name="Normal 57" xfId="22173" xr:uid="{00000000-0005-0000-0000-00009E480000}"/>
    <cellStyle name="Normal 58" xfId="22174" xr:uid="{00000000-0005-0000-0000-00009F480000}"/>
    <cellStyle name="Normal 58 2" xfId="22246" xr:uid="{00000000-0005-0000-0000-0000A0480000}"/>
    <cellStyle name="Normal 58 2 2" xfId="22372" xr:uid="{00000000-0005-0000-0000-0000A1480000}"/>
    <cellStyle name="Normal 58 2 2 2" xfId="22632" xr:uid="{00000000-0005-0000-0000-0000A2480000}"/>
    <cellStyle name="Normal 58 2 2 2 2" xfId="23158" xr:uid="{00000000-0005-0000-0000-0000A3480000}"/>
    <cellStyle name="Normal 58 2 2 2 2 2" xfId="24450" xr:uid="{00000000-0005-0000-0000-000058040000}"/>
    <cellStyle name="Normal 58 2 2 2 2 2 2" xfId="26708" xr:uid="{00000000-0005-0000-0000-000058040000}"/>
    <cellStyle name="Normal 58 2 2 2 2 3" xfId="25572" xr:uid="{00000000-0005-0000-0000-000058040000}"/>
    <cellStyle name="Normal 58 2 2 2 3" xfId="23944" xr:uid="{00000000-0005-0000-0000-000057040000}"/>
    <cellStyle name="Normal 58 2 2 2 3 2" xfId="26177" xr:uid="{00000000-0005-0000-0000-000057040000}"/>
    <cellStyle name="Normal 58 2 2 2 4" xfId="25050" xr:uid="{00000000-0005-0000-0000-000057040000}"/>
    <cellStyle name="Normal 58 2 2 3" xfId="22894" xr:uid="{00000000-0005-0000-0000-0000A4480000}"/>
    <cellStyle name="Normal 58 2 2 3 2" xfId="24194" xr:uid="{00000000-0005-0000-0000-000059040000}"/>
    <cellStyle name="Normal 58 2 2 3 2 2" xfId="26443" xr:uid="{00000000-0005-0000-0000-000059040000}"/>
    <cellStyle name="Normal 58 2 2 3 3" xfId="25313" xr:uid="{00000000-0005-0000-0000-000059040000}"/>
    <cellStyle name="Normal 58 2 2 4" xfId="23730" xr:uid="{00000000-0005-0000-0000-000056040000}"/>
    <cellStyle name="Normal 58 2 2 4 2" xfId="25944" xr:uid="{00000000-0005-0000-0000-000056040000}"/>
    <cellStyle name="Normal 58 2 2 5" xfId="24789" xr:uid="{00000000-0005-0000-0000-000056040000}"/>
    <cellStyle name="Normal 58 2 3" xfId="22503" xr:uid="{00000000-0005-0000-0000-0000A5480000}"/>
    <cellStyle name="Normal 58 2 3 2" xfId="23029" xr:uid="{00000000-0005-0000-0000-0000A6480000}"/>
    <cellStyle name="Normal 58 2 3 2 2" xfId="24327" xr:uid="{00000000-0005-0000-0000-00005B040000}"/>
    <cellStyle name="Normal 58 2 3 2 2 2" xfId="26579" xr:uid="{00000000-0005-0000-0000-00005B040000}"/>
    <cellStyle name="Normal 58 2 3 2 3" xfId="25445" xr:uid="{00000000-0005-0000-0000-00005B040000}"/>
    <cellStyle name="Normal 58 2 3 3" xfId="23839" xr:uid="{00000000-0005-0000-0000-00005A040000}"/>
    <cellStyle name="Normal 58 2 3 3 2" xfId="26063" xr:uid="{00000000-0005-0000-0000-00005A040000}"/>
    <cellStyle name="Normal 58 2 3 4" xfId="24923" xr:uid="{00000000-0005-0000-0000-00005A040000}"/>
    <cellStyle name="Normal 58 2 4" xfId="22765" xr:uid="{00000000-0005-0000-0000-0000A7480000}"/>
    <cellStyle name="Normal 58 2 4 2" xfId="24078" xr:uid="{00000000-0005-0000-0000-00005C040000}"/>
    <cellStyle name="Normal 58 2 4 2 2" xfId="26314" xr:uid="{00000000-0005-0000-0000-00005C040000}"/>
    <cellStyle name="Normal 58 2 4 3" xfId="25185" xr:uid="{00000000-0005-0000-0000-00005C040000}"/>
    <cellStyle name="Normal 58 2 5" xfId="23632" xr:uid="{00000000-0005-0000-0000-000055040000}"/>
    <cellStyle name="Normal 58 2 5 2" xfId="25830" xr:uid="{00000000-0005-0000-0000-000055040000}"/>
    <cellStyle name="Normal 58 2 6" xfId="24663" xr:uid="{00000000-0005-0000-0000-000055040000}"/>
    <cellStyle name="Normal 58 3" xfId="22322" xr:uid="{00000000-0005-0000-0000-0000A8480000}"/>
    <cellStyle name="Normal 58 3 2" xfId="22581" xr:uid="{00000000-0005-0000-0000-0000A9480000}"/>
    <cellStyle name="Normal 58 3 2 2" xfId="23107" xr:uid="{00000000-0005-0000-0000-0000AA480000}"/>
    <cellStyle name="Normal 58 3 2 2 2" xfId="24401" xr:uid="{00000000-0005-0000-0000-00005F040000}"/>
    <cellStyle name="Normal 58 3 2 2 2 2" xfId="26657" xr:uid="{00000000-0005-0000-0000-00005F040000}"/>
    <cellStyle name="Normal 58 3 2 2 3" xfId="25521" xr:uid="{00000000-0005-0000-0000-00005F040000}"/>
    <cellStyle name="Normal 58 3 2 3" xfId="23897" xr:uid="{00000000-0005-0000-0000-00005E040000}"/>
    <cellStyle name="Normal 58 3 2 3 2" xfId="26126" xr:uid="{00000000-0005-0000-0000-00005E040000}"/>
    <cellStyle name="Normal 58 3 2 4" xfId="24999" xr:uid="{00000000-0005-0000-0000-00005E040000}"/>
    <cellStyle name="Normal 58 3 3" xfId="22843" xr:uid="{00000000-0005-0000-0000-0000AB480000}"/>
    <cellStyle name="Normal 58 3 3 2" xfId="24143" xr:uid="{00000000-0005-0000-0000-000060040000}"/>
    <cellStyle name="Normal 58 3 3 2 2" xfId="26392" xr:uid="{00000000-0005-0000-0000-000060040000}"/>
    <cellStyle name="Normal 58 3 3 3" xfId="25263" xr:uid="{00000000-0005-0000-0000-000060040000}"/>
    <cellStyle name="Normal 58 3 4" xfId="23684" xr:uid="{00000000-0005-0000-0000-00005D040000}"/>
    <cellStyle name="Normal 58 3 4 2" xfId="25893" xr:uid="{00000000-0005-0000-0000-00005D040000}"/>
    <cellStyle name="Normal 58 3 5" xfId="24739" xr:uid="{00000000-0005-0000-0000-00005D040000}"/>
    <cellStyle name="Normal 58 4" xfId="22441" xr:uid="{00000000-0005-0000-0000-0000AC480000}"/>
    <cellStyle name="Normal 58 4 2" xfId="22967" xr:uid="{00000000-0005-0000-0000-0000AD480000}"/>
    <cellStyle name="Normal 58 4 2 2" xfId="24265" xr:uid="{00000000-0005-0000-0000-000062040000}"/>
    <cellStyle name="Normal 58 4 2 2 2" xfId="26516" xr:uid="{00000000-0005-0000-0000-000062040000}"/>
    <cellStyle name="Normal 58 4 2 3" xfId="25384" xr:uid="{00000000-0005-0000-0000-000062040000}"/>
    <cellStyle name="Normal 58 4 3" xfId="23787" xr:uid="{00000000-0005-0000-0000-000061040000}"/>
    <cellStyle name="Normal 58 4 3 2" xfId="26008" xr:uid="{00000000-0005-0000-0000-000061040000}"/>
    <cellStyle name="Normal 58 4 4" xfId="24861" xr:uid="{00000000-0005-0000-0000-000061040000}"/>
    <cellStyle name="Normal 58 5" xfId="22703" xr:uid="{00000000-0005-0000-0000-0000AE480000}"/>
    <cellStyle name="Normal 58 5 2" xfId="24015" xr:uid="{00000000-0005-0000-0000-000063040000}"/>
    <cellStyle name="Normal 58 5 2 2" xfId="26251" xr:uid="{00000000-0005-0000-0000-000063040000}"/>
    <cellStyle name="Normal 58 5 3" xfId="25122" xr:uid="{00000000-0005-0000-0000-000063040000}"/>
    <cellStyle name="Normal 58 6" xfId="23583" xr:uid="{00000000-0005-0000-0000-000054040000}"/>
    <cellStyle name="Normal 58 6 2" xfId="25775" xr:uid="{00000000-0005-0000-0000-000054040000}"/>
    <cellStyle name="Normal 58 7" xfId="24600" xr:uid="{00000000-0005-0000-0000-000054040000}"/>
    <cellStyle name="Normal 59" xfId="22175" xr:uid="{00000000-0005-0000-0000-0000AF480000}"/>
    <cellStyle name="Normal 59 2" xfId="22247" xr:uid="{00000000-0005-0000-0000-0000B0480000}"/>
    <cellStyle name="Normal 59 2 2" xfId="22373" xr:uid="{00000000-0005-0000-0000-0000B1480000}"/>
    <cellStyle name="Normal 59 2 2 2" xfId="22633" xr:uid="{00000000-0005-0000-0000-0000B2480000}"/>
    <cellStyle name="Normal 59 2 2 2 2" xfId="23159" xr:uid="{00000000-0005-0000-0000-0000B3480000}"/>
    <cellStyle name="Normal 59 2 2 2 2 2" xfId="24451" xr:uid="{00000000-0005-0000-0000-000068040000}"/>
    <cellStyle name="Normal 59 2 2 2 2 2 2" xfId="26709" xr:uid="{00000000-0005-0000-0000-000068040000}"/>
    <cellStyle name="Normal 59 2 2 2 2 3" xfId="25573" xr:uid="{00000000-0005-0000-0000-000068040000}"/>
    <cellStyle name="Normal 59 2 2 2 3" xfId="23945" xr:uid="{00000000-0005-0000-0000-000067040000}"/>
    <cellStyle name="Normal 59 2 2 2 3 2" xfId="26178" xr:uid="{00000000-0005-0000-0000-000067040000}"/>
    <cellStyle name="Normal 59 2 2 2 4" xfId="25051" xr:uid="{00000000-0005-0000-0000-000067040000}"/>
    <cellStyle name="Normal 59 2 2 3" xfId="22895" xr:uid="{00000000-0005-0000-0000-0000B4480000}"/>
    <cellStyle name="Normal 59 2 2 3 2" xfId="24195" xr:uid="{00000000-0005-0000-0000-000069040000}"/>
    <cellStyle name="Normal 59 2 2 3 2 2" xfId="26444" xr:uid="{00000000-0005-0000-0000-000069040000}"/>
    <cellStyle name="Normal 59 2 2 3 3" xfId="25314" xr:uid="{00000000-0005-0000-0000-000069040000}"/>
    <cellStyle name="Normal 59 2 2 4" xfId="23731" xr:uid="{00000000-0005-0000-0000-000066040000}"/>
    <cellStyle name="Normal 59 2 2 4 2" xfId="25945" xr:uid="{00000000-0005-0000-0000-000066040000}"/>
    <cellStyle name="Normal 59 2 2 5" xfId="24790" xr:uid="{00000000-0005-0000-0000-000066040000}"/>
    <cellStyle name="Normal 59 2 3" xfId="22504" xr:uid="{00000000-0005-0000-0000-0000B5480000}"/>
    <cellStyle name="Normal 59 2 3 2" xfId="23030" xr:uid="{00000000-0005-0000-0000-0000B6480000}"/>
    <cellStyle name="Normal 59 2 3 2 2" xfId="24328" xr:uid="{00000000-0005-0000-0000-00006B040000}"/>
    <cellStyle name="Normal 59 2 3 2 2 2" xfId="26580" xr:uid="{00000000-0005-0000-0000-00006B040000}"/>
    <cellStyle name="Normal 59 2 3 2 3" xfId="25446" xr:uid="{00000000-0005-0000-0000-00006B040000}"/>
    <cellStyle name="Normal 59 2 3 3" xfId="23840" xr:uid="{00000000-0005-0000-0000-00006A040000}"/>
    <cellStyle name="Normal 59 2 3 3 2" xfId="26064" xr:uid="{00000000-0005-0000-0000-00006A040000}"/>
    <cellStyle name="Normal 59 2 3 4" xfId="24924" xr:uid="{00000000-0005-0000-0000-00006A040000}"/>
    <cellStyle name="Normal 59 2 4" xfId="22766" xr:uid="{00000000-0005-0000-0000-0000B7480000}"/>
    <cellStyle name="Normal 59 2 4 2" xfId="24079" xr:uid="{00000000-0005-0000-0000-00006C040000}"/>
    <cellStyle name="Normal 59 2 4 2 2" xfId="26315" xr:uid="{00000000-0005-0000-0000-00006C040000}"/>
    <cellStyle name="Normal 59 2 4 3" xfId="25186" xr:uid="{00000000-0005-0000-0000-00006C040000}"/>
    <cellStyle name="Normal 59 2 5" xfId="23633" xr:uid="{00000000-0005-0000-0000-000065040000}"/>
    <cellStyle name="Normal 59 2 5 2" xfId="25831" xr:uid="{00000000-0005-0000-0000-000065040000}"/>
    <cellStyle name="Normal 59 2 6" xfId="24664" xr:uid="{00000000-0005-0000-0000-000065040000}"/>
    <cellStyle name="Normal 59 3" xfId="22323" xr:uid="{00000000-0005-0000-0000-0000B8480000}"/>
    <cellStyle name="Normal 59 3 2" xfId="22582" xr:uid="{00000000-0005-0000-0000-0000B9480000}"/>
    <cellStyle name="Normal 59 3 2 2" xfId="23108" xr:uid="{00000000-0005-0000-0000-0000BA480000}"/>
    <cellStyle name="Normal 59 3 2 2 2" xfId="24402" xr:uid="{00000000-0005-0000-0000-00006F040000}"/>
    <cellStyle name="Normal 59 3 2 2 2 2" xfId="26658" xr:uid="{00000000-0005-0000-0000-00006F040000}"/>
    <cellStyle name="Normal 59 3 2 2 3" xfId="25522" xr:uid="{00000000-0005-0000-0000-00006F040000}"/>
    <cellStyle name="Normal 59 3 2 3" xfId="23898" xr:uid="{00000000-0005-0000-0000-00006E040000}"/>
    <cellStyle name="Normal 59 3 2 3 2" xfId="26127" xr:uid="{00000000-0005-0000-0000-00006E040000}"/>
    <cellStyle name="Normal 59 3 2 4" xfId="25000" xr:uid="{00000000-0005-0000-0000-00006E040000}"/>
    <cellStyle name="Normal 59 3 3" xfId="22844" xr:uid="{00000000-0005-0000-0000-0000BB480000}"/>
    <cellStyle name="Normal 59 3 3 2" xfId="24144" xr:uid="{00000000-0005-0000-0000-000070040000}"/>
    <cellStyle name="Normal 59 3 3 2 2" xfId="26393" xr:uid="{00000000-0005-0000-0000-000070040000}"/>
    <cellStyle name="Normal 59 3 3 3" xfId="25264" xr:uid="{00000000-0005-0000-0000-000070040000}"/>
    <cellStyle name="Normal 59 3 4" xfId="23685" xr:uid="{00000000-0005-0000-0000-00006D040000}"/>
    <cellStyle name="Normal 59 3 4 2" xfId="25894" xr:uid="{00000000-0005-0000-0000-00006D040000}"/>
    <cellStyle name="Normal 59 3 5" xfId="24740" xr:uid="{00000000-0005-0000-0000-00006D040000}"/>
    <cellStyle name="Normal 59 4" xfId="22442" xr:uid="{00000000-0005-0000-0000-0000BC480000}"/>
    <cellStyle name="Normal 59 4 2" xfId="22968" xr:uid="{00000000-0005-0000-0000-0000BD480000}"/>
    <cellStyle name="Normal 59 4 2 2" xfId="24266" xr:uid="{00000000-0005-0000-0000-000072040000}"/>
    <cellStyle name="Normal 59 4 2 2 2" xfId="26517" xr:uid="{00000000-0005-0000-0000-000072040000}"/>
    <cellStyle name="Normal 59 4 2 3" xfId="25385" xr:uid="{00000000-0005-0000-0000-000072040000}"/>
    <cellStyle name="Normal 59 4 3" xfId="23788" xr:uid="{00000000-0005-0000-0000-000071040000}"/>
    <cellStyle name="Normal 59 4 3 2" xfId="26009" xr:uid="{00000000-0005-0000-0000-000071040000}"/>
    <cellStyle name="Normal 59 4 4" xfId="24862" xr:uid="{00000000-0005-0000-0000-000071040000}"/>
    <cellStyle name="Normal 59 5" xfId="22704" xr:uid="{00000000-0005-0000-0000-0000BE480000}"/>
    <cellStyle name="Normal 59 5 2" xfId="24016" xr:uid="{00000000-0005-0000-0000-000073040000}"/>
    <cellStyle name="Normal 59 5 2 2" xfId="26252" xr:uid="{00000000-0005-0000-0000-000073040000}"/>
    <cellStyle name="Normal 59 5 3" xfId="25123" xr:uid="{00000000-0005-0000-0000-000073040000}"/>
    <cellStyle name="Normal 59 6" xfId="23584" xr:uid="{00000000-0005-0000-0000-000064040000}"/>
    <cellStyle name="Normal 59 6 2" xfId="25776" xr:uid="{00000000-0005-0000-0000-000064040000}"/>
    <cellStyle name="Normal 59 7" xfId="24601" xr:uid="{00000000-0005-0000-0000-000064040000}"/>
    <cellStyle name="Normal 6" xfId="11630" xr:uid="{00000000-0005-0000-0000-0000BF480000}"/>
    <cellStyle name="Normal 6 10" xfId="11631" xr:uid="{00000000-0005-0000-0000-0000C0480000}"/>
    <cellStyle name="Normal 6 10 2" xfId="11632" xr:uid="{00000000-0005-0000-0000-0000C1480000}"/>
    <cellStyle name="Normal 6 10 2 2" xfId="19658" xr:uid="{00000000-0005-0000-0000-0000C2480000}"/>
    <cellStyle name="Normal 6 11" xfId="11633" xr:uid="{00000000-0005-0000-0000-0000C3480000}"/>
    <cellStyle name="Normal 6 11 2" xfId="11634" xr:uid="{00000000-0005-0000-0000-0000C4480000}"/>
    <cellStyle name="Normal 6 11 2 2" xfId="19659" xr:uid="{00000000-0005-0000-0000-0000C5480000}"/>
    <cellStyle name="Normal 6 12" xfId="11635" xr:uid="{00000000-0005-0000-0000-0000C6480000}"/>
    <cellStyle name="Normal 6 12 2" xfId="11636" xr:uid="{00000000-0005-0000-0000-0000C7480000}"/>
    <cellStyle name="Normal 6 12 2 2" xfId="19660" xr:uid="{00000000-0005-0000-0000-0000C8480000}"/>
    <cellStyle name="Normal 6 13" xfId="11637" xr:uid="{00000000-0005-0000-0000-0000C9480000}"/>
    <cellStyle name="Normal 6 13 2" xfId="11638" xr:uid="{00000000-0005-0000-0000-0000CA480000}"/>
    <cellStyle name="Normal 6 13 2 2" xfId="19661" xr:uid="{00000000-0005-0000-0000-0000CB480000}"/>
    <cellStyle name="Normal 6 14" xfId="11639" xr:uid="{00000000-0005-0000-0000-0000CC480000}"/>
    <cellStyle name="Normal 6 14 2" xfId="11640" xr:uid="{00000000-0005-0000-0000-0000CD480000}"/>
    <cellStyle name="Normal 6 14 2 2" xfId="19662" xr:uid="{00000000-0005-0000-0000-0000CE480000}"/>
    <cellStyle name="Normal 6 15" xfId="11641" xr:uid="{00000000-0005-0000-0000-0000CF480000}"/>
    <cellStyle name="Normal 6 15 2" xfId="11642" xr:uid="{00000000-0005-0000-0000-0000D0480000}"/>
    <cellStyle name="Normal 6 15 2 2" xfId="19663" xr:uid="{00000000-0005-0000-0000-0000D1480000}"/>
    <cellStyle name="Normal 6 16" xfId="11643" xr:uid="{00000000-0005-0000-0000-0000D2480000}"/>
    <cellStyle name="Normal 6 16 2" xfId="11644" xr:uid="{00000000-0005-0000-0000-0000D3480000}"/>
    <cellStyle name="Normal 6 16 2 2" xfId="19664" xr:uid="{00000000-0005-0000-0000-0000D4480000}"/>
    <cellStyle name="Normal 6 17" xfId="11645" xr:uid="{00000000-0005-0000-0000-0000D5480000}"/>
    <cellStyle name="Normal 6 17 2" xfId="11646" xr:uid="{00000000-0005-0000-0000-0000D6480000}"/>
    <cellStyle name="Normal 6 17 2 2" xfId="19665" xr:uid="{00000000-0005-0000-0000-0000D7480000}"/>
    <cellStyle name="Normal 6 18" xfId="11647" xr:uid="{00000000-0005-0000-0000-0000D8480000}"/>
    <cellStyle name="Normal 6 18 2" xfId="11648" xr:uid="{00000000-0005-0000-0000-0000D9480000}"/>
    <cellStyle name="Normal 6 18 2 2" xfId="19666" xr:uid="{00000000-0005-0000-0000-0000DA480000}"/>
    <cellStyle name="Normal 6 19" xfId="11649" xr:uid="{00000000-0005-0000-0000-0000DB480000}"/>
    <cellStyle name="Normal 6 19 2" xfId="19667" xr:uid="{00000000-0005-0000-0000-0000DC480000}"/>
    <cellStyle name="Normal 6 2" xfId="11650" xr:uid="{00000000-0005-0000-0000-0000DD480000}"/>
    <cellStyle name="Normal 6 2 2" xfId="11651" xr:uid="{00000000-0005-0000-0000-0000DE480000}"/>
    <cellStyle name="Normal 6 2 2 2" xfId="19668" xr:uid="{00000000-0005-0000-0000-0000DF480000}"/>
    <cellStyle name="Normal 6 2 3" xfId="22177" xr:uid="{00000000-0005-0000-0000-0000E0480000}"/>
    <cellStyle name="Normal 6 20" xfId="11652" xr:uid="{00000000-0005-0000-0000-0000E1480000}"/>
    <cellStyle name="Normal 6 20 2" xfId="19669" xr:uid="{00000000-0005-0000-0000-0000E2480000}"/>
    <cellStyle name="Normal 6 21" xfId="11653" xr:uid="{00000000-0005-0000-0000-0000E3480000}"/>
    <cellStyle name="Normal 6 21 2" xfId="19670" xr:uid="{00000000-0005-0000-0000-0000E4480000}"/>
    <cellStyle name="Normal 6 22" xfId="11654" xr:uid="{00000000-0005-0000-0000-0000E5480000}"/>
    <cellStyle name="Normal 6 22 2" xfId="19671" xr:uid="{00000000-0005-0000-0000-0000E6480000}"/>
    <cellStyle name="Normal 6 23" xfId="11655" xr:uid="{00000000-0005-0000-0000-0000E7480000}"/>
    <cellStyle name="Normal 6 23 2" xfId="19672" xr:uid="{00000000-0005-0000-0000-0000E8480000}"/>
    <cellStyle name="Normal 6 24" xfId="11656" xr:uid="{00000000-0005-0000-0000-0000E9480000}"/>
    <cellStyle name="Normal 6 24 2" xfId="19673" xr:uid="{00000000-0005-0000-0000-0000EA480000}"/>
    <cellStyle name="Normal 6 25" xfId="21750" xr:uid="{00000000-0005-0000-0000-0000EB480000}"/>
    <cellStyle name="Normal 6 25 2" xfId="21905" xr:uid="{00000000-0005-0000-0000-0000EC480000}"/>
    <cellStyle name="Normal 6 26" xfId="22176" xr:uid="{00000000-0005-0000-0000-0000ED480000}"/>
    <cellStyle name="Normal 6 3" xfId="11657" xr:uid="{00000000-0005-0000-0000-0000EE480000}"/>
    <cellStyle name="Normal 6 3 2" xfId="11658" xr:uid="{00000000-0005-0000-0000-0000EF480000}"/>
    <cellStyle name="Normal 6 3 2 2" xfId="19674" xr:uid="{00000000-0005-0000-0000-0000F0480000}"/>
    <cellStyle name="Normal 6 4" xfId="11659" xr:uid="{00000000-0005-0000-0000-0000F1480000}"/>
    <cellStyle name="Normal 6 4 2" xfId="11660" xr:uid="{00000000-0005-0000-0000-0000F2480000}"/>
    <cellStyle name="Normal 6 4 2 2" xfId="19675" xr:uid="{00000000-0005-0000-0000-0000F3480000}"/>
    <cellStyle name="Normal 6 5" xfId="11661" xr:uid="{00000000-0005-0000-0000-0000F4480000}"/>
    <cellStyle name="Normal 6 5 2" xfId="11662" xr:uid="{00000000-0005-0000-0000-0000F5480000}"/>
    <cellStyle name="Normal 6 5 2 2" xfId="19676" xr:uid="{00000000-0005-0000-0000-0000F6480000}"/>
    <cellStyle name="Normal 6 6" xfId="11663" xr:uid="{00000000-0005-0000-0000-0000F7480000}"/>
    <cellStyle name="Normal 6 6 2" xfId="11664" xr:uid="{00000000-0005-0000-0000-0000F8480000}"/>
    <cellStyle name="Normal 6 6 2 2" xfId="19677" xr:uid="{00000000-0005-0000-0000-0000F9480000}"/>
    <cellStyle name="Normal 6 7" xfId="11665" xr:uid="{00000000-0005-0000-0000-0000FA480000}"/>
    <cellStyle name="Normal 6 7 2" xfId="11666" xr:uid="{00000000-0005-0000-0000-0000FB480000}"/>
    <cellStyle name="Normal 6 7 2 2" xfId="19678" xr:uid="{00000000-0005-0000-0000-0000FC480000}"/>
    <cellStyle name="Normal 6 8" xfId="11667" xr:uid="{00000000-0005-0000-0000-0000FD480000}"/>
    <cellStyle name="Normal 6 8 2" xfId="11668" xr:uid="{00000000-0005-0000-0000-0000FE480000}"/>
    <cellStyle name="Normal 6 8 2 2" xfId="19679" xr:uid="{00000000-0005-0000-0000-0000FF480000}"/>
    <cellStyle name="Normal 6 9" xfId="11669" xr:uid="{00000000-0005-0000-0000-000000490000}"/>
    <cellStyle name="Normal 6 9 2" xfId="11670" xr:uid="{00000000-0005-0000-0000-000001490000}"/>
    <cellStyle name="Normal 6 9 2 2" xfId="19680" xr:uid="{00000000-0005-0000-0000-000002490000}"/>
    <cellStyle name="Normal 60" xfId="22178" xr:uid="{00000000-0005-0000-0000-000003490000}"/>
    <cellStyle name="Normal 60 2" xfId="22248" xr:uid="{00000000-0005-0000-0000-000004490000}"/>
    <cellStyle name="Normal 60 2 2" xfId="22374" xr:uid="{00000000-0005-0000-0000-000005490000}"/>
    <cellStyle name="Normal 60 2 2 2" xfId="22634" xr:uid="{00000000-0005-0000-0000-000006490000}"/>
    <cellStyle name="Normal 60 2 2 2 2" xfId="23160" xr:uid="{00000000-0005-0000-0000-000007490000}"/>
    <cellStyle name="Normal 60 2 2 2 2 2" xfId="24452" xr:uid="{00000000-0005-0000-0000-00007A040000}"/>
    <cellStyle name="Normal 60 2 2 2 2 2 2" xfId="26710" xr:uid="{00000000-0005-0000-0000-00007A040000}"/>
    <cellStyle name="Normal 60 2 2 2 2 3" xfId="25574" xr:uid="{00000000-0005-0000-0000-00007A040000}"/>
    <cellStyle name="Normal 60 2 2 2 3" xfId="23946" xr:uid="{00000000-0005-0000-0000-000079040000}"/>
    <cellStyle name="Normal 60 2 2 2 3 2" xfId="26179" xr:uid="{00000000-0005-0000-0000-000079040000}"/>
    <cellStyle name="Normal 60 2 2 2 4" xfId="25052" xr:uid="{00000000-0005-0000-0000-000079040000}"/>
    <cellStyle name="Normal 60 2 2 3" xfId="22896" xr:uid="{00000000-0005-0000-0000-000008490000}"/>
    <cellStyle name="Normal 60 2 2 3 2" xfId="24196" xr:uid="{00000000-0005-0000-0000-00007B040000}"/>
    <cellStyle name="Normal 60 2 2 3 2 2" xfId="26445" xr:uid="{00000000-0005-0000-0000-00007B040000}"/>
    <cellStyle name="Normal 60 2 2 3 3" xfId="25315" xr:uid="{00000000-0005-0000-0000-00007B040000}"/>
    <cellStyle name="Normal 60 2 2 4" xfId="23732" xr:uid="{00000000-0005-0000-0000-000078040000}"/>
    <cellStyle name="Normal 60 2 2 4 2" xfId="25946" xr:uid="{00000000-0005-0000-0000-000078040000}"/>
    <cellStyle name="Normal 60 2 2 5" xfId="24791" xr:uid="{00000000-0005-0000-0000-000078040000}"/>
    <cellStyle name="Normal 60 2 3" xfId="22505" xr:uid="{00000000-0005-0000-0000-000009490000}"/>
    <cellStyle name="Normal 60 2 3 2" xfId="23031" xr:uid="{00000000-0005-0000-0000-00000A490000}"/>
    <cellStyle name="Normal 60 2 3 2 2" xfId="24329" xr:uid="{00000000-0005-0000-0000-00007D040000}"/>
    <cellStyle name="Normal 60 2 3 2 2 2" xfId="26581" xr:uid="{00000000-0005-0000-0000-00007D040000}"/>
    <cellStyle name="Normal 60 2 3 2 3" xfId="25447" xr:uid="{00000000-0005-0000-0000-00007D040000}"/>
    <cellStyle name="Normal 60 2 3 3" xfId="23841" xr:uid="{00000000-0005-0000-0000-00007C040000}"/>
    <cellStyle name="Normal 60 2 3 3 2" xfId="26065" xr:uid="{00000000-0005-0000-0000-00007C040000}"/>
    <cellStyle name="Normal 60 2 3 4" xfId="24925" xr:uid="{00000000-0005-0000-0000-00007C040000}"/>
    <cellStyle name="Normal 60 2 4" xfId="22767" xr:uid="{00000000-0005-0000-0000-00000B490000}"/>
    <cellStyle name="Normal 60 2 4 2" xfId="24080" xr:uid="{00000000-0005-0000-0000-00007E040000}"/>
    <cellStyle name="Normal 60 2 4 2 2" xfId="26316" xr:uid="{00000000-0005-0000-0000-00007E040000}"/>
    <cellStyle name="Normal 60 2 4 3" xfId="25187" xr:uid="{00000000-0005-0000-0000-00007E040000}"/>
    <cellStyle name="Normal 60 2 5" xfId="23634" xr:uid="{00000000-0005-0000-0000-000077040000}"/>
    <cellStyle name="Normal 60 2 5 2" xfId="25832" xr:uid="{00000000-0005-0000-0000-000077040000}"/>
    <cellStyle name="Normal 60 2 6" xfId="24665" xr:uid="{00000000-0005-0000-0000-000077040000}"/>
    <cellStyle name="Normal 60 3" xfId="22324" xr:uid="{00000000-0005-0000-0000-00000C490000}"/>
    <cellStyle name="Normal 60 3 2" xfId="22583" xr:uid="{00000000-0005-0000-0000-00000D490000}"/>
    <cellStyle name="Normal 60 3 2 2" xfId="23109" xr:uid="{00000000-0005-0000-0000-00000E490000}"/>
    <cellStyle name="Normal 60 3 2 2 2" xfId="24403" xr:uid="{00000000-0005-0000-0000-000081040000}"/>
    <cellStyle name="Normal 60 3 2 2 2 2" xfId="26659" xr:uid="{00000000-0005-0000-0000-000081040000}"/>
    <cellStyle name="Normal 60 3 2 2 3" xfId="25523" xr:uid="{00000000-0005-0000-0000-000081040000}"/>
    <cellStyle name="Normal 60 3 2 3" xfId="23899" xr:uid="{00000000-0005-0000-0000-000080040000}"/>
    <cellStyle name="Normal 60 3 2 3 2" xfId="26128" xr:uid="{00000000-0005-0000-0000-000080040000}"/>
    <cellStyle name="Normal 60 3 2 4" xfId="25001" xr:uid="{00000000-0005-0000-0000-000080040000}"/>
    <cellStyle name="Normal 60 3 3" xfId="22845" xr:uid="{00000000-0005-0000-0000-00000F490000}"/>
    <cellStyle name="Normal 60 3 3 2" xfId="24145" xr:uid="{00000000-0005-0000-0000-000082040000}"/>
    <cellStyle name="Normal 60 3 3 2 2" xfId="26394" xr:uid="{00000000-0005-0000-0000-000082040000}"/>
    <cellStyle name="Normal 60 3 3 3" xfId="25265" xr:uid="{00000000-0005-0000-0000-000082040000}"/>
    <cellStyle name="Normal 60 3 4" xfId="23686" xr:uid="{00000000-0005-0000-0000-00007F040000}"/>
    <cellStyle name="Normal 60 3 4 2" xfId="25895" xr:uid="{00000000-0005-0000-0000-00007F040000}"/>
    <cellStyle name="Normal 60 3 5" xfId="24741" xr:uid="{00000000-0005-0000-0000-00007F040000}"/>
    <cellStyle name="Normal 60 4" xfId="22443" xr:uid="{00000000-0005-0000-0000-000010490000}"/>
    <cellStyle name="Normal 60 4 2" xfId="22969" xr:uid="{00000000-0005-0000-0000-000011490000}"/>
    <cellStyle name="Normal 60 4 2 2" xfId="24267" xr:uid="{00000000-0005-0000-0000-000084040000}"/>
    <cellStyle name="Normal 60 4 2 2 2" xfId="26518" xr:uid="{00000000-0005-0000-0000-000084040000}"/>
    <cellStyle name="Normal 60 4 2 3" xfId="25386" xr:uid="{00000000-0005-0000-0000-000084040000}"/>
    <cellStyle name="Normal 60 4 3" xfId="23789" xr:uid="{00000000-0005-0000-0000-000083040000}"/>
    <cellStyle name="Normal 60 4 3 2" xfId="26010" xr:uid="{00000000-0005-0000-0000-000083040000}"/>
    <cellStyle name="Normal 60 4 4" xfId="24863" xr:uid="{00000000-0005-0000-0000-000083040000}"/>
    <cellStyle name="Normal 60 5" xfId="22705" xr:uid="{00000000-0005-0000-0000-000012490000}"/>
    <cellStyle name="Normal 60 5 2" xfId="24017" xr:uid="{00000000-0005-0000-0000-000085040000}"/>
    <cellStyle name="Normal 60 5 2 2" xfId="26253" xr:uid="{00000000-0005-0000-0000-000085040000}"/>
    <cellStyle name="Normal 60 5 3" xfId="25124" xr:uid="{00000000-0005-0000-0000-000085040000}"/>
    <cellStyle name="Normal 60 6" xfId="23585" xr:uid="{00000000-0005-0000-0000-000076040000}"/>
    <cellStyle name="Normal 60 6 2" xfId="25777" xr:uid="{00000000-0005-0000-0000-000076040000}"/>
    <cellStyle name="Normal 60 7" xfId="24602" xr:uid="{00000000-0005-0000-0000-000076040000}"/>
    <cellStyle name="Normal 61" xfId="22179" xr:uid="{00000000-0005-0000-0000-000013490000}"/>
    <cellStyle name="Normal 62" xfId="22180" xr:uid="{00000000-0005-0000-0000-000014490000}"/>
    <cellStyle name="Normal 63" xfId="22263" xr:uid="{00000000-0005-0000-0000-000015490000}"/>
    <cellStyle name="Normal 63 2" xfId="22388" xr:uid="{00000000-0005-0000-0000-000016490000}"/>
    <cellStyle name="Normal 63 2 2" xfId="22648" xr:uid="{00000000-0005-0000-0000-000017490000}"/>
    <cellStyle name="Normal 63 2 2 2" xfId="23174" xr:uid="{00000000-0005-0000-0000-000018490000}"/>
    <cellStyle name="Normal 63 2 2 2 2" xfId="24466" xr:uid="{00000000-0005-0000-0000-00008B040000}"/>
    <cellStyle name="Normal 63 2 2 2 2 2" xfId="26724" xr:uid="{00000000-0005-0000-0000-00008B040000}"/>
    <cellStyle name="Normal 63 2 2 2 3" xfId="25588" xr:uid="{00000000-0005-0000-0000-00008B040000}"/>
    <cellStyle name="Normal 63 2 2 3" xfId="23958" xr:uid="{00000000-0005-0000-0000-00008A040000}"/>
    <cellStyle name="Normal 63 2 2 3 2" xfId="26193" xr:uid="{00000000-0005-0000-0000-00008A040000}"/>
    <cellStyle name="Normal 63 2 2 4" xfId="25066" xr:uid="{00000000-0005-0000-0000-00008A040000}"/>
    <cellStyle name="Normal 63 2 3" xfId="22910" xr:uid="{00000000-0005-0000-0000-000019490000}"/>
    <cellStyle name="Normal 63 2 3 2" xfId="24210" xr:uid="{00000000-0005-0000-0000-00008C040000}"/>
    <cellStyle name="Normal 63 2 3 2 2" xfId="26459" xr:uid="{00000000-0005-0000-0000-00008C040000}"/>
    <cellStyle name="Normal 63 2 3 3" xfId="25329" xr:uid="{00000000-0005-0000-0000-00008C040000}"/>
    <cellStyle name="Normal 63 2 4" xfId="23742" xr:uid="{00000000-0005-0000-0000-000089040000}"/>
    <cellStyle name="Normal 63 2 4 2" xfId="25960" xr:uid="{00000000-0005-0000-0000-000089040000}"/>
    <cellStyle name="Normal 63 2 5" xfId="24805" xr:uid="{00000000-0005-0000-0000-000089040000}"/>
    <cellStyle name="Normal 63 3" xfId="22519" xr:uid="{00000000-0005-0000-0000-00001A490000}"/>
    <cellStyle name="Normal 63 3 2" xfId="23045" xr:uid="{00000000-0005-0000-0000-00001B490000}"/>
    <cellStyle name="Normal 63 3 2 2" xfId="24342" xr:uid="{00000000-0005-0000-0000-00008E040000}"/>
    <cellStyle name="Normal 63 3 2 2 2" xfId="26595" xr:uid="{00000000-0005-0000-0000-00008E040000}"/>
    <cellStyle name="Normal 63 3 2 3" xfId="25461" xr:uid="{00000000-0005-0000-0000-00008E040000}"/>
    <cellStyle name="Normal 63 3 3" xfId="23854" xr:uid="{00000000-0005-0000-0000-00008D040000}"/>
    <cellStyle name="Normal 63 3 3 2" xfId="26079" xr:uid="{00000000-0005-0000-0000-00008D040000}"/>
    <cellStyle name="Normal 63 3 4" xfId="24939" xr:uid="{00000000-0005-0000-0000-00008D040000}"/>
    <cellStyle name="Normal 63 4" xfId="22781" xr:uid="{00000000-0005-0000-0000-00001C490000}"/>
    <cellStyle name="Normal 63 4 2" xfId="24093" xr:uid="{00000000-0005-0000-0000-00008F040000}"/>
    <cellStyle name="Normal 63 4 2 2" xfId="26330" xr:uid="{00000000-0005-0000-0000-00008F040000}"/>
    <cellStyle name="Normal 63 4 3" xfId="25201" xr:uid="{00000000-0005-0000-0000-00008F040000}"/>
    <cellStyle name="Normal 63 5" xfId="23642" xr:uid="{00000000-0005-0000-0000-000088040000}"/>
    <cellStyle name="Normal 63 5 2" xfId="25846" xr:uid="{00000000-0005-0000-0000-000088040000}"/>
    <cellStyle name="Normal 63 6" xfId="24679" xr:uid="{00000000-0005-0000-0000-000088040000}"/>
    <cellStyle name="Normal 64" xfId="22264" xr:uid="{00000000-0005-0000-0000-00001D490000}"/>
    <cellStyle name="Normal 64 2" xfId="22389" xr:uid="{00000000-0005-0000-0000-00001E490000}"/>
    <cellStyle name="Normal 64 2 2" xfId="22649" xr:uid="{00000000-0005-0000-0000-00001F490000}"/>
    <cellStyle name="Normal 64 2 2 2" xfId="23175" xr:uid="{00000000-0005-0000-0000-000020490000}"/>
    <cellStyle name="Normal 64 2 2 2 2" xfId="24467" xr:uid="{00000000-0005-0000-0000-000093040000}"/>
    <cellStyle name="Normal 64 2 2 2 2 2" xfId="26725" xr:uid="{00000000-0005-0000-0000-000093040000}"/>
    <cellStyle name="Normal 64 2 2 2 3" xfId="25589" xr:uid="{00000000-0005-0000-0000-000093040000}"/>
    <cellStyle name="Normal 64 2 2 3" xfId="23959" xr:uid="{00000000-0005-0000-0000-000092040000}"/>
    <cellStyle name="Normal 64 2 2 3 2" xfId="26194" xr:uid="{00000000-0005-0000-0000-000092040000}"/>
    <cellStyle name="Normal 64 2 2 4" xfId="25067" xr:uid="{00000000-0005-0000-0000-000092040000}"/>
    <cellStyle name="Normal 64 2 3" xfId="22911" xr:uid="{00000000-0005-0000-0000-000021490000}"/>
    <cellStyle name="Normal 64 2 3 2" xfId="24211" xr:uid="{00000000-0005-0000-0000-000094040000}"/>
    <cellStyle name="Normal 64 2 3 2 2" xfId="26460" xr:uid="{00000000-0005-0000-0000-000094040000}"/>
    <cellStyle name="Normal 64 2 3 3" xfId="25330" xr:uid="{00000000-0005-0000-0000-000094040000}"/>
    <cellStyle name="Normal 64 2 4" xfId="23743" xr:uid="{00000000-0005-0000-0000-000091040000}"/>
    <cellStyle name="Normal 64 2 4 2" xfId="25961" xr:uid="{00000000-0005-0000-0000-000091040000}"/>
    <cellStyle name="Normal 64 2 5" xfId="24806" xr:uid="{00000000-0005-0000-0000-000091040000}"/>
    <cellStyle name="Normal 64 3" xfId="22520" xr:uid="{00000000-0005-0000-0000-000022490000}"/>
    <cellStyle name="Normal 64 3 2" xfId="23046" xr:uid="{00000000-0005-0000-0000-000023490000}"/>
    <cellStyle name="Normal 64 3 2 2" xfId="24343" xr:uid="{00000000-0005-0000-0000-000096040000}"/>
    <cellStyle name="Normal 64 3 2 2 2" xfId="26596" xr:uid="{00000000-0005-0000-0000-000096040000}"/>
    <cellStyle name="Normal 64 3 2 3" xfId="25462" xr:uid="{00000000-0005-0000-0000-000096040000}"/>
    <cellStyle name="Normal 64 3 3" xfId="23855" xr:uid="{00000000-0005-0000-0000-000095040000}"/>
    <cellStyle name="Normal 64 3 3 2" xfId="26080" xr:uid="{00000000-0005-0000-0000-000095040000}"/>
    <cellStyle name="Normal 64 3 4" xfId="24940" xr:uid="{00000000-0005-0000-0000-000095040000}"/>
    <cellStyle name="Normal 64 4" xfId="22782" xr:uid="{00000000-0005-0000-0000-000024490000}"/>
    <cellStyle name="Normal 64 4 2" xfId="24094" xr:uid="{00000000-0005-0000-0000-000097040000}"/>
    <cellStyle name="Normal 64 4 2 2" xfId="26331" xr:uid="{00000000-0005-0000-0000-000097040000}"/>
    <cellStyle name="Normal 64 4 3" xfId="25202" xr:uid="{00000000-0005-0000-0000-000097040000}"/>
    <cellStyle name="Normal 64 5" xfId="23643" xr:uid="{00000000-0005-0000-0000-000090040000}"/>
    <cellStyle name="Normal 64 5 2" xfId="25847" xr:uid="{00000000-0005-0000-0000-000090040000}"/>
    <cellStyle name="Normal 64 6" xfId="24680" xr:uid="{00000000-0005-0000-0000-000090040000}"/>
    <cellStyle name="Normal 65" xfId="22265" xr:uid="{00000000-0005-0000-0000-000025490000}"/>
    <cellStyle name="Normal 65 2" xfId="22390" xr:uid="{00000000-0005-0000-0000-000026490000}"/>
    <cellStyle name="Normal 65 2 2" xfId="22650" xr:uid="{00000000-0005-0000-0000-000027490000}"/>
    <cellStyle name="Normal 65 2 2 2" xfId="23176" xr:uid="{00000000-0005-0000-0000-000028490000}"/>
    <cellStyle name="Normal 65 2 2 2 2" xfId="24468" xr:uid="{00000000-0005-0000-0000-00009B040000}"/>
    <cellStyle name="Normal 65 2 2 2 2 2" xfId="26726" xr:uid="{00000000-0005-0000-0000-00009B040000}"/>
    <cellStyle name="Normal 65 2 2 2 3" xfId="25590" xr:uid="{00000000-0005-0000-0000-00009B040000}"/>
    <cellStyle name="Normal 65 2 2 3" xfId="23960" xr:uid="{00000000-0005-0000-0000-00009A040000}"/>
    <cellStyle name="Normal 65 2 2 3 2" xfId="26195" xr:uid="{00000000-0005-0000-0000-00009A040000}"/>
    <cellStyle name="Normal 65 2 2 4" xfId="25068" xr:uid="{00000000-0005-0000-0000-00009A040000}"/>
    <cellStyle name="Normal 65 2 3" xfId="22912" xr:uid="{00000000-0005-0000-0000-000029490000}"/>
    <cellStyle name="Normal 65 2 3 2" xfId="24212" xr:uid="{00000000-0005-0000-0000-00009C040000}"/>
    <cellStyle name="Normal 65 2 3 2 2" xfId="26461" xr:uid="{00000000-0005-0000-0000-00009C040000}"/>
    <cellStyle name="Normal 65 2 3 3" xfId="25331" xr:uid="{00000000-0005-0000-0000-00009C040000}"/>
    <cellStyle name="Normal 65 2 4" xfId="23744" xr:uid="{00000000-0005-0000-0000-000099040000}"/>
    <cellStyle name="Normal 65 2 4 2" xfId="25962" xr:uid="{00000000-0005-0000-0000-000099040000}"/>
    <cellStyle name="Normal 65 2 5" xfId="24807" xr:uid="{00000000-0005-0000-0000-000099040000}"/>
    <cellStyle name="Normal 65 3" xfId="22521" xr:uid="{00000000-0005-0000-0000-00002A490000}"/>
    <cellStyle name="Normal 65 3 2" xfId="23047" xr:uid="{00000000-0005-0000-0000-00002B490000}"/>
    <cellStyle name="Normal 65 3 2 2" xfId="24344" xr:uid="{00000000-0005-0000-0000-00009E040000}"/>
    <cellStyle name="Normal 65 3 2 2 2" xfId="26597" xr:uid="{00000000-0005-0000-0000-00009E040000}"/>
    <cellStyle name="Normal 65 3 2 3" xfId="25463" xr:uid="{00000000-0005-0000-0000-00009E040000}"/>
    <cellStyle name="Normal 65 3 3" xfId="23856" xr:uid="{00000000-0005-0000-0000-00009D040000}"/>
    <cellStyle name="Normal 65 3 3 2" xfId="26081" xr:uid="{00000000-0005-0000-0000-00009D040000}"/>
    <cellStyle name="Normal 65 3 4" xfId="24941" xr:uid="{00000000-0005-0000-0000-00009D040000}"/>
    <cellStyle name="Normal 65 4" xfId="22783" xr:uid="{00000000-0005-0000-0000-00002C490000}"/>
    <cellStyle name="Normal 65 4 2" xfId="24095" xr:uid="{00000000-0005-0000-0000-00009F040000}"/>
    <cellStyle name="Normal 65 4 2 2" xfId="26332" xr:uid="{00000000-0005-0000-0000-00009F040000}"/>
    <cellStyle name="Normal 65 4 3" xfId="25203" xr:uid="{00000000-0005-0000-0000-00009F040000}"/>
    <cellStyle name="Normal 65 5" xfId="23644" xr:uid="{00000000-0005-0000-0000-000098040000}"/>
    <cellStyle name="Normal 65 5 2" xfId="25848" xr:uid="{00000000-0005-0000-0000-000098040000}"/>
    <cellStyle name="Normal 65 6" xfId="24681" xr:uid="{00000000-0005-0000-0000-000098040000}"/>
    <cellStyle name="Normal 66" xfId="22257" xr:uid="{00000000-0005-0000-0000-00002D490000}"/>
    <cellStyle name="Normal 66 2" xfId="22382" xr:uid="{00000000-0005-0000-0000-00002E490000}"/>
    <cellStyle name="Normal 66 2 2" xfId="22642" xr:uid="{00000000-0005-0000-0000-00002F490000}"/>
    <cellStyle name="Normal 66 2 2 2" xfId="23168" xr:uid="{00000000-0005-0000-0000-000030490000}"/>
    <cellStyle name="Normal 66 2 2 2 2" xfId="24460" xr:uid="{00000000-0005-0000-0000-0000A3040000}"/>
    <cellStyle name="Normal 66 2 2 2 2 2" xfId="26718" xr:uid="{00000000-0005-0000-0000-0000A3040000}"/>
    <cellStyle name="Normal 66 2 2 2 3" xfId="25582" xr:uid="{00000000-0005-0000-0000-0000A3040000}"/>
    <cellStyle name="Normal 66 2 2 3" xfId="23952" xr:uid="{00000000-0005-0000-0000-0000A2040000}"/>
    <cellStyle name="Normal 66 2 2 3 2" xfId="26187" xr:uid="{00000000-0005-0000-0000-0000A2040000}"/>
    <cellStyle name="Normal 66 2 2 4" xfId="25060" xr:uid="{00000000-0005-0000-0000-0000A2040000}"/>
    <cellStyle name="Normal 66 2 3" xfId="22904" xr:uid="{00000000-0005-0000-0000-000031490000}"/>
    <cellStyle name="Normal 66 2 3 2" xfId="24204" xr:uid="{00000000-0005-0000-0000-0000A4040000}"/>
    <cellStyle name="Normal 66 2 3 2 2" xfId="26453" xr:uid="{00000000-0005-0000-0000-0000A4040000}"/>
    <cellStyle name="Normal 66 2 3 3" xfId="25323" xr:uid="{00000000-0005-0000-0000-0000A4040000}"/>
    <cellStyle name="Normal 66 2 4" xfId="23737" xr:uid="{00000000-0005-0000-0000-0000A1040000}"/>
    <cellStyle name="Normal 66 2 4 2" xfId="25954" xr:uid="{00000000-0005-0000-0000-0000A1040000}"/>
    <cellStyle name="Normal 66 2 5" xfId="24799" xr:uid="{00000000-0005-0000-0000-0000A1040000}"/>
    <cellStyle name="Normal 66 3" xfId="22513" xr:uid="{00000000-0005-0000-0000-000032490000}"/>
    <cellStyle name="Normal 66 3 2" xfId="23039" xr:uid="{00000000-0005-0000-0000-000033490000}"/>
    <cellStyle name="Normal 66 3 2 2" xfId="24336" xr:uid="{00000000-0005-0000-0000-0000A6040000}"/>
    <cellStyle name="Normal 66 3 2 2 2" xfId="26589" xr:uid="{00000000-0005-0000-0000-0000A6040000}"/>
    <cellStyle name="Normal 66 3 2 3" xfId="25455" xr:uid="{00000000-0005-0000-0000-0000A6040000}"/>
    <cellStyle name="Normal 66 3 3" xfId="23848" xr:uid="{00000000-0005-0000-0000-0000A5040000}"/>
    <cellStyle name="Normal 66 3 3 2" xfId="26073" xr:uid="{00000000-0005-0000-0000-0000A5040000}"/>
    <cellStyle name="Normal 66 3 4" xfId="24933" xr:uid="{00000000-0005-0000-0000-0000A5040000}"/>
    <cellStyle name="Normal 66 4" xfId="22775" xr:uid="{00000000-0005-0000-0000-000034490000}"/>
    <cellStyle name="Normal 66 4 2" xfId="24087" xr:uid="{00000000-0005-0000-0000-0000A7040000}"/>
    <cellStyle name="Normal 66 4 2 2" xfId="26324" xr:uid="{00000000-0005-0000-0000-0000A7040000}"/>
    <cellStyle name="Normal 66 4 3" xfId="25195" xr:uid="{00000000-0005-0000-0000-0000A7040000}"/>
    <cellStyle name="Normal 66 5" xfId="23639" xr:uid="{00000000-0005-0000-0000-0000A0040000}"/>
    <cellStyle name="Normal 66 5 2" xfId="25840" xr:uid="{00000000-0005-0000-0000-0000A0040000}"/>
    <cellStyle name="Normal 66 6" xfId="24673" xr:uid="{00000000-0005-0000-0000-0000A0040000}"/>
    <cellStyle name="Normal 67" xfId="22266" xr:uid="{00000000-0005-0000-0000-000035490000}"/>
    <cellStyle name="Normal 67 2" xfId="22391" xr:uid="{00000000-0005-0000-0000-000036490000}"/>
    <cellStyle name="Normal 67 2 2" xfId="22651" xr:uid="{00000000-0005-0000-0000-000037490000}"/>
    <cellStyle name="Normal 67 2 2 2" xfId="23177" xr:uid="{00000000-0005-0000-0000-000038490000}"/>
    <cellStyle name="Normal 67 2 2 2 2" xfId="24469" xr:uid="{00000000-0005-0000-0000-0000AB040000}"/>
    <cellStyle name="Normal 67 2 2 2 2 2" xfId="26727" xr:uid="{00000000-0005-0000-0000-0000AB040000}"/>
    <cellStyle name="Normal 67 2 2 2 3" xfId="25591" xr:uid="{00000000-0005-0000-0000-0000AB040000}"/>
    <cellStyle name="Normal 67 2 2 3" xfId="23961" xr:uid="{00000000-0005-0000-0000-0000AA040000}"/>
    <cellStyle name="Normal 67 2 2 3 2" xfId="26196" xr:uid="{00000000-0005-0000-0000-0000AA040000}"/>
    <cellStyle name="Normal 67 2 2 4" xfId="25069" xr:uid="{00000000-0005-0000-0000-0000AA040000}"/>
    <cellStyle name="Normal 67 2 3" xfId="22913" xr:uid="{00000000-0005-0000-0000-000039490000}"/>
    <cellStyle name="Normal 67 2 3 2" xfId="24213" xr:uid="{00000000-0005-0000-0000-0000AC040000}"/>
    <cellStyle name="Normal 67 2 3 2 2" xfId="26462" xr:uid="{00000000-0005-0000-0000-0000AC040000}"/>
    <cellStyle name="Normal 67 2 3 3" xfId="25332" xr:uid="{00000000-0005-0000-0000-0000AC040000}"/>
    <cellStyle name="Normal 67 2 4" xfId="23745" xr:uid="{00000000-0005-0000-0000-0000A9040000}"/>
    <cellStyle name="Normal 67 2 4 2" xfId="25963" xr:uid="{00000000-0005-0000-0000-0000A9040000}"/>
    <cellStyle name="Normal 67 2 5" xfId="24808" xr:uid="{00000000-0005-0000-0000-0000A9040000}"/>
    <cellStyle name="Normal 67 3" xfId="22522" xr:uid="{00000000-0005-0000-0000-00003A490000}"/>
    <cellStyle name="Normal 67 3 2" xfId="23048" xr:uid="{00000000-0005-0000-0000-00003B490000}"/>
    <cellStyle name="Normal 67 3 2 2" xfId="24345" xr:uid="{00000000-0005-0000-0000-0000AE040000}"/>
    <cellStyle name="Normal 67 3 2 2 2" xfId="26598" xr:uid="{00000000-0005-0000-0000-0000AE040000}"/>
    <cellStyle name="Normal 67 3 2 3" xfId="25464" xr:uid="{00000000-0005-0000-0000-0000AE040000}"/>
    <cellStyle name="Normal 67 3 3" xfId="23857" xr:uid="{00000000-0005-0000-0000-0000AD040000}"/>
    <cellStyle name="Normal 67 3 3 2" xfId="26082" xr:uid="{00000000-0005-0000-0000-0000AD040000}"/>
    <cellStyle name="Normal 67 3 4" xfId="24942" xr:uid="{00000000-0005-0000-0000-0000AD040000}"/>
    <cellStyle name="Normal 67 4" xfId="22656" xr:uid="{00000000-0005-0000-0000-00003C490000}"/>
    <cellStyle name="Normal 67 4 2" xfId="23966" xr:uid="{00000000-0005-0000-0000-0000AF040000}"/>
    <cellStyle name="Normal 67 4 2 2" xfId="26201" xr:uid="{00000000-0005-0000-0000-0000AF040000}"/>
    <cellStyle name="Normal 67 4 3" xfId="25074" xr:uid="{00000000-0005-0000-0000-0000AF040000}"/>
    <cellStyle name="Normal 67 5" xfId="22784" xr:uid="{00000000-0005-0000-0000-00003D490000}"/>
    <cellStyle name="Normal 67 5 2" xfId="24096" xr:uid="{00000000-0005-0000-0000-0000B0040000}"/>
    <cellStyle name="Normal 67 5 2 2" xfId="26333" xr:uid="{00000000-0005-0000-0000-0000B0040000}"/>
    <cellStyle name="Normal 67 5 3" xfId="25204" xr:uid="{00000000-0005-0000-0000-0000B0040000}"/>
    <cellStyle name="Normal 67 6" xfId="23645" xr:uid="{00000000-0005-0000-0000-0000A8040000}"/>
    <cellStyle name="Normal 67 6 2" xfId="25849" xr:uid="{00000000-0005-0000-0000-0000A8040000}"/>
    <cellStyle name="Normal 67 7" xfId="24682" xr:uid="{00000000-0005-0000-0000-0000A8040000}"/>
    <cellStyle name="Normal 68" xfId="22394" xr:uid="{00000000-0005-0000-0000-00003E490000}"/>
    <cellStyle name="Normal 68 2" xfId="22654" xr:uid="{00000000-0005-0000-0000-00003F490000}"/>
    <cellStyle name="Normal 68 2 2" xfId="23180" xr:uid="{00000000-0005-0000-0000-000040490000}"/>
    <cellStyle name="Normal 68 2 2 2" xfId="24473" xr:uid="{00000000-0005-0000-0000-0000B3040000}"/>
    <cellStyle name="Normal 68 2 2 2 2" xfId="26731" xr:uid="{00000000-0005-0000-0000-0000B3040000}"/>
    <cellStyle name="Normal 68 2 2 3" xfId="25594" xr:uid="{00000000-0005-0000-0000-0000B3040000}"/>
    <cellStyle name="Normal 68 2 3" xfId="23964" xr:uid="{00000000-0005-0000-0000-0000B2040000}"/>
    <cellStyle name="Normal 68 2 3 2" xfId="26199" xr:uid="{00000000-0005-0000-0000-0000B2040000}"/>
    <cellStyle name="Normal 68 2 4" xfId="25072" xr:uid="{00000000-0005-0000-0000-0000B2040000}"/>
    <cellStyle name="Normal 68 3" xfId="22917" xr:uid="{00000000-0005-0000-0000-000041490000}"/>
    <cellStyle name="Normal 68 3 2" xfId="24216" xr:uid="{00000000-0005-0000-0000-0000B4040000}"/>
    <cellStyle name="Normal 68 3 2 2" xfId="26466" xr:uid="{00000000-0005-0000-0000-0000B4040000}"/>
    <cellStyle name="Normal 68 3 3" xfId="25336" xr:uid="{00000000-0005-0000-0000-0000B4040000}"/>
    <cellStyle name="Normal 68 4" xfId="23748" xr:uid="{00000000-0005-0000-0000-0000B1040000}"/>
    <cellStyle name="Normal 68 4 2" xfId="25966" xr:uid="{00000000-0005-0000-0000-0000B1040000}"/>
    <cellStyle name="Normal 68 5" xfId="24811" xr:uid="{00000000-0005-0000-0000-0000B1040000}"/>
    <cellStyle name="Normal 69" xfId="22655" xr:uid="{00000000-0005-0000-0000-000042490000}"/>
    <cellStyle name="Normal 69 2" xfId="23965" xr:uid="{00000000-0005-0000-0000-0000B5040000}"/>
    <cellStyle name="Normal 69 2 2" xfId="26200" xr:uid="{00000000-0005-0000-0000-0000B5040000}"/>
    <cellStyle name="Normal 69 3" xfId="25073" xr:uid="{00000000-0005-0000-0000-0000B5040000}"/>
    <cellStyle name="Normal 7" xfId="11671" xr:uid="{00000000-0005-0000-0000-000043490000}"/>
    <cellStyle name="Normal 7 2" xfId="11672" xr:uid="{00000000-0005-0000-0000-000044490000}"/>
    <cellStyle name="Normal 7 2 2" xfId="19681" xr:uid="{00000000-0005-0000-0000-000045490000}"/>
    <cellStyle name="Normal 7 3" xfId="21751" xr:uid="{00000000-0005-0000-0000-000046490000}"/>
    <cellStyle name="Normal 7 3 2" xfId="21816" xr:uid="{00000000-0005-0000-0000-000047490000}"/>
    <cellStyle name="Normal 7 3 3" xfId="21783" xr:uid="{00000000-0005-0000-0000-000048490000}"/>
    <cellStyle name="Normal 7 3 4" xfId="21906" xr:uid="{00000000-0005-0000-0000-000049490000}"/>
    <cellStyle name="Normal 70" xfId="23240" xr:uid="{00000000-0005-0000-0000-00004A490000}"/>
    <cellStyle name="Normal 70 2" xfId="24486" xr:uid="{00000000-0005-0000-0000-0000B7040000}"/>
    <cellStyle name="Normal 70 2 2" xfId="26744" xr:uid="{00000000-0005-0000-0000-0000B7040000}"/>
    <cellStyle name="Normal 70 3" xfId="25652" xr:uid="{00000000-0005-0000-0000-0000B7040000}"/>
    <cellStyle name="Normal 71" xfId="23247" xr:uid="{00000000-0005-0000-0000-00004B490000}"/>
    <cellStyle name="Normal 71 2" xfId="24491" xr:uid="{00000000-0005-0000-0000-0000B8040000}"/>
    <cellStyle name="Normal 71 2 2" xfId="26751" xr:uid="{00000000-0005-0000-0000-0000B8040000}"/>
    <cellStyle name="Normal 71 3" xfId="25658" xr:uid="{00000000-0005-0000-0000-0000B8040000}"/>
    <cellStyle name="Normal 72" xfId="23251" xr:uid="{00000000-0005-0000-0000-00004C490000}"/>
    <cellStyle name="Normal 72 2" xfId="23255" xr:uid="{00000000-0005-0000-0000-00004D490000}"/>
    <cellStyle name="Normal 72 2 2" xfId="24496" xr:uid="{00000000-0005-0000-0000-0000BA040000}"/>
    <cellStyle name="Normal 72 2 2 2" xfId="26759" xr:uid="{00000000-0005-0000-0000-0000BA040000}"/>
    <cellStyle name="Normal 72 2 3" xfId="25666" xr:uid="{00000000-0005-0000-0000-0000BA040000}"/>
    <cellStyle name="Normal 72 3" xfId="24493" xr:uid="{00000000-0005-0000-0000-0000B9040000}"/>
    <cellStyle name="Normal 72 3 2" xfId="26755" xr:uid="{00000000-0005-0000-0000-0000B9040000}"/>
    <cellStyle name="Normal 72 4" xfId="25662" xr:uid="{00000000-0005-0000-0000-0000B9040000}"/>
    <cellStyle name="Normal 73" xfId="23252" xr:uid="{00000000-0005-0000-0000-00004E490000}"/>
    <cellStyle name="Normal 73 2" xfId="24494" xr:uid="{00000000-0005-0000-0000-0000BB040000}"/>
    <cellStyle name="Normal 73 2 2" xfId="26756" xr:uid="{00000000-0005-0000-0000-0000BB040000}"/>
    <cellStyle name="Normal 73 3" xfId="25663" xr:uid="{00000000-0005-0000-0000-0000BB040000}"/>
    <cellStyle name="Normal 74" xfId="23254" xr:uid="{00000000-0005-0000-0000-00004F490000}"/>
    <cellStyle name="Normal 74 2" xfId="24495" xr:uid="{00000000-0005-0000-0000-0000BC040000}"/>
    <cellStyle name="Normal 74 2 2" xfId="26758" xr:uid="{00000000-0005-0000-0000-0000BC040000}"/>
    <cellStyle name="Normal 74 3" xfId="25665" xr:uid="{00000000-0005-0000-0000-0000BC040000}"/>
    <cellStyle name="Normal 75" xfId="23258" xr:uid="{00000000-0005-0000-0000-000050490000}"/>
    <cellStyle name="Normal 75 2" xfId="24498" xr:uid="{00000000-0005-0000-0000-0000BD040000}"/>
    <cellStyle name="Normal 75 2 2" xfId="26762" xr:uid="{00000000-0005-0000-0000-0000BD040000}"/>
    <cellStyle name="Normal 75 3" xfId="25669" xr:uid="{00000000-0005-0000-0000-0000BD040000}"/>
    <cellStyle name="Normal 76" xfId="23261" xr:uid="{00000000-0005-0000-0000-000051490000}"/>
    <cellStyle name="Normal 76 2" xfId="24499" xr:uid="{00000000-0005-0000-0000-0000BE040000}"/>
    <cellStyle name="Normal 76 2 2" xfId="26765" xr:uid="{00000000-0005-0000-0000-0000BE040000}"/>
    <cellStyle name="Normal 76 3" xfId="25672" xr:uid="{00000000-0005-0000-0000-0000BE040000}"/>
    <cellStyle name="Normal 77" xfId="23264" xr:uid="{00000000-0005-0000-0000-000052490000}"/>
    <cellStyle name="Normal 77 2" xfId="24500" xr:uid="{00000000-0005-0000-0000-0000BF040000}"/>
    <cellStyle name="Normal 77 2 2" xfId="26768" xr:uid="{00000000-0005-0000-0000-0000BF040000}"/>
    <cellStyle name="Normal 77 3" xfId="25675" xr:uid="{00000000-0005-0000-0000-0000BF040000}"/>
    <cellStyle name="Normal 78" xfId="23265" xr:uid="{00000000-0005-0000-0000-000053490000}"/>
    <cellStyle name="Normal 78 2" xfId="24501" xr:uid="{00000000-0005-0000-0000-0000C0040000}"/>
    <cellStyle name="Normal 78 2 2" xfId="26769" xr:uid="{00000000-0005-0000-0000-0000C0040000}"/>
    <cellStyle name="Normal 78 3" xfId="25676" xr:uid="{00000000-0005-0000-0000-0000C0040000}"/>
    <cellStyle name="Normal 79" xfId="23268" xr:uid="{00000000-0005-0000-0000-000054490000}"/>
    <cellStyle name="Normal 79 2" xfId="24503" xr:uid="{00000000-0005-0000-0000-0000C1040000}"/>
    <cellStyle name="Normal 79 2 2" xfId="26772" xr:uid="{00000000-0005-0000-0000-0000C1040000}"/>
    <cellStyle name="Normal 79 3" xfId="25679" xr:uid="{00000000-0005-0000-0000-0000C1040000}"/>
    <cellStyle name="Normal 8" xfId="11673" xr:uid="{00000000-0005-0000-0000-000055490000}"/>
    <cellStyle name="Normal 8 2" xfId="11674" xr:uid="{00000000-0005-0000-0000-000056490000}"/>
    <cellStyle name="Normal 8 2 2" xfId="11675" xr:uid="{00000000-0005-0000-0000-000057490000}"/>
    <cellStyle name="Normal 8 2 2 2" xfId="19682" xr:uid="{00000000-0005-0000-0000-000058490000}"/>
    <cellStyle name="Normal 8 2 2 2 2" xfId="23161" xr:uid="{00000000-0005-0000-0000-000059490000}"/>
    <cellStyle name="Normal 8 2 2 2 2 2" xfId="24453" xr:uid="{00000000-0005-0000-0000-0000C6040000}"/>
    <cellStyle name="Normal 8 2 2 2 2 2 2" xfId="26711" xr:uid="{00000000-0005-0000-0000-0000C6040000}"/>
    <cellStyle name="Normal 8 2 2 2 2 3" xfId="25575" xr:uid="{00000000-0005-0000-0000-0000C6040000}"/>
    <cellStyle name="Normal 8 2 2 2 3" xfId="22635" xr:uid="{00000000-0005-0000-0000-00005A490000}"/>
    <cellStyle name="Normal 8 2 2 2 3 2" xfId="26180" xr:uid="{00000000-0005-0000-0000-0000C5040000}"/>
    <cellStyle name="Normal 8 2 2 2 4" xfId="25053" xr:uid="{00000000-0005-0000-0000-0000C5040000}"/>
    <cellStyle name="Normal 8 2 2 3" xfId="22897" xr:uid="{00000000-0005-0000-0000-00005B490000}"/>
    <cellStyle name="Normal 8 2 2 3 2" xfId="24197" xr:uid="{00000000-0005-0000-0000-0000C7040000}"/>
    <cellStyle name="Normal 8 2 2 3 2 2" xfId="26446" xr:uid="{00000000-0005-0000-0000-0000C7040000}"/>
    <cellStyle name="Normal 8 2 2 3 3" xfId="25316" xr:uid="{00000000-0005-0000-0000-0000C7040000}"/>
    <cellStyle name="Normal 8 2 2 4" xfId="22375" xr:uid="{00000000-0005-0000-0000-00005C490000}"/>
    <cellStyle name="Normal 8 2 2 4 2" xfId="25947" xr:uid="{00000000-0005-0000-0000-0000C4040000}"/>
    <cellStyle name="Normal 8 2 2 5" xfId="24792" xr:uid="{00000000-0005-0000-0000-0000C4040000}"/>
    <cellStyle name="Normal 8 2 3" xfId="22506" xr:uid="{00000000-0005-0000-0000-00005D490000}"/>
    <cellStyle name="Normal 8 2 3 2" xfId="23032" xr:uid="{00000000-0005-0000-0000-00005E490000}"/>
    <cellStyle name="Normal 8 2 3 2 2" xfId="24330" xr:uid="{00000000-0005-0000-0000-0000C9040000}"/>
    <cellStyle name="Normal 8 2 3 2 2 2" xfId="26582" xr:uid="{00000000-0005-0000-0000-0000C9040000}"/>
    <cellStyle name="Normal 8 2 3 2 3" xfId="25448" xr:uid="{00000000-0005-0000-0000-0000C9040000}"/>
    <cellStyle name="Normal 8 2 3 3" xfId="23842" xr:uid="{00000000-0005-0000-0000-0000C8040000}"/>
    <cellStyle name="Normal 8 2 3 3 2" xfId="26066" xr:uid="{00000000-0005-0000-0000-0000C8040000}"/>
    <cellStyle name="Normal 8 2 3 4" xfId="24926" xr:uid="{00000000-0005-0000-0000-0000C8040000}"/>
    <cellStyle name="Normal 8 2 4" xfId="22768" xr:uid="{00000000-0005-0000-0000-00005F490000}"/>
    <cellStyle name="Normal 8 2 4 2" xfId="24081" xr:uid="{00000000-0005-0000-0000-0000CA040000}"/>
    <cellStyle name="Normal 8 2 4 2 2" xfId="26317" xr:uid="{00000000-0005-0000-0000-0000CA040000}"/>
    <cellStyle name="Normal 8 2 4 3" xfId="25188" xr:uid="{00000000-0005-0000-0000-0000CA040000}"/>
    <cellStyle name="Normal 8 2 5" xfId="22249" xr:uid="{00000000-0005-0000-0000-000060490000}"/>
    <cellStyle name="Normal 8 2 5 2" xfId="25833" xr:uid="{00000000-0005-0000-0000-0000C3040000}"/>
    <cellStyle name="Normal 8 2 6" xfId="24666" xr:uid="{00000000-0005-0000-0000-0000C3040000}"/>
    <cellStyle name="Normal 8 3" xfId="11676" xr:uid="{00000000-0005-0000-0000-000061490000}"/>
    <cellStyle name="Normal 8 3 2" xfId="11677" xr:uid="{00000000-0005-0000-0000-000062490000}"/>
    <cellStyle name="Normal 8 3 2 2" xfId="19683" xr:uid="{00000000-0005-0000-0000-000063490000}"/>
    <cellStyle name="Normal 8 3 2 2 2" xfId="23110" xr:uid="{00000000-0005-0000-0000-000064490000}"/>
    <cellStyle name="Normal 8 3 2 2 2 2" xfId="26660" xr:uid="{00000000-0005-0000-0000-0000CD040000}"/>
    <cellStyle name="Normal 8 3 2 2 3" xfId="25524" xr:uid="{00000000-0005-0000-0000-0000CD040000}"/>
    <cellStyle name="Normal 8 3 2 3" xfId="22584" xr:uid="{00000000-0005-0000-0000-000065490000}"/>
    <cellStyle name="Normal 8 3 2 3 2" xfId="26129" xr:uid="{00000000-0005-0000-0000-0000CC040000}"/>
    <cellStyle name="Normal 8 3 2 4" xfId="25002" xr:uid="{00000000-0005-0000-0000-0000CC040000}"/>
    <cellStyle name="Normal 8 3 3" xfId="22846" xr:uid="{00000000-0005-0000-0000-000066490000}"/>
    <cellStyle name="Normal 8 3 3 2" xfId="24146" xr:uid="{00000000-0005-0000-0000-0000CE040000}"/>
    <cellStyle name="Normal 8 3 3 2 2" xfId="26395" xr:uid="{00000000-0005-0000-0000-0000CE040000}"/>
    <cellStyle name="Normal 8 3 3 3" xfId="25266" xr:uid="{00000000-0005-0000-0000-0000CE040000}"/>
    <cellStyle name="Normal 8 3 4" xfId="22325" xr:uid="{00000000-0005-0000-0000-000067490000}"/>
    <cellStyle name="Normal 8 3 4 2" xfId="25896" xr:uid="{00000000-0005-0000-0000-0000CB040000}"/>
    <cellStyle name="Normal 8 3 5" xfId="24742" xr:uid="{00000000-0005-0000-0000-0000CB040000}"/>
    <cellStyle name="Normal 8 4" xfId="11678" xr:uid="{00000000-0005-0000-0000-000068490000}"/>
    <cellStyle name="Normal 8 4 2" xfId="19684" xr:uid="{00000000-0005-0000-0000-000069490000}"/>
    <cellStyle name="Normal 8 4 2 2" xfId="22970" xr:uid="{00000000-0005-0000-0000-00006A490000}"/>
    <cellStyle name="Normal 8 4 2 2 2" xfId="26519" xr:uid="{00000000-0005-0000-0000-0000D0040000}"/>
    <cellStyle name="Normal 8 4 2 3" xfId="25387" xr:uid="{00000000-0005-0000-0000-0000D0040000}"/>
    <cellStyle name="Normal 8 4 3" xfId="22444" xr:uid="{00000000-0005-0000-0000-00006B490000}"/>
    <cellStyle name="Normal 8 4 3 2" xfId="26011" xr:uid="{00000000-0005-0000-0000-0000CF040000}"/>
    <cellStyle name="Normal 8 4 4" xfId="24864" xr:uid="{00000000-0005-0000-0000-0000CF040000}"/>
    <cellStyle name="Normal 8 5" xfId="22706" xr:uid="{00000000-0005-0000-0000-00006C490000}"/>
    <cellStyle name="Normal 8 5 2" xfId="24018" xr:uid="{00000000-0005-0000-0000-0000D1040000}"/>
    <cellStyle name="Normal 8 5 2 2" xfId="26254" xr:uid="{00000000-0005-0000-0000-0000D1040000}"/>
    <cellStyle name="Normal 8 5 3" xfId="25125" xr:uid="{00000000-0005-0000-0000-0000D1040000}"/>
    <cellStyle name="Normal 8 6" xfId="22181" xr:uid="{00000000-0005-0000-0000-00006D490000}"/>
    <cellStyle name="Normal 8 6 2" xfId="25778" xr:uid="{00000000-0005-0000-0000-0000C2040000}"/>
    <cellStyle name="Normal 8 7" xfId="24603" xr:uid="{00000000-0005-0000-0000-0000C2040000}"/>
    <cellStyle name="Normal 80" xfId="23269" xr:uid="{00000000-0005-0000-0000-00006E490000}"/>
    <cellStyle name="Normal 80 2" xfId="24504" xr:uid="{00000000-0005-0000-0000-0000D2040000}"/>
    <cellStyle name="Normal 80 2 2" xfId="26773" xr:uid="{00000000-0005-0000-0000-0000D2040000}"/>
    <cellStyle name="Normal 80 3" xfId="25680" xr:uid="{00000000-0005-0000-0000-0000D2040000}"/>
    <cellStyle name="Normal 81" xfId="23278" xr:uid="{00000000-0005-0000-0000-00006F490000}"/>
    <cellStyle name="Normal 81 2" xfId="24510" xr:uid="{00000000-0005-0000-0000-0000D3040000}"/>
    <cellStyle name="Normal 81 2 2" xfId="26781" xr:uid="{00000000-0005-0000-0000-0000D3040000}"/>
    <cellStyle name="Normal 81 3" xfId="25686" xr:uid="{00000000-0005-0000-0000-0000D3040000}"/>
    <cellStyle name="Normal 82" xfId="23279" xr:uid="{00000000-0005-0000-0000-000070490000}"/>
    <cellStyle name="Normal 82 2" xfId="23551" xr:uid="{EF4AD223-6E4E-418D-8C15-C973E486E7E4}"/>
    <cellStyle name="Normal 82 2 2" xfId="24538" xr:uid="{EF4AD223-6E4E-418D-8C15-C973E486E7E4}"/>
    <cellStyle name="Normal 82 2 2 2" xfId="26824" xr:uid="{EF4AD223-6E4E-418D-8C15-C973E486E7E4}"/>
    <cellStyle name="Normal 82 2 3" xfId="25728" xr:uid="{EF4AD223-6E4E-418D-8C15-C973E486E7E4}"/>
    <cellStyle name="Normal 82 3" xfId="24511" xr:uid="{00000000-0005-0000-0000-0000D4040000}"/>
    <cellStyle name="Normal 82 3 2" xfId="26782" xr:uid="{00000000-0005-0000-0000-0000D4040000}"/>
    <cellStyle name="Normal 82 4" xfId="25687" xr:uid="{00000000-0005-0000-0000-0000D4040000}"/>
    <cellStyle name="Normal 83" xfId="23282" xr:uid="{00000000-0005-0000-0000-000071490000}"/>
    <cellStyle name="Normal 83 2" xfId="24512" xr:uid="{00000000-0005-0000-0000-0000D5040000}"/>
    <cellStyle name="Normal 83 2 2" xfId="26785" xr:uid="{00000000-0005-0000-0000-0000D5040000}"/>
    <cellStyle name="Normal 83 3" xfId="25690" xr:uid="{00000000-0005-0000-0000-0000D5040000}"/>
    <cellStyle name="Normal 84" xfId="23283" xr:uid="{00000000-0005-0000-0000-000072490000}"/>
    <cellStyle name="Normal 84 2" xfId="23315" xr:uid="{00000000-0005-0000-0000-000073490000}"/>
    <cellStyle name="Normal 84 2 2" xfId="24532" xr:uid="{00000000-0005-0000-0000-0000D7040000}"/>
    <cellStyle name="Normal 84 2 2 2" xfId="26815" xr:uid="{00000000-0005-0000-0000-0000D7040000}"/>
    <cellStyle name="Normal 84 2 3" xfId="25719" xr:uid="{00000000-0005-0000-0000-0000D7040000}"/>
    <cellStyle name="Normal 84 3" xfId="24513" xr:uid="{00000000-0005-0000-0000-0000D6040000}"/>
    <cellStyle name="Normal 84 3 2" xfId="26786" xr:uid="{00000000-0005-0000-0000-0000D6040000}"/>
    <cellStyle name="Normal 84 4" xfId="25691" xr:uid="{00000000-0005-0000-0000-0000D6040000}"/>
    <cellStyle name="Normal 85" xfId="23285" xr:uid="{00000000-0005-0000-0000-000074490000}"/>
    <cellStyle name="Normal 85 2" xfId="24514" xr:uid="{00000000-0005-0000-0000-0000D8040000}"/>
    <cellStyle name="Normal 85 2 2" xfId="26788" xr:uid="{00000000-0005-0000-0000-0000D8040000}"/>
    <cellStyle name="Normal 85 3" xfId="25693" xr:uid="{00000000-0005-0000-0000-0000D8040000}"/>
    <cellStyle name="Normal 86" xfId="23287" xr:uid="{00000000-0005-0000-0000-000075490000}"/>
    <cellStyle name="Normal 86 2" xfId="24515" xr:uid="{00000000-0005-0000-0000-0000D9040000}"/>
    <cellStyle name="Normal 86 2 2" xfId="26790" xr:uid="{00000000-0005-0000-0000-0000D9040000}"/>
    <cellStyle name="Normal 86 3" xfId="25695" xr:uid="{00000000-0005-0000-0000-0000D9040000}"/>
    <cellStyle name="Normal 87" xfId="23296" xr:uid="{00000000-0005-0000-0000-000076490000}"/>
    <cellStyle name="Normal 87 2" xfId="24521" xr:uid="{00000000-0005-0000-0000-0000DA040000}"/>
    <cellStyle name="Normal 87 2 2" xfId="26797" xr:uid="{00000000-0005-0000-0000-0000DA040000}"/>
    <cellStyle name="Normal 87 3" xfId="25700" xr:uid="{00000000-0005-0000-0000-0000DA040000}"/>
    <cellStyle name="Normal 88" xfId="23298" xr:uid="{00000000-0005-0000-0000-000077490000}"/>
    <cellStyle name="Normal 88 2" xfId="23314" xr:uid="{00000000-0005-0000-0000-000078490000}"/>
    <cellStyle name="Normal 88 2 2" xfId="24531" xr:uid="{00000000-0005-0000-0000-0000DC040000}"/>
    <cellStyle name="Normal 88 2 2 2" xfId="26814" xr:uid="{00000000-0005-0000-0000-0000DC040000}"/>
    <cellStyle name="Normal 88 2 3" xfId="25718" xr:uid="{00000000-0005-0000-0000-0000DC040000}"/>
    <cellStyle name="Normal 88 3" xfId="24522" xr:uid="{00000000-0005-0000-0000-0000DB040000}"/>
    <cellStyle name="Normal 88 3 2" xfId="26799" xr:uid="{00000000-0005-0000-0000-0000DB040000}"/>
    <cellStyle name="Normal 88 4" xfId="25702" xr:uid="{00000000-0005-0000-0000-0000DB040000}"/>
    <cellStyle name="Normal 89" xfId="23299" xr:uid="{00000000-0005-0000-0000-000079490000}"/>
    <cellStyle name="Normal 89 2" xfId="23560" xr:uid="{1F92C1E6-42A0-4469-A72D-5E2980E88731}"/>
    <cellStyle name="Normal 89 2 2" xfId="24542" xr:uid="{1F92C1E6-42A0-4469-A72D-5E2980E88731}"/>
    <cellStyle name="Normal 89 2 2 2" xfId="26828" xr:uid="{1F92C1E6-42A0-4469-A72D-5E2980E88731}"/>
    <cellStyle name="Normal 89 2 3" xfId="25732" xr:uid="{1F92C1E6-42A0-4469-A72D-5E2980E88731}"/>
    <cellStyle name="Normal 89 3" xfId="24523" xr:uid="{00000000-0005-0000-0000-0000DD040000}"/>
    <cellStyle name="Normal 89 3 2" xfId="26800" xr:uid="{00000000-0005-0000-0000-0000DD040000}"/>
    <cellStyle name="Normal 89 4" xfId="25703" xr:uid="{00000000-0005-0000-0000-0000DD040000}"/>
    <cellStyle name="Normal 9" xfId="14023" xr:uid="{00000000-0005-0000-0000-00007A490000}"/>
    <cellStyle name="Normal 9 2" xfId="21668" xr:uid="{00000000-0005-0000-0000-00007B490000}"/>
    <cellStyle name="Normal 9 3" xfId="22182" xr:uid="{00000000-0005-0000-0000-00007C490000}"/>
    <cellStyle name="Normal 90" xfId="23306" xr:uid="{00000000-0005-0000-0000-00007D490000}"/>
    <cellStyle name="Normal 90 2" xfId="24526" xr:uid="{00000000-0005-0000-0000-0000DF040000}"/>
    <cellStyle name="Normal 90 2 2" xfId="26806" xr:uid="{00000000-0005-0000-0000-0000DF040000}"/>
    <cellStyle name="Normal 90 3" xfId="25710" xr:uid="{00000000-0005-0000-0000-0000DF040000}"/>
    <cellStyle name="Normal 91" xfId="23312" xr:uid="{00000000-0005-0000-0000-00007E490000}"/>
    <cellStyle name="Normal 91 2" xfId="23318" xr:uid="{00000000-0005-0000-0000-00007F490000}"/>
    <cellStyle name="Normal 91 2 2" xfId="24534" xr:uid="{00000000-0005-0000-0000-0000E1040000}"/>
    <cellStyle name="Normal 91 2 2 2" xfId="26818" xr:uid="{00000000-0005-0000-0000-0000E1040000}"/>
    <cellStyle name="Normal 91 2 3" xfId="25722" xr:uid="{00000000-0005-0000-0000-0000E1040000}"/>
    <cellStyle name="Normal 91 3" xfId="23557" xr:uid="{A6ADE234-E71D-4871-BAF4-D88C4A34A284}"/>
    <cellStyle name="Normal 91 3 2" xfId="24540" xr:uid="{A6ADE234-E71D-4871-BAF4-D88C4A34A284}"/>
    <cellStyle name="Normal 91 3 2 2" xfId="26826" xr:uid="{A6ADE234-E71D-4871-BAF4-D88C4A34A284}"/>
    <cellStyle name="Normal 91 3 3" xfId="25730" xr:uid="{A6ADE234-E71D-4871-BAF4-D88C4A34A284}"/>
    <cellStyle name="Normal 91 4" xfId="24530" xr:uid="{00000000-0005-0000-0000-0000E0040000}"/>
    <cellStyle name="Normal 91 4 2" xfId="26812" xr:uid="{00000000-0005-0000-0000-0000E0040000}"/>
    <cellStyle name="Normal 91 5" xfId="25716" xr:uid="{00000000-0005-0000-0000-0000E0040000}"/>
    <cellStyle name="Normal 92" xfId="23317" xr:uid="{00000000-0005-0000-0000-000080490000}"/>
    <cellStyle name="Normal 92 2" xfId="24533" xr:uid="{00000000-0005-0000-0000-0000E2040000}"/>
    <cellStyle name="Normal 92 2 2" xfId="26817" xr:uid="{00000000-0005-0000-0000-0000E2040000}"/>
    <cellStyle name="Normal 92 3" xfId="25721" xr:uid="{00000000-0005-0000-0000-0000E2040000}"/>
    <cellStyle name="Normal 93" xfId="23319" xr:uid="{00000000-0005-0000-0000-000081490000}"/>
    <cellStyle name="Normal 93 2" xfId="24535" xr:uid="{00000000-0005-0000-0000-0000E3040000}"/>
    <cellStyle name="Normal 93 2 2" xfId="26819" xr:uid="{00000000-0005-0000-0000-0000E3040000}"/>
    <cellStyle name="Normal 93 3" xfId="25723" xr:uid="{00000000-0005-0000-0000-0000E3040000}"/>
    <cellStyle name="Normal 94" xfId="23550" xr:uid="{9764E235-8E2B-47D2-BDD6-EA017B15492B}"/>
    <cellStyle name="Normal_2008 Alliance employee salary info 2" xfId="21920" xr:uid="{00000000-0005-0000-0000-000082490000}"/>
    <cellStyle name="Normal_Copy of 2008 Alliance employee salary info" xfId="8" xr:uid="{00000000-0005-0000-0000-000083490000}"/>
    <cellStyle name="Normal_Copy of 2008 Alliance employee salary info 3 2" xfId="21672" xr:uid="{00000000-0005-0000-0000-000084490000}"/>
    <cellStyle name="Normal_Sheet1" xfId="12" xr:uid="{00000000-0005-0000-0000-000085490000}"/>
    <cellStyle name="Note 10" xfId="11679" xr:uid="{00000000-0005-0000-0000-000086490000}"/>
    <cellStyle name="Note 10 10" xfId="11680" xr:uid="{00000000-0005-0000-0000-000087490000}"/>
    <cellStyle name="Note 10 10 2" xfId="19686" xr:uid="{00000000-0005-0000-0000-000088490000}"/>
    <cellStyle name="Note 10 11" xfId="11681" xr:uid="{00000000-0005-0000-0000-000089490000}"/>
    <cellStyle name="Note 10 11 2" xfId="19687" xr:uid="{00000000-0005-0000-0000-00008A490000}"/>
    <cellStyle name="Note 10 12" xfId="19685" xr:uid="{00000000-0005-0000-0000-00008B490000}"/>
    <cellStyle name="Note 10 2" xfId="11682" xr:uid="{00000000-0005-0000-0000-00008C490000}"/>
    <cellStyle name="Note 10 2 2" xfId="11683" xr:uid="{00000000-0005-0000-0000-00008D490000}"/>
    <cellStyle name="Note 10 2 2 2" xfId="19689" xr:uid="{00000000-0005-0000-0000-00008E490000}"/>
    <cellStyle name="Note 10 2 3" xfId="11684" xr:uid="{00000000-0005-0000-0000-00008F490000}"/>
    <cellStyle name="Note 10 2 3 2" xfId="19690" xr:uid="{00000000-0005-0000-0000-000090490000}"/>
    <cellStyle name="Note 10 2 4" xfId="19688" xr:uid="{00000000-0005-0000-0000-000091490000}"/>
    <cellStyle name="Note 10 3" xfId="11685" xr:uid="{00000000-0005-0000-0000-000092490000}"/>
    <cellStyle name="Note 10 3 2" xfId="11686" xr:uid="{00000000-0005-0000-0000-000093490000}"/>
    <cellStyle name="Note 10 3 2 2" xfId="19692" xr:uid="{00000000-0005-0000-0000-000094490000}"/>
    <cellStyle name="Note 10 3 3" xfId="11687" xr:uid="{00000000-0005-0000-0000-000095490000}"/>
    <cellStyle name="Note 10 3 3 2" xfId="19693" xr:uid="{00000000-0005-0000-0000-000096490000}"/>
    <cellStyle name="Note 10 3 4" xfId="19691" xr:uid="{00000000-0005-0000-0000-000097490000}"/>
    <cellStyle name="Note 10 4" xfId="11688" xr:uid="{00000000-0005-0000-0000-000098490000}"/>
    <cellStyle name="Note 10 4 2" xfId="11689" xr:uid="{00000000-0005-0000-0000-000099490000}"/>
    <cellStyle name="Note 10 4 2 2" xfId="19695" xr:uid="{00000000-0005-0000-0000-00009A490000}"/>
    <cellStyle name="Note 10 4 3" xfId="19694" xr:uid="{00000000-0005-0000-0000-00009B490000}"/>
    <cellStyle name="Note 10 5" xfId="11690" xr:uid="{00000000-0005-0000-0000-00009C490000}"/>
    <cellStyle name="Note 10 5 2" xfId="19696" xr:uid="{00000000-0005-0000-0000-00009D490000}"/>
    <cellStyle name="Note 10 6" xfId="11691" xr:uid="{00000000-0005-0000-0000-00009E490000}"/>
    <cellStyle name="Note 10 6 2" xfId="19697" xr:uid="{00000000-0005-0000-0000-00009F490000}"/>
    <cellStyle name="Note 10 7" xfId="11692" xr:uid="{00000000-0005-0000-0000-0000A0490000}"/>
    <cellStyle name="Note 10 7 2" xfId="19698" xr:uid="{00000000-0005-0000-0000-0000A1490000}"/>
    <cellStyle name="Note 10 8" xfId="11693" xr:uid="{00000000-0005-0000-0000-0000A2490000}"/>
    <cellStyle name="Note 10 8 2" xfId="19699" xr:uid="{00000000-0005-0000-0000-0000A3490000}"/>
    <cellStyle name="Note 10 9" xfId="11694" xr:uid="{00000000-0005-0000-0000-0000A4490000}"/>
    <cellStyle name="Note 10 9 2" xfId="19700" xr:uid="{00000000-0005-0000-0000-0000A5490000}"/>
    <cellStyle name="Note 11" xfId="11695" xr:uid="{00000000-0005-0000-0000-0000A6490000}"/>
    <cellStyle name="Note 11 10" xfId="11696" xr:uid="{00000000-0005-0000-0000-0000A7490000}"/>
    <cellStyle name="Note 11 10 2" xfId="19702" xr:uid="{00000000-0005-0000-0000-0000A8490000}"/>
    <cellStyle name="Note 11 11" xfId="11697" xr:uid="{00000000-0005-0000-0000-0000A9490000}"/>
    <cellStyle name="Note 11 11 2" xfId="19703" xr:uid="{00000000-0005-0000-0000-0000AA490000}"/>
    <cellStyle name="Note 11 12" xfId="19701" xr:uid="{00000000-0005-0000-0000-0000AB490000}"/>
    <cellStyle name="Note 11 2" xfId="11698" xr:uid="{00000000-0005-0000-0000-0000AC490000}"/>
    <cellStyle name="Note 11 2 2" xfId="11699" xr:uid="{00000000-0005-0000-0000-0000AD490000}"/>
    <cellStyle name="Note 11 2 2 2" xfId="19705" xr:uid="{00000000-0005-0000-0000-0000AE490000}"/>
    <cellStyle name="Note 11 2 3" xfId="11700" xr:uid="{00000000-0005-0000-0000-0000AF490000}"/>
    <cellStyle name="Note 11 2 3 2" xfId="19706" xr:uid="{00000000-0005-0000-0000-0000B0490000}"/>
    <cellStyle name="Note 11 2 4" xfId="19704" xr:uid="{00000000-0005-0000-0000-0000B1490000}"/>
    <cellStyle name="Note 11 3" xfId="11701" xr:uid="{00000000-0005-0000-0000-0000B2490000}"/>
    <cellStyle name="Note 11 3 2" xfId="11702" xr:uid="{00000000-0005-0000-0000-0000B3490000}"/>
    <cellStyle name="Note 11 3 2 2" xfId="19708" xr:uid="{00000000-0005-0000-0000-0000B4490000}"/>
    <cellStyle name="Note 11 3 3" xfId="11703" xr:uid="{00000000-0005-0000-0000-0000B5490000}"/>
    <cellStyle name="Note 11 3 3 2" xfId="19709" xr:uid="{00000000-0005-0000-0000-0000B6490000}"/>
    <cellStyle name="Note 11 3 4" xfId="19707" xr:uid="{00000000-0005-0000-0000-0000B7490000}"/>
    <cellStyle name="Note 11 4" xfId="11704" xr:uid="{00000000-0005-0000-0000-0000B8490000}"/>
    <cellStyle name="Note 11 4 2" xfId="11705" xr:uid="{00000000-0005-0000-0000-0000B9490000}"/>
    <cellStyle name="Note 11 4 2 2" xfId="19711" xr:uid="{00000000-0005-0000-0000-0000BA490000}"/>
    <cellStyle name="Note 11 4 3" xfId="19710" xr:uid="{00000000-0005-0000-0000-0000BB490000}"/>
    <cellStyle name="Note 11 5" xfId="11706" xr:uid="{00000000-0005-0000-0000-0000BC490000}"/>
    <cellStyle name="Note 11 5 2" xfId="19712" xr:uid="{00000000-0005-0000-0000-0000BD490000}"/>
    <cellStyle name="Note 11 6" xfId="11707" xr:uid="{00000000-0005-0000-0000-0000BE490000}"/>
    <cellStyle name="Note 11 6 2" xfId="19713" xr:uid="{00000000-0005-0000-0000-0000BF490000}"/>
    <cellStyle name="Note 11 7" xfId="11708" xr:uid="{00000000-0005-0000-0000-0000C0490000}"/>
    <cellStyle name="Note 11 7 2" xfId="19714" xr:uid="{00000000-0005-0000-0000-0000C1490000}"/>
    <cellStyle name="Note 11 8" xfId="11709" xr:uid="{00000000-0005-0000-0000-0000C2490000}"/>
    <cellStyle name="Note 11 8 2" xfId="19715" xr:uid="{00000000-0005-0000-0000-0000C3490000}"/>
    <cellStyle name="Note 11 9" xfId="11710" xr:uid="{00000000-0005-0000-0000-0000C4490000}"/>
    <cellStyle name="Note 11 9 2" xfId="19716" xr:uid="{00000000-0005-0000-0000-0000C5490000}"/>
    <cellStyle name="Note 12" xfId="11711" xr:uid="{00000000-0005-0000-0000-0000C6490000}"/>
    <cellStyle name="Note 12 10" xfId="11712" xr:uid="{00000000-0005-0000-0000-0000C7490000}"/>
    <cellStyle name="Note 12 10 2" xfId="19718" xr:uid="{00000000-0005-0000-0000-0000C8490000}"/>
    <cellStyle name="Note 12 11" xfId="11713" xr:uid="{00000000-0005-0000-0000-0000C9490000}"/>
    <cellStyle name="Note 12 11 2" xfId="19719" xr:uid="{00000000-0005-0000-0000-0000CA490000}"/>
    <cellStyle name="Note 12 12" xfId="19717" xr:uid="{00000000-0005-0000-0000-0000CB490000}"/>
    <cellStyle name="Note 12 2" xfId="11714" xr:uid="{00000000-0005-0000-0000-0000CC490000}"/>
    <cellStyle name="Note 12 2 2" xfId="11715" xr:uid="{00000000-0005-0000-0000-0000CD490000}"/>
    <cellStyle name="Note 12 2 2 2" xfId="19721" xr:uid="{00000000-0005-0000-0000-0000CE490000}"/>
    <cellStyle name="Note 12 2 3" xfId="11716" xr:uid="{00000000-0005-0000-0000-0000CF490000}"/>
    <cellStyle name="Note 12 2 3 2" xfId="19722" xr:uid="{00000000-0005-0000-0000-0000D0490000}"/>
    <cellStyle name="Note 12 2 4" xfId="19720" xr:uid="{00000000-0005-0000-0000-0000D1490000}"/>
    <cellStyle name="Note 12 3" xfId="11717" xr:uid="{00000000-0005-0000-0000-0000D2490000}"/>
    <cellStyle name="Note 12 3 2" xfId="11718" xr:uid="{00000000-0005-0000-0000-0000D3490000}"/>
    <cellStyle name="Note 12 3 2 2" xfId="19724" xr:uid="{00000000-0005-0000-0000-0000D4490000}"/>
    <cellStyle name="Note 12 3 3" xfId="11719" xr:uid="{00000000-0005-0000-0000-0000D5490000}"/>
    <cellStyle name="Note 12 3 3 2" xfId="19725" xr:uid="{00000000-0005-0000-0000-0000D6490000}"/>
    <cellStyle name="Note 12 3 4" xfId="19723" xr:uid="{00000000-0005-0000-0000-0000D7490000}"/>
    <cellStyle name="Note 12 4" xfId="11720" xr:uid="{00000000-0005-0000-0000-0000D8490000}"/>
    <cellStyle name="Note 12 4 2" xfId="11721" xr:uid="{00000000-0005-0000-0000-0000D9490000}"/>
    <cellStyle name="Note 12 4 2 2" xfId="19727" xr:uid="{00000000-0005-0000-0000-0000DA490000}"/>
    <cellStyle name="Note 12 4 3" xfId="19726" xr:uid="{00000000-0005-0000-0000-0000DB490000}"/>
    <cellStyle name="Note 12 5" xfId="11722" xr:uid="{00000000-0005-0000-0000-0000DC490000}"/>
    <cellStyle name="Note 12 5 2" xfId="19728" xr:uid="{00000000-0005-0000-0000-0000DD490000}"/>
    <cellStyle name="Note 12 6" xfId="11723" xr:uid="{00000000-0005-0000-0000-0000DE490000}"/>
    <cellStyle name="Note 12 6 2" xfId="19729" xr:uid="{00000000-0005-0000-0000-0000DF490000}"/>
    <cellStyle name="Note 12 7" xfId="11724" xr:uid="{00000000-0005-0000-0000-0000E0490000}"/>
    <cellStyle name="Note 12 7 2" xfId="19730" xr:uid="{00000000-0005-0000-0000-0000E1490000}"/>
    <cellStyle name="Note 12 8" xfId="11725" xr:uid="{00000000-0005-0000-0000-0000E2490000}"/>
    <cellStyle name="Note 12 8 2" xfId="19731" xr:uid="{00000000-0005-0000-0000-0000E3490000}"/>
    <cellStyle name="Note 12 9" xfId="11726" xr:uid="{00000000-0005-0000-0000-0000E4490000}"/>
    <cellStyle name="Note 12 9 2" xfId="19732" xr:uid="{00000000-0005-0000-0000-0000E5490000}"/>
    <cellStyle name="Note 13" xfId="11727" xr:uid="{00000000-0005-0000-0000-0000E6490000}"/>
    <cellStyle name="Note 13 10" xfId="11728" xr:uid="{00000000-0005-0000-0000-0000E7490000}"/>
    <cellStyle name="Note 13 10 2" xfId="19734" xr:uid="{00000000-0005-0000-0000-0000E8490000}"/>
    <cellStyle name="Note 13 11" xfId="11729" xr:uid="{00000000-0005-0000-0000-0000E9490000}"/>
    <cellStyle name="Note 13 11 2" xfId="19735" xr:uid="{00000000-0005-0000-0000-0000EA490000}"/>
    <cellStyle name="Note 13 12" xfId="19733" xr:uid="{00000000-0005-0000-0000-0000EB490000}"/>
    <cellStyle name="Note 13 2" xfId="11730" xr:uid="{00000000-0005-0000-0000-0000EC490000}"/>
    <cellStyle name="Note 13 2 2" xfId="11731" xr:uid="{00000000-0005-0000-0000-0000ED490000}"/>
    <cellStyle name="Note 13 2 2 2" xfId="19737" xr:uid="{00000000-0005-0000-0000-0000EE490000}"/>
    <cellStyle name="Note 13 2 3" xfId="11732" xr:uid="{00000000-0005-0000-0000-0000EF490000}"/>
    <cellStyle name="Note 13 2 3 2" xfId="19738" xr:uid="{00000000-0005-0000-0000-0000F0490000}"/>
    <cellStyle name="Note 13 2 4" xfId="19736" xr:uid="{00000000-0005-0000-0000-0000F1490000}"/>
    <cellStyle name="Note 13 3" xfId="11733" xr:uid="{00000000-0005-0000-0000-0000F2490000}"/>
    <cellStyle name="Note 13 3 2" xfId="11734" xr:uid="{00000000-0005-0000-0000-0000F3490000}"/>
    <cellStyle name="Note 13 3 2 2" xfId="19740" xr:uid="{00000000-0005-0000-0000-0000F4490000}"/>
    <cellStyle name="Note 13 3 3" xfId="11735" xr:uid="{00000000-0005-0000-0000-0000F5490000}"/>
    <cellStyle name="Note 13 3 3 2" xfId="19741" xr:uid="{00000000-0005-0000-0000-0000F6490000}"/>
    <cellStyle name="Note 13 3 4" xfId="19739" xr:uid="{00000000-0005-0000-0000-0000F7490000}"/>
    <cellStyle name="Note 13 4" xfId="11736" xr:uid="{00000000-0005-0000-0000-0000F8490000}"/>
    <cellStyle name="Note 13 4 2" xfId="11737" xr:uid="{00000000-0005-0000-0000-0000F9490000}"/>
    <cellStyle name="Note 13 4 2 2" xfId="19743" xr:uid="{00000000-0005-0000-0000-0000FA490000}"/>
    <cellStyle name="Note 13 4 3" xfId="19742" xr:uid="{00000000-0005-0000-0000-0000FB490000}"/>
    <cellStyle name="Note 13 5" xfId="11738" xr:uid="{00000000-0005-0000-0000-0000FC490000}"/>
    <cellStyle name="Note 13 5 2" xfId="19744" xr:uid="{00000000-0005-0000-0000-0000FD490000}"/>
    <cellStyle name="Note 13 6" xfId="11739" xr:uid="{00000000-0005-0000-0000-0000FE490000}"/>
    <cellStyle name="Note 13 6 2" xfId="19745" xr:uid="{00000000-0005-0000-0000-0000FF490000}"/>
    <cellStyle name="Note 13 7" xfId="11740" xr:uid="{00000000-0005-0000-0000-0000004A0000}"/>
    <cellStyle name="Note 13 7 2" xfId="19746" xr:uid="{00000000-0005-0000-0000-0000014A0000}"/>
    <cellStyle name="Note 13 8" xfId="11741" xr:uid="{00000000-0005-0000-0000-0000024A0000}"/>
    <cellStyle name="Note 13 8 2" xfId="19747" xr:uid="{00000000-0005-0000-0000-0000034A0000}"/>
    <cellStyle name="Note 13 9" xfId="11742" xr:uid="{00000000-0005-0000-0000-0000044A0000}"/>
    <cellStyle name="Note 13 9 2" xfId="19748" xr:uid="{00000000-0005-0000-0000-0000054A0000}"/>
    <cellStyle name="Note 14" xfId="11743" xr:uid="{00000000-0005-0000-0000-0000064A0000}"/>
    <cellStyle name="Note 14 10" xfId="11744" xr:uid="{00000000-0005-0000-0000-0000074A0000}"/>
    <cellStyle name="Note 14 10 2" xfId="19750" xr:uid="{00000000-0005-0000-0000-0000084A0000}"/>
    <cellStyle name="Note 14 11" xfId="11745" xr:uid="{00000000-0005-0000-0000-0000094A0000}"/>
    <cellStyle name="Note 14 11 2" xfId="19751" xr:uid="{00000000-0005-0000-0000-00000A4A0000}"/>
    <cellStyle name="Note 14 12" xfId="19749" xr:uid="{00000000-0005-0000-0000-00000B4A0000}"/>
    <cellStyle name="Note 14 2" xfId="11746" xr:uid="{00000000-0005-0000-0000-00000C4A0000}"/>
    <cellStyle name="Note 14 2 2" xfId="11747" xr:uid="{00000000-0005-0000-0000-00000D4A0000}"/>
    <cellStyle name="Note 14 2 2 2" xfId="19753" xr:uid="{00000000-0005-0000-0000-00000E4A0000}"/>
    <cellStyle name="Note 14 2 3" xfId="11748" xr:uid="{00000000-0005-0000-0000-00000F4A0000}"/>
    <cellStyle name="Note 14 2 3 2" xfId="19754" xr:uid="{00000000-0005-0000-0000-0000104A0000}"/>
    <cellStyle name="Note 14 2 4" xfId="19752" xr:uid="{00000000-0005-0000-0000-0000114A0000}"/>
    <cellStyle name="Note 14 3" xfId="11749" xr:uid="{00000000-0005-0000-0000-0000124A0000}"/>
    <cellStyle name="Note 14 3 2" xfId="11750" xr:uid="{00000000-0005-0000-0000-0000134A0000}"/>
    <cellStyle name="Note 14 3 2 2" xfId="19756" xr:uid="{00000000-0005-0000-0000-0000144A0000}"/>
    <cellStyle name="Note 14 3 3" xfId="11751" xr:uid="{00000000-0005-0000-0000-0000154A0000}"/>
    <cellStyle name="Note 14 3 3 2" xfId="19757" xr:uid="{00000000-0005-0000-0000-0000164A0000}"/>
    <cellStyle name="Note 14 3 4" xfId="19755" xr:uid="{00000000-0005-0000-0000-0000174A0000}"/>
    <cellStyle name="Note 14 4" xfId="11752" xr:uid="{00000000-0005-0000-0000-0000184A0000}"/>
    <cellStyle name="Note 14 4 2" xfId="11753" xr:uid="{00000000-0005-0000-0000-0000194A0000}"/>
    <cellStyle name="Note 14 4 2 2" xfId="19759" xr:uid="{00000000-0005-0000-0000-00001A4A0000}"/>
    <cellStyle name="Note 14 4 3" xfId="19758" xr:uid="{00000000-0005-0000-0000-00001B4A0000}"/>
    <cellStyle name="Note 14 5" xfId="11754" xr:uid="{00000000-0005-0000-0000-00001C4A0000}"/>
    <cellStyle name="Note 14 5 2" xfId="19760" xr:uid="{00000000-0005-0000-0000-00001D4A0000}"/>
    <cellStyle name="Note 14 6" xfId="11755" xr:uid="{00000000-0005-0000-0000-00001E4A0000}"/>
    <cellStyle name="Note 14 6 2" xfId="19761" xr:uid="{00000000-0005-0000-0000-00001F4A0000}"/>
    <cellStyle name="Note 14 7" xfId="11756" xr:uid="{00000000-0005-0000-0000-0000204A0000}"/>
    <cellStyle name="Note 14 7 2" xfId="19762" xr:uid="{00000000-0005-0000-0000-0000214A0000}"/>
    <cellStyle name="Note 14 8" xfId="11757" xr:uid="{00000000-0005-0000-0000-0000224A0000}"/>
    <cellStyle name="Note 14 8 2" xfId="19763" xr:uid="{00000000-0005-0000-0000-0000234A0000}"/>
    <cellStyle name="Note 14 9" xfId="11758" xr:uid="{00000000-0005-0000-0000-0000244A0000}"/>
    <cellStyle name="Note 14 9 2" xfId="19764" xr:uid="{00000000-0005-0000-0000-0000254A0000}"/>
    <cellStyle name="Note 15" xfId="11759" xr:uid="{00000000-0005-0000-0000-0000264A0000}"/>
    <cellStyle name="Note 15 10" xfId="11760" xr:uid="{00000000-0005-0000-0000-0000274A0000}"/>
    <cellStyle name="Note 15 10 2" xfId="19766" xr:uid="{00000000-0005-0000-0000-0000284A0000}"/>
    <cellStyle name="Note 15 11" xfId="11761" xr:uid="{00000000-0005-0000-0000-0000294A0000}"/>
    <cellStyle name="Note 15 11 2" xfId="19767" xr:uid="{00000000-0005-0000-0000-00002A4A0000}"/>
    <cellStyle name="Note 15 12" xfId="19765" xr:uid="{00000000-0005-0000-0000-00002B4A0000}"/>
    <cellStyle name="Note 15 2" xfId="11762" xr:uid="{00000000-0005-0000-0000-00002C4A0000}"/>
    <cellStyle name="Note 15 2 2" xfId="11763" xr:uid="{00000000-0005-0000-0000-00002D4A0000}"/>
    <cellStyle name="Note 15 2 2 2" xfId="19769" xr:uid="{00000000-0005-0000-0000-00002E4A0000}"/>
    <cellStyle name="Note 15 2 3" xfId="11764" xr:uid="{00000000-0005-0000-0000-00002F4A0000}"/>
    <cellStyle name="Note 15 2 3 2" xfId="19770" xr:uid="{00000000-0005-0000-0000-0000304A0000}"/>
    <cellStyle name="Note 15 2 4" xfId="19768" xr:uid="{00000000-0005-0000-0000-0000314A0000}"/>
    <cellStyle name="Note 15 3" xfId="11765" xr:uid="{00000000-0005-0000-0000-0000324A0000}"/>
    <cellStyle name="Note 15 3 2" xfId="11766" xr:uid="{00000000-0005-0000-0000-0000334A0000}"/>
    <cellStyle name="Note 15 3 2 2" xfId="19772" xr:uid="{00000000-0005-0000-0000-0000344A0000}"/>
    <cellStyle name="Note 15 3 3" xfId="11767" xr:uid="{00000000-0005-0000-0000-0000354A0000}"/>
    <cellStyle name="Note 15 3 3 2" xfId="19773" xr:uid="{00000000-0005-0000-0000-0000364A0000}"/>
    <cellStyle name="Note 15 3 4" xfId="19771" xr:uid="{00000000-0005-0000-0000-0000374A0000}"/>
    <cellStyle name="Note 15 4" xfId="11768" xr:uid="{00000000-0005-0000-0000-0000384A0000}"/>
    <cellStyle name="Note 15 4 2" xfId="11769" xr:uid="{00000000-0005-0000-0000-0000394A0000}"/>
    <cellStyle name="Note 15 4 2 2" xfId="19775" xr:uid="{00000000-0005-0000-0000-00003A4A0000}"/>
    <cellStyle name="Note 15 4 3" xfId="19774" xr:uid="{00000000-0005-0000-0000-00003B4A0000}"/>
    <cellStyle name="Note 15 5" xfId="11770" xr:uid="{00000000-0005-0000-0000-00003C4A0000}"/>
    <cellStyle name="Note 15 5 2" xfId="19776" xr:uid="{00000000-0005-0000-0000-00003D4A0000}"/>
    <cellStyle name="Note 15 6" xfId="11771" xr:uid="{00000000-0005-0000-0000-00003E4A0000}"/>
    <cellStyle name="Note 15 6 2" xfId="19777" xr:uid="{00000000-0005-0000-0000-00003F4A0000}"/>
    <cellStyle name="Note 15 7" xfId="11772" xr:uid="{00000000-0005-0000-0000-0000404A0000}"/>
    <cellStyle name="Note 15 7 2" xfId="19778" xr:uid="{00000000-0005-0000-0000-0000414A0000}"/>
    <cellStyle name="Note 15 8" xfId="11773" xr:uid="{00000000-0005-0000-0000-0000424A0000}"/>
    <cellStyle name="Note 15 8 2" xfId="19779" xr:uid="{00000000-0005-0000-0000-0000434A0000}"/>
    <cellStyle name="Note 15 9" xfId="11774" xr:uid="{00000000-0005-0000-0000-0000444A0000}"/>
    <cellStyle name="Note 15 9 2" xfId="19780" xr:uid="{00000000-0005-0000-0000-0000454A0000}"/>
    <cellStyle name="Note 16" xfId="11775" xr:uid="{00000000-0005-0000-0000-0000464A0000}"/>
    <cellStyle name="Note 16 10" xfId="11776" xr:uid="{00000000-0005-0000-0000-0000474A0000}"/>
    <cellStyle name="Note 16 10 2" xfId="19782" xr:uid="{00000000-0005-0000-0000-0000484A0000}"/>
    <cellStyle name="Note 16 11" xfId="11777" xr:uid="{00000000-0005-0000-0000-0000494A0000}"/>
    <cellStyle name="Note 16 11 2" xfId="19783" xr:uid="{00000000-0005-0000-0000-00004A4A0000}"/>
    <cellStyle name="Note 16 12" xfId="19781" xr:uid="{00000000-0005-0000-0000-00004B4A0000}"/>
    <cellStyle name="Note 16 2" xfId="11778" xr:uid="{00000000-0005-0000-0000-00004C4A0000}"/>
    <cellStyle name="Note 16 2 2" xfId="11779" xr:uid="{00000000-0005-0000-0000-00004D4A0000}"/>
    <cellStyle name="Note 16 2 2 2" xfId="19785" xr:uid="{00000000-0005-0000-0000-00004E4A0000}"/>
    <cellStyle name="Note 16 2 3" xfId="11780" xr:uid="{00000000-0005-0000-0000-00004F4A0000}"/>
    <cellStyle name="Note 16 2 3 2" xfId="19786" xr:uid="{00000000-0005-0000-0000-0000504A0000}"/>
    <cellStyle name="Note 16 2 4" xfId="19784" xr:uid="{00000000-0005-0000-0000-0000514A0000}"/>
    <cellStyle name="Note 16 3" xfId="11781" xr:uid="{00000000-0005-0000-0000-0000524A0000}"/>
    <cellStyle name="Note 16 3 2" xfId="11782" xr:uid="{00000000-0005-0000-0000-0000534A0000}"/>
    <cellStyle name="Note 16 3 2 2" xfId="19788" xr:uid="{00000000-0005-0000-0000-0000544A0000}"/>
    <cellStyle name="Note 16 3 3" xfId="11783" xr:uid="{00000000-0005-0000-0000-0000554A0000}"/>
    <cellStyle name="Note 16 3 3 2" xfId="19789" xr:uid="{00000000-0005-0000-0000-0000564A0000}"/>
    <cellStyle name="Note 16 3 4" xfId="19787" xr:uid="{00000000-0005-0000-0000-0000574A0000}"/>
    <cellStyle name="Note 16 4" xfId="11784" xr:uid="{00000000-0005-0000-0000-0000584A0000}"/>
    <cellStyle name="Note 16 4 2" xfId="11785" xr:uid="{00000000-0005-0000-0000-0000594A0000}"/>
    <cellStyle name="Note 16 4 2 2" xfId="19791" xr:uid="{00000000-0005-0000-0000-00005A4A0000}"/>
    <cellStyle name="Note 16 4 3" xfId="19790" xr:uid="{00000000-0005-0000-0000-00005B4A0000}"/>
    <cellStyle name="Note 16 5" xfId="11786" xr:uid="{00000000-0005-0000-0000-00005C4A0000}"/>
    <cellStyle name="Note 16 5 2" xfId="19792" xr:uid="{00000000-0005-0000-0000-00005D4A0000}"/>
    <cellStyle name="Note 16 6" xfId="11787" xr:uid="{00000000-0005-0000-0000-00005E4A0000}"/>
    <cellStyle name="Note 16 6 2" xfId="19793" xr:uid="{00000000-0005-0000-0000-00005F4A0000}"/>
    <cellStyle name="Note 16 7" xfId="11788" xr:uid="{00000000-0005-0000-0000-0000604A0000}"/>
    <cellStyle name="Note 16 7 2" xfId="19794" xr:uid="{00000000-0005-0000-0000-0000614A0000}"/>
    <cellStyle name="Note 16 8" xfId="11789" xr:uid="{00000000-0005-0000-0000-0000624A0000}"/>
    <cellStyle name="Note 16 8 2" xfId="19795" xr:uid="{00000000-0005-0000-0000-0000634A0000}"/>
    <cellStyle name="Note 16 9" xfId="11790" xr:uid="{00000000-0005-0000-0000-0000644A0000}"/>
    <cellStyle name="Note 16 9 2" xfId="19796" xr:uid="{00000000-0005-0000-0000-0000654A0000}"/>
    <cellStyle name="Note 17" xfId="11791" xr:uid="{00000000-0005-0000-0000-0000664A0000}"/>
    <cellStyle name="Note 17 10" xfId="11792" xr:uid="{00000000-0005-0000-0000-0000674A0000}"/>
    <cellStyle name="Note 17 10 2" xfId="19798" xr:uid="{00000000-0005-0000-0000-0000684A0000}"/>
    <cellStyle name="Note 17 11" xfId="11793" xr:uid="{00000000-0005-0000-0000-0000694A0000}"/>
    <cellStyle name="Note 17 11 2" xfId="19799" xr:uid="{00000000-0005-0000-0000-00006A4A0000}"/>
    <cellStyle name="Note 17 12" xfId="19797" xr:uid="{00000000-0005-0000-0000-00006B4A0000}"/>
    <cellStyle name="Note 17 2" xfId="11794" xr:uid="{00000000-0005-0000-0000-00006C4A0000}"/>
    <cellStyle name="Note 17 2 2" xfId="11795" xr:uid="{00000000-0005-0000-0000-00006D4A0000}"/>
    <cellStyle name="Note 17 2 2 2" xfId="19801" xr:uid="{00000000-0005-0000-0000-00006E4A0000}"/>
    <cellStyle name="Note 17 2 3" xfId="11796" xr:uid="{00000000-0005-0000-0000-00006F4A0000}"/>
    <cellStyle name="Note 17 2 3 2" xfId="19802" xr:uid="{00000000-0005-0000-0000-0000704A0000}"/>
    <cellStyle name="Note 17 2 4" xfId="19800" xr:uid="{00000000-0005-0000-0000-0000714A0000}"/>
    <cellStyle name="Note 17 3" xfId="11797" xr:uid="{00000000-0005-0000-0000-0000724A0000}"/>
    <cellStyle name="Note 17 3 2" xfId="11798" xr:uid="{00000000-0005-0000-0000-0000734A0000}"/>
    <cellStyle name="Note 17 3 2 2" xfId="19804" xr:uid="{00000000-0005-0000-0000-0000744A0000}"/>
    <cellStyle name="Note 17 3 3" xfId="11799" xr:uid="{00000000-0005-0000-0000-0000754A0000}"/>
    <cellStyle name="Note 17 3 3 2" xfId="19805" xr:uid="{00000000-0005-0000-0000-0000764A0000}"/>
    <cellStyle name="Note 17 3 4" xfId="19803" xr:uid="{00000000-0005-0000-0000-0000774A0000}"/>
    <cellStyle name="Note 17 4" xfId="11800" xr:uid="{00000000-0005-0000-0000-0000784A0000}"/>
    <cellStyle name="Note 17 4 2" xfId="11801" xr:uid="{00000000-0005-0000-0000-0000794A0000}"/>
    <cellStyle name="Note 17 4 2 2" xfId="19807" xr:uid="{00000000-0005-0000-0000-00007A4A0000}"/>
    <cellStyle name="Note 17 4 3" xfId="19806" xr:uid="{00000000-0005-0000-0000-00007B4A0000}"/>
    <cellStyle name="Note 17 5" xfId="11802" xr:uid="{00000000-0005-0000-0000-00007C4A0000}"/>
    <cellStyle name="Note 17 5 2" xfId="19808" xr:uid="{00000000-0005-0000-0000-00007D4A0000}"/>
    <cellStyle name="Note 17 6" xfId="11803" xr:uid="{00000000-0005-0000-0000-00007E4A0000}"/>
    <cellStyle name="Note 17 6 2" xfId="19809" xr:uid="{00000000-0005-0000-0000-00007F4A0000}"/>
    <cellStyle name="Note 17 7" xfId="11804" xr:uid="{00000000-0005-0000-0000-0000804A0000}"/>
    <cellStyle name="Note 17 7 2" xfId="19810" xr:uid="{00000000-0005-0000-0000-0000814A0000}"/>
    <cellStyle name="Note 17 8" xfId="11805" xr:uid="{00000000-0005-0000-0000-0000824A0000}"/>
    <cellStyle name="Note 17 8 2" xfId="19811" xr:uid="{00000000-0005-0000-0000-0000834A0000}"/>
    <cellStyle name="Note 17 9" xfId="11806" xr:uid="{00000000-0005-0000-0000-0000844A0000}"/>
    <cellStyle name="Note 17 9 2" xfId="19812" xr:uid="{00000000-0005-0000-0000-0000854A0000}"/>
    <cellStyle name="Note 18" xfId="11807" xr:uid="{00000000-0005-0000-0000-0000864A0000}"/>
    <cellStyle name="Note 18 10" xfId="19813" xr:uid="{00000000-0005-0000-0000-0000874A0000}"/>
    <cellStyle name="Note 18 2" xfId="11808" xr:uid="{00000000-0005-0000-0000-0000884A0000}"/>
    <cellStyle name="Note 18 2 2" xfId="11809" xr:uid="{00000000-0005-0000-0000-0000894A0000}"/>
    <cellStyle name="Note 18 2 2 2" xfId="19815" xr:uid="{00000000-0005-0000-0000-00008A4A0000}"/>
    <cellStyle name="Note 18 2 3" xfId="19814" xr:uid="{00000000-0005-0000-0000-00008B4A0000}"/>
    <cellStyle name="Note 18 3" xfId="11810" xr:uid="{00000000-0005-0000-0000-00008C4A0000}"/>
    <cellStyle name="Note 18 3 2" xfId="19816" xr:uid="{00000000-0005-0000-0000-00008D4A0000}"/>
    <cellStyle name="Note 18 4" xfId="11811" xr:uid="{00000000-0005-0000-0000-00008E4A0000}"/>
    <cellStyle name="Note 18 4 2" xfId="19817" xr:uid="{00000000-0005-0000-0000-00008F4A0000}"/>
    <cellStyle name="Note 18 5" xfId="11812" xr:uid="{00000000-0005-0000-0000-0000904A0000}"/>
    <cellStyle name="Note 18 5 2" xfId="19818" xr:uid="{00000000-0005-0000-0000-0000914A0000}"/>
    <cellStyle name="Note 18 6" xfId="11813" xr:uid="{00000000-0005-0000-0000-0000924A0000}"/>
    <cellStyle name="Note 18 6 2" xfId="19819" xr:uid="{00000000-0005-0000-0000-0000934A0000}"/>
    <cellStyle name="Note 18 7" xfId="11814" xr:uid="{00000000-0005-0000-0000-0000944A0000}"/>
    <cellStyle name="Note 18 7 2" xfId="19820" xr:uid="{00000000-0005-0000-0000-0000954A0000}"/>
    <cellStyle name="Note 18 8" xfId="11815" xr:uid="{00000000-0005-0000-0000-0000964A0000}"/>
    <cellStyle name="Note 18 8 2" xfId="19821" xr:uid="{00000000-0005-0000-0000-0000974A0000}"/>
    <cellStyle name="Note 18 9" xfId="11816" xr:uid="{00000000-0005-0000-0000-0000984A0000}"/>
    <cellStyle name="Note 18 9 2" xfId="19822" xr:uid="{00000000-0005-0000-0000-0000994A0000}"/>
    <cellStyle name="Note 19" xfId="11817" xr:uid="{00000000-0005-0000-0000-00009A4A0000}"/>
    <cellStyle name="Note 19 10" xfId="19823" xr:uid="{00000000-0005-0000-0000-00009B4A0000}"/>
    <cellStyle name="Note 19 2" xfId="11818" xr:uid="{00000000-0005-0000-0000-00009C4A0000}"/>
    <cellStyle name="Note 19 2 2" xfId="11819" xr:uid="{00000000-0005-0000-0000-00009D4A0000}"/>
    <cellStyle name="Note 19 2 2 2" xfId="19825" xr:uid="{00000000-0005-0000-0000-00009E4A0000}"/>
    <cellStyle name="Note 19 2 3" xfId="19824" xr:uid="{00000000-0005-0000-0000-00009F4A0000}"/>
    <cellStyle name="Note 19 3" xfId="11820" xr:uid="{00000000-0005-0000-0000-0000A04A0000}"/>
    <cellStyle name="Note 19 3 2" xfId="19826" xr:uid="{00000000-0005-0000-0000-0000A14A0000}"/>
    <cellStyle name="Note 19 4" xfId="11821" xr:uid="{00000000-0005-0000-0000-0000A24A0000}"/>
    <cellStyle name="Note 19 4 2" xfId="19827" xr:uid="{00000000-0005-0000-0000-0000A34A0000}"/>
    <cellStyle name="Note 19 5" xfId="11822" xr:uid="{00000000-0005-0000-0000-0000A44A0000}"/>
    <cellStyle name="Note 19 5 2" xfId="19828" xr:uid="{00000000-0005-0000-0000-0000A54A0000}"/>
    <cellStyle name="Note 19 6" xfId="11823" xr:uid="{00000000-0005-0000-0000-0000A64A0000}"/>
    <cellStyle name="Note 19 6 2" xfId="19829" xr:uid="{00000000-0005-0000-0000-0000A74A0000}"/>
    <cellStyle name="Note 19 7" xfId="11824" xr:uid="{00000000-0005-0000-0000-0000A84A0000}"/>
    <cellStyle name="Note 19 7 2" xfId="19830" xr:uid="{00000000-0005-0000-0000-0000A94A0000}"/>
    <cellStyle name="Note 19 8" xfId="11825" xr:uid="{00000000-0005-0000-0000-0000AA4A0000}"/>
    <cellStyle name="Note 19 8 2" xfId="19831" xr:uid="{00000000-0005-0000-0000-0000AB4A0000}"/>
    <cellStyle name="Note 19 9" xfId="11826" xr:uid="{00000000-0005-0000-0000-0000AC4A0000}"/>
    <cellStyle name="Note 19 9 2" xfId="19832" xr:uid="{00000000-0005-0000-0000-0000AD4A0000}"/>
    <cellStyle name="Note 2" xfId="11827" xr:uid="{00000000-0005-0000-0000-0000AE4A0000}"/>
    <cellStyle name="Note 2 10" xfId="11828" xr:uid="{00000000-0005-0000-0000-0000AF4A0000}"/>
    <cellStyle name="Note 2 10 2" xfId="11829" xr:uid="{00000000-0005-0000-0000-0000B04A0000}"/>
    <cellStyle name="Note 2 10 2 2" xfId="19835" xr:uid="{00000000-0005-0000-0000-0000B14A0000}"/>
    <cellStyle name="Note 2 10 3" xfId="11830" xr:uid="{00000000-0005-0000-0000-0000B24A0000}"/>
    <cellStyle name="Note 2 10 3 2" xfId="19836" xr:uid="{00000000-0005-0000-0000-0000B34A0000}"/>
    <cellStyle name="Note 2 10 4" xfId="19834" xr:uid="{00000000-0005-0000-0000-0000B44A0000}"/>
    <cellStyle name="Note 2 11" xfId="11831" xr:uid="{00000000-0005-0000-0000-0000B54A0000}"/>
    <cellStyle name="Note 2 11 2" xfId="11832" xr:uid="{00000000-0005-0000-0000-0000B64A0000}"/>
    <cellStyle name="Note 2 11 2 2" xfId="19838" xr:uid="{00000000-0005-0000-0000-0000B74A0000}"/>
    <cellStyle name="Note 2 11 3" xfId="11833" xr:uid="{00000000-0005-0000-0000-0000B84A0000}"/>
    <cellStyle name="Note 2 11 3 2" xfId="19839" xr:uid="{00000000-0005-0000-0000-0000B94A0000}"/>
    <cellStyle name="Note 2 11 4" xfId="19837" xr:uid="{00000000-0005-0000-0000-0000BA4A0000}"/>
    <cellStyle name="Note 2 12" xfId="11834" xr:uid="{00000000-0005-0000-0000-0000BB4A0000}"/>
    <cellStyle name="Note 2 12 2" xfId="11835" xr:uid="{00000000-0005-0000-0000-0000BC4A0000}"/>
    <cellStyle name="Note 2 12 2 2" xfId="19841" xr:uid="{00000000-0005-0000-0000-0000BD4A0000}"/>
    <cellStyle name="Note 2 12 3" xfId="19840" xr:uid="{00000000-0005-0000-0000-0000BE4A0000}"/>
    <cellStyle name="Note 2 13" xfId="11836" xr:uid="{00000000-0005-0000-0000-0000BF4A0000}"/>
    <cellStyle name="Note 2 13 2" xfId="19842" xr:uid="{00000000-0005-0000-0000-0000C04A0000}"/>
    <cellStyle name="Note 2 14" xfId="11837" xr:uid="{00000000-0005-0000-0000-0000C14A0000}"/>
    <cellStyle name="Note 2 14 2" xfId="19843" xr:uid="{00000000-0005-0000-0000-0000C24A0000}"/>
    <cellStyle name="Note 2 15" xfId="11838" xr:uid="{00000000-0005-0000-0000-0000C34A0000}"/>
    <cellStyle name="Note 2 15 2" xfId="19844" xr:uid="{00000000-0005-0000-0000-0000C44A0000}"/>
    <cellStyle name="Note 2 16" xfId="11839" xr:uid="{00000000-0005-0000-0000-0000C54A0000}"/>
    <cellStyle name="Note 2 16 2" xfId="19845" xr:uid="{00000000-0005-0000-0000-0000C64A0000}"/>
    <cellStyle name="Note 2 17" xfId="19833" xr:uid="{00000000-0005-0000-0000-0000C74A0000}"/>
    <cellStyle name="Note 2 18" xfId="21752" xr:uid="{00000000-0005-0000-0000-0000C84A0000}"/>
    <cellStyle name="Note 2 18 2" xfId="21818" xr:uid="{00000000-0005-0000-0000-0000C94A0000}"/>
    <cellStyle name="Note 2 18 2 2" xfId="21907" xr:uid="{00000000-0005-0000-0000-0000CA4A0000}"/>
    <cellStyle name="Note 2 18 3" xfId="21785" xr:uid="{00000000-0005-0000-0000-0000CB4A0000}"/>
    <cellStyle name="Note 2 19" xfId="22183" xr:uid="{00000000-0005-0000-0000-0000CC4A0000}"/>
    <cellStyle name="Note 2 2" xfId="11840" xr:uid="{00000000-0005-0000-0000-0000CD4A0000}"/>
    <cellStyle name="Note 2 2 2" xfId="11841" xr:uid="{00000000-0005-0000-0000-0000CE4A0000}"/>
    <cellStyle name="Note 2 2 2 2" xfId="19847" xr:uid="{00000000-0005-0000-0000-0000CF4A0000}"/>
    <cellStyle name="Note 2 2 2 2 2" xfId="23053" xr:uid="{00000000-0005-0000-0000-0000D04A0000}"/>
    <cellStyle name="Note 2 2 2 2 2 2" xfId="26603" xr:uid="{00000000-0005-0000-0000-0000F3040000}"/>
    <cellStyle name="Note 2 2 2 2 2 3" xfId="27122" xr:uid="{00000000-0005-0000-0000-0000F3040000}"/>
    <cellStyle name="Note 2 2 2 2 2 4" xfId="24348" xr:uid="{00000000-0005-0000-0000-0000F3040000}"/>
    <cellStyle name="Note 2 2 2 2 3" xfId="23465" xr:uid="{00000000-0005-0000-0000-0000D14A0000}"/>
    <cellStyle name="Note 2 2 2 2 4" xfId="26963" xr:uid="{00000000-0005-0000-0000-0000F3040000}"/>
    <cellStyle name="Note 2 2 2 3" xfId="23221" xr:uid="{00000000-0005-0000-0000-0000D24A0000}"/>
    <cellStyle name="Note 2 2 2 3 2" xfId="23525" xr:uid="{00000000-0005-0000-0000-0000D34A0000}"/>
    <cellStyle name="Note 2 2 2 3 2 2" xfId="26741" xr:uid="{00000000-0005-0000-0000-0000F4040000}"/>
    <cellStyle name="Note 2 2 2 3 2 3" xfId="27150" xr:uid="{00000000-0005-0000-0000-0000F4040000}"/>
    <cellStyle name="Note 2 2 2 3 2 4" xfId="24483" xr:uid="{00000000-0005-0000-0000-0000F4040000}"/>
    <cellStyle name="Note 2 2 2 3 3" xfId="25633" xr:uid="{00000000-0005-0000-0000-0000F4040000}"/>
    <cellStyle name="Note 2 2 2 3 4" xfId="27023" xr:uid="{00000000-0005-0000-0000-0000F4040000}"/>
    <cellStyle name="Note 2 2 2 4" xfId="22527" xr:uid="{00000000-0005-0000-0000-0000D44A0000}"/>
    <cellStyle name="Note 2 2 2 4 2" xfId="26087" xr:uid="{00000000-0005-0000-0000-0000F2040000}"/>
    <cellStyle name="Note 2 2 2 4 3" xfId="27058" xr:uid="{00000000-0005-0000-0000-0000F2040000}"/>
    <cellStyle name="Note 2 2 2 4 4" xfId="23860" xr:uid="{00000000-0005-0000-0000-0000F2040000}"/>
    <cellStyle name="Note 2 2 2 5" xfId="23385" xr:uid="{00000000-0005-0000-0000-0000D54A0000}"/>
    <cellStyle name="Note 2 2 2 6" xfId="26883" xr:uid="{00000000-0005-0000-0000-0000F2040000}"/>
    <cellStyle name="Note 2 2 3" xfId="11842" xr:uid="{00000000-0005-0000-0000-0000D64A0000}"/>
    <cellStyle name="Note 2 2 3 2" xfId="19848" xr:uid="{00000000-0005-0000-0000-0000D74A0000}"/>
    <cellStyle name="Note 2 2 3 2 2" xfId="26338" xr:uid="{00000000-0005-0000-0000-0000F5040000}"/>
    <cellStyle name="Note 2 2 3 2 3" xfId="27082" xr:uid="{00000000-0005-0000-0000-0000F5040000}"/>
    <cellStyle name="Note 2 2 3 2 4" xfId="24100" xr:uid="{00000000-0005-0000-0000-0000F5040000}"/>
    <cellStyle name="Note 2 2 3 3" xfId="22789" xr:uid="{00000000-0005-0000-0000-0000D84A0000}"/>
    <cellStyle name="Note 2 2 3 3 2" xfId="25209" xr:uid="{00000000-0005-0000-0000-0000F5040000}"/>
    <cellStyle name="Note 2 2 3 4" xfId="23425" xr:uid="{00000000-0005-0000-0000-0000D94A0000}"/>
    <cellStyle name="Note 2 2 3 4 2" xfId="26923" xr:uid="{00000000-0005-0000-0000-0000F5040000}"/>
    <cellStyle name="Note 2 2 4" xfId="19846" xr:uid="{00000000-0005-0000-0000-0000DA4A0000}"/>
    <cellStyle name="Note 2 2 4 2" xfId="23182" xr:uid="{00000000-0005-0000-0000-0000DB4A0000}"/>
    <cellStyle name="Note 2 2 4 2 2" xfId="26733" xr:uid="{00000000-0005-0000-0000-0000F6040000}"/>
    <cellStyle name="Note 2 2 4 2 3" xfId="27142" xr:uid="{00000000-0005-0000-0000-0000F6040000}"/>
    <cellStyle name="Note 2 2 4 2 4" xfId="24475" xr:uid="{00000000-0005-0000-0000-0000F6040000}"/>
    <cellStyle name="Note 2 2 4 3" xfId="23485" xr:uid="{00000000-0005-0000-0000-0000DC4A0000}"/>
    <cellStyle name="Note 2 2 4 4" xfId="26983" xr:uid="{00000000-0005-0000-0000-0000F6040000}"/>
    <cellStyle name="Note 2 2 5" xfId="22271" xr:uid="{00000000-0005-0000-0000-0000DD4A0000}"/>
    <cellStyle name="Note 2 2 5 2" xfId="25854" xr:uid="{00000000-0005-0000-0000-0000F1040000}"/>
    <cellStyle name="Note 2 2 5 3" xfId="27050" xr:uid="{00000000-0005-0000-0000-0000F1040000}"/>
    <cellStyle name="Note 2 2 5 4" xfId="23647" xr:uid="{00000000-0005-0000-0000-0000F1040000}"/>
    <cellStyle name="Note 2 2 6" xfId="23345" xr:uid="{00000000-0005-0000-0000-0000DE4A0000}"/>
    <cellStyle name="Note 2 2 7" xfId="26843" xr:uid="{00000000-0005-0000-0000-0000F1040000}"/>
    <cellStyle name="Note 2 20" xfId="23331" xr:uid="{00000000-0005-0000-0000-0000DF4A0000}"/>
    <cellStyle name="Note 2 3" xfId="11843" xr:uid="{00000000-0005-0000-0000-0000E04A0000}"/>
    <cellStyle name="Note 2 3 2" xfId="11844" xr:uid="{00000000-0005-0000-0000-0000E14A0000}"/>
    <cellStyle name="Note 2 3 2 2" xfId="19850" xr:uid="{00000000-0005-0000-0000-0000E24A0000}"/>
    <cellStyle name="Note 2 3 2 2 2" xfId="26520" xr:uid="{00000000-0005-0000-0000-0000F8040000}"/>
    <cellStyle name="Note 2 3 2 2 3" xfId="27109" xr:uid="{00000000-0005-0000-0000-0000F8040000}"/>
    <cellStyle name="Note 2 3 2 2 4" xfId="24268" xr:uid="{00000000-0005-0000-0000-0000F8040000}"/>
    <cellStyle name="Note 2 3 2 3" xfId="22971" xr:uid="{00000000-0005-0000-0000-0000E34A0000}"/>
    <cellStyle name="Note 2 3 2 3 2" xfId="25388" xr:uid="{00000000-0005-0000-0000-0000F8040000}"/>
    <cellStyle name="Note 2 3 2 4" xfId="23452" xr:uid="{00000000-0005-0000-0000-0000E44A0000}"/>
    <cellStyle name="Note 2 3 2 4 2" xfId="26950" xr:uid="{00000000-0005-0000-0000-0000F8040000}"/>
    <cellStyle name="Note 2 3 3" xfId="11845" xr:uid="{00000000-0005-0000-0000-0000E54A0000}"/>
    <cellStyle name="Note 2 3 3 2" xfId="19851" xr:uid="{00000000-0005-0000-0000-0000E64A0000}"/>
    <cellStyle name="Note 2 3 3 2 2" xfId="26736" xr:uid="{00000000-0005-0000-0000-0000F9040000}"/>
    <cellStyle name="Note 2 3 3 2 3" xfId="27145" xr:uid="{00000000-0005-0000-0000-0000F9040000}"/>
    <cellStyle name="Note 2 3 3 2 4" xfId="24478" xr:uid="{00000000-0005-0000-0000-0000F9040000}"/>
    <cellStyle name="Note 2 3 3 3" xfId="23208" xr:uid="{00000000-0005-0000-0000-0000E74A0000}"/>
    <cellStyle name="Note 2 3 3 3 2" xfId="25620" xr:uid="{00000000-0005-0000-0000-0000F9040000}"/>
    <cellStyle name="Note 2 3 3 4" xfId="23512" xr:uid="{00000000-0005-0000-0000-0000E84A0000}"/>
    <cellStyle name="Note 2 3 3 4 2" xfId="27010" xr:uid="{00000000-0005-0000-0000-0000F9040000}"/>
    <cellStyle name="Note 2 3 4" xfId="19849" xr:uid="{00000000-0005-0000-0000-0000E94A0000}"/>
    <cellStyle name="Note 2 3 4 2" xfId="26012" xr:uid="{00000000-0005-0000-0000-0000F7040000}"/>
    <cellStyle name="Note 2 3 4 3" xfId="27053" xr:uid="{00000000-0005-0000-0000-0000F7040000}"/>
    <cellStyle name="Note 2 3 4 4" xfId="23790" xr:uid="{00000000-0005-0000-0000-0000F7040000}"/>
    <cellStyle name="Note 2 3 5" xfId="22445" xr:uid="{00000000-0005-0000-0000-0000EA4A0000}"/>
    <cellStyle name="Note 2 3 5 2" xfId="24865" xr:uid="{00000000-0005-0000-0000-0000F7040000}"/>
    <cellStyle name="Note 2 3 6" xfId="23372" xr:uid="{00000000-0005-0000-0000-0000EB4A0000}"/>
    <cellStyle name="Note 2 3 6 2" xfId="26870" xr:uid="{00000000-0005-0000-0000-0000F7040000}"/>
    <cellStyle name="Note 2 4" xfId="11846" xr:uid="{00000000-0005-0000-0000-0000EC4A0000}"/>
    <cellStyle name="Note 2 4 2" xfId="11847" xr:uid="{00000000-0005-0000-0000-0000ED4A0000}"/>
    <cellStyle name="Note 2 4 2 2" xfId="19853" xr:uid="{00000000-0005-0000-0000-0000EE4A0000}"/>
    <cellStyle name="Note 2 4 2 2 2" xfId="26255" xr:uid="{00000000-0005-0000-0000-0000FA040000}"/>
    <cellStyle name="Note 2 4 2 3" xfId="27069" xr:uid="{00000000-0005-0000-0000-0000FA040000}"/>
    <cellStyle name="Note 2 4 2 4" xfId="24019" xr:uid="{00000000-0005-0000-0000-0000FA040000}"/>
    <cellStyle name="Note 2 4 3" xfId="11848" xr:uid="{00000000-0005-0000-0000-0000EF4A0000}"/>
    <cellStyle name="Note 2 4 3 2" xfId="19854" xr:uid="{00000000-0005-0000-0000-0000F04A0000}"/>
    <cellStyle name="Note 2 4 3 3" xfId="25126" xr:uid="{00000000-0005-0000-0000-0000FA040000}"/>
    <cellStyle name="Note 2 4 4" xfId="19852" xr:uid="{00000000-0005-0000-0000-0000F14A0000}"/>
    <cellStyle name="Note 2 4 4 2" xfId="26910" xr:uid="{00000000-0005-0000-0000-0000FA040000}"/>
    <cellStyle name="Note 2 4 5" xfId="22707" xr:uid="{00000000-0005-0000-0000-0000F24A0000}"/>
    <cellStyle name="Note 2 4 6" xfId="23412" xr:uid="{00000000-0005-0000-0000-0000F34A0000}"/>
    <cellStyle name="Note 2 5" xfId="11849" xr:uid="{00000000-0005-0000-0000-0000F44A0000}"/>
    <cellStyle name="Note 2 5 2" xfId="11850" xr:uid="{00000000-0005-0000-0000-0000F54A0000}"/>
    <cellStyle name="Note 2 5 2 2" xfId="19856" xr:uid="{00000000-0005-0000-0000-0000F64A0000}"/>
    <cellStyle name="Note 2 5 2 3" xfId="25779" xr:uid="{00000000-0005-0000-0000-0000F0040000}"/>
    <cellStyle name="Note 2 5 3" xfId="11851" xr:uid="{00000000-0005-0000-0000-0000F74A0000}"/>
    <cellStyle name="Note 2 5 3 2" xfId="19857" xr:uid="{00000000-0005-0000-0000-0000F84A0000}"/>
    <cellStyle name="Note 2 5 3 3" xfId="27045" xr:uid="{00000000-0005-0000-0000-0000F0040000}"/>
    <cellStyle name="Note 2 5 4" xfId="19855" xr:uid="{00000000-0005-0000-0000-0000F94A0000}"/>
    <cellStyle name="Note 2 5 5" xfId="23586" xr:uid="{00000000-0005-0000-0000-0000F0040000}"/>
    <cellStyle name="Note 2 6" xfId="11852" xr:uid="{00000000-0005-0000-0000-0000FA4A0000}"/>
    <cellStyle name="Note 2 6 2" xfId="11853" xr:uid="{00000000-0005-0000-0000-0000FB4A0000}"/>
    <cellStyle name="Note 2 6 2 2" xfId="19859" xr:uid="{00000000-0005-0000-0000-0000FC4A0000}"/>
    <cellStyle name="Note 2 6 3" xfId="11854" xr:uid="{00000000-0005-0000-0000-0000FD4A0000}"/>
    <cellStyle name="Note 2 6 3 2" xfId="19860" xr:uid="{00000000-0005-0000-0000-0000FE4A0000}"/>
    <cellStyle name="Note 2 6 4" xfId="19858" xr:uid="{00000000-0005-0000-0000-0000FF4A0000}"/>
    <cellStyle name="Note 2 6 5" xfId="24604" xr:uid="{00000000-0005-0000-0000-0000F0040000}"/>
    <cellStyle name="Note 2 7" xfId="11855" xr:uid="{00000000-0005-0000-0000-0000004B0000}"/>
    <cellStyle name="Note 2 7 2" xfId="11856" xr:uid="{00000000-0005-0000-0000-0000014B0000}"/>
    <cellStyle name="Note 2 7 2 2" xfId="19862" xr:uid="{00000000-0005-0000-0000-0000024B0000}"/>
    <cellStyle name="Note 2 7 3" xfId="11857" xr:uid="{00000000-0005-0000-0000-0000034B0000}"/>
    <cellStyle name="Note 2 7 3 2" xfId="19863" xr:uid="{00000000-0005-0000-0000-0000044B0000}"/>
    <cellStyle name="Note 2 7 4" xfId="19861" xr:uid="{00000000-0005-0000-0000-0000054B0000}"/>
    <cellStyle name="Note 2 7 5" xfId="26830" xr:uid="{00000000-0005-0000-0000-0000F0040000}"/>
    <cellStyle name="Note 2 8" xfId="11858" xr:uid="{00000000-0005-0000-0000-0000064B0000}"/>
    <cellStyle name="Note 2 8 2" xfId="11859" xr:uid="{00000000-0005-0000-0000-0000074B0000}"/>
    <cellStyle name="Note 2 8 2 2" xfId="19865" xr:uid="{00000000-0005-0000-0000-0000084B0000}"/>
    <cellStyle name="Note 2 8 3" xfId="11860" xr:uid="{00000000-0005-0000-0000-0000094B0000}"/>
    <cellStyle name="Note 2 8 3 2" xfId="19866" xr:uid="{00000000-0005-0000-0000-00000A4B0000}"/>
    <cellStyle name="Note 2 8 4" xfId="19864" xr:uid="{00000000-0005-0000-0000-00000B4B0000}"/>
    <cellStyle name="Note 2 9" xfId="11861" xr:uid="{00000000-0005-0000-0000-00000C4B0000}"/>
    <cellStyle name="Note 2 9 2" xfId="11862" xr:uid="{00000000-0005-0000-0000-00000D4B0000}"/>
    <cellStyle name="Note 2 9 2 2" xfId="19868" xr:uid="{00000000-0005-0000-0000-00000E4B0000}"/>
    <cellStyle name="Note 2 9 3" xfId="11863" xr:uid="{00000000-0005-0000-0000-00000F4B0000}"/>
    <cellStyle name="Note 2 9 3 2" xfId="19869" xr:uid="{00000000-0005-0000-0000-0000104B0000}"/>
    <cellStyle name="Note 2 9 4" xfId="19867" xr:uid="{00000000-0005-0000-0000-0000114B0000}"/>
    <cellStyle name="Note 20" xfId="11864" xr:uid="{00000000-0005-0000-0000-0000124B0000}"/>
    <cellStyle name="Note 20 10" xfId="19870" xr:uid="{00000000-0005-0000-0000-0000134B0000}"/>
    <cellStyle name="Note 20 2" xfId="11865" xr:uid="{00000000-0005-0000-0000-0000144B0000}"/>
    <cellStyle name="Note 20 2 2" xfId="11866" xr:uid="{00000000-0005-0000-0000-0000154B0000}"/>
    <cellStyle name="Note 20 2 2 2" xfId="19872" xr:uid="{00000000-0005-0000-0000-0000164B0000}"/>
    <cellStyle name="Note 20 2 3" xfId="19871" xr:uid="{00000000-0005-0000-0000-0000174B0000}"/>
    <cellStyle name="Note 20 3" xfId="11867" xr:uid="{00000000-0005-0000-0000-0000184B0000}"/>
    <cellStyle name="Note 20 3 2" xfId="19873" xr:uid="{00000000-0005-0000-0000-0000194B0000}"/>
    <cellStyle name="Note 20 4" xfId="11868" xr:uid="{00000000-0005-0000-0000-00001A4B0000}"/>
    <cellStyle name="Note 20 4 2" xfId="19874" xr:uid="{00000000-0005-0000-0000-00001B4B0000}"/>
    <cellStyle name="Note 20 5" xfId="11869" xr:uid="{00000000-0005-0000-0000-00001C4B0000}"/>
    <cellStyle name="Note 20 5 2" xfId="19875" xr:uid="{00000000-0005-0000-0000-00001D4B0000}"/>
    <cellStyle name="Note 20 6" xfId="11870" xr:uid="{00000000-0005-0000-0000-00001E4B0000}"/>
    <cellStyle name="Note 20 6 2" xfId="19876" xr:uid="{00000000-0005-0000-0000-00001F4B0000}"/>
    <cellStyle name="Note 20 7" xfId="11871" xr:uid="{00000000-0005-0000-0000-0000204B0000}"/>
    <cellStyle name="Note 20 7 2" xfId="19877" xr:uid="{00000000-0005-0000-0000-0000214B0000}"/>
    <cellStyle name="Note 20 8" xfId="11872" xr:uid="{00000000-0005-0000-0000-0000224B0000}"/>
    <cellStyle name="Note 20 8 2" xfId="19878" xr:uid="{00000000-0005-0000-0000-0000234B0000}"/>
    <cellStyle name="Note 20 9" xfId="11873" xr:uid="{00000000-0005-0000-0000-0000244B0000}"/>
    <cellStyle name="Note 20 9 2" xfId="19879" xr:uid="{00000000-0005-0000-0000-0000254B0000}"/>
    <cellStyle name="Note 21" xfId="11874" xr:uid="{00000000-0005-0000-0000-0000264B0000}"/>
    <cellStyle name="Note 21 10" xfId="19880" xr:uid="{00000000-0005-0000-0000-0000274B0000}"/>
    <cellStyle name="Note 21 2" xfId="11875" xr:uid="{00000000-0005-0000-0000-0000284B0000}"/>
    <cellStyle name="Note 21 2 2" xfId="11876" xr:uid="{00000000-0005-0000-0000-0000294B0000}"/>
    <cellStyle name="Note 21 2 2 2" xfId="19882" xr:uid="{00000000-0005-0000-0000-00002A4B0000}"/>
    <cellStyle name="Note 21 2 3" xfId="19881" xr:uid="{00000000-0005-0000-0000-00002B4B0000}"/>
    <cellStyle name="Note 21 3" xfId="11877" xr:uid="{00000000-0005-0000-0000-00002C4B0000}"/>
    <cellStyle name="Note 21 3 2" xfId="19883" xr:uid="{00000000-0005-0000-0000-00002D4B0000}"/>
    <cellStyle name="Note 21 4" xfId="11878" xr:uid="{00000000-0005-0000-0000-00002E4B0000}"/>
    <cellStyle name="Note 21 4 2" xfId="19884" xr:uid="{00000000-0005-0000-0000-00002F4B0000}"/>
    <cellStyle name="Note 21 5" xfId="11879" xr:uid="{00000000-0005-0000-0000-0000304B0000}"/>
    <cellStyle name="Note 21 5 2" xfId="19885" xr:uid="{00000000-0005-0000-0000-0000314B0000}"/>
    <cellStyle name="Note 21 6" xfId="11880" xr:uid="{00000000-0005-0000-0000-0000324B0000}"/>
    <cellStyle name="Note 21 6 2" xfId="19886" xr:uid="{00000000-0005-0000-0000-0000334B0000}"/>
    <cellStyle name="Note 21 7" xfId="11881" xr:uid="{00000000-0005-0000-0000-0000344B0000}"/>
    <cellStyle name="Note 21 7 2" xfId="19887" xr:uid="{00000000-0005-0000-0000-0000354B0000}"/>
    <cellStyle name="Note 21 8" xfId="11882" xr:uid="{00000000-0005-0000-0000-0000364B0000}"/>
    <cellStyle name="Note 21 8 2" xfId="19888" xr:uid="{00000000-0005-0000-0000-0000374B0000}"/>
    <cellStyle name="Note 21 9" xfId="11883" xr:uid="{00000000-0005-0000-0000-0000384B0000}"/>
    <cellStyle name="Note 21 9 2" xfId="19889" xr:uid="{00000000-0005-0000-0000-0000394B0000}"/>
    <cellStyle name="Note 22" xfId="11884" xr:uid="{00000000-0005-0000-0000-00003A4B0000}"/>
    <cellStyle name="Note 22 10" xfId="19890" xr:uid="{00000000-0005-0000-0000-00003B4B0000}"/>
    <cellStyle name="Note 22 2" xfId="11885" xr:uid="{00000000-0005-0000-0000-00003C4B0000}"/>
    <cellStyle name="Note 22 2 2" xfId="11886" xr:uid="{00000000-0005-0000-0000-00003D4B0000}"/>
    <cellStyle name="Note 22 2 2 2" xfId="19892" xr:uid="{00000000-0005-0000-0000-00003E4B0000}"/>
    <cellStyle name="Note 22 2 3" xfId="19891" xr:uid="{00000000-0005-0000-0000-00003F4B0000}"/>
    <cellStyle name="Note 22 3" xfId="11887" xr:uid="{00000000-0005-0000-0000-0000404B0000}"/>
    <cellStyle name="Note 22 3 2" xfId="19893" xr:uid="{00000000-0005-0000-0000-0000414B0000}"/>
    <cellStyle name="Note 22 4" xfId="11888" xr:uid="{00000000-0005-0000-0000-0000424B0000}"/>
    <cellStyle name="Note 22 4 2" xfId="19894" xr:uid="{00000000-0005-0000-0000-0000434B0000}"/>
    <cellStyle name="Note 22 5" xfId="11889" xr:uid="{00000000-0005-0000-0000-0000444B0000}"/>
    <cellStyle name="Note 22 5 2" xfId="19895" xr:uid="{00000000-0005-0000-0000-0000454B0000}"/>
    <cellStyle name="Note 22 6" xfId="11890" xr:uid="{00000000-0005-0000-0000-0000464B0000}"/>
    <cellStyle name="Note 22 6 2" xfId="19896" xr:uid="{00000000-0005-0000-0000-0000474B0000}"/>
    <cellStyle name="Note 22 7" xfId="11891" xr:uid="{00000000-0005-0000-0000-0000484B0000}"/>
    <cellStyle name="Note 22 7 2" xfId="19897" xr:uid="{00000000-0005-0000-0000-0000494B0000}"/>
    <cellStyle name="Note 22 8" xfId="11892" xr:uid="{00000000-0005-0000-0000-00004A4B0000}"/>
    <cellStyle name="Note 22 8 2" xfId="19898" xr:uid="{00000000-0005-0000-0000-00004B4B0000}"/>
    <cellStyle name="Note 22 9" xfId="11893" xr:uid="{00000000-0005-0000-0000-00004C4B0000}"/>
    <cellStyle name="Note 22 9 2" xfId="19899" xr:uid="{00000000-0005-0000-0000-00004D4B0000}"/>
    <cellStyle name="Note 23" xfId="11894" xr:uid="{00000000-0005-0000-0000-00004E4B0000}"/>
    <cellStyle name="Note 23 10" xfId="19900" xr:uid="{00000000-0005-0000-0000-00004F4B0000}"/>
    <cellStyle name="Note 23 2" xfId="11895" xr:uid="{00000000-0005-0000-0000-0000504B0000}"/>
    <cellStyle name="Note 23 2 2" xfId="11896" xr:uid="{00000000-0005-0000-0000-0000514B0000}"/>
    <cellStyle name="Note 23 2 2 2" xfId="19902" xr:uid="{00000000-0005-0000-0000-0000524B0000}"/>
    <cellStyle name="Note 23 2 3" xfId="19901" xr:uid="{00000000-0005-0000-0000-0000534B0000}"/>
    <cellStyle name="Note 23 3" xfId="11897" xr:uid="{00000000-0005-0000-0000-0000544B0000}"/>
    <cellStyle name="Note 23 3 2" xfId="19903" xr:uid="{00000000-0005-0000-0000-0000554B0000}"/>
    <cellStyle name="Note 23 4" xfId="11898" xr:uid="{00000000-0005-0000-0000-0000564B0000}"/>
    <cellStyle name="Note 23 4 2" xfId="19904" xr:uid="{00000000-0005-0000-0000-0000574B0000}"/>
    <cellStyle name="Note 23 5" xfId="11899" xr:uid="{00000000-0005-0000-0000-0000584B0000}"/>
    <cellStyle name="Note 23 5 2" xfId="19905" xr:uid="{00000000-0005-0000-0000-0000594B0000}"/>
    <cellStyle name="Note 23 6" xfId="11900" xr:uid="{00000000-0005-0000-0000-00005A4B0000}"/>
    <cellStyle name="Note 23 6 2" xfId="19906" xr:uid="{00000000-0005-0000-0000-00005B4B0000}"/>
    <cellStyle name="Note 23 7" xfId="11901" xr:uid="{00000000-0005-0000-0000-00005C4B0000}"/>
    <cellStyle name="Note 23 7 2" xfId="19907" xr:uid="{00000000-0005-0000-0000-00005D4B0000}"/>
    <cellStyle name="Note 23 8" xfId="11902" xr:uid="{00000000-0005-0000-0000-00005E4B0000}"/>
    <cellStyle name="Note 23 8 2" xfId="19908" xr:uid="{00000000-0005-0000-0000-00005F4B0000}"/>
    <cellStyle name="Note 23 9" xfId="11903" xr:uid="{00000000-0005-0000-0000-0000604B0000}"/>
    <cellStyle name="Note 23 9 2" xfId="19909" xr:uid="{00000000-0005-0000-0000-0000614B0000}"/>
    <cellStyle name="Note 24" xfId="11904" xr:uid="{00000000-0005-0000-0000-0000624B0000}"/>
    <cellStyle name="Note 24 10" xfId="19910" xr:uid="{00000000-0005-0000-0000-0000634B0000}"/>
    <cellStyle name="Note 24 2" xfId="11905" xr:uid="{00000000-0005-0000-0000-0000644B0000}"/>
    <cellStyle name="Note 24 2 2" xfId="11906" xr:uid="{00000000-0005-0000-0000-0000654B0000}"/>
    <cellStyle name="Note 24 2 2 2" xfId="19912" xr:uid="{00000000-0005-0000-0000-0000664B0000}"/>
    <cellStyle name="Note 24 2 3" xfId="19911" xr:uid="{00000000-0005-0000-0000-0000674B0000}"/>
    <cellStyle name="Note 24 3" xfId="11907" xr:uid="{00000000-0005-0000-0000-0000684B0000}"/>
    <cellStyle name="Note 24 3 2" xfId="19913" xr:uid="{00000000-0005-0000-0000-0000694B0000}"/>
    <cellStyle name="Note 24 4" xfId="11908" xr:uid="{00000000-0005-0000-0000-00006A4B0000}"/>
    <cellStyle name="Note 24 4 2" xfId="19914" xr:uid="{00000000-0005-0000-0000-00006B4B0000}"/>
    <cellStyle name="Note 24 5" xfId="11909" xr:uid="{00000000-0005-0000-0000-00006C4B0000}"/>
    <cellStyle name="Note 24 5 2" xfId="19915" xr:uid="{00000000-0005-0000-0000-00006D4B0000}"/>
    <cellStyle name="Note 24 6" xfId="11910" xr:uid="{00000000-0005-0000-0000-00006E4B0000}"/>
    <cellStyle name="Note 24 6 2" xfId="19916" xr:uid="{00000000-0005-0000-0000-00006F4B0000}"/>
    <cellStyle name="Note 24 7" xfId="11911" xr:uid="{00000000-0005-0000-0000-0000704B0000}"/>
    <cellStyle name="Note 24 7 2" xfId="19917" xr:uid="{00000000-0005-0000-0000-0000714B0000}"/>
    <cellStyle name="Note 24 8" xfId="11912" xr:uid="{00000000-0005-0000-0000-0000724B0000}"/>
    <cellStyle name="Note 24 8 2" xfId="19918" xr:uid="{00000000-0005-0000-0000-0000734B0000}"/>
    <cellStyle name="Note 24 9" xfId="11913" xr:uid="{00000000-0005-0000-0000-0000744B0000}"/>
    <cellStyle name="Note 24 9 2" xfId="19919" xr:uid="{00000000-0005-0000-0000-0000754B0000}"/>
    <cellStyle name="Note 25" xfId="11914" xr:uid="{00000000-0005-0000-0000-0000764B0000}"/>
    <cellStyle name="Note 25 10" xfId="19920" xr:uid="{00000000-0005-0000-0000-0000774B0000}"/>
    <cellStyle name="Note 25 2" xfId="11915" xr:uid="{00000000-0005-0000-0000-0000784B0000}"/>
    <cellStyle name="Note 25 2 2" xfId="11916" xr:uid="{00000000-0005-0000-0000-0000794B0000}"/>
    <cellStyle name="Note 25 2 2 2" xfId="19922" xr:uid="{00000000-0005-0000-0000-00007A4B0000}"/>
    <cellStyle name="Note 25 2 3" xfId="19921" xr:uid="{00000000-0005-0000-0000-00007B4B0000}"/>
    <cellStyle name="Note 25 3" xfId="11917" xr:uid="{00000000-0005-0000-0000-00007C4B0000}"/>
    <cellStyle name="Note 25 3 2" xfId="19923" xr:uid="{00000000-0005-0000-0000-00007D4B0000}"/>
    <cellStyle name="Note 25 4" xfId="11918" xr:uid="{00000000-0005-0000-0000-00007E4B0000}"/>
    <cellStyle name="Note 25 4 2" xfId="19924" xr:uid="{00000000-0005-0000-0000-00007F4B0000}"/>
    <cellStyle name="Note 25 5" xfId="11919" xr:uid="{00000000-0005-0000-0000-0000804B0000}"/>
    <cellStyle name="Note 25 5 2" xfId="19925" xr:uid="{00000000-0005-0000-0000-0000814B0000}"/>
    <cellStyle name="Note 25 6" xfId="11920" xr:uid="{00000000-0005-0000-0000-0000824B0000}"/>
    <cellStyle name="Note 25 6 2" xfId="19926" xr:uid="{00000000-0005-0000-0000-0000834B0000}"/>
    <cellStyle name="Note 25 7" xfId="11921" xr:uid="{00000000-0005-0000-0000-0000844B0000}"/>
    <cellStyle name="Note 25 7 2" xfId="19927" xr:uid="{00000000-0005-0000-0000-0000854B0000}"/>
    <cellStyle name="Note 25 8" xfId="11922" xr:uid="{00000000-0005-0000-0000-0000864B0000}"/>
    <cellStyle name="Note 25 8 2" xfId="19928" xr:uid="{00000000-0005-0000-0000-0000874B0000}"/>
    <cellStyle name="Note 25 9" xfId="11923" xr:uid="{00000000-0005-0000-0000-0000884B0000}"/>
    <cellStyle name="Note 25 9 2" xfId="19929" xr:uid="{00000000-0005-0000-0000-0000894B0000}"/>
    <cellStyle name="Note 26" xfId="11924" xr:uid="{00000000-0005-0000-0000-00008A4B0000}"/>
    <cellStyle name="Note 26 10" xfId="19930" xr:uid="{00000000-0005-0000-0000-00008B4B0000}"/>
    <cellStyle name="Note 26 2" xfId="11925" xr:uid="{00000000-0005-0000-0000-00008C4B0000}"/>
    <cellStyle name="Note 26 2 2" xfId="11926" xr:uid="{00000000-0005-0000-0000-00008D4B0000}"/>
    <cellStyle name="Note 26 2 2 2" xfId="19932" xr:uid="{00000000-0005-0000-0000-00008E4B0000}"/>
    <cellStyle name="Note 26 2 3" xfId="19931" xr:uid="{00000000-0005-0000-0000-00008F4B0000}"/>
    <cellStyle name="Note 26 3" xfId="11927" xr:uid="{00000000-0005-0000-0000-0000904B0000}"/>
    <cellStyle name="Note 26 3 2" xfId="19933" xr:uid="{00000000-0005-0000-0000-0000914B0000}"/>
    <cellStyle name="Note 26 4" xfId="11928" xr:uid="{00000000-0005-0000-0000-0000924B0000}"/>
    <cellStyle name="Note 26 4 2" xfId="19934" xr:uid="{00000000-0005-0000-0000-0000934B0000}"/>
    <cellStyle name="Note 26 5" xfId="11929" xr:uid="{00000000-0005-0000-0000-0000944B0000}"/>
    <cellStyle name="Note 26 5 2" xfId="19935" xr:uid="{00000000-0005-0000-0000-0000954B0000}"/>
    <cellStyle name="Note 26 6" xfId="11930" xr:uid="{00000000-0005-0000-0000-0000964B0000}"/>
    <cellStyle name="Note 26 6 2" xfId="19936" xr:uid="{00000000-0005-0000-0000-0000974B0000}"/>
    <cellStyle name="Note 26 7" xfId="11931" xr:uid="{00000000-0005-0000-0000-0000984B0000}"/>
    <cellStyle name="Note 26 7 2" xfId="19937" xr:uid="{00000000-0005-0000-0000-0000994B0000}"/>
    <cellStyle name="Note 26 8" xfId="11932" xr:uid="{00000000-0005-0000-0000-00009A4B0000}"/>
    <cellStyle name="Note 26 8 2" xfId="19938" xr:uid="{00000000-0005-0000-0000-00009B4B0000}"/>
    <cellStyle name="Note 26 9" xfId="11933" xr:uid="{00000000-0005-0000-0000-00009C4B0000}"/>
    <cellStyle name="Note 26 9 2" xfId="19939" xr:uid="{00000000-0005-0000-0000-00009D4B0000}"/>
    <cellStyle name="Note 27" xfId="11934" xr:uid="{00000000-0005-0000-0000-00009E4B0000}"/>
    <cellStyle name="Note 27 10" xfId="19940" xr:uid="{00000000-0005-0000-0000-00009F4B0000}"/>
    <cellStyle name="Note 27 2" xfId="11935" xr:uid="{00000000-0005-0000-0000-0000A04B0000}"/>
    <cellStyle name="Note 27 2 2" xfId="11936" xr:uid="{00000000-0005-0000-0000-0000A14B0000}"/>
    <cellStyle name="Note 27 2 2 2" xfId="19942" xr:uid="{00000000-0005-0000-0000-0000A24B0000}"/>
    <cellStyle name="Note 27 2 3" xfId="19941" xr:uid="{00000000-0005-0000-0000-0000A34B0000}"/>
    <cellStyle name="Note 27 3" xfId="11937" xr:uid="{00000000-0005-0000-0000-0000A44B0000}"/>
    <cellStyle name="Note 27 3 2" xfId="19943" xr:uid="{00000000-0005-0000-0000-0000A54B0000}"/>
    <cellStyle name="Note 27 4" xfId="11938" xr:uid="{00000000-0005-0000-0000-0000A64B0000}"/>
    <cellStyle name="Note 27 4 2" xfId="19944" xr:uid="{00000000-0005-0000-0000-0000A74B0000}"/>
    <cellStyle name="Note 27 5" xfId="11939" xr:uid="{00000000-0005-0000-0000-0000A84B0000}"/>
    <cellStyle name="Note 27 5 2" xfId="19945" xr:uid="{00000000-0005-0000-0000-0000A94B0000}"/>
    <cellStyle name="Note 27 6" xfId="11940" xr:uid="{00000000-0005-0000-0000-0000AA4B0000}"/>
    <cellStyle name="Note 27 6 2" xfId="19946" xr:uid="{00000000-0005-0000-0000-0000AB4B0000}"/>
    <cellStyle name="Note 27 7" xfId="11941" xr:uid="{00000000-0005-0000-0000-0000AC4B0000}"/>
    <cellStyle name="Note 27 7 2" xfId="19947" xr:uid="{00000000-0005-0000-0000-0000AD4B0000}"/>
    <cellStyle name="Note 27 8" xfId="11942" xr:uid="{00000000-0005-0000-0000-0000AE4B0000}"/>
    <cellStyle name="Note 27 8 2" xfId="19948" xr:uid="{00000000-0005-0000-0000-0000AF4B0000}"/>
    <cellStyle name="Note 27 9" xfId="11943" xr:uid="{00000000-0005-0000-0000-0000B04B0000}"/>
    <cellStyle name="Note 27 9 2" xfId="19949" xr:uid="{00000000-0005-0000-0000-0000B14B0000}"/>
    <cellStyle name="Note 28" xfId="11944" xr:uid="{00000000-0005-0000-0000-0000B24B0000}"/>
    <cellStyle name="Note 28 10" xfId="19950" xr:uid="{00000000-0005-0000-0000-0000B34B0000}"/>
    <cellStyle name="Note 28 2" xfId="11945" xr:uid="{00000000-0005-0000-0000-0000B44B0000}"/>
    <cellStyle name="Note 28 2 2" xfId="11946" xr:uid="{00000000-0005-0000-0000-0000B54B0000}"/>
    <cellStyle name="Note 28 2 2 2" xfId="19952" xr:uid="{00000000-0005-0000-0000-0000B64B0000}"/>
    <cellStyle name="Note 28 2 3" xfId="19951" xr:uid="{00000000-0005-0000-0000-0000B74B0000}"/>
    <cellStyle name="Note 28 3" xfId="11947" xr:uid="{00000000-0005-0000-0000-0000B84B0000}"/>
    <cellStyle name="Note 28 3 2" xfId="19953" xr:uid="{00000000-0005-0000-0000-0000B94B0000}"/>
    <cellStyle name="Note 28 4" xfId="11948" xr:uid="{00000000-0005-0000-0000-0000BA4B0000}"/>
    <cellStyle name="Note 28 4 2" xfId="19954" xr:uid="{00000000-0005-0000-0000-0000BB4B0000}"/>
    <cellStyle name="Note 28 5" xfId="11949" xr:uid="{00000000-0005-0000-0000-0000BC4B0000}"/>
    <cellStyle name="Note 28 5 2" xfId="19955" xr:uid="{00000000-0005-0000-0000-0000BD4B0000}"/>
    <cellStyle name="Note 28 6" xfId="11950" xr:uid="{00000000-0005-0000-0000-0000BE4B0000}"/>
    <cellStyle name="Note 28 6 2" xfId="19956" xr:uid="{00000000-0005-0000-0000-0000BF4B0000}"/>
    <cellStyle name="Note 28 7" xfId="11951" xr:uid="{00000000-0005-0000-0000-0000C04B0000}"/>
    <cellStyle name="Note 28 7 2" xfId="19957" xr:uid="{00000000-0005-0000-0000-0000C14B0000}"/>
    <cellStyle name="Note 28 8" xfId="11952" xr:uid="{00000000-0005-0000-0000-0000C24B0000}"/>
    <cellStyle name="Note 28 8 2" xfId="19958" xr:uid="{00000000-0005-0000-0000-0000C34B0000}"/>
    <cellStyle name="Note 28 9" xfId="11953" xr:uid="{00000000-0005-0000-0000-0000C44B0000}"/>
    <cellStyle name="Note 28 9 2" xfId="19959" xr:uid="{00000000-0005-0000-0000-0000C54B0000}"/>
    <cellStyle name="Note 29" xfId="11954" xr:uid="{00000000-0005-0000-0000-0000C64B0000}"/>
    <cellStyle name="Note 29 10" xfId="19960" xr:uid="{00000000-0005-0000-0000-0000C74B0000}"/>
    <cellStyle name="Note 29 2" xfId="11955" xr:uid="{00000000-0005-0000-0000-0000C84B0000}"/>
    <cellStyle name="Note 29 2 2" xfId="11956" xr:uid="{00000000-0005-0000-0000-0000C94B0000}"/>
    <cellStyle name="Note 29 2 2 2" xfId="19962" xr:uid="{00000000-0005-0000-0000-0000CA4B0000}"/>
    <cellStyle name="Note 29 2 3" xfId="19961" xr:uid="{00000000-0005-0000-0000-0000CB4B0000}"/>
    <cellStyle name="Note 29 3" xfId="11957" xr:uid="{00000000-0005-0000-0000-0000CC4B0000}"/>
    <cellStyle name="Note 29 3 2" xfId="19963" xr:uid="{00000000-0005-0000-0000-0000CD4B0000}"/>
    <cellStyle name="Note 29 4" xfId="11958" xr:uid="{00000000-0005-0000-0000-0000CE4B0000}"/>
    <cellStyle name="Note 29 4 2" xfId="19964" xr:uid="{00000000-0005-0000-0000-0000CF4B0000}"/>
    <cellStyle name="Note 29 5" xfId="11959" xr:uid="{00000000-0005-0000-0000-0000D04B0000}"/>
    <cellStyle name="Note 29 5 2" xfId="19965" xr:uid="{00000000-0005-0000-0000-0000D14B0000}"/>
    <cellStyle name="Note 29 6" xfId="11960" xr:uid="{00000000-0005-0000-0000-0000D24B0000}"/>
    <cellStyle name="Note 29 6 2" xfId="19966" xr:uid="{00000000-0005-0000-0000-0000D34B0000}"/>
    <cellStyle name="Note 29 7" xfId="11961" xr:uid="{00000000-0005-0000-0000-0000D44B0000}"/>
    <cellStyle name="Note 29 7 2" xfId="19967" xr:uid="{00000000-0005-0000-0000-0000D54B0000}"/>
    <cellStyle name="Note 29 8" xfId="11962" xr:uid="{00000000-0005-0000-0000-0000D64B0000}"/>
    <cellStyle name="Note 29 8 2" xfId="19968" xr:uid="{00000000-0005-0000-0000-0000D74B0000}"/>
    <cellStyle name="Note 29 9" xfId="11963" xr:uid="{00000000-0005-0000-0000-0000D84B0000}"/>
    <cellStyle name="Note 29 9 2" xfId="19969" xr:uid="{00000000-0005-0000-0000-0000D94B0000}"/>
    <cellStyle name="Note 3" xfId="11964" xr:uid="{00000000-0005-0000-0000-0000DA4B0000}"/>
    <cellStyle name="Note 3 10" xfId="11965" xr:uid="{00000000-0005-0000-0000-0000DB4B0000}"/>
    <cellStyle name="Note 3 10 2" xfId="11966" xr:uid="{00000000-0005-0000-0000-0000DC4B0000}"/>
    <cellStyle name="Note 3 10 2 2" xfId="19972" xr:uid="{00000000-0005-0000-0000-0000DD4B0000}"/>
    <cellStyle name="Note 3 10 3" xfId="11967" xr:uid="{00000000-0005-0000-0000-0000DE4B0000}"/>
    <cellStyle name="Note 3 10 3 2" xfId="19973" xr:uid="{00000000-0005-0000-0000-0000DF4B0000}"/>
    <cellStyle name="Note 3 10 4" xfId="19971" xr:uid="{00000000-0005-0000-0000-0000E04B0000}"/>
    <cellStyle name="Note 3 11" xfId="11968" xr:uid="{00000000-0005-0000-0000-0000E14B0000}"/>
    <cellStyle name="Note 3 11 2" xfId="11969" xr:uid="{00000000-0005-0000-0000-0000E24B0000}"/>
    <cellStyle name="Note 3 11 2 2" xfId="19975" xr:uid="{00000000-0005-0000-0000-0000E34B0000}"/>
    <cellStyle name="Note 3 11 3" xfId="11970" xr:uid="{00000000-0005-0000-0000-0000E44B0000}"/>
    <cellStyle name="Note 3 11 3 2" xfId="19976" xr:uid="{00000000-0005-0000-0000-0000E54B0000}"/>
    <cellStyle name="Note 3 11 4" xfId="19974" xr:uid="{00000000-0005-0000-0000-0000E64B0000}"/>
    <cellStyle name="Note 3 12" xfId="11971" xr:uid="{00000000-0005-0000-0000-0000E74B0000}"/>
    <cellStyle name="Note 3 12 2" xfId="11972" xr:uid="{00000000-0005-0000-0000-0000E84B0000}"/>
    <cellStyle name="Note 3 12 2 2" xfId="19978" xr:uid="{00000000-0005-0000-0000-0000E94B0000}"/>
    <cellStyle name="Note 3 12 3" xfId="19977" xr:uid="{00000000-0005-0000-0000-0000EA4B0000}"/>
    <cellStyle name="Note 3 13" xfId="11973" xr:uid="{00000000-0005-0000-0000-0000EB4B0000}"/>
    <cellStyle name="Note 3 13 2" xfId="19979" xr:uid="{00000000-0005-0000-0000-0000EC4B0000}"/>
    <cellStyle name="Note 3 14" xfId="11974" xr:uid="{00000000-0005-0000-0000-0000ED4B0000}"/>
    <cellStyle name="Note 3 14 2" xfId="19980" xr:uid="{00000000-0005-0000-0000-0000EE4B0000}"/>
    <cellStyle name="Note 3 15" xfId="11975" xr:uid="{00000000-0005-0000-0000-0000EF4B0000}"/>
    <cellStyle name="Note 3 15 2" xfId="19981" xr:uid="{00000000-0005-0000-0000-0000F04B0000}"/>
    <cellStyle name="Note 3 16" xfId="11976" xr:uid="{00000000-0005-0000-0000-0000F14B0000}"/>
    <cellStyle name="Note 3 16 2" xfId="19982" xr:uid="{00000000-0005-0000-0000-0000F24B0000}"/>
    <cellStyle name="Note 3 17" xfId="19970" xr:uid="{00000000-0005-0000-0000-0000F34B0000}"/>
    <cellStyle name="Note 3 18" xfId="21753" xr:uid="{00000000-0005-0000-0000-0000F44B0000}"/>
    <cellStyle name="Note 3 18 2" xfId="21819" xr:uid="{00000000-0005-0000-0000-0000F54B0000}"/>
    <cellStyle name="Note 3 18 2 2" xfId="21908" xr:uid="{00000000-0005-0000-0000-0000F64B0000}"/>
    <cellStyle name="Note 3 18 3" xfId="21786" xr:uid="{00000000-0005-0000-0000-0000F74B0000}"/>
    <cellStyle name="Note 3 19" xfId="22184" xr:uid="{00000000-0005-0000-0000-0000F84B0000}"/>
    <cellStyle name="Note 3 2" xfId="11977" xr:uid="{00000000-0005-0000-0000-0000F94B0000}"/>
    <cellStyle name="Note 3 2 2" xfId="11978" xr:uid="{00000000-0005-0000-0000-0000FA4B0000}"/>
    <cellStyle name="Note 3 2 2 2" xfId="19984" xr:uid="{00000000-0005-0000-0000-0000FB4B0000}"/>
    <cellStyle name="Note 3 2 2 2 2" xfId="23179" xr:uid="{00000000-0005-0000-0000-0000FC4B0000}"/>
    <cellStyle name="Note 3 2 2 2 2 2" xfId="26729" xr:uid="{00000000-0005-0000-0000-0000FE040000}"/>
    <cellStyle name="Note 3 2 2 2 2 3" xfId="27139" xr:uid="{00000000-0005-0000-0000-0000FE040000}"/>
    <cellStyle name="Note 3 2 2 2 2 4" xfId="24471" xr:uid="{00000000-0005-0000-0000-0000FE040000}"/>
    <cellStyle name="Note 3 2 2 2 3" xfId="23482" xr:uid="{00000000-0005-0000-0000-0000FD4B0000}"/>
    <cellStyle name="Note 3 2 2 2 4" xfId="26980" xr:uid="{00000000-0005-0000-0000-0000FE040000}"/>
    <cellStyle name="Note 3 2 2 3" xfId="23238" xr:uid="{00000000-0005-0000-0000-0000FE4B0000}"/>
    <cellStyle name="Note 3 2 2 3 2" xfId="23542" xr:uid="{00000000-0005-0000-0000-0000FF4B0000}"/>
    <cellStyle name="Note 3 2 2 3 2 2" xfId="26742" xr:uid="{00000000-0005-0000-0000-0000FF040000}"/>
    <cellStyle name="Note 3 2 2 3 2 3" xfId="27151" xr:uid="{00000000-0005-0000-0000-0000FF040000}"/>
    <cellStyle name="Note 3 2 2 3 2 4" xfId="24484" xr:uid="{00000000-0005-0000-0000-0000FF040000}"/>
    <cellStyle name="Note 3 2 2 3 3" xfId="25650" xr:uid="{00000000-0005-0000-0000-0000FF040000}"/>
    <cellStyle name="Note 3 2 2 3 4" xfId="27040" xr:uid="{00000000-0005-0000-0000-0000FF040000}"/>
    <cellStyle name="Note 3 2 2 4" xfId="22653" xr:uid="{00000000-0005-0000-0000-0000004C0000}"/>
    <cellStyle name="Note 3 2 2 4 2" xfId="26197" xr:uid="{00000000-0005-0000-0000-0000FD040000}"/>
    <cellStyle name="Note 3 2 2 4 3" xfId="27059" xr:uid="{00000000-0005-0000-0000-0000FD040000}"/>
    <cellStyle name="Note 3 2 2 4 4" xfId="23962" xr:uid="{00000000-0005-0000-0000-0000FD040000}"/>
    <cellStyle name="Note 3 2 2 5" xfId="23402" xr:uid="{00000000-0005-0000-0000-0000014C0000}"/>
    <cellStyle name="Note 3 2 2 6" xfId="26900" xr:uid="{00000000-0005-0000-0000-0000FD040000}"/>
    <cellStyle name="Note 3 2 3" xfId="11979" xr:uid="{00000000-0005-0000-0000-0000024C0000}"/>
    <cellStyle name="Note 3 2 3 2" xfId="19985" xr:uid="{00000000-0005-0000-0000-0000034C0000}"/>
    <cellStyle name="Note 3 2 3 2 2" xfId="26464" xr:uid="{00000000-0005-0000-0000-000000050000}"/>
    <cellStyle name="Note 3 2 3 2 3" xfId="27099" xr:uid="{00000000-0005-0000-0000-000000050000}"/>
    <cellStyle name="Note 3 2 3 2 4" xfId="24214" xr:uid="{00000000-0005-0000-0000-000000050000}"/>
    <cellStyle name="Note 3 2 3 3" xfId="22915" xr:uid="{00000000-0005-0000-0000-0000044C0000}"/>
    <cellStyle name="Note 3 2 3 3 2" xfId="25334" xr:uid="{00000000-0005-0000-0000-000000050000}"/>
    <cellStyle name="Note 3 2 3 4" xfId="23442" xr:uid="{00000000-0005-0000-0000-0000054C0000}"/>
    <cellStyle name="Note 3 2 3 4 2" xfId="26940" xr:uid="{00000000-0005-0000-0000-000000050000}"/>
    <cellStyle name="Note 3 2 4" xfId="19983" xr:uid="{00000000-0005-0000-0000-0000064C0000}"/>
    <cellStyle name="Note 3 2 4 2" xfId="23199" xr:uid="{00000000-0005-0000-0000-0000074C0000}"/>
    <cellStyle name="Note 3 2 4 2 2" xfId="26734" xr:uid="{00000000-0005-0000-0000-000001050000}"/>
    <cellStyle name="Note 3 2 4 2 3" xfId="27143" xr:uid="{00000000-0005-0000-0000-000001050000}"/>
    <cellStyle name="Note 3 2 4 2 4" xfId="24476" xr:uid="{00000000-0005-0000-0000-000001050000}"/>
    <cellStyle name="Note 3 2 4 3" xfId="23502" xr:uid="{00000000-0005-0000-0000-0000084C0000}"/>
    <cellStyle name="Note 3 2 4 4" xfId="27000" xr:uid="{00000000-0005-0000-0000-000001050000}"/>
    <cellStyle name="Note 3 2 5" xfId="22393" xr:uid="{00000000-0005-0000-0000-0000094C0000}"/>
    <cellStyle name="Note 3 2 5 2" xfId="25964" xr:uid="{00000000-0005-0000-0000-0000FC040000}"/>
    <cellStyle name="Note 3 2 5 3" xfId="27051" xr:uid="{00000000-0005-0000-0000-0000FC040000}"/>
    <cellStyle name="Note 3 2 5 4" xfId="23746" xr:uid="{00000000-0005-0000-0000-0000FC040000}"/>
    <cellStyle name="Note 3 2 6" xfId="23362" xr:uid="{00000000-0005-0000-0000-00000A4C0000}"/>
    <cellStyle name="Note 3 2 7" xfId="26860" xr:uid="{00000000-0005-0000-0000-0000FC040000}"/>
    <cellStyle name="Note 3 20" xfId="23332" xr:uid="{00000000-0005-0000-0000-00000B4C0000}"/>
    <cellStyle name="Note 3 3" xfId="11980" xr:uid="{00000000-0005-0000-0000-00000C4C0000}"/>
    <cellStyle name="Note 3 3 2" xfId="11981" xr:uid="{00000000-0005-0000-0000-00000D4C0000}"/>
    <cellStyle name="Note 3 3 2 2" xfId="19987" xr:uid="{00000000-0005-0000-0000-00000E4C0000}"/>
    <cellStyle name="Note 3 3 2 2 2" xfId="26521" xr:uid="{00000000-0005-0000-0000-000003050000}"/>
    <cellStyle name="Note 3 3 2 2 3" xfId="27110" xr:uid="{00000000-0005-0000-0000-000003050000}"/>
    <cellStyle name="Note 3 3 2 2 4" xfId="24269" xr:uid="{00000000-0005-0000-0000-000003050000}"/>
    <cellStyle name="Note 3 3 2 3" xfId="22972" xr:uid="{00000000-0005-0000-0000-00000F4C0000}"/>
    <cellStyle name="Note 3 3 2 3 2" xfId="25389" xr:uid="{00000000-0005-0000-0000-000003050000}"/>
    <cellStyle name="Note 3 3 2 4" xfId="23453" xr:uid="{00000000-0005-0000-0000-0000104C0000}"/>
    <cellStyle name="Note 3 3 2 4 2" xfId="26951" xr:uid="{00000000-0005-0000-0000-000003050000}"/>
    <cellStyle name="Note 3 3 3" xfId="11982" xr:uid="{00000000-0005-0000-0000-0000114C0000}"/>
    <cellStyle name="Note 3 3 3 2" xfId="19988" xr:uid="{00000000-0005-0000-0000-0000124C0000}"/>
    <cellStyle name="Note 3 3 3 2 2" xfId="26737" xr:uid="{00000000-0005-0000-0000-000004050000}"/>
    <cellStyle name="Note 3 3 3 2 3" xfId="27146" xr:uid="{00000000-0005-0000-0000-000004050000}"/>
    <cellStyle name="Note 3 3 3 2 4" xfId="24479" xr:uid="{00000000-0005-0000-0000-000004050000}"/>
    <cellStyle name="Note 3 3 3 3" xfId="23209" xr:uid="{00000000-0005-0000-0000-0000134C0000}"/>
    <cellStyle name="Note 3 3 3 3 2" xfId="25621" xr:uid="{00000000-0005-0000-0000-000004050000}"/>
    <cellStyle name="Note 3 3 3 4" xfId="23513" xr:uid="{00000000-0005-0000-0000-0000144C0000}"/>
    <cellStyle name="Note 3 3 3 4 2" xfId="27011" xr:uid="{00000000-0005-0000-0000-000004050000}"/>
    <cellStyle name="Note 3 3 4" xfId="19986" xr:uid="{00000000-0005-0000-0000-0000154C0000}"/>
    <cellStyle name="Note 3 3 4 2" xfId="26013" xr:uid="{00000000-0005-0000-0000-000002050000}"/>
    <cellStyle name="Note 3 3 4 3" xfId="27054" xr:uid="{00000000-0005-0000-0000-000002050000}"/>
    <cellStyle name="Note 3 3 4 4" xfId="23791" xr:uid="{00000000-0005-0000-0000-000002050000}"/>
    <cellStyle name="Note 3 3 5" xfId="22446" xr:uid="{00000000-0005-0000-0000-0000164C0000}"/>
    <cellStyle name="Note 3 3 5 2" xfId="24866" xr:uid="{00000000-0005-0000-0000-000002050000}"/>
    <cellStyle name="Note 3 3 6" xfId="23373" xr:uid="{00000000-0005-0000-0000-0000174C0000}"/>
    <cellStyle name="Note 3 3 6 2" xfId="26871" xr:uid="{00000000-0005-0000-0000-000002050000}"/>
    <cellStyle name="Note 3 4" xfId="11983" xr:uid="{00000000-0005-0000-0000-0000184C0000}"/>
    <cellStyle name="Note 3 4 2" xfId="11984" xr:uid="{00000000-0005-0000-0000-0000194C0000}"/>
    <cellStyle name="Note 3 4 2 2" xfId="19990" xr:uid="{00000000-0005-0000-0000-00001A4C0000}"/>
    <cellStyle name="Note 3 4 2 2 2" xfId="26256" xr:uid="{00000000-0005-0000-0000-000005050000}"/>
    <cellStyle name="Note 3 4 2 3" xfId="27070" xr:uid="{00000000-0005-0000-0000-000005050000}"/>
    <cellStyle name="Note 3 4 2 4" xfId="24020" xr:uid="{00000000-0005-0000-0000-000005050000}"/>
    <cellStyle name="Note 3 4 3" xfId="11985" xr:uid="{00000000-0005-0000-0000-00001B4C0000}"/>
    <cellStyle name="Note 3 4 3 2" xfId="19991" xr:uid="{00000000-0005-0000-0000-00001C4C0000}"/>
    <cellStyle name="Note 3 4 3 3" xfId="25127" xr:uid="{00000000-0005-0000-0000-000005050000}"/>
    <cellStyle name="Note 3 4 4" xfId="19989" xr:uid="{00000000-0005-0000-0000-00001D4C0000}"/>
    <cellStyle name="Note 3 4 4 2" xfId="26911" xr:uid="{00000000-0005-0000-0000-000005050000}"/>
    <cellStyle name="Note 3 4 5" xfId="22708" xr:uid="{00000000-0005-0000-0000-00001E4C0000}"/>
    <cellStyle name="Note 3 4 6" xfId="23413" xr:uid="{00000000-0005-0000-0000-00001F4C0000}"/>
    <cellStyle name="Note 3 5" xfId="11986" xr:uid="{00000000-0005-0000-0000-0000204C0000}"/>
    <cellStyle name="Note 3 5 2" xfId="11987" xr:uid="{00000000-0005-0000-0000-0000214C0000}"/>
    <cellStyle name="Note 3 5 2 2" xfId="19993" xr:uid="{00000000-0005-0000-0000-0000224C0000}"/>
    <cellStyle name="Note 3 5 2 3" xfId="25780" xr:uid="{00000000-0005-0000-0000-0000FB040000}"/>
    <cellStyle name="Note 3 5 3" xfId="11988" xr:uid="{00000000-0005-0000-0000-0000234C0000}"/>
    <cellStyle name="Note 3 5 3 2" xfId="19994" xr:uid="{00000000-0005-0000-0000-0000244C0000}"/>
    <cellStyle name="Note 3 5 3 3" xfId="27046" xr:uid="{00000000-0005-0000-0000-0000FB040000}"/>
    <cellStyle name="Note 3 5 4" xfId="19992" xr:uid="{00000000-0005-0000-0000-0000254C0000}"/>
    <cellStyle name="Note 3 5 5" xfId="23587" xr:uid="{00000000-0005-0000-0000-0000FB040000}"/>
    <cellStyle name="Note 3 6" xfId="11989" xr:uid="{00000000-0005-0000-0000-0000264C0000}"/>
    <cellStyle name="Note 3 6 2" xfId="11990" xr:uid="{00000000-0005-0000-0000-0000274C0000}"/>
    <cellStyle name="Note 3 6 2 2" xfId="19996" xr:uid="{00000000-0005-0000-0000-0000284C0000}"/>
    <cellStyle name="Note 3 6 3" xfId="11991" xr:uid="{00000000-0005-0000-0000-0000294C0000}"/>
    <cellStyle name="Note 3 6 3 2" xfId="19997" xr:uid="{00000000-0005-0000-0000-00002A4C0000}"/>
    <cellStyle name="Note 3 6 4" xfId="19995" xr:uid="{00000000-0005-0000-0000-00002B4C0000}"/>
    <cellStyle name="Note 3 6 5" xfId="24605" xr:uid="{00000000-0005-0000-0000-0000FB040000}"/>
    <cellStyle name="Note 3 7" xfId="11992" xr:uid="{00000000-0005-0000-0000-00002C4C0000}"/>
    <cellStyle name="Note 3 7 2" xfId="11993" xr:uid="{00000000-0005-0000-0000-00002D4C0000}"/>
    <cellStyle name="Note 3 7 2 2" xfId="19999" xr:uid="{00000000-0005-0000-0000-00002E4C0000}"/>
    <cellStyle name="Note 3 7 3" xfId="11994" xr:uid="{00000000-0005-0000-0000-00002F4C0000}"/>
    <cellStyle name="Note 3 7 3 2" xfId="20000" xr:uid="{00000000-0005-0000-0000-0000304C0000}"/>
    <cellStyle name="Note 3 7 4" xfId="19998" xr:uid="{00000000-0005-0000-0000-0000314C0000}"/>
    <cellStyle name="Note 3 7 5" xfId="26831" xr:uid="{00000000-0005-0000-0000-0000FB040000}"/>
    <cellStyle name="Note 3 8" xfId="11995" xr:uid="{00000000-0005-0000-0000-0000324C0000}"/>
    <cellStyle name="Note 3 8 2" xfId="11996" xr:uid="{00000000-0005-0000-0000-0000334C0000}"/>
    <cellStyle name="Note 3 8 2 2" xfId="20002" xr:uid="{00000000-0005-0000-0000-0000344C0000}"/>
    <cellStyle name="Note 3 8 3" xfId="11997" xr:uid="{00000000-0005-0000-0000-0000354C0000}"/>
    <cellStyle name="Note 3 8 3 2" xfId="20003" xr:uid="{00000000-0005-0000-0000-0000364C0000}"/>
    <cellStyle name="Note 3 8 4" xfId="20001" xr:uid="{00000000-0005-0000-0000-0000374C0000}"/>
    <cellStyle name="Note 3 9" xfId="11998" xr:uid="{00000000-0005-0000-0000-0000384C0000}"/>
    <cellStyle name="Note 3 9 2" xfId="11999" xr:uid="{00000000-0005-0000-0000-0000394C0000}"/>
    <cellStyle name="Note 3 9 2 2" xfId="20005" xr:uid="{00000000-0005-0000-0000-00003A4C0000}"/>
    <cellStyle name="Note 3 9 3" xfId="12000" xr:uid="{00000000-0005-0000-0000-00003B4C0000}"/>
    <cellStyle name="Note 3 9 3 2" xfId="20006" xr:uid="{00000000-0005-0000-0000-00003C4C0000}"/>
    <cellStyle name="Note 3 9 4" xfId="20004" xr:uid="{00000000-0005-0000-0000-00003D4C0000}"/>
    <cellStyle name="Note 30" xfId="12001" xr:uid="{00000000-0005-0000-0000-00003E4C0000}"/>
    <cellStyle name="Note 30 2" xfId="12002" xr:uid="{00000000-0005-0000-0000-00003F4C0000}"/>
    <cellStyle name="Note 30 2 2" xfId="20008" xr:uid="{00000000-0005-0000-0000-0000404C0000}"/>
    <cellStyle name="Note 30 3" xfId="12003" xr:uid="{00000000-0005-0000-0000-0000414C0000}"/>
    <cellStyle name="Note 30 3 2" xfId="20009" xr:uid="{00000000-0005-0000-0000-0000424C0000}"/>
    <cellStyle name="Note 30 4" xfId="20007" xr:uid="{00000000-0005-0000-0000-0000434C0000}"/>
    <cellStyle name="Note 31" xfId="12004" xr:uid="{00000000-0005-0000-0000-0000444C0000}"/>
    <cellStyle name="Note 31 2" xfId="12005" xr:uid="{00000000-0005-0000-0000-0000454C0000}"/>
    <cellStyle name="Note 31 2 2" xfId="20011" xr:uid="{00000000-0005-0000-0000-0000464C0000}"/>
    <cellStyle name="Note 31 3" xfId="12006" xr:uid="{00000000-0005-0000-0000-0000474C0000}"/>
    <cellStyle name="Note 31 3 2" xfId="20012" xr:uid="{00000000-0005-0000-0000-0000484C0000}"/>
    <cellStyle name="Note 31 4" xfId="20010" xr:uid="{00000000-0005-0000-0000-0000494C0000}"/>
    <cellStyle name="Note 32" xfId="12007" xr:uid="{00000000-0005-0000-0000-00004A4C0000}"/>
    <cellStyle name="Note 32 2" xfId="12008" xr:uid="{00000000-0005-0000-0000-00004B4C0000}"/>
    <cellStyle name="Note 32 2 2" xfId="20014" xr:uid="{00000000-0005-0000-0000-00004C4C0000}"/>
    <cellStyle name="Note 32 3" xfId="12009" xr:uid="{00000000-0005-0000-0000-00004D4C0000}"/>
    <cellStyle name="Note 32 3 2" xfId="20015" xr:uid="{00000000-0005-0000-0000-00004E4C0000}"/>
    <cellStyle name="Note 32 4" xfId="20013" xr:uid="{00000000-0005-0000-0000-00004F4C0000}"/>
    <cellStyle name="Note 33" xfId="12010" xr:uid="{00000000-0005-0000-0000-0000504C0000}"/>
    <cellStyle name="Note 33 2" xfId="12011" xr:uid="{00000000-0005-0000-0000-0000514C0000}"/>
    <cellStyle name="Note 33 2 2" xfId="20017" xr:uid="{00000000-0005-0000-0000-0000524C0000}"/>
    <cellStyle name="Note 33 3" xfId="12012" xr:uid="{00000000-0005-0000-0000-0000534C0000}"/>
    <cellStyle name="Note 33 3 2" xfId="20018" xr:uid="{00000000-0005-0000-0000-0000544C0000}"/>
    <cellStyle name="Note 33 4" xfId="20016" xr:uid="{00000000-0005-0000-0000-0000554C0000}"/>
    <cellStyle name="Note 34" xfId="12013" xr:uid="{00000000-0005-0000-0000-0000564C0000}"/>
    <cellStyle name="Note 34 2" xfId="12014" xr:uid="{00000000-0005-0000-0000-0000574C0000}"/>
    <cellStyle name="Note 34 2 2" xfId="20020" xr:uid="{00000000-0005-0000-0000-0000584C0000}"/>
    <cellStyle name="Note 34 3" xfId="12015" xr:uid="{00000000-0005-0000-0000-0000594C0000}"/>
    <cellStyle name="Note 34 3 2" xfId="20021" xr:uid="{00000000-0005-0000-0000-00005A4C0000}"/>
    <cellStyle name="Note 34 4" xfId="20019" xr:uid="{00000000-0005-0000-0000-00005B4C0000}"/>
    <cellStyle name="Note 35" xfId="12016" xr:uid="{00000000-0005-0000-0000-00005C4C0000}"/>
    <cellStyle name="Note 35 2" xfId="12017" xr:uid="{00000000-0005-0000-0000-00005D4C0000}"/>
    <cellStyle name="Note 35 2 2" xfId="20023" xr:uid="{00000000-0005-0000-0000-00005E4C0000}"/>
    <cellStyle name="Note 35 3" xfId="12018" xr:uid="{00000000-0005-0000-0000-00005F4C0000}"/>
    <cellStyle name="Note 35 3 2" xfId="20024" xr:uid="{00000000-0005-0000-0000-0000604C0000}"/>
    <cellStyle name="Note 35 4" xfId="20022" xr:uid="{00000000-0005-0000-0000-0000614C0000}"/>
    <cellStyle name="Note 36" xfId="12019" xr:uid="{00000000-0005-0000-0000-0000624C0000}"/>
    <cellStyle name="Note 36 2" xfId="12020" xr:uid="{00000000-0005-0000-0000-0000634C0000}"/>
    <cellStyle name="Note 36 2 2" xfId="20026" xr:uid="{00000000-0005-0000-0000-0000644C0000}"/>
    <cellStyle name="Note 36 3" xfId="20025" xr:uid="{00000000-0005-0000-0000-0000654C0000}"/>
    <cellStyle name="Note 37" xfId="12021" xr:uid="{00000000-0005-0000-0000-0000664C0000}"/>
    <cellStyle name="Note 37 2" xfId="12022" xr:uid="{00000000-0005-0000-0000-0000674C0000}"/>
    <cellStyle name="Note 37 2 2" xfId="20028" xr:uid="{00000000-0005-0000-0000-0000684C0000}"/>
    <cellStyle name="Note 37 3" xfId="20027" xr:uid="{00000000-0005-0000-0000-0000694C0000}"/>
    <cellStyle name="Note 38" xfId="12023" xr:uid="{00000000-0005-0000-0000-00006A4C0000}"/>
    <cellStyle name="Note 38 2" xfId="12024" xr:uid="{00000000-0005-0000-0000-00006B4C0000}"/>
    <cellStyle name="Note 38 2 2" xfId="20030" xr:uid="{00000000-0005-0000-0000-00006C4C0000}"/>
    <cellStyle name="Note 38 3" xfId="20029" xr:uid="{00000000-0005-0000-0000-00006D4C0000}"/>
    <cellStyle name="Note 39" xfId="12025" xr:uid="{00000000-0005-0000-0000-00006E4C0000}"/>
    <cellStyle name="Note 4" xfId="12026" xr:uid="{00000000-0005-0000-0000-00006F4C0000}"/>
    <cellStyle name="Note 4 10" xfId="12027" xr:uid="{00000000-0005-0000-0000-0000704C0000}"/>
    <cellStyle name="Note 4 10 2" xfId="12028" xr:uid="{00000000-0005-0000-0000-0000714C0000}"/>
    <cellStyle name="Note 4 10 2 2" xfId="20033" xr:uid="{00000000-0005-0000-0000-0000724C0000}"/>
    <cellStyle name="Note 4 10 3" xfId="12029" xr:uid="{00000000-0005-0000-0000-0000734C0000}"/>
    <cellStyle name="Note 4 10 3 2" xfId="20034" xr:uid="{00000000-0005-0000-0000-0000744C0000}"/>
    <cellStyle name="Note 4 10 4" xfId="20032" xr:uid="{00000000-0005-0000-0000-0000754C0000}"/>
    <cellStyle name="Note 4 11" xfId="12030" xr:uid="{00000000-0005-0000-0000-0000764C0000}"/>
    <cellStyle name="Note 4 11 2" xfId="12031" xr:uid="{00000000-0005-0000-0000-0000774C0000}"/>
    <cellStyle name="Note 4 11 2 2" xfId="20036" xr:uid="{00000000-0005-0000-0000-0000784C0000}"/>
    <cellStyle name="Note 4 11 3" xfId="12032" xr:uid="{00000000-0005-0000-0000-0000794C0000}"/>
    <cellStyle name="Note 4 11 3 2" xfId="20037" xr:uid="{00000000-0005-0000-0000-00007A4C0000}"/>
    <cellStyle name="Note 4 11 4" xfId="20035" xr:uid="{00000000-0005-0000-0000-00007B4C0000}"/>
    <cellStyle name="Note 4 12" xfId="12033" xr:uid="{00000000-0005-0000-0000-00007C4C0000}"/>
    <cellStyle name="Note 4 12 2" xfId="12034" xr:uid="{00000000-0005-0000-0000-00007D4C0000}"/>
    <cellStyle name="Note 4 12 2 2" xfId="20039" xr:uid="{00000000-0005-0000-0000-00007E4C0000}"/>
    <cellStyle name="Note 4 12 3" xfId="20038" xr:uid="{00000000-0005-0000-0000-00007F4C0000}"/>
    <cellStyle name="Note 4 13" xfId="12035" xr:uid="{00000000-0005-0000-0000-0000804C0000}"/>
    <cellStyle name="Note 4 13 2" xfId="20040" xr:uid="{00000000-0005-0000-0000-0000814C0000}"/>
    <cellStyle name="Note 4 14" xfId="12036" xr:uid="{00000000-0005-0000-0000-0000824C0000}"/>
    <cellStyle name="Note 4 14 2" xfId="20041" xr:uid="{00000000-0005-0000-0000-0000834C0000}"/>
    <cellStyle name="Note 4 15" xfId="12037" xr:uid="{00000000-0005-0000-0000-0000844C0000}"/>
    <cellStyle name="Note 4 15 2" xfId="20042" xr:uid="{00000000-0005-0000-0000-0000854C0000}"/>
    <cellStyle name="Note 4 16" xfId="12038" xr:uid="{00000000-0005-0000-0000-0000864C0000}"/>
    <cellStyle name="Note 4 16 2" xfId="20043" xr:uid="{00000000-0005-0000-0000-0000874C0000}"/>
    <cellStyle name="Note 4 17" xfId="20031" xr:uid="{00000000-0005-0000-0000-0000884C0000}"/>
    <cellStyle name="Note 4 18" xfId="21754" xr:uid="{00000000-0005-0000-0000-0000894C0000}"/>
    <cellStyle name="Note 4 18 2" xfId="21820" xr:uid="{00000000-0005-0000-0000-00008A4C0000}"/>
    <cellStyle name="Note 4 18 3" xfId="21787" xr:uid="{00000000-0005-0000-0000-00008B4C0000}"/>
    <cellStyle name="Note 4 19" xfId="22185" xr:uid="{00000000-0005-0000-0000-00008C4C0000}"/>
    <cellStyle name="Note 4 2" xfId="12039" xr:uid="{00000000-0005-0000-0000-00008D4C0000}"/>
    <cellStyle name="Note 4 2 2" xfId="12040" xr:uid="{00000000-0005-0000-0000-00008E4C0000}"/>
    <cellStyle name="Note 4 2 2 2" xfId="20045" xr:uid="{00000000-0005-0000-0000-00008F4C0000}"/>
    <cellStyle name="Note 4 2 2 2 2" xfId="23052" xr:uid="{00000000-0005-0000-0000-0000904C0000}"/>
    <cellStyle name="Note 4 2 2 2 2 2" xfId="26602" xr:uid="{00000000-0005-0000-0000-000009050000}"/>
    <cellStyle name="Note 4 2 2 2 2 3" xfId="27121" xr:uid="{00000000-0005-0000-0000-000009050000}"/>
    <cellStyle name="Note 4 2 2 2 2 4" xfId="24347" xr:uid="{00000000-0005-0000-0000-000009050000}"/>
    <cellStyle name="Note 4 2 2 2 3" xfId="23464" xr:uid="{00000000-0005-0000-0000-0000914C0000}"/>
    <cellStyle name="Note 4 2 2 2 4" xfId="26962" xr:uid="{00000000-0005-0000-0000-000009050000}"/>
    <cellStyle name="Note 4 2 2 3" xfId="23220" xr:uid="{00000000-0005-0000-0000-0000924C0000}"/>
    <cellStyle name="Note 4 2 2 3 2" xfId="23524" xr:uid="{00000000-0005-0000-0000-0000934C0000}"/>
    <cellStyle name="Note 4 2 2 3 2 2" xfId="26740" xr:uid="{00000000-0005-0000-0000-00000A050000}"/>
    <cellStyle name="Note 4 2 2 3 2 3" xfId="27149" xr:uid="{00000000-0005-0000-0000-00000A050000}"/>
    <cellStyle name="Note 4 2 2 3 2 4" xfId="24482" xr:uid="{00000000-0005-0000-0000-00000A050000}"/>
    <cellStyle name="Note 4 2 2 3 3" xfId="25632" xr:uid="{00000000-0005-0000-0000-00000A050000}"/>
    <cellStyle name="Note 4 2 2 3 4" xfId="27022" xr:uid="{00000000-0005-0000-0000-00000A050000}"/>
    <cellStyle name="Note 4 2 2 4" xfId="22526" xr:uid="{00000000-0005-0000-0000-0000944C0000}"/>
    <cellStyle name="Note 4 2 2 4 2" xfId="26086" xr:uid="{00000000-0005-0000-0000-000008050000}"/>
    <cellStyle name="Note 4 2 2 4 3" xfId="27057" xr:uid="{00000000-0005-0000-0000-000008050000}"/>
    <cellStyle name="Note 4 2 2 4 4" xfId="23859" xr:uid="{00000000-0005-0000-0000-000008050000}"/>
    <cellStyle name="Note 4 2 2 5" xfId="23384" xr:uid="{00000000-0005-0000-0000-0000954C0000}"/>
    <cellStyle name="Note 4 2 2 6" xfId="26882" xr:uid="{00000000-0005-0000-0000-000008050000}"/>
    <cellStyle name="Note 4 2 3" xfId="12041" xr:uid="{00000000-0005-0000-0000-0000964C0000}"/>
    <cellStyle name="Note 4 2 3 2" xfId="20046" xr:uid="{00000000-0005-0000-0000-0000974C0000}"/>
    <cellStyle name="Note 4 2 3 2 2" xfId="26337" xr:uid="{00000000-0005-0000-0000-00000B050000}"/>
    <cellStyle name="Note 4 2 3 2 3" xfId="27081" xr:uid="{00000000-0005-0000-0000-00000B050000}"/>
    <cellStyle name="Note 4 2 3 2 4" xfId="24099" xr:uid="{00000000-0005-0000-0000-00000B050000}"/>
    <cellStyle name="Note 4 2 3 3" xfId="22788" xr:uid="{00000000-0005-0000-0000-0000984C0000}"/>
    <cellStyle name="Note 4 2 3 3 2" xfId="25208" xr:uid="{00000000-0005-0000-0000-00000B050000}"/>
    <cellStyle name="Note 4 2 3 4" xfId="23424" xr:uid="{00000000-0005-0000-0000-0000994C0000}"/>
    <cellStyle name="Note 4 2 3 4 2" xfId="26922" xr:uid="{00000000-0005-0000-0000-00000B050000}"/>
    <cellStyle name="Note 4 2 4" xfId="20044" xr:uid="{00000000-0005-0000-0000-00009A4C0000}"/>
    <cellStyle name="Note 4 2 4 2" xfId="23181" xr:uid="{00000000-0005-0000-0000-00009B4C0000}"/>
    <cellStyle name="Note 4 2 4 2 2" xfId="26732" xr:uid="{00000000-0005-0000-0000-00000C050000}"/>
    <cellStyle name="Note 4 2 4 2 3" xfId="27141" xr:uid="{00000000-0005-0000-0000-00000C050000}"/>
    <cellStyle name="Note 4 2 4 2 4" xfId="24474" xr:uid="{00000000-0005-0000-0000-00000C050000}"/>
    <cellStyle name="Note 4 2 4 3" xfId="23484" xr:uid="{00000000-0005-0000-0000-00009C4C0000}"/>
    <cellStyle name="Note 4 2 4 4" xfId="26982" xr:uid="{00000000-0005-0000-0000-00000C050000}"/>
    <cellStyle name="Note 4 2 5" xfId="22270" xr:uid="{00000000-0005-0000-0000-00009D4C0000}"/>
    <cellStyle name="Note 4 2 5 2" xfId="25853" xr:uid="{00000000-0005-0000-0000-000007050000}"/>
    <cellStyle name="Note 4 2 5 3" xfId="27049" xr:uid="{00000000-0005-0000-0000-000007050000}"/>
    <cellStyle name="Note 4 2 5 4" xfId="23646" xr:uid="{00000000-0005-0000-0000-000007050000}"/>
    <cellStyle name="Note 4 2 6" xfId="23344" xr:uid="{00000000-0005-0000-0000-00009E4C0000}"/>
    <cellStyle name="Note 4 2 7" xfId="26842" xr:uid="{00000000-0005-0000-0000-000007050000}"/>
    <cellStyle name="Note 4 20" xfId="23333" xr:uid="{00000000-0005-0000-0000-00009F4C0000}"/>
    <cellStyle name="Note 4 3" xfId="12042" xr:uid="{00000000-0005-0000-0000-0000A04C0000}"/>
    <cellStyle name="Note 4 3 2" xfId="12043" xr:uid="{00000000-0005-0000-0000-0000A14C0000}"/>
    <cellStyle name="Note 4 3 2 2" xfId="20048" xr:uid="{00000000-0005-0000-0000-0000A24C0000}"/>
    <cellStyle name="Note 4 3 2 2 2" xfId="26522" xr:uid="{00000000-0005-0000-0000-00000E050000}"/>
    <cellStyle name="Note 4 3 2 2 3" xfId="27111" xr:uid="{00000000-0005-0000-0000-00000E050000}"/>
    <cellStyle name="Note 4 3 2 2 4" xfId="24270" xr:uid="{00000000-0005-0000-0000-00000E050000}"/>
    <cellStyle name="Note 4 3 2 3" xfId="22973" xr:uid="{00000000-0005-0000-0000-0000A34C0000}"/>
    <cellStyle name="Note 4 3 2 3 2" xfId="25390" xr:uid="{00000000-0005-0000-0000-00000E050000}"/>
    <cellStyle name="Note 4 3 2 4" xfId="23454" xr:uid="{00000000-0005-0000-0000-0000A44C0000}"/>
    <cellStyle name="Note 4 3 2 4 2" xfId="26952" xr:uid="{00000000-0005-0000-0000-00000E050000}"/>
    <cellStyle name="Note 4 3 3" xfId="12044" xr:uid="{00000000-0005-0000-0000-0000A54C0000}"/>
    <cellStyle name="Note 4 3 3 2" xfId="20049" xr:uid="{00000000-0005-0000-0000-0000A64C0000}"/>
    <cellStyle name="Note 4 3 3 2 2" xfId="26738" xr:uid="{00000000-0005-0000-0000-00000F050000}"/>
    <cellStyle name="Note 4 3 3 2 3" xfId="27147" xr:uid="{00000000-0005-0000-0000-00000F050000}"/>
    <cellStyle name="Note 4 3 3 2 4" xfId="24480" xr:uid="{00000000-0005-0000-0000-00000F050000}"/>
    <cellStyle name="Note 4 3 3 3" xfId="23210" xr:uid="{00000000-0005-0000-0000-0000A74C0000}"/>
    <cellStyle name="Note 4 3 3 3 2" xfId="25622" xr:uid="{00000000-0005-0000-0000-00000F050000}"/>
    <cellStyle name="Note 4 3 3 4" xfId="23514" xr:uid="{00000000-0005-0000-0000-0000A84C0000}"/>
    <cellStyle name="Note 4 3 3 4 2" xfId="27012" xr:uid="{00000000-0005-0000-0000-00000F050000}"/>
    <cellStyle name="Note 4 3 4" xfId="20047" xr:uid="{00000000-0005-0000-0000-0000A94C0000}"/>
    <cellStyle name="Note 4 3 4 2" xfId="26014" xr:uid="{00000000-0005-0000-0000-00000D050000}"/>
    <cellStyle name="Note 4 3 4 3" xfId="27055" xr:uid="{00000000-0005-0000-0000-00000D050000}"/>
    <cellStyle name="Note 4 3 4 4" xfId="23792" xr:uid="{00000000-0005-0000-0000-00000D050000}"/>
    <cellStyle name="Note 4 3 5" xfId="22447" xr:uid="{00000000-0005-0000-0000-0000AA4C0000}"/>
    <cellStyle name="Note 4 3 5 2" xfId="24867" xr:uid="{00000000-0005-0000-0000-00000D050000}"/>
    <cellStyle name="Note 4 3 6" xfId="23374" xr:uid="{00000000-0005-0000-0000-0000AB4C0000}"/>
    <cellStyle name="Note 4 3 6 2" xfId="26872" xr:uid="{00000000-0005-0000-0000-00000D050000}"/>
    <cellStyle name="Note 4 4" xfId="12045" xr:uid="{00000000-0005-0000-0000-0000AC4C0000}"/>
    <cellStyle name="Note 4 4 2" xfId="12046" xr:uid="{00000000-0005-0000-0000-0000AD4C0000}"/>
    <cellStyle name="Note 4 4 2 2" xfId="20051" xr:uid="{00000000-0005-0000-0000-0000AE4C0000}"/>
    <cellStyle name="Note 4 4 2 2 2" xfId="26257" xr:uid="{00000000-0005-0000-0000-000010050000}"/>
    <cellStyle name="Note 4 4 2 3" xfId="27071" xr:uid="{00000000-0005-0000-0000-000010050000}"/>
    <cellStyle name="Note 4 4 2 4" xfId="24021" xr:uid="{00000000-0005-0000-0000-000010050000}"/>
    <cellStyle name="Note 4 4 3" xfId="12047" xr:uid="{00000000-0005-0000-0000-0000AF4C0000}"/>
    <cellStyle name="Note 4 4 3 2" xfId="20052" xr:uid="{00000000-0005-0000-0000-0000B04C0000}"/>
    <cellStyle name="Note 4 4 3 3" xfId="25128" xr:uid="{00000000-0005-0000-0000-000010050000}"/>
    <cellStyle name="Note 4 4 4" xfId="20050" xr:uid="{00000000-0005-0000-0000-0000B14C0000}"/>
    <cellStyle name="Note 4 4 4 2" xfId="26912" xr:uid="{00000000-0005-0000-0000-000010050000}"/>
    <cellStyle name="Note 4 4 5" xfId="22709" xr:uid="{00000000-0005-0000-0000-0000B24C0000}"/>
    <cellStyle name="Note 4 4 6" xfId="23414" xr:uid="{00000000-0005-0000-0000-0000B34C0000}"/>
    <cellStyle name="Note 4 5" xfId="12048" xr:uid="{00000000-0005-0000-0000-0000B44C0000}"/>
    <cellStyle name="Note 4 5 2" xfId="12049" xr:uid="{00000000-0005-0000-0000-0000B54C0000}"/>
    <cellStyle name="Note 4 5 2 2" xfId="20054" xr:uid="{00000000-0005-0000-0000-0000B64C0000}"/>
    <cellStyle name="Note 4 5 2 3" xfId="25781" xr:uid="{00000000-0005-0000-0000-000006050000}"/>
    <cellStyle name="Note 4 5 3" xfId="12050" xr:uid="{00000000-0005-0000-0000-0000B74C0000}"/>
    <cellStyle name="Note 4 5 3 2" xfId="20055" xr:uid="{00000000-0005-0000-0000-0000B84C0000}"/>
    <cellStyle name="Note 4 5 3 3" xfId="27047" xr:uid="{00000000-0005-0000-0000-000006050000}"/>
    <cellStyle name="Note 4 5 4" xfId="20053" xr:uid="{00000000-0005-0000-0000-0000B94C0000}"/>
    <cellStyle name="Note 4 5 5" xfId="23588" xr:uid="{00000000-0005-0000-0000-000006050000}"/>
    <cellStyle name="Note 4 6" xfId="12051" xr:uid="{00000000-0005-0000-0000-0000BA4C0000}"/>
    <cellStyle name="Note 4 6 2" xfId="12052" xr:uid="{00000000-0005-0000-0000-0000BB4C0000}"/>
    <cellStyle name="Note 4 6 2 2" xfId="20057" xr:uid="{00000000-0005-0000-0000-0000BC4C0000}"/>
    <cellStyle name="Note 4 6 3" xfId="12053" xr:uid="{00000000-0005-0000-0000-0000BD4C0000}"/>
    <cellStyle name="Note 4 6 3 2" xfId="20058" xr:uid="{00000000-0005-0000-0000-0000BE4C0000}"/>
    <cellStyle name="Note 4 6 4" xfId="20056" xr:uid="{00000000-0005-0000-0000-0000BF4C0000}"/>
    <cellStyle name="Note 4 6 5" xfId="24606" xr:uid="{00000000-0005-0000-0000-000006050000}"/>
    <cellStyle name="Note 4 7" xfId="12054" xr:uid="{00000000-0005-0000-0000-0000C04C0000}"/>
    <cellStyle name="Note 4 7 2" xfId="12055" xr:uid="{00000000-0005-0000-0000-0000C14C0000}"/>
    <cellStyle name="Note 4 7 2 2" xfId="20060" xr:uid="{00000000-0005-0000-0000-0000C24C0000}"/>
    <cellStyle name="Note 4 7 3" xfId="12056" xr:uid="{00000000-0005-0000-0000-0000C34C0000}"/>
    <cellStyle name="Note 4 7 3 2" xfId="20061" xr:uid="{00000000-0005-0000-0000-0000C44C0000}"/>
    <cellStyle name="Note 4 7 4" xfId="20059" xr:uid="{00000000-0005-0000-0000-0000C54C0000}"/>
    <cellStyle name="Note 4 7 5" xfId="26832" xr:uid="{00000000-0005-0000-0000-000006050000}"/>
    <cellStyle name="Note 4 8" xfId="12057" xr:uid="{00000000-0005-0000-0000-0000C64C0000}"/>
    <cellStyle name="Note 4 8 2" xfId="12058" xr:uid="{00000000-0005-0000-0000-0000C74C0000}"/>
    <cellStyle name="Note 4 8 2 2" xfId="20063" xr:uid="{00000000-0005-0000-0000-0000C84C0000}"/>
    <cellStyle name="Note 4 8 3" xfId="12059" xr:uid="{00000000-0005-0000-0000-0000C94C0000}"/>
    <cellStyle name="Note 4 8 3 2" xfId="20064" xr:uid="{00000000-0005-0000-0000-0000CA4C0000}"/>
    <cellStyle name="Note 4 8 4" xfId="20062" xr:uid="{00000000-0005-0000-0000-0000CB4C0000}"/>
    <cellStyle name="Note 4 9" xfId="12060" xr:uid="{00000000-0005-0000-0000-0000CC4C0000}"/>
    <cellStyle name="Note 4 9 2" xfId="12061" xr:uid="{00000000-0005-0000-0000-0000CD4C0000}"/>
    <cellStyle name="Note 4 9 2 2" xfId="20066" xr:uid="{00000000-0005-0000-0000-0000CE4C0000}"/>
    <cellStyle name="Note 4 9 3" xfId="12062" xr:uid="{00000000-0005-0000-0000-0000CF4C0000}"/>
    <cellStyle name="Note 4 9 3 2" xfId="20067" xr:uid="{00000000-0005-0000-0000-0000D04C0000}"/>
    <cellStyle name="Note 4 9 4" xfId="20065" xr:uid="{00000000-0005-0000-0000-0000D14C0000}"/>
    <cellStyle name="Note 40" xfId="21755" xr:uid="{00000000-0005-0000-0000-0000D24C0000}"/>
    <cellStyle name="Note 40 2" xfId="21817" xr:uid="{00000000-0005-0000-0000-0000D34C0000}"/>
    <cellStyle name="Note 40 2 2" xfId="21909" xr:uid="{00000000-0005-0000-0000-0000D44C0000}"/>
    <cellStyle name="Note 40 3" xfId="21784" xr:uid="{00000000-0005-0000-0000-0000D54C0000}"/>
    <cellStyle name="Note 5" xfId="12063" xr:uid="{00000000-0005-0000-0000-0000D64C0000}"/>
    <cellStyle name="Note 5 10" xfId="12064" xr:uid="{00000000-0005-0000-0000-0000D74C0000}"/>
    <cellStyle name="Note 5 10 2" xfId="12065" xr:uid="{00000000-0005-0000-0000-0000D84C0000}"/>
    <cellStyle name="Note 5 10 2 2" xfId="20070" xr:uid="{00000000-0005-0000-0000-0000D94C0000}"/>
    <cellStyle name="Note 5 10 3" xfId="12066" xr:uid="{00000000-0005-0000-0000-0000DA4C0000}"/>
    <cellStyle name="Note 5 10 3 2" xfId="20071" xr:uid="{00000000-0005-0000-0000-0000DB4C0000}"/>
    <cellStyle name="Note 5 10 4" xfId="20069" xr:uid="{00000000-0005-0000-0000-0000DC4C0000}"/>
    <cellStyle name="Note 5 11" xfId="12067" xr:uid="{00000000-0005-0000-0000-0000DD4C0000}"/>
    <cellStyle name="Note 5 11 2" xfId="12068" xr:uid="{00000000-0005-0000-0000-0000DE4C0000}"/>
    <cellStyle name="Note 5 11 2 2" xfId="20073" xr:uid="{00000000-0005-0000-0000-0000DF4C0000}"/>
    <cellStyle name="Note 5 11 3" xfId="12069" xr:uid="{00000000-0005-0000-0000-0000E04C0000}"/>
    <cellStyle name="Note 5 11 3 2" xfId="20074" xr:uid="{00000000-0005-0000-0000-0000E14C0000}"/>
    <cellStyle name="Note 5 11 4" xfId="20072" xr:uid="{00000000-0005-0000-0000-0000E24C0000}"/>
    <cellStyle name="Note 5 12" xfId="12070" xr:uid="{00000000-0005-0000-0000-0000E34C0000}"/>
    <cellStyle name="Note 5 12 2" xfId="12071" xr:uid="{00000000-0005-0000-0000-0000E44C0000}"/>
    <cellStyle name="Note 5 12 2 2" xfId="20076" xr:uid="{00000000-0005-0000-0000-0000E54C0000}"/>
    <cellStyle name="Note 5 12 3" xfId="20075" xr:uid="{00000000-0005-0000-0000-0000E64C0000}"/>
    <cellStyle name="Note 5 13" xfId="12072" xr:uid="{00000000-0005-0000-0000-0000E74C0000}"/>
    <cellStyle name="Note 5 13 2" xfId="20077" xr:uid="{00000000-0005-0000-0000-0000E84C0000}"/>
    <cellStyle name="Note 5 14" xfId="12073" xr:uid="{00000000-0005-0000-0000-0000E94C0000}"/>
    <cellStyle name="Note 5 14 2" xfId="20078" xr:uid="{00000000-0005-0000-0000-0000EA4C0000}"/>
    <cellStyle name="Note 5 15" xfId="12074" xr:uid="{00000000-0005-0000-0000-0000EB4C0000}"/>
    <cellStyle name="Note 5 15 2" xfId="20079" xr:uid="{00000000-0005-0000-0000-0000EC4C0000}"/>
    <cellStyle name="Note 5 16" xfId="12075" xr:uid="{00000000-0005-0000-0000-0000ED4C0000}"/>
    <cellStyle name="Note 5 16 2" xfId="20080" xr:uid="{00000000-0005-0000-0000-0000EE4C0000}"/>
    <cellStyle name="Note 5 17" xfId="20068" xr:uid="{00000000-0005-0000-0000-0000EF4C0000}"/>
    <cellStyle name="Note 5 18" xfId="23334" xr:uid="{00000000-0005-0000-0000-0000F04C0000}"/>
    <cellStyle name="Note 5 2" xfId="12076" xr:uid="{00000000-0005-0000-0000-0000F14C0000}"/>
    <cellStyle name="Note 5 2 2" xfId="12077" xr:uid="{00000000-0005-0000-0000-0000F24C0000}"/>
    <cellStyle name="Note 5 2 2 2" xfId="20082" xr:uid="{00000000-0005-0000-0000-0000F34C0000}"/>
    <cellStyle name="Note 5 2 2 2 2" xfId="23483" xr:uid="{00000000-0005-0000-0000-0000F44C0000}"/>
    <cellStyle name="Note 5 2 2 2 2 2" xfId="26730" xr:uid="{00000000-0005-0000-0000-000014050000}"/>
    <cellStyle name="Note 5 2 2 2 2 3" xfId="27140" xr:uid="{00000000-0005-0000-0000-000014050000}"/>
    <cellStyle name="Note 5 2 2 2 2 4" xfId="24472" xr:uid="{00000000-0005-0000-0000-000014050000}"/>
    <cellStyle name="Note 5 2 2 2 3" xfId="25593" xr:uid="{00000000-0005-0000-0000-000014050000}"/>
    <cellStyle name="Note 5 2 2 2 4" xfId="26981" xr:uid="{00000000-0005-0000-0000-000014050000}"/>
    <cellStyle name="Note 5 2 2 3" xfId="23239" xr:uid="{00000000-0005-0000-0000-0000F54C0000}"/>
    <cellStyle name="Note 5 2 2 3 2" xfId="23543" xr:uid="{00000000-0005-0000-0000-0000F64C0000}"/>
    <cellStyle name="Note 5 2 2 3 2 2" xfId="26743" xr:uid="{00000000-0005-0000-0000-000015050000}"/>
    <cellStyle name="Note 5 2 2 3 2 3" xfId="27152" xr:uid="{00000000-0005-0000-0000-000015050000}"/>
    <cellStyle name="Note 5 2 2 3 2 4" xfId="24485" xr:uid="{00000000-0005-0000-0000-000015050000}"/>
    <cellStyle name="Note 5 2 2 3 3" xfId="25651" xr:uid="{00000000-0005-0000-0000-000015050000}"/>
    <cellStyle name="Note 5 2 2 3 4" xfId="27041" xr:uid="{00000000-0005-0000-0000-000015050000}"/>
    <cellStyle name="Note 5 2 2 4" xfId="23403" xr:uid="{00000000-0005-0000-0000-0000F74C0000}"/>
    <cellStyle name="Note 5 2 2 4 2" xfId="26198" xr:uid="{00000000-0005-0000-0000-000013050000}"/>
    <cellStyle name="Note 5 2 2 4 3" xfId="27060" xr:uid="{00000000-0005-0000-0000-000013050000}"/>
    <cellStyle name="Note 5 2 2 4 4" xfId="23963" xr:uid="{00000000-0005-0000-0000-000013050000}"/>
    <cellStyle name="Note 5 2 2 5" xfId="25071" xr:uid="{00000000-0005-0000-0000-000013050000}"/>
    <cellStyle name="Note 5 2 2 6" xfId="26901" xr:uid="{00000000-0005-0000-0000-000013050000}"/>
    <cellStyle name="Note 5 2 3" xfId="12078" xr:uid="{00000000-0005-0000-0000-0000F84C0000}"/>
    <cellStyle name="Note 5 2 3 2" xfId="20083" xr:uid="{00000000-0005-0000-0000-0000F94C0000}"/>
    <cellStyle name="Note 5 2 3 2 2" xfId="26465" xr:uid="{00000000-0005-0000-0000-000016050000}"/>
    <cellStyle name="Note 5 2 3 2 3" xfId="27100" xr:uid="{00000000-0005-0000-0000-000016050000}"/>
    <cellStyle name="Note 5 2 3 2 4" xfId="24215" xr:uid="{00000000-0005-0000-0000-000016050000}"/>
    <cellStyle name="Note 5 2 3 3" xfId="22916" xr:uid="{00000000-0005-0000-0000-0000FA4C0000}"/>
    <cellStyle name="Note 5 2 3 3 2" xfId="25335" xr:uid="{00000000-0005-0000-0000-000016050000}"/>
    <cellStyle name="Note 5 2 3 4" xfId="23443" xr:uid="{00000000-0005-0000-0000-0000FB4C0000}"/>
    <cellStyle name="Note 5 2 3 4 2" xfId="26941" xr:uid="{00000000-0005-0000-0000-000016050000}"/>
    <cellStyle name="Note 5 2 4" xfId="20081" xr:uid="{00000000-0005-0000-0000-0000FC4C0000}"/>
    <cellStyle name="Note 5 2 4 2" xfId="23503" xr:uid="{00000000-0005-0000-0000-0000FD4C0000}"/>
    <cellStyle name="Note 5 2 4 2 2" xfId="26735" xr:uid="{00000000-0005-0000-0000-000017050000}"/>
    <cellStyle name="Note 5 2 4 2 3" xfId="27144" xr:uid="{00000000-0005-0000-0000-000017050000}"/>
    <cellStyle name="Note 5 2 4 2 4" xfId="24477" xr:uid="{00000000-0005-0000-0000-000017050000}"/>
    <cellStyle name="Note 5 2 4 3" xfId="25611" xr:uid="{00000000-0005-0000-0000-000017050000}"/>
    <cellStyle name="Note 5 2 4 4" xfId="27001" xr:uid="{00000000-0005-0000-0000-000017050000}"/>
    <cellStyle name="Note 5 2 5" xfId="23363" xr:uid="{00000000-0005-0000-0000-0000FE4C0000}"/>
    <cellStyle name="Note 5 2 5 2" xfId="25965" xr:uid="{00000000-0005-0000-0000-000012050000}"/>
    <cellStyle name="Note 5 2 5 3" xfId="27052" xr:uid="{00000000-0005-0000-0000-000012050000}"/>
    <cellStyle name="Note 5 2 5 4" xfId="23747" xr:uid="{00000000-0005-0000-0000-000012050000}"/>
    <cellStyle name="Note 5 2 6" xfId="24810" xr:uid="{00000000-0005-0000-0000-000012050000}"/>
    <cellStyle name="Note 5 2 7" xfId="26861" xr:uid="{00000000-0005-0000-0000-000012050000}"/>
    <cellStyle name="Note 5 3" xfId="12079" xr:uid="{00000000-0005-0000-0000-0000FF4C0000}"/>
    <cellStyle name="Note 5 3 2" xfId="12080" xr:uid="{00000000-0005-0000-0000-0000004D0000}"/>
    <cellStyle name="Note 5 3 2 2" xfId="20085" xr:uid="{00000000-0005-0000-0000-0000014D0000}"/>
    <cellStyle name="Note 5 3 2 2 2" xfId="26523" xr:uid="{00000000-0005-0000-0000-000019050000}"/>
    <cellStyle name="Note 5 3 2 2 3" xfId="27112" xr:uid="{00000000-0005-0000-0000-000019050000}"/>
    <cellStyle name="Note 5 3 2 2 4" xfId="24271" xr:uid="{00000000-0005-0000-0000-000019050000}"/>
    <cellStyle name="Note 5 3 2 3" xfId="23455" xr:uid="{00000000-0005-0000-0000-0000024D0000}"/>
    <cellStyle name="Note 5 3 2 4" xfId="26953" xr:uid="{00000000-0005-0000-0000-000019050000}"/>
    <cellStyle name="Note 5 3 3" xfId="12081" xr:uid="{00000000-0005-0000-0000-0000034D0000}"/>
    <cellStyle name="Note 5 3 3 2" xfId="20086" xr:uid="{00000000-0005-0000-0000-0000044D0000}"/>
    <cellStyle name="Note 5 3 3 2 2" xfId="26739" xr:uid="{00000000-0005-0000-0000-00001A050000}"/>
    <cellStyle name="Note 5 3 3 2 3" xfId="27148" xr:uid="{00000000-0005-0000-0000-00001A050000}"/>
    <cellStyle name="Note 5 3 3 2 4" xfId="24481" xr:uid="{00000000-0005-0000-0000-00001A050000}"/>
    <cellStyle name="Note 5 3 3 3" xfId="23211" xr:uid="{00000000-0005-0000-0000-0000054D0000}"/>
    <cellStyle name="Note 5 3 3 3 2" xfId="25623" xr:uid="{00000000-0005-0000-0000-00001A050000}"/>
    <cellStyle name="Note 5 3 3 4" xfId="23515" xr:uid="{00000000-0005-0000-0000-0000064D0000}"/>
    <cellStyle name="Note 5 3 3 4 2" xfId="27013" xr:uid="{00000000-0005-0000-0000-00001A050000}"/>
    <cellStyle name="Note 5 3 4" xfId="20084" xr:uid="{00000000-0005-0000-0000-0000074D0000}"/>
    <cellStyle name="Note 5 3 4 2" xfId="26015" xr:uid="{00000000-0005-0000-0000-000018050000}"/>
    <cellStyle name="Note 5 3 4 3" xfId="27056" xr:uid="{00000000-0005-0000-0000-000018050000}"/>
    <cellStyle name="Note 5 3 4 4" xfId="23793" xr:uid="{00000000-0005-0000-0000-000018050000}"/>
    <cellStyle name="Note 5 3 5" xfId="23375" xr:uid="{00000000-0005-0000-0000-0000084D0000}"/>
    <cellStyle name="Note 5 3 6" xfId="26873" xr:uid="{00000000-0005-0000-0000-000018050000}"/>
    <cellStyle name="Note 5 4" xfId="12082" xr:uid="{00000000-0005-0000-0000-0000094D0000}"/>
    <cellStyle name="Note 5 4 2" xfId="12083" xr:uid="{00000000-0005-0000-0000-00000A4D0000}"/>
    <cellStyle name="Note 5 4 2 2" xfId="20088" xr:uid="{00000000-0005-0000-0000-00000B4D0000}"/>
    <cellStyle name="Note 5 4 2 2 2" xfId="26258" xr:uid="{00000000-0005-0000-0000-00001B050000}"/>
    <cellStyle name="Note 5 4 2 3" xfId="27072" xr:uid="{00000000-0005-0000-0000-00001B050000}"/>
    <cellStyle name="Note 5 4 2 4" xfId="24022" xr:uid="{00000000-0005-0000-0000-00001B050000}"/>
    <cellStyle name="Note 5 4 3" xfId="12084" xr:uid="{00000000-0005-0000-0000-00000C4D0000}"/>
    <cellStyle name="Note 5 4 3 2" xfId="20089" xr:uid="{00000000-0005-0000-0000-00000D4D0000}"/>
    <cellStyle name="Note 5 4 3 3" xfId="25129" xr:uid="{00000000-0005-0000-0000-00001B050000}"/>
    <cellStyle name="Note 5 4 4" xfId="20087" xr:uid="{00000000-0005-0000-0000-00000E4D0000}"/>
    <cellStyle name="Note 5 4 4 2" xfId="26913" xr:uid="{00000000-0005-0000-0000-00001B050000}"/>
    <cellStyle name="Note 5 4 5" xfId="23415" xr:uid="{00000000-0005-0000-0000-00000F4D0000}"/>
    <cellStyle name="Note 5 5" xfId="12085" xr:uid="{00000000-0005-0000-0000-0000104D0000}"/>
    <cellStyle name="Note 5 5 2" xfId="12086" xr:uid="{00000000-0005-0000-0000-0000114D0000}"/>
    <cellStyle name="Note 5 5 2 2" xfId="20091" xr:uid="{00000000-0005-0000-0000-0000124D0000}"/>
    <cellStyle name="Note 5 5 2 3" xfId="25782" xr:uid="{00000000-0005-0000-0000-000011050000}"/>
    <cellStyle name="Note 5 5 3" xfId="12087" xr:uid="{00000000-0005-0000-0000-0000134D0000}"/>
    <cellStyle name="Note 5 5 3 2" xfId="20092" xr:uid="{00000000-0005-0000-0000-0000144D0000}"/>
    <cellStyle name="Note 5 5 3 3" xfId="27048" xr:uid="{00000000-0005-0000-0000-000011050000}"/>
    <cellStyle name="Note 5 5 4" xfId="20090" xr:uid="{00000000-0005-0000-0000-0000154D0000}"/>
    <cellStyle name="Note 5 5 5" xfId="23589" xr:uid="{00000000-0005-0000-0000-000011050000}"/>
    <cellStyle name="Note 5 6" xfId="12088" xr:uid="{00000000-0005-0000-0000-0000164D0000}"/>
    <cellStyle name="Note 5 6 2" xfId="12089" xr:uid="{00000000-0005-0000-0000-0000174D0000}"/>
    <cellStyle name="Note 5 6 2 2" xfId="20094" xr:uid="{00000000-0005-0000-0000-0000184D0000}"/>
    <cellStyle name="Note 5 6 3" xfId="12090" xr:uid="{00000000-0005-0000-0000-0000194D0000}"/>
    <cellStyle name="Note 5 6 3 2" xfId="20095" xr:uid="{00000000-0005-0000-0000-00001A4D0000}"/>
    <cellStyle name="Note 5 6 4" xfId="20093" xr:uid="{00000000-0005-0000-0000-00001B4D0000}"/>
    <cellStyle name="Note 5 6 5" xfId="24607" xr:uid="{00000000-0005-0000-0000-000011050000}"/>
    <cellStyle name="Note 5 7" xfId="12091" xr:uid="{00000000-0005-0000-0000-00001C4D0000}"/>
    <cellStyle name="Note 5 7 2" xfId="12092" xr:uid="{00000000-0005-0000-0000-00001D4D0000}"/>
    <cellStyle name="Note 5 7 2 2" xfId="20097" xr:uid="{00000000-0005-0000-0000-00001E4D0000}"/>
    <cellStyle name="Note 5 7 3" xfId="12093" xr:uid="{00000000-0005-0000-0000-00001F4D0000}"/>
    <cellStyle name="Note 5 7 3 2" xfId="20098" xr:uid="{00000000-0005-0000-0000-0000204D0000}"/>
    <cellStyle name="Note 5 7 4" xfId="20096" xr:uid="{00000000-0005-0000-0000-0000214D0000}"/>
    <cellStyle name="Note 5 7 5" xfId="26833" xr:uid="{00000000-0005-0000-0000-000011050000}"/>
    <cellStyle name="Note 5 8" xfId="12094" xr:uid="{00000000-0005-0000-0000-0000224D0000}"/>
    <cellStyle name="Note 5 8 2" xfId="12095" xr:uid="{00000000-0005-0000-0000-0000234D0000}"/>
    <cellStyle name="Note 5 8 2 2" xfId="20100" xr:uid="{00000000-0005-0000-0000-0000244D0000}"/>
    <cellStyle name="Note 5 8 3" xfId="12096" xr:uid="{00000000-0005-0000-0000-0000254D0000}"/>
    <cellStyle name="Note 5 8 3 2" xfId="20101" xr:uid="{00000000-0005-0000-0000-0000264D0000}"/>
    <cellStyle name="Note 5 8 4" xfId="20099" xr:uid="{00000000-0005-0000-0000-0000274D0000}"/>
    <cellStyle name="Note 5 9" xfId="12097" xr:uid="{00000000-0005-0000-0000-0000284D0000}"/>
    <cellStyle name="Note 5 9 2" xfId="12098" xr:uid="{00000000-0005-0000-0000-0000294D0000}"/>
    <cellStyle name="Note 5 9 2 2" xfId="20103" xr:uid="{00000000-0005-0000-0000-00002A4D0000}"/>
    <cellStyle name="Note 5 9 3" xfId="12099" xr:uid="{00000000-0005-0000-0000-00002B4D0000}"/>
    <cellStyle name="Note 5 9 3 2" xfId="20104" xr:uid="{00000000-0005-0000-0000-00002C4D0000}"/>
    <cellStyle name="Note 5 9 4" xfId="20102" xr:uid="{00000000-0005-0000-0000-00002D4D0000}"/>
    <cellStyle name="Note 6" xfId="12100" xr:uid="{00000000-0005-0000-0000-00002E4D0000}"/>
    <cellStyle name="Note 6 10" xfId="12101" xr:uid="{00000000-0005-0000-0000-00002F4D0000}"/>
    <cellStyle name="Note 6 10 2" xfId="12102" xr:uid="{00000000-0005-0000-0000-0000304D0000}"/>
    <cellStyle name="Note 6 10 2 2" xfId="20107" xr:uid="{00000000-0005-0000-0000-0000314D0000}"/>
    <cellStyle name="Note 6 10 3" xfId="12103" xr:uid="{00000000-0005-0000-0000-0000324D0000}"/>
    <cellStyle name="Note 6 10 3 2" xfId="20108" xr:uid="{00000000-0005-0000-0000-0000334D0000}"/>
    <cellStyle name="Note 6 10 4" xfId="20106" xr:uid="{00000000-0005-0000-0000-0000344D0000}"/>
    <cellStyle name="Note 6 11" xfId="12104" xr:uid="{00000000-0005-0000-0000-0000354D0000}"/>
    <cellStyle name="Note 6 11 2" xfId="12105" xr:uid="{00000000-0005-0000-0000-0000364D0000}"/>
    <cellStyle name="Note 6 11 2 2" xfId="20110" xr:uid="{00000000-0005-0000-0000-0000374D0000}"/>
    <cellStyle name="Note 6 11 3" xfId="12106" xr:uid="{00000000-0005-0000-0000-0000384D0000}"/>
    <cellStyle name="Note 6 11 3 2" xfId="20111" xr:uid="{00000000-0005-0000-0000-0000394D0000}"/>
    <cellStyle name="Note 6 11 4" xfId="20109" xr:uid="{00000000-0005-0000-0000-00003A4D0000}"/>
    <cellStyle name="Note 6 12" xfId="12107" xr:uid="{00000000-0005-0000-0000-00003B4D0000}"/>
    <cellStyle name="Note 6 12 2" xfId="12108" xr:uid="{00000000-0005-0000-0000-00003C4D0000}"/>
    <cellStyle name="Note 6 12 2 2" xfId="20113" xr:uid="{00000000-0005-0000-0000-00003D4D0000}"/>
    <cellStyle name="Note 6 12 3" xfId="20112" xr:uid="{00000000-0005-0000-0000-00003E4D0000}"/>
    <cellStyle name="Note 6 13" xfId="12109" xr:uid="{00000000-0005-0000-0000-00003F4D0000}"/>
    <cellStyle name="Note 6 13 2" xfId="20114" xr:uid="{00000000-0005-0000-0000-0000404D0000}"/>
    <cellStyle name="Note 6 14" xfId="12110" xr:uid="{00000000-0005-0000-0000-0000414D0000}"/>
    <cellStyle name="Note 6 14 2" xfId="20115" xr:uid="{00000000-0005-0000-0000-0000424D0000}"/>
    <cellStyle name="Note 6 15" xfId="12111" xr:uid="{00000000-0005-0000-0000-0000434D0000}"/>
    <cellStyle name="Note 6 15 2" xfId="20116" xr:uid="{00000000-0005-0000-0000-0000444D0000}"/>
    <cellStyle name="Note 6 16" xfId="12112" xr:uid="{00000000-0005-0000-0000-0000454D0000}"/>
    <cellStyle name="Note 6 16 2" xfId="20117" xr:uid="{00000000-0005-0000-0000-0000464D0000}"/>
    <cellStyle name="Note 6 17" xfId="20105" xr:uid="{00000000-0005-0000-0000-0000474D0000}"/>
    <cellStyle name="Note 6 18" xfId="22186" xr:uid="{00000000-0005-0000-0000-0000484D0000}"/>
    <cellStyle name="Note 6 2" xfId="12113" xr:uid="{00000000-0005-0000-0000-0000494D0000}"/>
    <cellStyle name="Note 6 2 2" xfId="12114" xr:uid="{00000000-0005-0000-0000-00004A4D0000}"/>
    <cellStyle name="Note 6 2 2 2" xfId="20119" xr:uid="{00000000-0005-0000-0000-00004B4D0000}"/>
    <cellStyle name="Note 6 2 2 2 2" xfId="23162" xr:uid="{00000000-0005-0000-0000-00004C4D0000}"/>
    <cellStyle name="Note 6 2 2 2 2 2" xfId="24454" xr:uid="{00000000-0005-0000-0000-000020050000}"/>
    <cellStyle name="Note 6 2 2 2 2 2 2" xfId="26712" xr:uid="{00000000-0005-0000-0000-000020050000}"/>
    <cellStyle name="Note 6 2 2 2 2 3" xfId="25576" xr:uid="{00000000-0005-0000-0000-000020050000}"/>
    <cellStyle name="Note 6 2 2 2 3" xfId="22636" xr:uid="{00000000-0005-0000-0000-00004D4D0000}"/>
    <cellStyle name="Note 6 2 2 2 3 2" xfId="26181" xr:uid="{00000000-0005-0000-0000-00001F050000}"/>
    <cellStyle name="Note 6 2 2 2 4" xfId="25054" xr:uid="{00000000-0005-0000-0000-00001F050000}"/>
    <cellStyle name="Note 6 2 2 3" xfId="22898" xr:uid="{00000000-0005-0000-0000-00004E4D0000}"/>
    <cellStyle name="Note 6 2 2 3 2" xfId="24198" xr:uid="{00000000-0005-0000-0000-000021050000}"/>
    <cellStyle name="Note 6 2 2 3 2 2" xfId="26447" xr:uid="{00000000-0005-0000-0000-000021050000}"/>
    <cellStyle name="Note 6 2 2 3 3" xfId="25317" xr:uid="{00000000-0005-0000-0000-000021050000}"/>
    <cellStyle name="Note 6 2 2 4" xfId="22376" xr:uid="{00000000-0005-0000-0000-00004F4D0000}"/>
    <cellStyle name="Note 6 2 2 4 2" xfId="25948" xr:uid="{00000000-0005-0000-0000-00001E050000}"/>
    <cellStyle name="Note 6 2 2 5" xfId="24793" xr:uid="{00000000-0005-0000-0000-00001E050000}"/>
    <cellStyle name="Note 6 2 3" xfId="12115" xr:uid="{00000000-0005-0000-0000-0000504D0000}"/>
    <cellStyle name="Note 6 2 3 2" xfId="20120" xr:uid="{00000000-0005-0000-0000-0000514D0000}"/>
    <cellStyle name="Note 6 2 3 2 2" xfId="23033" xr:uid="{00000000-0005-0000-0000-0000524D0000}"/>
    <cellStyle name="Note 6 2 3 2 2 2" xfId="26583" xr:uid="{00000000-0005-0000-0000-000023050000}"/>
    <cellStyle name="Note 6 2 3 2 3" xfId="25449" xr:uid="{00000000-0005-0000-0000-000023050000}"/>
    <cellStyle name="Note 6 2 3 3" xfId="22507" xr:uid="{00000000-0005-0000-0000-0000534D0000}"/>
    <cellStyle name="Note 6 2 3 3 2" xfId="26067" xr:uid="{00000000-0005-0000-0000-000022050000}"/>
    <cellStyle name="Note 6 2 3 4" xfId="24927" xr:uid="{00000000-0005-0000-0000-000022050000}"/>
    <cellStyle name="Note 6 2 4" xfId="20118" xr:uid="{00000000-0005-0000-0000-0000544D0000}"/>
    <cellStyle name="Note 6 2 4 2" xfId="22769" xr:uid="{00000000-0005-0000-0000-0000554D0000}"/>
    <cellStyle name="Note 6 2 4 2 2" xfId="26318" xr:uid="{00000000-0005-0000-0000-000024050000}"/>
    <cellStyle name="Note 6 2 4 3" xfId="25189" xr:uid="{00000000-0005-0000-0000-000024050000}"/>
    <cellStyle name="Note 6 2 5" xfId="22250" xr:uid="{00000000-0005-0000-0000-0000564D0000}"/>
    <cellStyle name="Note 6 2 5 2" xfId="25834" xr:uid="{00000000-0005-0000-0000-00001D050000}"/>
    <cellStyle name="Note 6 2 6" xfId="24667" xr:uid="{00000000-0005-0000-0000-00001D050000}"/>
    <cellStyle name="Note 6 3" xfId="12116" xr:uid="{00000000-0005-0000-0000-0000574D0000}"/>
    <cellStyle name="Note 6 3 2" xfId="12117" xr:uid="{00000000-0005-0000-0000-0000584D0000}"/>
    <cellStyle name="Note 6 3 2 2" xfId="20122" xr:uid="{00000000-0005-0000-0000-0000594D0000}"/>
    <cellStyle name="Note 6 3 2 2 2" xfId="23111" xr:uid="{00000000-0005-0000-0000-00005A4D0000}"/>
    <cellStyle name="Note 6 3 2 2 2 2" xfId="26661" xr:uid="{00000000-0005-0000-0000-000027050000}"/>
    <cellStyle name="Note 6 3 2 2 3" xfId="25525" xr:uid="{00000000-0005-0000-0000-000027050000}"/>
    <cellStyle name="Note 6 3 2 3" xfId="22585" xr:uid="{00000000-0005-0000-0000-00005B4D0000}"/>
    <cellStyle name="Note 6 3 2 3 2" xfId="26130" xr:uid="{00000000-0005-0000-0000-000026050000}"/>
    <cellStyle name="Note 6 3 2 4" xfId="25003" xr:uid="{00000000-0005-0000-0000-000026050000}"/>
    <cellStyle name="Note 6 3 3" xfId="12118" xr:uid="{00000000-0005-0000-0000-00005C4D0000}"/>
    <cellStyle name="Note 6 3 3 2" xfId="20123" xr:uid="{00000000-0005-0000-0000-00005D4D0000}"/>
    <cellStyle name="Note 6 3 3 2 2" xfId="26396" xr:uid="{00000000-0005-0000-0000-000028050000}"/>
    <cellStyle name="Note 6 3 3 2 3" xfId="24147" xr:uid="{00000000-0005-0000-0000-000028050000}"/>
    <cellStyle name="Note 6 3 3 3" xfId="22847" xr:uid="{00000000-0005-0000-0000-00005E4D0000}"/>
    <cellStyle name="Note 6 3 4" xfId="20121" xr:uid="{00000000-0005-0000-0000-00005F4D0000}"/>
    <cellStyle name="Note 6 3 4 2" xfId="25897" xr:uid="{00000000-0005-0000-0000-000025050000}"/>
    <cellStyle name="Note 6 3 4 3" xfId="23687" xr:uid="{00000000-0005-0000-0000-000025050000}"/>
    <cellStyle name="Note 6 3 5" xfId="22326" xr:uid="{00000000-0005-0000-0000-0000604D0000}"/>
    <cellStyle name="Note 6 4" xfId="12119" xr:uid="{00000000-0005-0000-0000-0000614D0000}"/>
    <cellStyle name="Note 6 4 2" xfId="12120" xr:uid="{00000000-0005-0000-0000-0000624D0000}"/>
    <cellStyle name="Note 6 4 2 2" xfId="20125" xr:uid="{00000000-0005-0000-0000-0000634D0000}"/>
    <cellStyle name="Note 6 4 2 2 2" xfId="26524" xr:uid="{00000000-0005-0000-0000-00002A050000}"/>
    <cellStyle name="Note 6 4 2 2 3" xfId="24272" xr:uid="{00000000-0005-0000-0000-00002A050000}"/>
    <cellStyle name="Note 6 4 2 3" xfId="22974" xr:uid="{00000000-0005-0000-0000-0000644D0000}"/>
    <cellStyle name="Note 6 4 3" xfId="12121" xr:uid="{00000000-0005-0000-0000-0000654D0000}"/>
    <cellStyle name="Note 6 4 3 2" xfId="20126" xr:uid="{00000000-0005-0000-0000-0000664D0000}"/>
    <cellStyle name="Note 6 4 3 2 2" xfId="26016" xr:uid="{00000000-0005-0000-0000-000029050000}"/>
    <cellStyle name="Note 6 4 3 3" xfId="23794" xr:uid="{00000000-0005-0000-0000-000029050000}"/>
    <cellStyle name="Note 6 4 4" xfId="20124" xr:uid="{00000000-0005-0000-0000-0000674D0000}"/>
    <cellStyle name="Note 6 4 4 2" xfId="24868" xr:uid="{00000000-0005-0000-0000-000029050000}"/>
    <cellStyle name="Note 6 4 5" xfId="22448" xr:uid="{00000000-0005-0000-0000-0000684D0000}"/>
    <cellStyle name="Note 6 5" xfId="12122" xr:uid="{00000000-0005-0000-0000-0000694D0000}"/>
    <cellStyle name="Note 6 5 2" xfId="12123" xr:uid="{00000000-0005-0000-0000-00006A4D0000}"/>
    <cellStyle name="Note 6 5 2 2" xfId="20128" xr:uid="{00000000-0005-0000-0000-00006B4D0000}"/>
    <cellStyle name="Note 6 5 2 2 2" xfId="26259" xr:uid="{00000000-0005-0000-0000-00002B050000}"/>
    <cellStyle name="Note 6 5 2 3" xfId="24023" xr:uid="{00000000-0005-0000-0000-00002B050000}"/>
    <cellStyle name="Note 6 5 3" xfId="12124" xr:uid="{00000000-0005-0000-0000-00006C4D0000}"/>
    <cellStyle name="Note 6 5 3 2" xfId="20129" xr:uid="{00000000-0005-0000-0000-00006D4D0000}"/>
    <cellStyle name="Note 6 5 3 3" xfId="25130" xr:uid="{00000000-0005-0000-0000-00002B050000}"/>
    <cellStyle name="Note 6 5 4" xfId="20127" xr:uid="{00000000-0005-0000-0000-00006E4D0000}"/>
    <cellStyle name="Note 6 5 5" xfId="22710" xr:uid="{00000000-0005-0000-0000-00006F4D0000}"/>
    <cellStyle name="Note 6 6" xfId="12125" xr:uid="{00000000-0005-0000-0000-0000704D0000}"/>
    <cellStyle name="Note 6 6 2" xfId="12126" xr:uid="{00000000-0005-0000-0000-0000714D0000}"/>
    <cellStyle name="Note 6 6 2 2" xfId="20131" xr:uid="{00000000-0005-0000-0000-0000724D0000}"/>
    <cellStyle name="Note 6 6 2 3" xfId="25783" xr:uid="{00000000-0005-0000-0000-00001C050000}"/>
    <cellStyle name="Note 6 6 3" xfId="12127" xr:uid="{00000000-0005-0000-0000-0000734D0000}"/>
    <cellStyle name="Note 6 6 3 2" xfId="20132" xr:uid="{00000000-0005-0000-0000-0000744D0000}"/>
    <cellStyle name="Note 6 6 4" xfId="20130" xr:uid="{00000000-0005-0000-0000-0000754D0000}"/>
    <cellStyle name="Note 6 6 5" xfId="23590" xr:uid="{00000000-0005-0000-0000-00001C050000}"/>
    <cellStyle name="Note 6 7" xfId="12128" xr:uid="{00000000-0005-0000-0000-0000764D0000}"/>
    <cellStyle name="Note 6 7 2" xfId="12129" xr:uid="{00000000-0005-0000-0000-0000774D0000}"/>
    <cellStyle name="Note 6 7 2 2" xfId="20134" xr:uid="{00000000-0005-0000-0000-0000784D0000}"/>
    <cellStyle name="Note 6 7 3" xfId="12130" xr:uid="{00000000-0005-0000-0000-0000794D0000}"/>
    <cellStyle name="Note 6 7 3 2" xfId="20135" xr:uid="{00000000-0005-0000-0000-00007A4D0000}"/>
    <cellStyle name="Note 6 7 4" xfId="20133" xr:uid="{00000000-0005-0000-0000-00007B4D0000}"/>
    <cellStyle name="Note 6 7 5" xfId="24608" xr:uid="{00000000-0005-0000-0000-00001C050000}"/>
    <cellStyle name="Note 6 8" xfId="12131" xr:uid="{00000000-0005-0000-0000-00007C4D0000}"/>
    <cellStyle name="Note 6 8 2" xfId="12132" xr:uid="{00000000-0005-0000-0000-00007D4D0000}"/>
    <cellStyle name="Note 6 8 2 2" xfId="20137" xr:uid="{00000000-0005-0000-0000-00007E4D0000}"/>
    <cellStyle name="Note 6 8 3" xfId="12133" xr:uid="{00000000-0005-0000-0000-00007F4D0000}"/>
    <cellStyle name="Note 6 8 3 2" xfId="20138" xr:uid="{00000000-0005-0000-0000-0000804D0000}"/>
    <cellStyle name="Note 6 8 4" xfId="20136" xr:uid="{00000000-0005-0000-0000-0000814D0000}"/>
    <cellStyle name="Note 6 9" xfId="12134" xr:uid="{00000000-0005-0000-0000-0000824D0000}"/>
    <cellStyle name="Note 6 9 2" xfId="12135" xr:uid="{00000000-0005-0000-0000-0000834D0000}"/>
    <cellStyle name="Note 6 9 2 2" xfId="20140" xr:uid="{00000000-0005-0000-0000-0000844D0000}"/>
    <cellStyle name="Note 6 9 3" xfId="12136" xr:uid="{00000000-0005-0000-0000-0000854D0000}"/>
    <cellStyle name="Note 6 9 3 2" xfId="20141" xr:uid="{00000000-0005-0000-0000-0000864D0000}"/>
    <cellStyle name="Note 6 9 4" xfId="20139" xr:uid="{00000000-0005-0000-0000-0000874D0000}"/>
    <cellStyle name="Note 7" xfId="12137" xr:uid="{00000000-0005-0000-0000-0000884D0000}"/>
    <cellStyle name="Note 7 10" xfId="12138" xr:uid="{00000000-0005-0000-0000-0000894D0000}"/>
    <cellStyle name="Note 7 10 2" xfId="12139" xr:uid="{00000000-0005-0000-0000-00008A4D0000}"/>
    <cellStyle name="Note 7 10 2 2" xfId="20144" xr:uid="{00000000-0005-0000-0000-00008B4D0000}"/>
    <cellStyle name="Note 7 10 3" xfId="12140" xr:uid="{00000000-0005-0000-0000-00008C4D0000}"/>
    <cellStyle name="Note 7 10 3 2" xfId="20145" xr:uid="{00000000-0005-0000-0000-00008D4D0000}"/>
    <cellStyle name="Note 7 10 4" xfId="20143" xr:uid="{00000000-0005-0000-0000-00008E4D0000}"/>
    <cellStyle name="Note 7 11" xfId="12141" xr:uid="{00000000-0005-0000-0000-00008F4D0000}"/>
    <cellStyle name="Note 7 11 2" xfId="12142" xr:uid="{00000000-0005-0000-0000-0000904D0000}"/>
    <cellStyle name="Note 7 11 2 2" xfId="20147" xr:uid="{00000000-0005-0000-0000-0000914D0000}"/>
    <cellStyle name="Note 7 11 3" xfId="12143" xr:uid="{00000000-0005-0000-0000-0000924D0000}"/>
    <cellStyle name="Note 7 11 3 2" xfId="20148" xr:uid="{00000000-0005-0000-0000-0000934D0000}"/>
    <cellStyle name="Note 7 11 4" xfId="20146" xr:uid="{00000000-0005-0000-0000-0000944D0000}"/>
    <cellStyle name="Note 7 12" xfId="12144" xr:uid="{00000000-0005-0000-0000-0000954D0000}"/>
    <cellStyle name="Note 7 12 2" xfId="12145" xr:uid="{00000000-0005-0000-0000-0000964D0000}"/>
    <cellStyle name="Note 7 12 2 2" xfId="20150" xr:uid="{00000000-0005-0000-0000-0000974D0000}"/>
    <cellStyle name="Note 7 12 3" xfId="20149" xr:uid="{00000000-0005-0000-0000-0000984D0000}"/>
    <cellStyle name="Note 7 13" xfId="12146" xr:uid="{00000000-0005-0000-0000-0000994D0000}"/>
    <cellStyle name="Note 7 13 2" xfId="20151" xr:uid="{00000000-0005-0000-0000-00009A4D0000}"/>
    <cellStyle name="Note 7 14" xfId="12147" xr:uid="{00000000-0005-0000-0000-00009B4D0000}"/>
    <cellStyle name="Note 7 14 2" xfId="20152" xr:uid="{00000000-0005-0000-0000-00009C4D0000}"/>
    <cellStyle name="Note 7 15" xfId="12148" xr:uid="{00000000-0005-0000-0000-00009D4D0000}"/>
    <cellStyle name="Note 7 15 2" xfId="20153" xr:uid="{00000000-0005-0000-0000-00009E4D0000}"/>
    <cellStyle name="Note 7 16" xfId="12149" xr:uid="{00000000-0005-0000-0000-00009F4D0000}"/>
    <cellStyle name="Note 7 16 2" xfId="20154" xr:uid="{00000000-0005-0000-0000-0000A04D0000}"/>
    <cellStyle name="Note 7 17" xfId="20142" xr:uid="{00000000-0005-0000-0000-0000A14D0000}"/>
    <cellStyle name="Note 7 2" xfId="12150" xr:uid="{00000000-0005-0000-0000-0000A24D0000}"/>
    <cellStyle name="Note 7 2 2" xfId="12151" xr:uid="{00000000-0005-0000-0000-0000A34D0000}"/>
    <cellStyle name="Note 7 2 2 2" xfId="20156" xr:uid="{00000000-0005-0000-0000-0000A44D0000}"/>
    <cellStyle name="Note 7 2 3" xfId="12152" xr:uid="{00000000-0005-0000-0000-0000A54D0000}"/>
    <cellStyle name="Note 7 2 3 2" xfId="20157" xr:uid="{00000000-0005-0000-0000-0000A64D0000}"/>
    <cellStyle name="Note 7 2 4" xfId="20155" xr:uid="{00000000-0005-0000-0000-0000A74D0000}"/>
    <cellStyle name="Note 7 3" xfId="12153" xr:uid="{00000000-0005-0000-0000-0000A84D0000}"/>
    <cellStyle name="Note 7 3 2" xfId="12154" xr:uid="{00000000-0005-0000-0000-0000A94D0000}"/>
    <cellStyle name="Note 7 3 2 2" xfId="20159" xr:uid="{00000000-0005-0000-0000-0000AA4D0000}"/>
    <cellStyle name="Note 7 3 3" xfId="12155" xr:uid="{00000000-0005-0000-0000-0000AB4D0000}"/>
    <cellStyle name="Note 7 3 3 2" xfId="20160" xr:uid="{00000000-0005-0000-0000-0000AC4D0000}"/>
    <cellStyle name="Note 7 3 4" xfId="20158" xr:uid="{00000000-0005-0000-0000-0000AD4D0000}"/>
    <cellStyle name="Note 7 4" xfId="12156" xr:uid="{00000000-0005-0000-0000-0000AE4D0000}"/>
    <cellStyle name="Note 7 4 2" xfId="12157" xr:uid="{00000000-0005-0000-0000-0000AF4D0000}"/>
    <cellStyle name="Note 7 4 2 2" xfId="20162" xr:uid="{00000000-0005-0000-0000-0000B04D0000}"/>
    <cellStyle name="Note 7 4 3" xfId="12158" xr:uid="{00000000-0005-0000-0000-0000B14D0000}"/>
    <cellStyle name="Note 7 4 3 2" xfId="20163" xr:uid="{00000000-0005-0000-0000-0000B24D0000}"/>
    <cellStyle name="Note 7 4 4" xfId="20161" xr:uid="{00000000-0005-0000-0000-0000B34D0000}"/>
    <cellStyle name="Note 7 5" xfId="12159" xr:uid="{00000000-0005-0000-0000-0000B44D0000}"/>
    <cellStyle name="Note 7 5 2" xfId="12160" xr:uid="{00000000-0005-0000-0000-0000B54D0000}"/>
    <cellStyle name="Note 7 5 2 2" xfId="20165" xr:uid="{00000000-0005-0000-0000-0000B64D0000}"/>
    <cellStyle name="Note 7 5 3" xfId="12161" xr:uid="{00000000-0005-0000-0000-0000B74D0000}"/>
    <cellStyle name="Note 7 5 3 2" xfId="20166" xr:uid="{00000000-0005-0000-0000-0000B84D0000}"/>
    <cellStyle name="Note 7 5 4" xfId="20164" xr:uid="{00000000-0005-0000-0000-0000B94D0000}"/>
    <cellStyle name="Note 7 6" xfId="12162" xr:uid="{00000000-0005-0000-0000-0000BA4D0000}"/>
    <cellStyle name="Note 7 6 2" xfId="12163" xr:uid="{00000000-0005-0000-0000-0000BB4D0000}"/>
    <cellStyle name="Note 7 6 2 2" xfId="20168" xr:uid="{00000000-0005-0000-0000-0000BC4D0000}"/>
    <cellStyle name="Note 7 6 3" xfId="12164" xr:uid="{00000000-0005-0000-0000-0000BD4D0000}"/>
    <cellStyle name="Note 7 6 3 2" xfId="20169" xr:uid="{00000000-0005-0000-0000-0000BE4D0000}"/>
    <cellStyle name="Note 7 6 4" xfId="20167" xr:uid="{00000000-0005-0000-0000-0000BF4D0000}"/>
    <cellStyle name="Note 7 7" xfId="12165" xr:uid="{00000000-0005-0000-0000-0000C04D0000}"/>
    <cellStyle name="Note 7 7 2" xfId="12166" xr:uid="{00000000-0005-0000-0000-0000C14D0000}"/>
    <cellStyle name="Note 7 7 2 2" xfId="20171" xr:uid="{00000000-0005-0000-0000-0000C24D0000}"/>
    <cellStyle name="Note 7 7 3" xfId="12167" xr:uid="{00000000-0005-0000-0000-0000C34D0000}"/>
    <cellStyle name="Note 7 7 3 2" xfId="20172" xr:uid="{00000000-0005-0000-0000-0000C44D0000}"/>
    <cellStyle name="Note 7 7 4" xfId="20170" xr:uid="{00000000-0005-0000-0000-0000C54D0000}"/>
    <cellStyle name="Note 7 8" xfId="12168" xr:uid="{00000000-0005-0000-0000-0000C64D0000}"/>
    <cellStyle name="Note 7 8 2" xfId="12169" xr:uid="{00000000-0005-0000-0000-0000C74D0000}"/>
    <cellStyle name="Note 7 8 2 2" xfId="20174" xr:uid="{00000000-0005-0000-0000-0000C84D0000}"/>
    <cellStyle name="Note 7 8 3" xfId="12170" xr:uid="{00000000-0005-0000-0000-0000C94D0000}"/>
    <cellStyle name="Note 7 8 3 2" xfId="20175" xr:uid="{00000000-0005-0000-0000-0000CA4D0000}"/>
    <cellStyle name="Note 7 8 4" xfId="20173" xr:uid="{00000000-0005-0000-0000-0000CB4D0000}"/>
    <cellStyle name="Note 7 9" xfId="12171" xr:uid="{00000000-0005-0000-0000-0000CC4D0000}"/>
    <cellStyle name="Note 7 9 2" xfId="12172" xr:uid="{00000000-0005-0000-0000-0000CD4D0000}"/>
    <cellStyle name="Note 7 9 2 2" xfId="20177" xr:uid="{00000000-0005-0000-0000-0000CE4D0000}"/>
    <cellStyle name="Note 7 9 3" xfId="12173" xr:uid="{00000000-0005-0000-0000-0000CF4D0000}"/>
    <cellStyle name="Note 7 9 3 2" xfId="20178" xr:uid="{00000000-0005-0000-0000-0000D04D0000}"/>
    <cellStyle name="Note 7 9 4" xfId="20176" xr:uid="{00000000-0005-0000-0000-0000D14D0000}"/>
    <cellStyle name="Note 8" xfId="12174" xr:uid="{00000000-0005-0000-0000-0000D24D0000}"/>
    <cellStyle name="Note 8 10" xfId="12175" xr:uid="{00000000-0005-0000-0000-0000D34D0000}"/>
    <cellStyle name="Note 8 10 2" xfId="12176" xr:uid="{00000000-0005-0000-0000-0000D44D0000}"/>
    <cellStyle name="Note 8 10 2 2" xfId="20181" xr:uid="{00000000-0005-0000-0000-0000D54D0000}"/>
    <cellStyle name="Note 8 10 3" xfId="12177" xr:uid="{00000000-0005-0000-0000-0000D64D0000}"/>
    <cellStyle name="Note 8 10 3 2" xfId="20182" xr:uid="{00000000-0005-0000-0000-0000D74D0000}"/>
    <cellStyle name="Note 8 10 4" xfId="20180" xr:uid="{00000000-0005-0000-0000-0000D84D0000}"/>
    <cellStyle name="Note 8 11" xfId="12178" xr:uid="{00000000-0005-0000-0000-0000D94D0000}"/>
    <cellStyle name="Note 8 11 2" xfId="12179" xr:uid="{00000000-0005-0000-0000-0000DA4D0000}"/>
    <cellStyle name="Note 8 11 2 2" xfId="20184" xr:uid="{00000000-0005-0000-0000-0000DB4D0000}"/>
    <cellStyle name="Note 8 11 3" xfId="12180" xr:uid="{00000000-0005-0000-0000-0000DC4D0000}"/>
    <cellStyle name="Note 8 11 3 2" xfId="20185" xr:uid="{00000000-0005-0000-0000-0000DD4D0000}"/>
    <cellStyle name="Note 8 11 4" xfId="20183" xr:uid="{00000000-0005-0000-0000-0000DE4D0000}"/>
    <cellStyle name="Note 8 12" xfId="12181" xr:uid="{00000000-0005-0000-0000-0000DF4D0000}"/>
    <cellStyle name="Note 8 12 2" xfId="12182" xr:uid="{00000000-0005-0000-0000-0000E04D0000}"/>
    <cellStyle name="Note 8 12 2 2" xfId="20187" xr:uid="{00000000-0005-0000-0000-0000E14D0000}"/>
    <cellStyle name="Note 8 12 3" xfId="20186" xr:uid="{00000000-0005-0000-0000-0000E24D0000}"/>
    <cellStyle name="Note 8 13" xfId="12183" xr:uid="{00000000-0005-0000-0000-0000E34D0000}"/>
    <cellStyle name="Note 8 13 2" xfId="20188" xr:uid="{00000000-0005-0000-0000-0000E44D0000}"/>
    <cellStyle name="Note 8 14" xfId="12184" xr:uid="{00000000-0005-0000-0000-0000E54D0000}"/>
    <cellStyle name="Note 8 14 2" xfId="20189" xr:uid="{00000000-0005-0000-0000-0000E64D0000}"/>
    <cellStyle name="Note 8 15" xfId="12185" xr:uid="{00000000-0005-0000-0000-0000E74D0000}"/>
    <cellStyle name="Note 8 15 2" xfId="20190" xr:uid="{00000000-0005-0000-0000-0000E84D0000}"/>
    <cellStyle name="Note 8 16" xfId="12186" xr:uid="{00000000-0005-0000-0000-0000E94D0000}"/>
    <cellStyle name="Note 8 16 2" xfId="20191" xr:uid="{00000000-0005-0000-0000-0000EA4D0000}"/>
    <cellStyle name="Note 8 17" xfId="20179" xr:uid="{00000000-0005-0000-0000-0000EB4D0000}"/>
    <cellStyle name="Note 8 2" xfId="12187" xr:uid="{00000000-0005-0000-0000-0000EC4D0000}"/>
    <cellStyle name="Note 8 2 2" xfId="12188" xr:uid="{00000000-0005-0000-0000-0000ED4D0000}"/>
    <cellStyle name="Note 8 2 2 2" xfId="20193" xr:uid="{00000000-0005-0000-0000-0000EE4D0000}"/>
    <cellStyle name="Note 8 2 3" xfId="12189" xr:uid="{00000000-0005-0000-0000-0000EF4D0000}"/>
    <cellStyle name="Note 8 2 3 2" xfId="20194" xr:uid="{00000000-0005-0000-0000-0000F04D0000}"/>
    <cellStyle name="Note 8 2 4" xfId="20192" xr:uid="{00000000-0005-0000-0000-0000F14D0000}"/>
    <cellStyle name="Note 8 3" xfId="12190" xr:uid="{00000000-0005-0000-0000-0000F24D0000}"/>
    <cellStyle name="Note 8 3 2" xfId="12191" xr:uid="{00000000-0005-0000-0000-0000F34D0000}"/>
    <cellStyle name="Note 8 3 2 2" xfId="20196" xr:uid="{00000000-0005-0000-0000-0000F44D0000}"/>
    <cellStyle name="Note 8 3 3" xfId="12192" xr:uid="{00000000-0005-0000-0000-0000F54D0000}"/>
    <cellStyle name="Note 8 3 3 2" xfId="20197" xr:uid="{00000000-0005-0000-0000-0000F64D0000}"/>
    <cellStyle name="Note 8 3 4" xfId="20195" xr:uid="{00000000-0005-0000-0000-0000F74D0000}"/>
    <cellStyle name="Note 8 4" xfId="12193" xr:uid="{00000000-0005-0000-0000-0000F84D0000}"/>
    <cellStyle name="Note 8 4 2" xfId="12194" xr:uid="{00000000-0005-0000-0000-0000F94D0000}"/>
    <cellStyle name="Note 8 4 2 2" xfId="20199" xr:uid="{00000000-0005-0000-0000-0000FA4D0000}"/>
    <cellStyle name="Note 8 4 3" xfId="12195" xr:uid="{00000000-0005-0000-0000-0000FB4D0000}"/>
    <cellStyle name="Note 8 4 3 2" xfId="20200" xr:uid="{00000000-0005-0000-0000-0000FC4D0000}"/>
    <cellStyle name="Note 8 4 4" xfId="20198" xr:uid="{00000000-0005-0000-0000-0000FD4D0000}"/>
    <cellStyle name="Note 8 5" xfId="12196" xr:uid="{00000000-0005-0000-0000-0000FE4D0000}"/>
    <cellStyle name="Note 8 5 2" xfId="12197" xr:uid="{00000000-0005-0000-0000-0000FF4D0000}"/>
    <cellStyle name="Note 8 5 2 2" xfId="20202" xr:uid="{00000000-0005-0000-0000-0000004E0000}"/>
    <cellStyle name="Note 8 5 3" xfId="12198" xr:uid="{00000000-0005-0000-0000-0000014E0000}"/>
    <cellStyle name="Note 8 5 3 2" xfId="20203" xr:uid="{00000000-0005-0000-0000-0000024E0000}"/>
    <cellStyle name="Note 8 5 4" xfId="20201" xr:uid="{00000000-0005-0000-0000-0000034E0000}"/>
    <cellStyle name="Note 8 6" xfId="12199" xr:uid="{00000000-0005-0000-0000-0000044E0000}"/>
    <cellStyle name="Note 8 6 2" xfId="12200" xr:uid="{00000000-0005-0000-0000-0000054E0000}"/>
    <cellStyle name="Note 8 6 2 2" xfId="20205" xr:uid="{00000000-0005-0000-0000-0000064E0000}"/>
    <cellStyle name="Note 8 6 3" xfId="12201" xr:uid="{00000000-0005-0000-0000-0000074E0000}"/>
    <cellStyle name="Note 8 6 3 2" xfId="20206" xr:uid="{00000000-0005-0000-0000-0000084E0000}"/>
    <cellStyle name="Note 8 6 4" xfId="20204" xr:uid="{00000000-0005-0000-0000-0000094E0000}"/>
    <cellStyle name="Note 8 7" xfId="12202" xr:uid="{00000000-0005-0000-0000-00000A4E0000}"/>
    <cellStyle name="Note 8 7 2" xfId="12203" xr:uid="{00000000-0005-0000-0000-00000B4E0000}"/>
    <cellStyle name="Note 8 7 2 2" xfId="20208" xr:uid="{00000000-0005-0000-0000-00000C4E0000}"/>
    <cellStyle name="Note 8 7 3" xfId="12204" xr:uid="{00000000-0005-0000-0000-00000D4E0000}"/>
    <cellStyle name="Note 8 7 3 2" xfId="20209" xr:uid="{00000000-0005-0000-0000-00000E4E0000}"/>
    <cellStyle name="Note 8 7 4" xfId="20207" xr:uid="{00000000-0005-0000-0000-00000F4E0000}"/>
    <cellStyle name="Note 8 8" xfId="12205" xr:uid="{00000000-0005-0000-0000-0000104E0000}"/>
    <cellStyle name="Note 8 8 2" xfId="12206" xr:uid="{00000000-0005-0000-0000-0000114E0000}"/>
    <cellStyle name="Note 8 8 2 2" xfId="20211" xr:uid="{00000000-0005-0000-0000-0000124E0000}"/>
    <cellStyle name="Note 8 8 3" xfId="12207" xr:uid="{00000000-0005-0000-0000-0000134E0000}"/>
    <cellStyle name="Note 8 8 3 2" xfId="20212" xr:uid="{00000000-0005-0000-0000-0000144E0000}"/>
    <cellStyle name="Note 8 8 4" xfId="20210" xr:uid="{00000000-0005-0000-0000-0000154E0000}"/>
    <cellStyle name="Note 8 9" xfId="12208" xr:uid="{00000000-0005-0000-0000-0000164E0000}"/>
    <cellStyle name="Note 8 9 2" xfId="12209" xr:uid="{00000000-0005-0000-0000-0000174E0000}"/>
    <cellStyle name="Note 8 9 2 2" xfId="20214" xr:uid="{00000000-0005-0000-0000-0000184E0000}"/>
    <cellStyle name="Note 8 9 3" xfId="12210" xr:uid="{00000000-0005-0000-0000-0000194E0000}"/>
    <cellStyle name="Note 8 9 3 2" xfId="20215" xr:uid="{00000000-0005-0000-0000-00001A4E0000}"/>
    <cellStyle name="Note 8 9 4" xfId="20213" xr:uid="{00000000-0005-0000-0000-00001B4E0000}"/>
    <cellStyle name="Note 9" xfId="12211" xr:uid="{00000000-0005-0000-0000-00001C4E0000}"/>
    <cellStyle name="Note 9 10" xfId="12212" xr:uid="{00000000-0005-0000-0000-00001D4E0000}"/>
    <cellStyle name="Note 9 10 2" xfId="12213" xr:uid="{00000000-0005-0000-0000-00001E4E0000}"/>
    <cellStyle name="Note 9 10 2 2" xfId="12214" xr:uid="{00000000-0005-0000-0000-00001F4E0000}"/>
    <cellStyle name="Note 9 10 2 2 2" xfId="20219" xr:uid="{00000000-0005-0000-0000-0000204E0000}"/>
    <cellStyle name="Note 9 10 2 3" xfId="20218" xr:uid="{00000000-0005-0000-0000-0000214E0000}"/>
    <cellStyle name="Note 9 10 3" xfId="20217" xr:uid="{00000000-0005-0000-0000-0000224E0000}"/>
    <cellStyle name="Note 9 11" xfId="12215" xr:uid="{00000000-0005-0000-0000-0000234E0000}"/>
    <cellStyle name="Note 9 11 2" xfId="12216" xr:uid="{00000000-0005-0000-0000-0000244E0000}"/>
    <cellStyle name="Note 9 11 2 2" xfId="20221" xr:uid="{00000000-0005-0000-0000-0000254E0000}"/>
    <cellStyle name="Note 9 11 3" xfId="20220" xr:uid="{00000000-0005-0000-0000-0000264E0000}"/>
    <cellStyle name="Note 9 12" xfId="12217" xr:uid="{00000000-0005-0000-0000-0000274E0000}"/>
    <cellStyle name="Note 9 12 2" xfId="20222" xr:uid="{00000000-0005-0000-0000-0000284E0000}"/>
    <cellStyle name="Note 9 13" xfId="12218" xr:uid="{00000000-0005-0000-0000-0000294E0000}"/>
    <cellStyle name="Note 9 13 2" xfId="20223" xr:uid="{00000000-0005-0000-0000-00002A4E0000}"/>
    <cellStyle name="Note 9 14" xfId="12219" xr:uid="{00000000-0005-0000-0000-00002B4E0000}"/>
    <cellStyle name="Note 9 14 2" xfId="20224" xr:uid="{00000000-0005-0000-0000-00002C4E0000}"/>
    <cellStyle name="Note 9 15" xfId="12220" xr:uid="{00000000-0005-0000-0000-00002D4E0000}"/>
    <cellStyle name="Note 9 15 2" xfId="20225" xr:uid="{00000000-0005-0000-0000-00002E4E0000}"/>
    <cellStyle name="Note 9 16" xfId="20216" xr:uid="{00000000-0005-0000-0000-00002F4E0000}"/>
    <cellStyle name="Note 9 2" xfId="12221" xr:uid="{00000000-0005-0000-0000-0000304E0000}"/>
    <cellStyle name="Note 9 2 2" xfId="12222" xr:uid="{00000000-0005-0000-0000-0000314E0000}"/>
    <cellStyle name="Note 9 2 2 2" xfId="20227" xr:uid="{00000000-0005-0000-0000-0000324E0000}"/>
    <cellStyle name="Note 9 2 3" xfId="12223" xr:uid="{00000000-0005-0000-0000-0000334E0000}"/>
    <cellStyle name="Note 9 2 3 2" xfId="20228" xr:uid="{00000000-0005-0000-0000-0000344E0000}"/>
    <cellStyle name="Note 9 2 4" xfId="20226" xr:uid="{00000000-0005-0000-0000-0000354E0000}"/>
    <cellStyle name="Note 9 3" xfId="12224" xr:uid="{00000000-0005-0000-0000-0000364E0000}"/>
    <cellStyle name="Note 9 3 2" xfId="12225" xr:uid="{00000000-0005-0000-0000-0000374E0000}"/>
    <cellStyle name="Note 9 3 2 2" xfId="20230" xr:uid="{00000000-0005-0000-0000-0000384E0000}"/>
    <cellStyle name="Note 9 3 3" xfId="12226" xr:uid="{00000000-0005-0000-0000-0000394E0000}"/>
    <cellStyle name="Note 9 3 3 2" xfId="20231" xr:uid="{00000000-0005-0000-0000-00003A4E0000}"/>
    <cellStyle name="Note 9 3 4" xfId="20229" xr:uid="{00000000-0005-0000-0000-00003B4E0000}"/>
    <cellStyle name="Note 9 4" xfId="12227" xr:uid="{00000000-0005-0000-0000-00003C4E0000}"/>
    <cellStyle name="Note 9 4 2" xfId="12228" xr:uid="{00000000-0005-0000-0000-00003D4E0000}"/>
    <cellStyle name="Note 9 4 2 2" xfId="20233" xr:uid="{00000000-0005-0000-0000-00003E4E0000}"/>
    <cellStyle name="Note 9 4 3" xfId="12229" xr:uid="{00000000-0005-0000-0000-00003F4E0000}"/>
    <cellStyle name="Note 9 4 3 2" xfId="20234" xr:uid="{00000000-0005-0000-0000-0000404E0000}"/>
    <cellStyle name="Note 9 4 4" xfId="20232" xr:uid="{00000000-0005-0000-0000-0000414E0000}"/>
    <cellStyle name="Note 9 5" xfId="12230" xr:uid="{00000000-0005-0000-0000-0000424E0000}"/>
    <cellStyle name="Note 9 5 2" xfId="12231" xr:uid="{00000000-0005-0000-0000-0000434E0000}"/>
    <cellStyle name="Note 9 5 2 2" xfId="20236" xr:uid="{00000000-0005-0000-0000-0000444E0000}"/>
    <cellStyle name="Note 9 5 3" xfId="12232" xr:uid="{00000000-0005-0000-0000-0000454E0000}"/>
    <cellStyle name="Note 9 5 3 2" xfId="20237" xr:uid="{00000000-0005-0000-0000-0000464E0000}"/>
    <cellStyle name="Note 9 5 4" xfId="20235" xr:uid="{00000000-0005-0000-0000-0000474E0000}"/>
    <cellStyle name="Note 9 6" xfId="12233" xr:uid="{00000000-0005-0000-0000-0000484E0000}"/>
    <cellStyle name="Note 9 6 2" xfId="12234" xr:uid="{00000000-0005-0000-0000-0000494E0000}"/>
    <cellStyle name="Note 9 6 2 2" xfId="20239" xr:uid="{00000000-0005-0000-0000-00004A4E0000}"/>
    <cellStyle name="Note 9 6 3" xfId="12235" xr:uid="{00000000-0005-0000-0000-00004B4E0000}"/>
    <cellStyle name="Note 9 6 3 2" xfId="20240" xr:uid="{00000000-0005-0000-0000-00004C4E0000}"/>
    <cellStyle name="Note 9 6 4" xfId="20238" xr:uid="{00000000-0005-0000-0000-00004D4E0000}"/>
    <cellStyle name="Note 9 7" xfId="12236" xr:uid="{00000000-0005-0000-0000-00004E4E0000}"/>
    <cellStyle name="Note 9 7 2" xfId="12237" xr:uid="{00000000-0005-0000-0000-00004F4E0000}"/>
    <cellStyle name="Note 9 7 2 2" xfId="20242" xr:uid="{00000000-0005-0000-0000-0000504E0000}"/>
    <cellStyle name="Note 9 7 3" xfId="12238" xr:uid="{00000000-0005-0000-0000-0000514E0000}"/>
    <cellStyle name="Note 9 7 3 2" xfId="20243" xr:uid="{00000000-0005-0000-0000-0000524E0000}"/>
    <cellStyle name="Note 9 7 4" xfId="20241" xr:uid="{00000000-0005-0000-0000-0000534E0000}"/>
    <cellStyle name="Note 9 8" xfId="12239" xr:uid="{00000000-0005-0000-0000-0000544E0000}"/>
    <cellStyle name="Note 9 8 2" xfId="12240" xr:uid="{00000000-0005-0000-0000-0000554E0000}"/>
    <cellStyle name="Note 9 8 2 2" xfId="20245" xr:uid="{00000000-0005-0000-0000-0000564E0000}"/>
    <cellStyle name="Note 9 8 3" xfId="12241" xr:uid="{00000000-0005-0000-0000-0000574E0000}"/>
    <cellStyle name="Note 9 8 3 2" xfId="20246" xr:uid="{00000000-0005-0000-0000-0000584E0000}"/>
    <cellStyle name="Note 9 8 4" xfId="20244" xr:uid="{00000000-0005-0000-0000-0000594E0000}"/>
    <cellStyle name="Note 9 9" xfId="12242" xr:uid="{00000000-0005-0000-0000-00005A4E0000}"/>
    <cellStyle name="Note 9 9 2" xfId="12243" xr:uid="{00000000-0005-0000-0000-00005B4E0000}"/>
    <cellStyle name="Note 9 9 2 2" xfId="20248" xr:uid="{00000000-0005-0000-0000-00005C4E0000}"/>
    <cellStyle name="Note 9 9 3" xfId="12244" xr:uid="{00000000-0005-0000-0000-00005D4E0000}"/>
    <cellStyle name="Note 9 9 3 2" xfId="20249" xr:uid="{00000000-0005-0000-0000-00005E4E0000}"/>
    <cellStyle name="Note 9 9 4" xfId="20247" xr:uid="{00000000-0005-0000-0000-00005F4E0000}"/>
    <cellStyle name="Output 10" xfId="12245" xr:uid="{00000000-0005-0000-0000-0000604E0000}"/>
    <cellStyle name="Output 10 10" xfId="12246" xr:uid="{00000000-0005-0000-0000-0000614E0000}"/>
    <cellStyle name="Output 10 10 2" xfId="20250" xr:uid="{00000000-0005-0000-0000-0000624E0000}"/>
    <cellStyle name="Output 10 11" xfId="12247" xr:uid="{00000000-0005-0000-0000-0000634E0000}"/>
    <cellStyle name="Output 10 11 2" xfId="20251" xr:uid="{00000000-0005-0000-0000-0000644E0000}"/>
    <cellStyle name="Output 10 2" xfId="12248" xr:uid="{00000000-0005-0000-0000-0000654E0000}"/>
    <cellStyle name="Output 10 2 2" xfId="12249" xr:uid="{00000000-0005-0000-0000-0000664E0000}"/>
    <cellStyle name="Output 10 2 2 2" xfId="20252" xr:uid="{00000000-0005-0000-0000-0000674E0000}"/>
    <cellStyle name="Output 10 3" xfId="12250" xr:uid="{00000000-0005-0000-0000-0000684E0000}"/>
    <cellStyle name="Output 10 3 2" xfId="12251" xr:uid="{00000000-0005-0000-0000-0000694E0000}"/>
    <cellStyle name="Output 10 3 2 2" xfId="20253" xr:uid="{00000000-0005-0000-0000-00006A4E0000}"/>
    <cellStyle name="Output 10 4" xfId="12252" xr:uid="{00000000-0005-0000-0000-00006B4E0000}"/>
    <cellStyle name="Output 10 4 2" xfId="12253" xr:uid="{00000000-0005-0000-0000-00006C4E0000}"/>
    <cellStyle name="Output 10 4 3" xfId="20254" xr:uid="{00000000-0005-0000-0000-00006D4E0000}"/>
    <cellStyle name="Output 10 5" xfId="12254" xr:uid="{00000000-0005-0000-0000-00006E4E0000}"/>
    <cellStyle name="Output 10 5 2" xfId="20255" xr:uid="{00000000-0005-0000-0000-00006F4E0000}"/>
    <cellStyle name="Output 10 6" xfId="12255" xr:uid="{00000000-0005-0000-0000-0000704E0000}"/>
    <cellStyle name="Output 10 6 2" xfId="20256" xr:uid="{00000000-0005-0000-0000-0000714E0000}"/>
    <cellStyle name="Output 10 7" xfId="12256" xr:uid="{00000000-0005-0000-0000-0000724E0000}"/>
    <cellStyle name="Output 10 7 2" xfId="20257" xr:uid="{00000000-0005-0000-0000-0000734E0000}"/>
    <cellStyle name="Output 10 8" xfId="12257" xr:uid="{00000000-0005-0000-0000-0000744E0000}"/>
    <cellStyle name="Output 10 8 2" xfId="20258" xr:uid="{00000000-0005-0000-0000-0000754E0000}"/>
    <cellStyle name="Output 10 9" xfId="12258" xr:uid="{00000000-0005-0000-0000-0000764E0000}"/>
    <cellStyle name="Output 10 9 2" xfId="20259" xr:uid="{00000000-0005-0000-0000-0000774E0000}"/>
    <cellStyle name="Output 11" xfId="12259" xr:uid="{00000000-0005-0000-0000-0000784E0000}"/>
    <cellStyle name="Output 11 10" xfId="12260" xr:uid="{00000000-0005-0000-0000-0000794E0000}"/>
    <cellStyle name="Output 11 10 2" xfId="20260" xr:uid="{00000000-0005-0000-0000-00007A4E0000}"/>
    <cellStyle name="Output 11 11" xfId="12261" xr:uid="{00000000-0005-0000-0000-00007B4E0000}"/>
    <cellStyle name="Output 11 11 2" xfId="20261" xr:uid="{00000000-0005-0000-0000-00007C4E0000}"/>
    <cellStyle name="Output 11 2" xfId="12262" xr:uid="{00000000-0005-0000-0000-00007D4E0000}"/>
    <cellStyle name="Output 11 2 2" xfId="12263" xr:uid="{00000000-0005-0000-0000-00007E4E0000}"/>
    <cellStyle name="Output 11 2 2 2" xfId="20262" xr:uid="{00000000-0005-0000-0000-00007F4E0000}"/>
    <cellStyle name="Output 11 3" xfId="12264" xr:uid="{00000000-0005-0000-0000-0000804E0000}"/>
    <cellStyle name="Output 11 3 2" xfId="12265" xr:uid="{00000000-0005-0000-0000-0000814E0000}"/>
    <cellStyle name="Output 11 3 2 2" xfId="20263" xr:uid="{00000000-0005-0000-0000-0000824E0000}"/>
    <cellStyle name="Output 11 4" xfId="12266" xr:uid="{00000000-0005-0000-0000-0000834E0000}"/>
    <cellStyle name="Output 11 4 2" xfId="12267" xr:uid="{00000000-0005-0000-0000-0000844E0000}"/>
    <cellStyle name="Output 11 4 3" xfId="20264" xr:uid="{00000000-0005-0000-0000-0000854E0000}"/>
    <cellStyle name="Output 11 5" xfId="12268" xr:uid="{00000000-0005-0000-0000-0000864E0000}"/>
    <cellStyle name="Output 11 5 2" xfId="20265" xr:uid="{00000000-0005-0000-0000-0000874E0000}"/>
    <cellStyle name="Output 11 6" xfId="12269" xr:uid="{00000000-0005-0000-0000-0000884E0000}"/>
    <cellStyle name="Output 11 6 2" xfId="20266" xr:uid="{00000000-0005-0000-0000-0000894E0000}"/>
    <cellStyle name="Output 11 7" xfId="12270" xr:uid="{00000000-0005-0000-0000-00008A4E0000}"/>
    <cellStyle name="Output 11 7 2" xfId="20267" xr:uid="{00000000-0005-0000-0000-00008B4E0000}"/>
    <cellStyle name="Output 11 8" xfId="12271" xr:uid="{00000000-0005-0000-0000-00008C4E0000}"/>
    <cellStyle name="Output 11 8 2" xfId="20268" xr:uid="{00000000-0005-0000-0000-00008D4E0000}"/>
    <cellStyle name="Output 11 9" xfId="12272" xr:uid="{00000000-0005-0000-0000-00008E4E0000}"/>
    <cellStyle name="Output 11 9 2" xfId="20269" xr:uid="{00000000-0005-0000-0000-00008F4E0000}"/>
    <cellStyle name="Output 12" xfId="12273" xr:uid="{00000000-0005-0000-0000-0000904E0000}"/>
    <cellStyle name="Output 12 10" xfId="12274" xr:uid="{00000000-0005-0000-0000-0000914E0000}"/>
    <cellStyle name="Output 12 10 2" xfId="20270" xr:uid="{00000000-0005-0000-0000-0000924E0000}"/>
    <cellStyle name="Output 12 11" xfId="12275" xr:uid="{00000000-0005-0000-0000-0000934E0000}"/>
    <cellStyle name="Output 12 11 2" xfId="20271" xr:uid="{00000000-0005-0000-0000-0000944E0000}"/>
    <cellStyle name="Output 12 2" xfId="12276" xr:uid="{00000000-0005-0000-0000-0000954E0000}"/>
    <cellStyle name="Output 12 2 2" xfId="12277" xr:uid="{00000000-0005-0000-0000-0000964E0000}"/>
    <cellStyle name="Output 12 2 2 2" xfId="20272" xr:uid="{00000000-0005-0000-0000-0000974E0000}"/>
    <cellStyle name="Output 12 3" xfId="12278" xr:uid="{00000000-0005-0000-0000-0000984E0000}"/>
    <cellStyle name="Output 12 3 2" xfId="12279" xr:uid="{00000000-0005-0000-0000-0000994E0000}"/>
    <cellStyle name="Output 12 3 2 2" xfId="20273" xr:uid="{00000000-0005-0000-0000-00009A4E0000}"/>
    <cellStyle name="Output 12 4" xfId="12280" xr:uid="{00000000-0005-0000-0000-00009B4E0000}"/>
    <cellStyle name="Output 12 4 2" xfId="12281" xr:uid="{00000000-0005-0000-0000-00009C4E0000}"/>
    <cellStyle name="Output 12 4 3" xfId="20274" xr:uid="{00000000-0005-0000-0000-00009D4E0000}"/>
    <cellStyle name="Output 12 5" xfId="12282" xr:uid="{00000000-0005-0000-0000-00009E4E0000}"/>
    <cellStyle name="Output 12 5 2" xfId="20275" xr:uid="{00000000-0005-0000-0000-00009F4E0000}"/>
    <cellStyle name="Output 12 6" xfId="12283" xr:uid="{00000000-0005-0000-0000-0000A04E0000}"/>
    <cellStyle name="Output 12 6 2" xfId="20276" xr:uid="{00000000-0005-0000-0000-0000A14E0000}"/>
    <cellStyle name="Output 12 7" xfId="12284" xr:uid="{00000000-0005-0000-0000-0000A24E0000}"/>
    <cellStyle name="Output 12 7 2" xfId="20277" xr:uid="{00000000-0005-0000-0000-0000A34E0000}"/>
    <cellStyle name="Output 12 8" xfId="12285" xr:uid="{00000000-0005-0000-0000-0000A44E0000}"/>
    <cellStyle name="Output 12 8 2" xfId="20278" xr:uid="{00000000-0005-0000-0000-0000A54E0000}"/>
    <cellStyle name="Output 12 9" xfId="12286" xr:uid="{00000000-0005-0000-0000-0000A64E0000}"/>
    <cellStyle name="Output 12 9 2" xfId="20279" xr:uid="{00000000-0005-0000-0000-0000A74E0000}"/>
    <cellStyle name="Output 13" xfId="12287" xr:uid="{00000000-0005-0000-0000-0000A84E0000}"/>
    <cellStyle name="Output 13 10" xfId="12288" xr:uid="{00000000-0005-0000-0000-0000A94E0000}"/>
    <cellStyle name="Output 13 10 2" xfId="20280" xr:uid="{00000000-0005-0000-0000-0000AA4E0000}"/>
    <cellStyle name="Output 13 11" xfId="12289" xr:uid="{00000000-0005-0000-0000-0000AB4E0000}"/>
    <cellStyle name="Output 13 11 2" xfId="20281" xr:uid="{00000000-0005-0000-0000-0000AC4E0000}"/>
    <cellStyle name="Output 13 2" xfId="12290" xr:uid="{00000000-0005-0000-0000-0000AD4E0000}"/>
    <cellStyle name="Output 13 2 2" xfId="12291" xr:uid="{00000000-0005-0000-0000-0000AE4E0000}"/>
    <cellStyle name="Output 13 2 2 2" xfId="20282" xr:uid="{00000000-0005-0000-0000-0000AF4E0000}"/>
    <cellStyle name="Output 13 3" xfId="12292" xr:uid="{00000000-0005-0000-0000-0000B04E0000}"/>
    <cellStyle name="Output 13 3 2" xfId="12293" xr:uid="{00000000-0005-0000-0000-0000B14E0000}"/>
    <cellStyle name="Output 13 3 2 2" xfId="20283" xr:uid="{00000000-0005-0000-0000-0000B24E0000}"/>
    <cellStyle name="Output 13 4" xfId="12294" xr:uid="{00000000-0005-0000-0000-0000B34E0000}"/>
    <cellStyle name="Output 13 4 2" xfId="20284" xr:uid="{00000000-0005-0000-0000-0000B44E0000}"/>
    <cellStyle name="Output 13 5" xfId="12295" xr:uid="{00000000-0005-0000-0000-0000B54E0000}"/>
    <cellStyle name="Output 13 5 2" xfId="20285" xr:uid="{00000000-0005-0000-0000-0000B64E0000}"/>
    <cellStyle name="Output 13 6" xfId="12296" xr:uid="{00000000-0005-0000-0000-0000B74E0000}"/>
    <cellStyle name="Output 13 6 2" xfId="20286" xr:uid="{00000000-0005-0000-0000-0000B84E0000}"/>
    <cellStyle name="Output 13 7" xfId="12297" xr:uid="{00000000-0005-0000-0000-0000B94E0000}"/>
    <cellStyle name="Output 13 7 2" xfId="20287" xr:uid="{00000000-0005-0000-0000-0000BA4E0000}"/>
    <cellStyle name="Output 13 8" xfId="12298" xr:uid="{00000000-0005-0000-0000-0000BB4E0000}"/>
    <cellStyle name="Output 13 8 2" xfId="20288" xr:uid="{00000000-0005-0000-0000-0000BC4E0000}"/>
    <cellStyle name="Output 13 9" xfId="12299" xr:uid="{00000000-0005-0000-0000-0000BD4E0000}"/>
    <cellStyle name="Output 13 9 2" xfId="20289" xr:uid="{00000000-0005-0000-0000-0000BE4E0000}"/>
    <cellStyle name="Output 14" xfId="12300" xr:uid="{00000000-0005-0000-0000-0000BF4E0000}"/>
    <cellStyle name="Output 14 10" xfId="12301" xr:uid="{00000000-0005-0000-0000-0000C04E0000}"/>
    <cellStyle name="Output 14 10 2" xfId="20290" xr:uid="{00000000-0005-0000-0000-0000C14E0000}"/>
    <cellStyle name="Output 14 11" xfId="12302" xr:uid="{00000000-0005-0000-0000-0000C24E0000}"/>
    <cellStyle name="Output 14 11 2" xfId="20291" xr:uid="{00000000-0005-0000-0000-0000C34E0000}"/>
    <cellStyle name="Output 14 2" xfId="12303" xr:uid="{00000000-0005-0000-0000-0000C44E0000}"/>
    <cellStyle name="Output 14 2 2" xfId="12304" xr:uid="{00000000-0005-0000-0000-0000C54E0000}"/>
    <cellStyle name="Output 14 2 2 2" xfId="20292" xr:uid="{00000000-0005-0000-0000-0000C64E0000}"/>
    <cellStyle name="Output 14 3" xfId="12305" xr:uid="{00000000-0005-0000-0000-0000C74E0000}"/>
    <cellStyle name="Output 14 3 2" xfId="12306" xr:uid="{00000000-0005-0000-0000-0000C84E0000}"/>
    <cellStyle name="Output 14 3 2 2" xfId="20293" xr:uid="{00000000-0005-0000-0000-0000C94E0000}"/>
    <cellStyle name="Output 14 4" xfId="12307" xr:uid="{00000000-0005-0000-0000-0000CA4E0000}"/>
    <cellStyle name="Output 14 4 2" xfId="20294" xr:uid="{00000000-0005-0000-0000-0000CB4E0000}"/>
    <cellStyle name="Output 14 5" xfId="12308" xr:uid="{00000000-0005-0000-0000-0000CC4E0000}"/>
    <cellStyle name="Output 14 5 2" xfId="20295" xr:uid="{00000000-0005-0000-0000-0000CD4E0000}"/>
    <cellStyle name="Output 14 6" xfId="12309" xr:uid="{00000000-0005-0000-0000-0000CE4E0000}"/>
    <cellStyle name="Output 14 6 2" xfId="20296" xr:uid="{00000000-0005-0000-0000-0000CF4E0000}"/>
    <cellStyle name="Output 14 7" xfId="12310" xr:uid="{00000000-0005-0000-0000-0000D04E0000}"/>
    <cellStyle name="Output 14 7 2" xfId="20297" xr:uid="{00000000-0005-0000-0000-0000D14E0000}"/>
    <cellStyle name="Output 14 8" xfId="12311" xr:uid="{00000000-0005-0000-0000-0000D24E0000}"/>
    <cellStyle name="Output 14 8 2" xfId="20298" xr:uid="{00000000-0005-0000-0000-0000D34E0000}"/>
    <cellStyle name="Output 14 9" xfId="12312" xr:uid="{00000000-0005-0000-0000-0000D44E0000}"/>
    <cellStyle name="Output 14 9 2" xfId="20299" xr:uid="{00000000-0005-0000-0000-0000D54E0000}"/>
    <cellStyle name="Output 15" xfId="12313" xr:uid="{00000000-0005-0000-0000-0000D64E0000}"/>
    <cellStyle name="Output 15 10" xfId="12314" xr:uid="{00000000-0005-0000-0000-0000D74E0000}"/>
    <cellStyle name="Output 15 10 2" xfId="20300" xr:uid="{00000000-0005-0000-0000-0000D84E0000}"/>
    <cellStyle name="Output 15 11" xfId="12315" xr:uid="{00000000-0005-0000-0000-0000D94E0000}"/>
    <cellStyle name="Output 15 11 2" xfId="20301" xr:uid="{00000000-0005-0000-0000-0000DA4E0000}"/>
    <cellStyle name="Output 15 2" xfId="12316" xr:uid="{00000000-0005-0000-0000-0000DB4E0000}"/>
    <cellStyle name="Output 15 2 2" xfId="12317" xr:uid="{00000000-0005-0000-0000-0000DC4E0000}"/>
    <cellStyle name="Output 15 2 2 2" xfId="20302" xr:uid="{00000000-0005-0000-0000-0000DD4E0000}"/>
    <cellStyle name="Output 15 3" xfId="12318" xr:uid="{00000000-0005-0000-0000-0000DE4E0000}"/>
    <cellStyle name="Output 15 3 2" xfId="12319" xr:uid="{00000000-0005-0000-0000-0000DF4E0000}"/>
    <cellStyle name="Output 15 3 2 2" xfId="20303" xr:uid="{00000000-0005-0000-0000-0000E04E0000}"/>
    <cellStyle name="Output 15 4" xfId="12320" xr:uid="{00000000-0005-0000-0000-0000E14E0000}"/>
    <cellStyle name="Output 15 4 2" xfId="20304" xr:uid="{00000000-0005-0000-0000-0000E24E0000}"/>
    <cellStyle name="Output 15 5" xfId="12321" xr:uid="{00000000-0005-0000-0000-0000E34E0000}"/>
    <cellStyle name="Output 15 5 2" xfId="20305" xr:uid="{00000000-0005-0000-0000-0000E44E0000}"/>
    <cellStyle name="Output 15 6" xfId="12322" xr:uid="{00000000-0005-0000-0000-0000E54E0000}"/>
    <cellStyle name="Output 15 6 2" xfId="20306" xr:uid="{00000000-0005-0000-0000-0000E64E0000}"/>
    <cellStyle name="Output 15 7" xfId="12323" xr:uid="{00000000-0005-0000-0000-0000E74E0000}"/>
    <cellStyle name="Output 15 7 2" xfId="20307" xr:uid="{00000000-0005-0000-0000-0000E84E0000}"/>
    <cellStyle name="Output 15 8" xfId="12324" xr:uid="{00000000-0005-0000-0000-0000E94E0000}"/>
    <cellStyle name="Output 15 8 2" xfId="20308" xr:uid="{00000000-0005-0000-0000-0000EA4E0000}"/>
    <cellStyle name="Output 15 9" xfId="12325" xr:uid="{00000000-0005-0000-0000-0000EB4E0000}"/>
    <cellStyle name="Output 15 9 2" xfId="20309" xr:uid="{00000000-0005-0000-0000-0000EC4E0000}"/>
    <cellStyle name="Output 16" xfId="12326" xr:uid="{00000000-0005-0000-0000-0000ED4E0000}"/>
    <cellStyle name="Output 16 10" xfId="12327" xr:uid="{00000000-0005-0000-0000-0000EE4E0000}"/>
    <cellStyle name="Output 16 10 2" xfId="20310" xr:uid="{00000000-0005-0000-0000-0000EF4E0000}"/>
    <cellStyle name="Output 16 11" xfId="12328" xr:uid="{00000000-0005-0000-0000-0000F04E0000}"/>
    <cellStyle name="Output 16 11 2" xfId="20311" xr:uid="{00000000-0005-0000-0000-0000F14E0000}"/>
    <cellStyle name="Output 16 2" xfId="12329" xr:uid="{00000000-0005-0000-0000-0000F24E0000}"/>
    <cellStyle name="Output 16 2 2" xfId="12330" xr:uid="{00000000-0005-0000-0000-0000F34E0000}"/>
    <cellStyle name="Output 16 2 2 2" xfId="20312" xr:uid="{00000000-0005-0000-0000-0000F44E0000}"/>
    <cellStyle name="Output 16 3" xfId="12331" xr:uid="{00000000-0005-0000-0000-0000F54E0000}"/>
    <cellStyle name="Output 16 3 2" xfId="12332" xr:uid="{00000000-0005-0000-0000-0000F64E0000}"/>
    <cellStyle name="Output 16 3 2 2" xfId="20313" xr:uid="{00000000-0005-0000-0000-0000F74E0000}"/>
    <cellStyle name="Output 16 4" xfId="12333" xr:uid="{00000000-0005-0000-0000-0000F84E0000}"/>
    <cellStyle name="Output 16 4 2" xfId="20314" xr:uid="{00000000-0005-0000-0000-0000F94E0000}"/>
    <cellStyle name="Output 16 5" xfId="12334" xr:uid="{00000000-0005-0000-0000-0000FA4E0000}"/>
    <cellStyle name="Output 16 5 2" xfId="20315" xr:uid="{00000000-0005-0000-0000-0000FB4E0000}"/>
    <cellStyle name="Output 16 6" xfId="12335" xr:uid="{00000000-0005-0000-0000-0000FC4E0000}"/>
    <cellStyle name="Output 16 6 2" xfId="20316" xr:uid="{00000000-0005-0000-0000-0000FD4E0000}"/>
    <cellStyle name="Output 16 7" xfId="12336" xr:uid="{00000000-0005-0000-0000-0000FE4E0000}"/>
    <cellStyle name="Output 16 7 2" xfId="20317" xr:uid="{00000000-0005-0000-0000-0000FF4E0000}"/>
    <cellStyle name="Output 16 8" xfId="12337" xr:uid="{00000000-0005-0000-0000-0000004F0000}"/>
    <cellStyle name="Output 16 8 2" xfId="20318" xr:uid="{00000000-0005-0000-0000-0000014F0000}"/>
    <cellStyle name="Output 16 9" xfId="12338" xr:uid="{00000000-0005-0000-0000-0000024F0000}"/>
    <cellStyle name="Output 16 9 2" xfId="20319" xr:uid="{00000000-0005-0000-0000-0000034F0000}"/>
    <cellStyle name="Output 17" xfId="12339" xr:uid="{00000000-0005-0000-0000-0000044F0000}"/>
    <cellStyle name="Output 17 10" xfId="12340" xr:uid="{00000000-0005-0000-0000-0000054F0000}"/>
    <cellStyle name="Output 17 10 2" xfId="20320" xr:uid="{00000000-0005-0000-0000-0000064F0000}"/>
    <cellStyle name="Output 17 11" xfId="12341" xr:uid="{00000000-0005-0000-0000-0000074F0000}"/>
    <cellStyle name="Output 17 11 2" xfId="20321" xr:uid="{00000000-0005-0000-0000-0000084F0000}"/>
    <cellStyle name="Output 17 2" xfId="12342" xr:uid="{00000000-0005-0000-0000-0000094F0000}"/>
    <cellStyle name="Output 17 2 2" xfId="12343" xr:uid="{00000000-0005-0000-0000-00000A4F0000}"/>
    <cellStyle name="Output 17 2 2 2" xfId="20322" xr:uid="{00000000-0005-0000-0000-00000B4F0000}"/>
    <cellStyle name="Output 17 3" xfId="12344" xr:uid="{00000000-0005-0000-0000-00000C4F0000}"/>
    <cellStyle name="Output 17 3 2" xfId="12345" xr:uid="{00000000-0005-0000-0000-00000D4F0000}"/>
    <cellStyle name="Output 17 3 2 2" xfId="20323" xr:uid="{00000000-0005-0000-0000-00000E4F0000}"/>
    <cellStyle name="Output 17 4" xfId="12346" xr:uid="{00000000-0005-0000-0000-00000F4F0000}"/>
    <cellStyle name="Output 17 4 2" xfId="20324" xr:uid="{00000000-0005-0000-0000-0000104F0000}"/>
    <cellStyle name="Output 17 5" xfId="12347" xr:uid="{00000000-0005-0000-0000-0000114F0000}"/>
    <cellStyle name="Output 17 5 2" xfId="20325" xr:uid="{00000000-0005-0000-0000-0000124F0000}"/>
    <cellStyle name="Output 17 6" xfId="12348" xr:uid="{00000000-0005-0000-0000-0000134F0000}"/>
    <cellStyle name="Output 17 6 2" xfId="20326" xr:uid="{00000000-0005-0000-0000-0000144F0000}"/>
    <cellStyle name="Output 17 7" xfId="12349" xr:uid="{00000000-0005-0000-0000-0000154F0000}"/>
    <cellStyle name="Output 17 7 2" xfId="20327" xr:uid="{00000000-0005-0000-0000-0000164F0000}"/>
    <cellStyle name="Output 17 8" xfId="12350" xr:uid="{00000000-0005-0000-0000-0000174F0000}"/>
    <cellStyle name="Output 17 8 2" xfId="20328" xr:uid="{00000000-0005-0000-0000-0000184F0000}"/>
    <cellStyle name="Output 17 9" xfId="12351" xr:uid="{00000000-0005-0000-0000-0000194F0000}"/>
    <cellStyle name="Output 17 9 2" xfId="20329" xr:uid="{00000000-0005-0000-0000-00001A4F0000}"/>
    <cellStyle name="Output 18" xfId="12352" xr:uid="{00000000-0005-0000-0000-00001B4F0000}"/>
    <cellStyle name="Output 18 2" xfId="12353" xr:uid="{00000000-0005-0000-0000-00001C4F0000}"/>
    <cellStyle name="Output 18 2 2" xfId="12354" xr:uid="{00000000-0005-0000-0000-00001D4F0000}"/>
    <cellStyle name="Output 18 2 2 2" xfId="20330" xr:uid="{00000000-0005-0000-0000-00001E4F0000}"/>
    <cellStyle name="Output 18 3" xfId="12355" xr:uid="{00000000-0005-0000-0000-00001F4F0000}"/>
    <cellStyle name="Output 18 3 2" xfId="20331" xr:uid="{00000000-0005-0000-0000-0000204F0000}"/>
    <cellStyle name="Output 18 4" xfId="12356" xr:uid="{00000000-0005-0000-0000-0000214F0000}"/>
    <cellStyle name="Output 18 4 2" xfId="20332" xr:uid="{00000000-0005-0000-0000-0000224F0000}"/>
    <cellStyle name="Output 18 5" xfId="12357" xr:uid="{00000000-0005-0000-0000-0000234F0000}"/>
    <cellStyle name="Output 18 5 2" xfId="20333" xr:uid="{00000000-0005-0000-0000-0000244F0000}"/>
    <cellStyle name="Output 18 6" xfId="12358" xr:uid="{00000000-0005-0000-0000-0000254F0000}"/>
    <cellStyle name="Output 18 6 2" xfId="20334" xr:uid="{00000000-0005-0000-0000-0000264F0000}"/>
    <cellStyle name="Output 18 7" xfId="12359" xr:uid="{00000000-0005-0000-0000-0000274F0000}"/>
    <cellStyle name="Output 18 7 2" xfId="20335" xr:uid="{00000000-0005-0000-0000-0000284F0000}"/>
    <cellStyle name="Output 18 8" xfId="12360" xr:uid="{00000000-0005-0000-0000-0000294F0000}"/>
    <cellStyle name="Output 18 8 2" xfId="20336" xr:uid="{00000000-0005-0000-0000-00002A4F0000}"/>
    <cellStyle name="Output 18 9" xfId="12361" xr:uid="{00000000-0005-0000-0000-00002B4F0000}"/>
    <cellStyle name="Output 18 9 2" xfId="20337" xr:uid="{00000000-0005-0000-0000-00002C4F0000}"/>
    <cellStyle name="Output 19" xfId="12362" xr:uid="{00000000-0005-0000-0000-00002D4F0000}"/>
    <cellStyle name="Output 19 2" xfId="12363" xr:uid="{00000000-0005-0000-0000-00002E4F0000}"/>
    <cellStyle name="Output 19 2 2" xfId="12364" xr:uid="{00000000-0005-0000-0000-00002F4F0000}"/>
    <cellStyle name="Output 19 2 2 2" xfId="20338" xr:uid="{00000000-0005-0000-0000-0000304F0000}"/>
    <cellStyle name="Output 19 3" xfId="12365" xr:uid="{00000000-0005-0000-0000-0000314F0000}"/>
    <cellStyle name="Output 19 3 2" xfId="20339" xr:uid="{00000000-0005-0000-0000-0000324F0000}"/>
    <cellStyle name="Output 19 4" xfId="12366" xr:uid="{00000000-0005-0000-0000-0000334F0000}"/>
    <cellStyle name="Output 19 4 2" xfId="20340" xr:uid="{00000000-0005-0000-0000-0000344F0000}"/>
    <cellStyle name="Output 19 5" xfId="12367" xr:uid="{00000000-0005-0000-0000-0000354F0000}"/>
    <cellStyle name="Output 19 5 2" xfId="20341" xr:uid="{00000000-0005-0000-0000-0000364F0000}"/>
    <cellStyle name="Output 19 6" xfId="12368" xr:uid="{00000000-0005-0000-0000-0000374F0000}"/>
    <cellStyle name="Output 19 6 2" xfId="20342" xr:uid="{00000000-0005-0000-0000-0000384F0000}"/>
    <cellStyle name="Output 19 7" xfId="12369" xr:uid="{00000000-0005-0000-0000-0000394F0000}"/>
    <cellStyle name="Output 19 7 2" xfId="20343" xr:uid="{00000000-0005-0000-0000-00003A4F0000}"/>
    <cellStyle name="Output 19 8" xfId="12370" xr:uid="{00000000-0005-0000-0000-00003B4F0000}"/>
    <cellStyle name="Output 19 8 2" xfId="20344" xr:uid="{00000000-0005-0000-0000-00003C4F0000}"/>
    <cellStyle name="Output 19 9" xfId="12371" xr:uid="{00000000-0005-0000-0000-00003D4F0000}"/>
    <cellStyle name="Output 19 9 2" xfId="20345" xr:uid="{00000000-0005-0000-0000-00003E4F0000}"/>
    <cellStyle name="Output 2" xfId="12372" xr:uid="{00000000-0005-0000-0000-00003F4F0000}"/>
    <cellStyle name="Output 2 10" xfId="12373" xr:uid="{00000000-0005-0000-0000-0000404F0000}"/>
    <cellStyle name="Output 2 10 2" xfId="20346" xr:uid="{00000000-0005-0000-0000-0000414F0000}"/>
    <cellStyle name="Output 2 11" xfId="12374" xr:uid="{00000000-0005-0000-0000-0000424F0000}"/>
    <cellStyle name="Output 2 11 2" xfId="20347" xr:uid="{00000000-0005-0000-0000-0000434F0000}"/>
    <cellStyle name="Output 2 12" xfId="21756" xr:uid="{00000000-0005-0000-0000-0000444F0000}"/>
    <cellStyle name="Output 2 13" xfId="23335" xr:uid="{00000000-0005-0000-0000-0000454F0000}"/>
    <cellStyle name="Output 2 2" xfId="12375" xr:uid="{00000000-0005-0000-0000-0000464F0000}"/>
    <cellStyle name="Output 2 2 2" xfId="12376" xr:uid="{00000000-0005-0000-0000-0000474F0000}"/>
    <cellStyle name="Output 2 2 2 2" xfId="20348" xr:uid="{00000000-0005-0000-0000-0000484F0000}"/>
    <cellStyle name="Output 2 2 2 2 2" xfId="23076" xr:uid="{00000000-0005-0000-0000-0000494F0000}"/>
    <cellStyle name="Output 2 2 2 2 2 2" xfId="26626" xr:uid="{00000000-0005-0000-0000-00002F050000}"/>
    <cellStyle name="Output 2 2 2 2 2 3" xfId="27128" xr:uid="{00000000-0005-0000-0000-00002F050000}"/>
    <cellStyle name="Output 2 2 2 2 2 4" xfId="24370" xr:uid="{00000000-0005-0000-0000-00002F050000}"/>
    <cellStyle name="Output 2 2 2 2 3" xfId="23471" xr:uid="{00000000-0005-0000-0000-00004A4F0000}"/>
    <cellStyle name="Output 2 2 2 2 3 2" xfId="25490" xr:uid="{00000000-0005-0000-0000-00002F050000}"/>
    <cellStyle name="Output 2 2 2 2 4" xfId="26969" xr:uid="{00000000-0005-0000-0000-00002F050000}"/>
    <cellStyle name="Output 2 2 2 3" xfId="23227" xr:uid="{00000000-0005-0000-0000-00004B4F0000}"/>
    <cellStyle name="Output 2 2 2 3 2" xfId="23531" xr:uid="{00000000-0005-0000-0000-00004C4F0000}"/>
    <cellStyle name="Output 2 2 2 3 2 2" xfId="25639" xr:uid="{00000000-0005-0000-0000-000030050000}"/>
    <cellStyle name="Output 2 2 2 3 3" xfId="27029" xr:uid="{00000000-0005-0000-0000-000030050000}"/>
    <cellStyle name="Output 2 2 2 4" xfId="22550" xr:uid="{00000000-0005-0000-0000-00004D4F0000}"/>
    <cellStyle name="Output 2 2 2 4 2" xfId="24968" xr:uid="{00000000-0005-0000-0000-00002E050000}"/>
    <cellStyle name="Output 2 2 2 5" xfId="23391" xr:uid="{00000000-0005-0000-0000-00004E4F0000}"/>
    <cellStyle name="Output 2 2 2 5 2" xfId="26889" xr:uid="{00000000-0005-0000-0000-00002E050000}"/>
    <cellStyle name="Output 2 2 3" xfId="22812" xr:uid="{00000000-0005-0000-0000-00004F4F0000}"/>
    <cellStyle name="Output 2 2 3 2" xfId="23431" xr:uid="{00000000-0005-0000-0000-0000504F0000}"/>
    <cellStyle name="Output 2 2 3 2 2" xfId="26361" xr:uid="{00000000-0005-0000-0000-000031050000}"/>
    <cellStyle name="Output 2 2 3 2 3" xfId="27088" xr:uid="{00000000-0005-0000-0000-000031050000}"/>
    <cellStyle name="Output 2 2 3 3" xfId="25232" xr:uid="{00000000-0005-0000-0000-000031050000}"/>
    <cellStyle name="Output 2 2 3 4" xfId="26929" xr:uid="{00000000-0005-0000-0000-000031050000}"/>
    <cellStyle name="Output 2 2 4" xfId="23188" xr:uid="{00000000-0005-0000-0000-0000514F0000}"/>
    <cellStyle name="Output 2 2 4 2" xfId="23491" xr:uid="{00000000-0005-0000-0000-0000524F0000}"/>
    <cellStyle name="Output 2 2 4 2 2" xfId="25600" xr:uid="{00000000-0005-0000-0000-000032050000}"/>
    <cellStyle name="Output 2 2 4 3" xfId="26989" xr:uid="{00000000-0005-0000-0000-000032050000}"/>
    <cellStyle name="Output 2 2 5" xfId="22292" xr:uid="{00000000-0005-0000-0000-0000534F0000}"/>
    <cellStyle name="Output 2 2 5 2" xfId="24708" xr:uid="{00000000-0005-0000-0000-00002D050000}"/>
    <cellStyle name="Output 2 2 6" xfId="23351" xr:uid="{00000000-0005-0000-0000-0000544F0000}"/>
    <cellStyle name="Output 2 2 6 2" xfId="26849" xr:uid="{00000000-0005-0000-0000-00002D050000}"/>
    <cellStyle name="Output 2 3" xfId="12377" xr:uid="{00000000-0005-0000-0000-0000554F0000}"/>
    <cellStyle name="Output 2 3 2" xfId="12378" xr:uid="{00000000-0005-0000-0000-0000564F0000}"/>
    <cellStyle name="Output 2 3 2 2" xfId="20349" xr:uid="{00000000-0005-0000-0000-0000574F0000}"/>
    <cellStyle name="Output 2 3 2 2 2" xfId="26525" xr:uid="{00000000-0005-0000-0000-000034050000}"/>
    <cellStyle name="Output 2 3 2 2 3" xfId="27113" xr:uid="{00000000-0005-0000-0000-000034050000}"/>
    <cellStyle name="Output 2 3 2 2 4" xfId="24273" xr:uid="{00000000-0005-0000-0000-000034050000}"/>
    <cellStyle name="Output 2 3 2 3" xfId="22975" xr:uid="{00000000-0005-0000-0000-0000584F0000}"/>
    <cellStyle name="Output 2 3 2 3 2" xfId="25391" xr:uid="{00000000-0005-0000-0000-000034050000}"/>
    <cellStyle name="Output 2 3 2 4" xfId="23456" xr:uid="{00000000-0005-0000-0000-0000594F0000}"/>
    <cellStyle name="Output 2 3 2 4 2" xfId="26954" xr:uid="{00000000-0005-0000-0000-000034050000}"/>
    <cellStyle name="Output 2 3 3" xfId="23212" xr:uid="{00000000-0005-0000-0000-00005A4F0000}"/>
    <cellStyle name="Output 2 3 3 2" xfId="23516" xr:uid="{00000000-0005-0000-0000-00005B4F0000}"/>
    <cellStyle name="Output 2 3 3 2 2" xfId="25624" xr:uid="{00000000-0005-0000-0000-000035050000}"/>
    <cellStyle name="Output 2 3 3 3" xfId="27014" xr:uid="{00000000-0005-0000-0000-000035050000}"/>
    <cellStyle name="Output 2 3 4" xfId="22449" xr:uid="{00000000-0005-0000-0000-00005C4F0000}"/>
    <cellStyle name="Output 2 3 4 2" xfId="24869" xr:uid="{00000000-0005-0000-0000-000033050000}"/>
    <cellStyle name="Output 2 3 5" xfId="23376" xr:uid="{00000000-0005-0000-0000-00005D4F0000}"/>
    <cellStyle name="Output 2 3 5 2" xfId="26874" xr:uid="{00000000-0005-0000-0000-000033050000}"/>
    <cellStyle name="Output 2 4" xfId="12379" xr:uid="{00000000-0005-0000-0000-00005E4F0000}"/>
    <cellStyle name="Output 2 4 2" xfId="12380" xr:uid="{00000000-0005-0000-0000-00005F4F0000}"/>
    <cellStyle name="Output 2 4 2 2" xfId="26260" xr:uid="{00000000-0005-0000-0000-000036050000}"/>
    <cellStyle name="Output 2 4 2 3" xfId="27073" xr:uid="{00000000-0005-0000-0000-000036050000}"/>
    <cellStyle name="Output 2 4 2 4" xfId="24024" xr:uid="{00000000-0005-0000-0000-000036050000}"/>
    <cellStyle name="Output 2 4 3" xfId="20350" xr:uid="{00000000-0005-0000-0000-0000604F0000}"/>
    <cellStyle name="Output 2 4 3 2" xfId="25131" xr:uid="{00000000-0005-0000-0000-000036050000}"/>
    <cellStyle name="Output 2 4 4" xfId="22711" xr:uid="{00000000-0005-0000-0000-0000614F0000}"/>
    <cellStyle name="Output 2 4 4 2" xfId="26914" xr:uid="{00000000-0005-0000-0000-000036050000}"/>
    <cellStyle name="Output 2 4 5" xfId="23416" xr:uid="{00000000-0005-0000-0000-0000624F0000}"/>
    <cellStyle name="Output 2 5" xfId="12381" xr:uid="{00000000-0005-0000-0000-0000634F0000}"/>
    <cellStyle name="Output 2 5 2" xfId="20351" xr:uid="{00000000-0005-0000-0000-0000644F0000}"/>
    <cellStyle name="Output 2 5 3" xfId="24609" xr:uid="{00000000-0005-0000-0000-00002C050000}"/>
    <cellStyle name="Output 2 6" xfId="12382" xr:uid="{00000000-0005-0000-0000-0000654F0000}"/>
    <cellStyle name="Output 2 6 2" xfId="20352" xr:uid="{00000000-0005-0000-0000-0000664F0000}"/>
    <cellStyle name="Output 2 6 3" xfId="26834" xr:uid="{00000000-0005-0000-0000-00002C050000}"/>
    <cellStyle name="Output 2 7" xfId="12383" xr:uid="{00000000-0005-0000-0000-0000674F0000}"/>
    <cellStyle name="Output 2 7 2" xfId="20353" xr:uid="{00000000-0005-0000-0000-0000684F0000}"/>
    <cellStyle name="Output 2 8" xfId="12384" xr:uid="{00000000-0005-0000-0000-0000694F0000}"/>
    <cellStyle name="Output 2 8 2" xfId="20354" xr:uid="{00000000-0005-0000-0000-00006A4F0000}"/>
    <cellStyle name="Output 2 9" xfId="12385" xr:uid="{00000000-0005-0000-0000-00006B4F0000}"/>
    <cellStyle name="Output 2 9 2" xfId="20355" xr:uid="{00000000-0005-0000-0000-00006C4F0000}"/>
    <cellStyle name="Output 20" xfId="12386" xr:uid="{00000000-0005-0000-0000-00006D4F0000}"/>
    <cellStyle name="Output 20 2" xfId="12387" xr:uid="{00000000-0005-0000-0000-00006E4F0000}"/>
    <cellStyle name="Output 20 2 2" xfId="20356" xr:uid="{00000000-0005-0000-0000-00006F4F0000}"/>
    <cellStyle name="Output 20 3" xfId="12388" xr:uid="{00000000-0005-0000-0000-0000704F0000}"/>
    <cellStyle name="Output 20 3 2" xfId="20357" xr:uid="{00000000-0005-0000-0000-0000714F0000}"/>
    <cellStyle name="Output 20 4" xfId="12389" xr:uid="{00000000-0005-0000-0000-0000724F0000}"/>
    <cellStyle name="Output 20 4 2" xfId="20358" xr:uid="{00000000-0005-0000-0000-0000734F0000}"/>
    <cellStyle name="Output 20 5" xfId="12390" xr:uid="{00000000-0005-0000-0000-0000744F0000}"/>
    <cellStyle name="Output 20 5 2" xfId="20359" xr:uid="{00000000-0005-0000-0000-0000754F0000}"/>
    <cellStyle name="Output 20 6" xfId="12391" xr:uid="{00000000-0005-0000-0000-0000764F0000}"/>
    <cellStyle name="Output 20 6 2" xfId="20360" xr:uid="{00000000-0005-0000-0000-0000774F0000}"/>
    <cellStyle name="Output 20 7" xfId="12392" xr:uid="{00000000-0005-0000-0000-0000784F0000}"/>
    <cellStyle name="Output 20 7 2" xfId="20361" xr:uid="{00000000-0005-0000-0000-0000794F0000}"/>
    <cellStyle name="Output 20 8" xfId="12393" xr:uid="{00000000-0005-0000-0000-00007A4F0000}"/>
    <cellStyle name="Output 20 8 2" xfId="20362" xr:uid="{00000000-0005-0000-0000-00007B4F0000}"/>
    <cellStyle name="Output 20 9" xfId="12394" xr:uid="{00000000-0005-0000-0000-00007C4F0000}"/>
    <cellStyle name="Output 20 9 2" xfId="20363" xr:uid="{00000000-0005-0000-0000-00007D4F0000}"/>
    <cellStyle name="Output 21" xfId="12395" xr:uid="{00000000-0005-0000-0000-00007E4F0000}"/>
    <cellStyle name="Output 21 2" xfId="12396" xr:uid="{00000000-0005-0000-0000-00007F4F0000}"/>
    <cellStyle name="Output 21 2 2" xfId="20364" xr:uid="{00000000-0005-0000-0000-0000804F0000}"/>
    <cellStyle name="Output 21 3" xfId="12397" xr:uid="{00000000-0005-0000-0000-0000814F0000}"/>
    <cellStyle name="Output 21 3 2" xfId="20365" xr:uid="{00000000-0005-0000-0000-0000824F0000}"/>
    <cellStyle name="Output 21 4" xfId="12398" xr:uid="{00000000-0005-0000-0000-0000834F0000}"/>
    <cellStyle name="Output 21 4 2" xfId="20366" xr:uid="{00000000-0005-0000-0000-0000844F0000}"/>
    <cellStyle name="Output 21 5" xfId="12399" xr:uid="{00000000-0005-0000-0000-0000854F0000}"/>
    <cellStyle name="Output 21 5 2" xfId="20367" xr:uid="{00000000-0005-0000-0000-0000864F0000}"/>
    <cellStyle name="Output 21 6" xfId="12400" xr:uid="{00000000-0005-0000-0000-0000874F0000}"/>
    <cellStyle name="Output 21 6 2" xfId="20368" xr:uid="{00000000-0005-0000-0000-0000884F0000}"/>
    <cellStyle name="Output 21 7" xfId="12401" xr:uid="{00000000-0005-0000-0000-0000894F0000}"/>
    <cellStyle name="Output 21 7 2" xfId="20369" xr:uid="{00000000-0005-0000-0000-00008A4F0000}"/>
    <cellStyle name="Output 21 8" xfId="12402" xr:uid="{00000000-0005-0000-0000-00008B4F0000}"/>
    <cellStyle name="Output 21 8 2" xfId="20370" xr:uid="{00000000-0005-0000-0000-00008C4F0000}"/>
    <cellStyle name="Output 21 9" xfId="12403" xr:uid="{00000000-0005-0000-0000-00008D4F0000}"/>
    <cellStyle name="Output 21 9 2" xfId="20371" xr:uid="{00000000-0005-0000-0000-00008E4F0000}"/>
    <cellStyle name="Output 22" xfId="12404" xr:uid="{00000000-0005-0000-0000-00008F4F0000}"/>
    <cellStyle name="Output 22 2" xfId="12405" xr:uid="{00000000-0005-0000-0000-0000904F0000}"/>
    <cellStyle name="Output 22 2 2" xfId="20372" xr:uid="{00000000-0005-0000-0000-0000914F0000}"/>
    <cellStyle name="Output 22 3" xfId="12406" xr:uid="{00000000-0005-0000-0000-0000924F0000}"/>
    <cellStyle name="Output 22 3 2" xfId="20373" xr:uid="{00000000-0005-0000-0000-0000934F0000}"/>
    <cellStyle name="Output 22 4" xfId="12407" xr:uid="{00000000-0005-0000-0000-0000944F0000}"/>
    <cellStyle name="Output 22 4 2" xfId="20374" xr:uid="{00000000-0005-0000-0000-0000954F0000}"/>
    <cellStyle name="Output 22 5" xfId="12408" xr:uid="{00000000-0005-0000-0000-0000964F0000}"/>
    <cellStyle name="Output 22 5 2" xfId="20375" xr:uid="{00000000-0005-0000-0000-0000974F0000}"/>
    <cellStyle name="Output 22 6" xfId="12409" xr:uid="{00000000-0005-0000-0000-0000984F0000}"/>
    <cellStyle name="Output 22 6 2" xfId="20376" xr:uid="{00000000-0005-0000-0000-0000994F0000}"/>
    <cellStyle name="Output 22 7" xfId="12410" xr:uid="{00000000-0005-0000-0000-00009A4F0000}"/>
    <cellStyle name="Output 22 7 2" xfId="20377" xr:uid="{00000000-0005-0000-0000-00009B4F0000}"/>
    <cellStyle name="Output 22 8" xfId="12411" xr:uid="{00000000-0005-0000-0000-00009C4F0000}"/>
    <cellStyle name="Output 22 8 2" xfId="20378" xr:uid="{00000000-0005-0000-0000-00009D4F0000}"/>
    <cellStyle name="Output 22 9" xfId="12412" xr:uid="{00000000-0005-0000-0000-00009E4F0000}"/>
    <cellStyle name="Output 22 9 2" xfId="20379" xr:uid="{00000000-0005-0000-0000-00009F4F0000}"/>
    <cellStyle name="Output 23" xfId="12413" xr:uid="{00000000-0005-0000-0000-0000A04F0000}"/>
    <cellStyle name="Output 23 2" xfId="12414" xr:uid="{00000000-0005-0000-0000-0000A14F0000}"/>
    <cellStyle name="Output 23 2 2" xfId="20380" xr:uid="{00000000-0005-0000-0000-0000A24F0000}"/>
    <cellStyle name="Output 23 3" xfId="12415" xr:uid="{00000000-0005-0000-0000-0000A34F0000}"/>
    <cellStyle name="Output 23 3 2" xfId="20381" xr:uid="{00000000-0005-0000-0000-0000A44F0000}"/>
    <cellStyle name="Output 23 4" xfId="12416" xr:uid="{00000000-0005-0000-0000-0000A54F0000}"/>
    <cellStyle name="Output 23 4 2" xfId="20382" xr:uid="{00000000-0005-0000-0000-0000A64F0000}"/>
    <cellStyle name="Output 23 5" xfId="12417" xr:uid="{00000000-0005-0000-0000-0000A74F0000}"/>
    <cellStyle name="Output 23 5 2" xfId="20383" xr:uid="{00000000-0005-0000-0000-0000A84F0000}"/>
    <cellStyle name="Output 23 6" xfId="12418" xr:uid="{00000000-0005-0000-0000-0000A94F0000}"/>
    <cellStyle name="Output 23 6 2" xfId="20384" xr:uid="{00000000-0005-0000-0000-0000AA4F0000}"/>
    <cellStyle name="Output 23 7" xfId="12419" xr:uid="{00000000-0005-0000-0000-0000AB4F0000}"/>
    <cellStyle name="Output 23 7 2" xfId="20385" xr:uid="{00000000-0005-0000-0000-0000AC4F0000}"/>
    <cellStyle name="Output 23 8" xfId="12420" xr:uid="{00000000-0005-0000-0000-0000AD4F0000}"/>
    <cellStyle name="Output 23 8 2" xfId="20386" xr:uid="{00000000-0005-0000-0000-0000AE4F0000}"/>
    <cellStyle name="Output 23 9" xfId="12421" xr:uid="{00000000-0005-0000-0000-0000AF4F0000}"/>
    <cellStyle name="Output 23 9 2" xfId="20387" xr:uid="{00000000-0005-0000-0000-0000B04F0000}"/>
    <cellStyle name="Output 24" xfId="12422" xr:uid="{00000000-0005-0000-0000-0000B14F0000}"/>
    <cellStyle name="Output 24 2" xfId="12423" xr:uid="{00000000-0005-0000-0000-0000B24F0000}"/>
    <cellStyle name="Output 24 2 2" xfId="20388" xr:uid="{00000000-0005-0000-0000-0000B34F0000}"/>
    <cellStyle name="Output 24 3" xfId="12424" xr:uid="{00000000-0005-0000-0000-0000B44F0000}"/>
    <cellStyle name="Output 24 3 2" xfId="20389" xr:uid="{00000000-0005-0000-0000-0000B54F0000}"/>
    <cellStyle name="Output 24 4" xfId="12425" xr:uid="{00000000-0005-0000-0000-0000B64F0000}"/>
    <cellStyle name="Output 24 4 2" xfId="20390" xr:uid="{00000000-0005-0000-0000-0000B74F0000}"/>
    <cellStyle name="Output 24 5" xfId="12426" xr:uid="{00000000-0005-0000-0000-0000B84F0000}"/>
    <cellStyle name="Output 24 5 2" xfId="20391" xr:uid="{00000000-0005-0000-0000-0000B94F0000}"/>
    <cellStyle name="Output 24 6" xfId="12427" xr:uid="{00000000-0005-0000-0000-0000BA4F0000}"/>
    <cellStyle name="Output 24 6 2" xfId="20392" xr:uid="{00000000-0005-0000-0000-0000BB4F0000}"/>
    <cellStyle name="Output 24 7" xfId="12428" xr:uid="{00000000-0005-0000-0000-0000BC4F0000}"/>
    <cellStyle name="Output 24 7 2" xfId="20393" xr:uid="{00000000-0005-0000-0000-0000BD4F0000}"/>
    <cellStyle name="Output 24 8" xfId="12429" xr:uid="{00000000-0005-0000-0000-0000BE4F0000}"/>
    <cellStyle name="Output 24 8 2" xfId="20394" xr:uid="{00000000-0005-0000-0000-0000BF4F0000}"/>
    <cellStyle name="Output 24 9" xfId="12430" xr:uid="{00000000-0005-0000-0000-0000C04F0000}"/>
    <cellStyle name="Output 24 9 2" xfId="20395" xr:uid="{00000000-0005-0000-0000-0000C14F0000}"/>
    <cellStyle name="Output 25" xfId="12431" xr:uid="{00000000-0005-0000-0000-0000C24F0000}"/>
    <cellStyle name="Output 25 2" xfId="12432" xr:uid="{00000000-0005-0000-0000-0000C34F0000}"/>
    <cellStyle name="Output 25 2 2" xfId="20396" xr:uid="{00000000-0005-0000-0000-0000C44F0000}"/>
    <cellStyle name="Output 25 3" xfId="12433" xr:uid="{00000000-0005-0000-0000-0000C54F0000}"/>
    <cellStyle name="Output 25 3 2" xfId="20397" xr:uid="{00000000-0005-0000-0000-0000C64F0000}"/>
    <cellStyle name="Output 25 4" xfId="12434" xr:uid="{00000000-0005-0000-0000-0000C74F0000}"/>
    <cellStyle name="Output 25 4 2" xfId="20398" xr:uid="{00000000-0005-0000-0000-0000C84F0000}"/>
    <cellStyle name="Output 25 5" xfId="12435" xr:uid="{00000000-0005-0000-0000-0000C94F0000}"/>
    <cellStyle name="Output 25 5 2" xfId="20399" xr:uid="{00000000-0005-0000-0000-0000CA4F0000}"/>
    <cellStyle name="Output 25 6" xfId="12436" xr:uid="{00000000-0005-0000-0000-0000CB4F0000}"/>
    <cellStyle name="Output 25 6 2" xfId="20400" xr:uid="{00000000-0005-0000-0000-0000CC4F0000}"/>
    <cellStyle name="Output 25 7" xfId="12437" xr:uid="{00000000-0005-0000-0000-0000CD4F0000}"/>
    <cellStyle name="Output 25 7 2" xfId="20401" xr:uid="{00000000-0005-0000-0000-0000CE4F0000}"/>
    <cellStyle name="Output 25 8" xfId="12438" xr:uid="{00000000-0005-0000-0000-0000CF4F0000}"/>
    <cellStyle name="Output 25 8 2" xfId="20402" xr:uid="{00000000-0005-0000-0000-0000D04F0000}"/>
    <cellStyle name="Output 25 9" xfId="12439" xr:uid="{00000000-0005-0000-0000-0000D14F0000}"/>
    <cellStyle name="Output 25 9 2" xfId="20403" xr:uid="{00000000-0005-0000-0000-0000D24F0000}"/>
    <cellStyle name="Output 26" xfId="12440" xr:uid="{00000000-0005-0000-0000-0000D34F0000}"/>
    <cellStyle name="Output 26 2" xfId="12441" xr:uid="{00000000-0005-0000-0000-0000D44F0000}"/>
    <cellStyle name="Output 26 2 2" xfId="20404" xr:uid="{00000000-0005-0000-0000-0000D54F0000}"/>
    <cellStyle name="Output 26 3" xfId="12442" xr:uid="{00000000-0005-0000-0000-0000D64F0000}"/>
    <cellStyle name="Output 26 3 2" xfId="20405" xr:uid="{00000000-0005-0000-0000-0000D74F0000}"/>
    <cellStyle name="Output 26 4" xfId="12443" xr:uid="{00000000-0005-0000-0000-0000D84F0000}"/>
    <cellStyle name="Output 26 4 2" xfId="20406" xr:uid="{00000000-0005-0000-0000-0000D94F0000}"/>
    <cellStyle name="Output 26 5" xfId="12444" xr:uid="{00000000-0005-0000-0000-0000DA4F0000}"/>
    <cellStyle name="Output 26 5 2" xfId="20407" xr:uid="{00000000-0005-0000-0000-0000DB4F0000}"/>
    <cellStyle name="Output 26 6" xfId="12445" xr:uid="{00000000-0005-0000-0000-0000DC4F0000}"/>
    <cellStyle name="Output 26 6 2" xfId="20408" xr:uid="{00000000-0005-0000-0000-0000DD4F0000}"/>
    <cellStyle name="Output 26 7" xfId="12446" xr:uid="{00000000-0005-0000-0000-0000DE4F0000}"/>
    <cellStyle name="Output 26 7 2" xfId="20409" xr:uid="{00000000-0005-0000-0000-0000DF4F0000}"/>
    <cellStyle name="Output 26 8" xfId="12447" xr:uid="{00000000-0005-0000-0000-0000E04F0000}"/>
    <cellStyle name="Output 26 8 2" xfId="20410" xr:uid="{00000000-0005-0000-0000-0000E14F0000}"/>
    <cellStyle name="Output 26 9" xfId="12448" xr:uid="{00000000-0005-0000-0000-0000E24F0000}"/>
    <cellStyle name="Output 26 9 2" xfId="20411" xr:uid="{00000000-0005-0000-0000-0000E34F0000}"/>
    <cellStyle name="Output 27" xfId="12449" xr:uid="{00000000-0005-0000-0000-0000E44F0000}"/>
    <cellStyle name="Output 27 2" xfId="12450" xr:uid="{00000000-0005-0000-0000-0000E54F0000}"/>
    <cellStyle name="Output 27 2 2" xfId="20412" xr:uid="{00000000-0005-0000-0000-0000E64F0000}"/>
    <cellStyle name="Output 27 3" xfId="12451" xr:uid="{00000000-0005-0000-0000-0000E74F0000}"/>
    <cellStyle name="Output 27 3 2" xfId="20413" xr:uid="{00000000-0005-0000-0000-0000E84F0000}"/>
    <cellStyle name="Output 27 4" xfId="12452" xr:uid="{00000000-0005-0000-0000-0000E94F0000}"/>
    <cellStyle name="Output 27 4 2" xfId="20414" xr:uid="{00000000-0005-0000-0000-0000EA4F0000}"/>
    <cellStyle name="Output 27 5" xfId="12453" xr:uid="{00000000-0005-0000-0000-0000EB4F0000}"/>
    <cellStyle name="Output 27 5 2" xfId="20415" xr:uid="{00000000-0005-0000-0000-0000EC4F0000}"/>
    <cellStyle name="Output 27 6" xfId="12454" xr:uid="{00000000-0005-0000-0000-0000ED4F0000}"/>
    <cellStyle name="Output 27 6 2" xfId="20416" xr:uid="{00000000-0005-0000-0000-0000EE4F0000}"/>
    <cellStyle name="Output 27 7" xfId="12455" xr:uid="{00000000-0005-0000-0000-0000EF4F0000}"/>
    <cellStyle name="Output 27 7 2" xfId="20417" xr:uid="{00000000-0005-0000-0000-0000F04F0000}"/>
    <cellStyle name="Output 27 8" xfId="12456" xr:uid="{00000000-0005-0000-0000-0000F14F0000}"/>
    <cellStyle name="Output 27 8 2" xfId="20418" xr:uid="{00000000-0005-0000-0000-0000F24F0000}"/>
    <cellStyle name="Output 27 9" xfId="12457" xr:uid="{00000000-0005-0000-0000-0000F34F0000}"/>
    <cellStyle name="Output 27 9 2" xfId="20419" xr:uid="{00000000-0005-0000-0000-0000F44F0000}"/>
    <cellStyle name="Output 28" xfId="12458" xr:uid="{00000000-0005-0000-0000-0000F54F0000}"/>
    <cellStyle name="Output 28 2" xfId="12459" xr:uid="{00000000-0005-0000-0000-0000F64F0000}"/>
    <cellStyle name="Output 28 2 2" xfId="20420" xr:uid="{00000000-0005-0000-0000-0000F74F0000}"/>
    <cellStyle name="Output 28 3" xfId="12460" xr:uid="{00000000-0005-0000-0000-0000F84F0000}"/>
    <cellStyle name="Output 28 3 2" xfId="20421" xr:uid="{00000000-0005-0000-0000-0000F94F0000}"/>
    <cellStyle name="Output 28 4" xfId="12461" xr:uid="{00000000-0005-0000-0000-0000FA4F0000}"/>
    <cellStyle name="Output 28 4 2" xfId="20422" xr:uid="{00000000-0005-0000-0000-0000FB4F0000}"/>
    <cellStyle name="Output 28 5" xfId="12462" xr:uid="{00000000-0005-0000-0000-0000FC4F0000}"/>
    <cellStyle name="Output 28 5 2" xfId="20423" xr:uid="{00000000-0005-0000-0000-0000FD4F0000}"/>
    <cellStyle name="Output 28 6" xfId="12463" xr:uid="{00000000-0005-0000-0000-0000FE4F0000}"/>
    <cellStyle name="Output 28 6 2" xfId="20424" xr:uid="{00000000-0005-0000-0000-0000FF4F0000}"/>
    <cellStyle name="Output 28 7" xfId="12464" xr:uid="{00000000-0005-0000-0000-000000500000}"/>
    <cellStyle name="Output 28 7 2" xfId="20425" xr:uid="{00000000-0005-0000-0000-000001500000}"/>
    <cellStyle name="Output 28 8" xfId="12465" xr:uid="{00000000-0005-0000-0000-000002500000}"/>
    <cellStyle name="Output 28 8 2" xfId="20426" xr:uid="{00000000-0005-0000-0000-000003500000}"/>
    <cellStyle name="Output 28 9" xfId="12466" xr:uid="{00000000-0005-0000-0000-000004500000}"/>
    <cellStyle name="Output 28 9 2" xfId="20427" xr:uid="{00000000-0005-0000-0000-000005500000}"/>
    <cellStyle name="Output 29" xfId="12467" xr:uid="{00000000-0005-0000-0000-000006500000}"/>
    <cellStyle name="Output 29 2" xfId="12468" xr:uid="{00000000-0005-0000-0000-000007500000}"/>
    <cellStyle name="Output 29 2 2" xfId="20428" xr:uid="{00000000-0005-0000-0000-000008500000}"/>
    <cellStyle name="Output 29 3" xfId="12469" xr:uid="{00000000-0005-0000-0000-000009500000}"/>
    <cellStyle name="Output 29 3 2" xfId="20429" xr:uid="{00000000-0005-0000-0000-00000A500000}"/>
    <cellStyle name="Output 29 4" xfId="12470" xr:uid="{00000000-0005-0000-0000-00000B500000}"/>
    <cellStyle name="Output 29 4 2" xfId="20430" xr:uid="{00000000-0005-0000-0000-00000C500000}"/>
    <cellStyle name="Output 29 5" xfId="12471" xr:uid="{00000000-0005-0000-0000-00000D500000}"/>
    <cellStyle name="Output 29 5 2" xfId="20431" xr:uid="{00000000-0005-0000-0000-00000E500000}"/>
    <cellStyle name="Output 29 6" xfId="12472" xr:uid="{00000000-0005-0000-0000-00000F500000}"/>
    <cellStyle name="Output 29 6 2" xfId="20432" xr:uid="{00000000-0005-0000-0000-000010500000}"/>
    <cellStyle name="Output 29 7" xfId="12473" xr:uid="{00000000-0005-0000-0000-000011500000}"/>
    <cellStyle name="Output 29 7 2" xfId="20433" xr:uid="{00000000-0005-0000-0000-000012500000}"/>
    <cellStyle name="Output 29 8" xfId="12474" xr:uid="{00000000-0005-0000-0000-000013500000}"/>
    <cellStyle name="Output 29 8 2" xfId="20434" xr:uid="{00000000-0005-0000-0000-000014500000}"/>
    <cellStyle name="Output 29 9" xfId="12475" xr:uid="{00000000-0005-0000-0000-000015500000}"/>
    <cellStyle name="Output 29 9 2" xfId="20435" xr:uid="{00000000-0005-0000-0000-000016500000}"/>
    <cellStyle name="Output 3" xfId="12476" xr:uid="{00000000-0005-0000-0000-000017500000}"/>
    <cellStyle name="Output 3 10" xfId="12477" xr:uid="{00000000-0005-0000-0000-000018500000}"/>
    <cellStyle name="Output 3 10 2" xfId="20436" xr:uid="{00000000-0005-0000-0000-000019500000}"/>
    <cellStyle name="Output 3 11" xfId="12478" xr:uid="{00000000-0005-0000-0000-00001A500000}"/>
    <cellStyle name="Output 3 11 2" xfId="20437" xr:uid="{00000000-0005-0000-0000-00001B500000}"/>
    <cellStyle name="Output 3 12" xfId="22187" xr:uid="{00000000-0005-0000-0000-00001C500000}"/>
    <cellStyle name="Output 3 13" xfId="23336" xr:uid="{00000000-0005-0000-0000-00001D500000}"/>
    <cellStyle name="Output 3 2" xfId="12479" xr:uid="{00000000-0005-0000-0000-00001E500000}"/>
    <cellStyle name="Output 3 2 2" xfId="12480" xr:uid="{00000000-0005-0000-0000-00001F500000}"/>
    <cellStyle name="Output 3 2 2 2" xfId="20438" xr:uid="{00000000-0005-0000-0000-000020500000}"/>
    <cellStyle name="Output 3 2 2 2 2" xfId="23077" xr:uid="{00000000-0005-0000-0000-000021500000}"/>
    <cellStyle name="Output 3 2 2 2 2 2" xfId="26627" xr:uid="{00000000-0005-0000-0000-00003A050000}"/>
    <cellStyle name="Output 3 2 2 2 2 3" xfId="27129" xr:uid="{00000000-0005-0000-0000-00003A050000}"/>
    <cellStyle name="Output 3 2 2 2 2 4" xfId="24371" xr:uid="{00000000-0005-0000-0000-00003A050000}"/>
    <cellStyle name="Output 3 2 2 2 3" xfId="23472" xr:uid="{00000000-0005-0000-0000-000022500000}"/>
    <cellStyle name="Output 3 2 2 2 3 2" xfId="25491" xr:uid="{00000000-0005-0000-0000-00003A050000}"/>
    <cellStyle name="Output 3 2 2 2 4" xfId="26970" xr:uid="{00000000-0005-0000-0000-00003A050000}"/>
    <cellStyle name="Output 3 2 2 3" xfId="23228" xr:uid="{00000000-0005-0000-0000-000023500000}"/>
    <cellStyle name="Output 3 2 2 3 2" xfId="23532" xr:uid="{00000000-0005-0000-0000-000024500000}"/>
    <cellStyle name="Output 3 2 2 3 2 2" xfId="25640" xr:uid="{00000000-0005-0000-0000-00003B050000}"/>
    <cellStyle name="Output 3 2 2 3 3" xfId="27030" xr:uid="{00000000-0005-0000-0000-00003B050000}"/>
    <cellStyle name="Output 3 2 2 4" xfId="22551" xr:uid="{00000000-0005-0000-0000-000025500000}"/>
    <cellStyle name="Output 3 2 2 4 2" xfId="24969" xr:uid="{00000000-0005-0000-0000-000039050000}"/>
    <cellStyle name="Output 3 2 2 5" xfId="23392" xr:uid="{00000000-0005-0000-0000-000026500000}"/>
    <cellStyle name="Output 3 2 2 5 2" xfId="26890" xr:uid="{00000000-0005-0000-0000-000039050000}"/>
    <cellStyle name="Output 3 2 3" xfId="22813" xr:uid="{00000000-0005-0000-0000-000027500000}"/>
    <cellStyle name="Output 3 2 3 2" xfId="23432" xr:uid="{00000000-0005-0000-0000-000028500000}"/>
    <cellStyle name="Output 3 2 3 2 2" xfId="26362" xr:uid="{00000000-0005-0000-0000-00003C050000}"/>
    <cellStyle name="Output 3 2 3 2 3" xfId="27089" xr:uid="{00000000-0005-0000-0000-00003C050000}"/>
    <cellStyle name="Output 3 2 3 3" xfId="25233" xr:uid="{00000000-0005-0000-0000-00003C050000}"/>
    <cellStyle name="Output 3 2 3 4" xfId="26930" xr:uid="{00000000-0005-0000-0000-00003C050000}"/>
    <cellStyle name="Output 3 2 4" xfId="23189" xr:uid="{00000000-0005-0000-0000-000029500000}"/>
    <cellStyle name="Output 3 2 4 2" xfId="23492" xr:uid="{00000000-0005-0000-0000-00002A500000}"/>
    <cellStyle name="Output 3 2 4 2 2" xfId="25601" xr:uid="{00000000-0005-0000-0000-00003D050000}"/>
    <cellStyle name="Output 3 2 4 3" xfId="26990" xr:uid="{00000000-0005-0000-0000-00003D050000}"/>
    <cellStyle name="Output 3 2 5" xfId="22293" xr:uid="{00000000-0005-0000-0000-00002B500000}"/>
    <cellStyle name="Output 3 2 5 2" xfId="24709" xr:uid="{00000000-0005-0000-0000-000038050000}"/>
    <cellStyle name="Output 3 2 6" xfId="23352" xr:uid="{00000000-0005-0000-0000-00002C500000}"/>
    <cellStyle name="Output 3 2 6 2" xfId="26850" xr:uid="{00000000-0005-0000-0000-000038050000}"/>
    <cellStyle name="Output 3 3" xfId="12481" xr:uid="{00000000-0005-0000-0000-00002D500000}"/>
    <cellStyle name="Output 3 3 2" xfId="12482" xr:uid="{00000000-0005-0000-0000-00002E500000}"/>
    <cellStyle name="Output 3 3 2 2" xfId="20439" xr:uid="{00000000-0005-0000-0000-00002F500000}"/>
    <cellStyle name="Output 3 3 2 2 2" xfId="26526" xr:uid="{00000000-0005-0000-0000-00003F050000}"/>
    <cellStyle name="Output 3 3 2 2 3" xfId="27114" xr:uid="{00000000-0005-0000-0000-00003F050000}"/>
    <cellStyle name="Output 3 3 2 2 4" xfId="24274" xr:uid="{00000000-0005-0000-0000-00003F050000}"/>
    <cellStyle name="Output 3 3 2 3" xfId="22976" xr:uid="{00000000-0005-0000-0000-000030500000}"/>
    <cellStyle name="Output 3 3 2 3 2" xfId="25392" xr:uid="{00000000-0005-0000-0000-00003F050000}"/>
    <cellStyle name="Output 3 3 2 4" xfId="23457" xr:uid="{00000000-0005-0000-0000-000031500000}"/>
    <cellStyle name="Output 3 3 2 4 2" xfId="26955" xr:uid="{00000000-0005-0000-0000-00003F050000}"/>
    <cellStyle name="Output 3 3 3" xfId="23213" xr:uid="{00000000-0005-0000-0000-000032500000}"/>
    <cellStyle name="Output 3 3 3 2" xfId="23517" xr:uid="{00000000-0005-0000-0000-000033500000}"/>
    <cellStyle name="Output 3 3 3 2 2" xfId="25625" xr:uid="{00000000-0005-0000-0000-000040050000}"/>
    <cellStyle name="Output 3 3 3 3" xfId="27015" xr:uid="{00000000-0005-0000-0000-000040050000}"/>
    <cellStyle name="Output 3 3 4" xfId="22450" xr:uid="{00000000-0005-0000-0000-000034500000}"/>
    <cellStyle name="Output 3 3 4 2" xfId="24870" xr:uid="{00000000-0005-0000-0000-00003E050000}"/>
    <cellStyle name="Output 3 3 5" xfId="23377" xr:uid="{00000000-0005-0000-0000-000035500000}"/>
    <cellStyle name="Output 3 3 5 2" xfId="26875" xr:uid="{00000000-0005-0000-0000-00003E050000}"/>
    <cellStyle name="Output 3 4" xfId="12483" xr:uid="{00000000-0005-0000-0000-000036500000}"/>
    <cellStyle name="Output 3 4 2" xfId="12484" xr:uid="{00000000-0005-0000-0000-000037500000}"/>
    <cellStyle name="Output 3 4 2 2" xfId="26261" xr:uid="{00000000-0005-0000-0000-000041050000}"/>
    <cellStyle name="Output 3 4 2 3" xfId="27074" xr:uid="{00000000-0005-0000-0000-000041050000}"/>
    <cellStyle name="Output 3 4 2 4" xfId="24025" xr:uid="{00000000-0005-0000-0000-000041050000}"/>
    <cellStyle name="Output 3 4 3" xfId="20440" xr:uid="{00000000-0005-0000-0000-000038500000}"/>
    <cellStyle name="Output 3 4 3 2" xfId="25132" xr:uid="{00000000-0005-0000-0000-000041050000}"/>
    <cellStyle name="Output 3 4 4" xfId="22712" xr:uid="{00000000-0005-0000-0000-000039500000}"/>
    <cellStyle name="Output 3 4 4 2" xfId="26915" xr:uid="{00000000-0005-0000-0000-000041050000}"/>
    <cellStyle name="Output 3 4 5" xfId="23417" xr:uid="{00000000-0005-0000-0000-00003A500000}"/>
    <cellStyle name="Output 3 5" xfId="12485" xr:uid="{00000000-0005-0000-0000-00003B500000}"/>
    <cellStyle name="Output 3 5 2" xfId="20441" xr:uid="{00000000-0005-0000-0000-00003C500000}"/>
    <cellStyle name="Output 3 5 3" xfId="24610" xr:uid="{00000000-0005-0000-0000-000037050000}"/>
    <cellStyle name="Output 3 6" xfId="12486" xr:uid="{00000000-0005-0000-0000-00003D500000}"/>
    <cellStyle name="Output 3 6 2" xfId="20442" xr:uid="{00000000-0005-0000-0000-00003E500000}"/>
    <cellStyle name="Output 3 6 3" xfId="26835" xr:uid="{00000000-0005-0000-0000-000037050000}"/>
    <cellStyle name="Output 3 7" xfId="12487" xr:uid="{00000000-0005-0000-0000-00003F500000}"/>
    <cellStyle name="Output 3 7 2" xfId="20443" xr:uid="{00000000-0005-0000-0000-000040500000}"/>
    <cellStyle name="Output 3 8" xfId="12488" xr:uid="{00000000-0005-0000-0000-000041500000}"/>
    <cellStyle name="Output 3 8 2" xfId="20444" xr:uid="{00000000-0005-0000-0000-000042500000}"/>
    <cellStyle name="Output 3 9" xfId="12489" xr:uid="{00000000-0005-0000-0000-000043500000}"/>
    <cellStyle name="Output 3 9 2" xfId="20445" xr:uid="{00000000-0005-0000-0000-000044500000}"/>
    <cellStyle name="Output 30" xfId="12490" xr:uid="{00000000-0005-0000-0000-000045500000}"/>
    <cellStyle name="Output 30 2" xfId="12491" xr:uid="{00000000-0005-0000-0000-000046500000}"/>
    <cellStyle name="Output 30 2 2" xfId="20446" xr:uid="{00000000-0005-0000-0000-000047500000}"/>
    <cellStyle name="Output 31" xfId="12492" xr:uid="{00000000-0005-0000-0000-000048500000}"/>
    <cellStyle name="Output 31 2" xfId="12493" xr:uid="{00000000-0005-0000-0000-000049500000}"/>
    <cellStyle name="Output 31 2 2" xfId="20447" xr:uid="{00000000-0005-0000-0000-00004A500000}"/>
    <cellStyle name="Output 32" xfId="12494" xr:uid="{00000000-0005-0000-0000-00004B500000}"/>
    <cellStyle name="Output 32 2" xfId="12495" xr:uid="{00000000-0005-0000-0000-00004C500000}"/>
    <cellStyle name="Output 32 2 2" xfId="20448" xr:uid="{00000000-0005-0000-0000-00004D500000}"/>
    <cellStyle name="Output 33" xfId="12496" xr:uid="{00000000-0005-0000-0000-00004E500000}"/>
    <cellStyle name="Output 33 2" xfId="12497" xr:uid="{00000000-0005-0000-0000-00004F500000}"/>
    <cellStyle name="Output 33 2 2" xfId="20449" xr:uid="{00000000-0005-0000-0000-000050500000}"/>
    <cellStyle name="Output 34" xfId="12498" xr:uid="{00000000-0005-0000-0000-000051500000}"/>
    <cellStyle name="Output 34 2" xfId="12499" xr:uid="{00000000-0005-0000-0000-000052500000}"/>
    <cellStyle name="Output 34 2 2" xfId="20450" xr:uid="{00000000-0005-0000-0000-000053500000}"/>
    <cellStyle name="Output 35" xfId="12500" xr:uid="{00000000-0005-0000-0000-000054500000}"/>
    <cellStyle name="Output 35 2" xfId="12501" xr:uid="{00000000-0005-0000-0000-000055500000}"/>
    <cellStyle name="Output 35 2 2" xfId="20451" xr:uid="{00000000-0005-0000-0000-000056500000}"/>
    <cellStyle name="Output 36" xfId="12502" xr:uid="{00000000-0005-0000-0000-000057500000}"/>
    <cellStyle name="Output 37" xfId="12503" xr:uid="{00000000-0005-0000-0000-000058500000}"/>
    <cellStyle name="Output 38" xfId="12504" xr:uid="{00000000-0005-0000-0000-000059500000}"/>
    <cellStyle name="Output 39" xfId="12505" xr:uid="{00000000-0005-0000-0000-00005A500000}"/>
    <cellStyle name="Output 4" xfId="12506" xr:uid="{00000000-0005-0000-0000-00005B500000}"/>
    <cellStyle name="Output 4 10" xfId="12507" xr:uid="{00000000-0005-0000-0000-00005C500000}"/>
    <cellStyle name="Output 4 10 2" xfId="20452" xr:uid="{00000000-0005-0000-0000-00005D500000}"/>
    <cellStyle name="Output 4 11" xfId="12508" xr:uid="{00000000-0005-0000-0000-00005E500000}"/>
    <cellStyle name="Output 4 11 2" xfId="20453" xr:uid="{00000000-0005-0000-0000-00005F500000}"/>
    <cellStyle name="Output 4 12" xfId="22188" xr:uid="{00000000-0005-0000-0000-000060500000}"/>
    <cellStyle name="Output 4 13" xfId="23337" xr:uid="{00000000-0005-0000-0000-000061500000}"/>
    <cellStyle name="Output 4 2" xfId="12509" xr:uid="{00000000-0005-0000-0000-000062500000}"/>
    <cellStyle name="Output 4 2 2" xfId="12510" xr:uid="{00000000-0005-0000-0000-000063500000}"/>
    <cellStyle name="Output 4 2 2 2" xfId="20454" xr:uid="{00000000-0005-0000-0000-000064500000}"/>
    <cellStyle name="Output 4 2 2 2 2" xfId="23078" xr:uid="{00000000-0005-0000-0000-000065500000}"/>
    <cellStyle name="Output 4 2 2 2 2 2" xfId="26628" xr:uid="{00000000-0005-0000-0000-000045050000}"/>
    <cellStyle name="Output 4 2 2 2 2 3" xfId="27130" xr:uid="{00000000-0005-0000-0000-000045050000}"/>
    <cellStyle name="Output 4 2 2 2 2 4" xfId="24372" xr:uid="{00000000-0005-0000-0000-000045050000}"/>
    <cellStyle name="Output 4 2 2 2 3" xfId="23473" xr:uid="{00000000-0005-0000-0000-000066500000}"/>
    <cellStyle name="Output 4 2 2 2 3 2" xfId="25492" xr:uid="{00000000-0005-0000-0000-000045050000}"/>
    <cellStyle name="Output 4 2 2 2 4" xfId="26971" xr:uid="{00000000-0005-0000-0000-000045050000}"/>
    <cellStyle name="Output 4 2 2 3" xfId="23229" xr:uid="{00000000-0005-0000-0000-000067500000}"/>
    <cellStyle name="Output 4 2 2 3 2" xfId="23533" xr:uid="{00000000-0005-0000-0000-000068500000}"/>
    <cellStyle name="Output 4 2 2 3 2 2" xfId="25641" xr:uid="{00000000-0005-0000-0000-000046050000}"/>
    <cellStyle name="Output 4 2 2 3 3" xfId="27031" xr:uid="{00000000-0005-0000-0000-000046050000}"/>
    <cellStyle name="Output 4 2 2 4" xfId="22552" xr:uid="{00000000-0005-0000-0000-000069500000}"/>
    <cellStyle name="Output 4 2 2 4 2" xfId="24970" xr:uid="{00000000-0005-0000-0000-000044050000}"/>
    <cellStyle name="Output 4 2 2 5" xfId="23393" xr:uid="{00000000-0005-0000-0000-00006A500000}"/>
    <cellStyle name="Output 4 2 2 5 2" xfId="26891" xr:uid="{00000000-0005-0000-0000-000044050000}"/>
    <cellStyle name="Output 4 2 3" xfId="22814" xr:uid="{00000000-0005-0000-0000-00006B500000}"/>
    <cellStyle name="Output 4 2 3 2" xfId="23433" xr:uid="{00000000-0005-0000-0000-00006C500000}"/>
    <cellStyle name="Output 4 2 3 2 2" xfId="26363" xr:uid="{00000000-0005-0000-0000-000047050000}"/>
    <cellStyle name="Output 4 2 3 2 3" xfId="27090" xr:uid="{00000000-0005-0000-0000-000047050000}"/>
    <cellStyle name="Output 4 2 3 3" xfId="25234" xr:uid="{00000000-0005-0000-0000-000047050000}"/>
    <cellStyle name="Output 4 2 3 4" xfId="26931" xr:uid="{00000000-0005-0000-0000-000047050000}"/>
    <cellStyle name="Output 4 2 4" xfId="23190" xr:uid="{00000000-0005-0000-0000-00006D500000}"/>
    <cellStyle name="Output 4 2 4 2" xfId="23493" xr:uid="{00000000-0005-0000-0000-00006E500000}"/>
    <cellStyle name="Output 4 2 4 2 2" xfId="25602" xr:uid="{00000000-0005-0000-0000-000048050000}"/>
    <cellStyle name="Output 4 2 4 3" xfId="26991" xr:uid="{00000000-0005-0000-0000-000048050000}"/>
    <cellStyle name="Output 4 2 5" xfId="22294" xr:uid="{00000000-0005-0000-0000-00006F500000}"/>
    <cellStyle name="Output 4 2 5 2" xfId="24710" xr:uid="{00000000-0005-0000-0000-000043050000}"/>
    <cellStyle name="Output 4 2 6" xfId="23353" xr:uid="{00000000-0005-0000-0000-000070500000}"/>
    <cellStyle name="Output 4 2 6 2" xfId="26851" xr:uid="{00000000-0005-0000-0000-000043050000}"/>
    <cellStyle name="Output 4 3" xfId="12511" xr:uid="{00000000-0005-0000-0000-000071500000}"/>
    <cellStyle name="Output 4 3 2" xfId="12512" xr:uid="{00000000-0005-0000-0000-000072500000}"/>
    <cellStyle name="Output 4 3 2 2" xfId="20455" xr:uid="{00000000-0005-0000-0000-000073500000}"/>
    <cellStyle name="Output 4 3 2 2 2" xfId="26527" xr:uid="{00000000-0005-0000-0000-00004A050000}"/>
    <cellStyle name="Output 4 3 2 2 3" xfId="27115" xr:uid="{00000000-0005-0000-0000-00004A050000}"/>
    <cellStyle name="Output 4 3 2 2 4" xfId="24275" xr:uid="{00000000-0005-0000-0000-00004A050000}"/>
    <cellStyle name="Output 4 3 2 3" xfId="22977" xr:uid="{00000000-0005-0000-0000-000074500000}"/>
    <cellStyle name="Output 4 3 2 3 2" xfId="25393" xr:uid="{00000000-0005-0000-0000-00004A050000}"/>
    <cellStyle name="Output 4 3 2 4" xfId="23458" xr:uid="{00000000-0005-0000-0000-000075500000}"/>
    <cellStyle name="Output 4 3 2 4 2" xfId="26956" xr:uid="{00000000-0005-0000-0000-00004A050000}"/>
    <cellStyle name="Output 4 3 3" xfId="23214" xr:uid="{00000000-0005-0000-0000-000076500000}"/>
    <cellStyle name="Output 4 3 3 2" xfId="23518" xr:uid="{00000000-0005-0000-0000-000077500000}"/>
    <cellStyle name="Output 4 3 3 2 2" xfId="25626" xr:uid="{00000000-0005-0000-0000-00004B050000}"/>
    <cellStyle name="Output 4 3 3 3" xfId="27016" xr:uid="{00000000-0005-0000-0000-00004B050000}"/>
    <cellStyle name="Output 4 3 4" xfId="22451" xr:uid="{00000000-0005-0000-0000-000078500000}"/>
    <cellStyle name="Output 4 3 4 2" xfId="24871" xr:uid="{00000000-0005-0000-0000-000049050000}"/>
    <cellStyle name="Output 4 3 5" xfId="23378" xr:uid="{00000000-0005-0000-0000-000079500000}"/>
    <cellStyle name="Output 4 3 5 2" xfId="26876" xr:uid="{00000000-0005-0000-0000-000049050000}"/>
    <cellStyle name="Output 4 4" xfId="12513" xr:uid="{00000000-0005-0000-0000-00007A500000}"/>
    <cellStyle name="Output 4 4 2" xfId="12514" xr:uid="{00000000-0005-0000-0000-00007B500000}"/>
    <cellStyle name="Output 4 4 2 2" xfId="26262" xr:uid="{00000000-0005-0000-0000-00004C050000}"/>
    <cellStyle name="Output 4 4 2 3" xfId="27075" xr:uid="{00000000-0005-0000-0000-00004C050000}"/>
    <cellStyle name="Output 4 4 2 4" xfId="24026" xr:uid="{00000000-0005-0000-0000-00004C050000}"/>
    <cellStyle name="Output 4 4 3" xfId="20456" xr:uid="{00000000-0005-0000-0000-00007C500000}"/>
    <cellStyle name="Output 4 4 3 2" xfId="25133" xr:uid="{00000000-0005-0000-0000-00004C050000}"/>
    <cellStyle name="Output 4 4 4" xfId="22713" xr:uid="{00000000-0005-0000-0000-00007D500000}"/>
    <cellStyle name="Output 4 4 4 2" xfId="26916" xr:uid="{00000000-0005-0000-0000-00004C050000}"/>
    <cellStyle name="Output 4 4 5" xfId="23418" xr:uid="{00000000-0005-0000-0000-00007E500000}"/>
    <cellStyle name="Output 4 5" xfId="12515" xr:uid="{00000000-0005-0000-0000-00007F500000}"/>
    <cellStyle name="Output 4 5 2" xfId="20457" xr:uid="{00000000-0005-0000-0000-000080500000}"/>
    <cellStyle name="Output 4 5 3" xfId="24611" xr:uid="{00000000-0005-0000-0000-000042050000}"/>
    <cellStyle name="Output 4 6" xfId="12516" xr:uid="{00000000-0005-0000-0000-000081500000}"/>
    <cellStyle name="Output 4 6 2" xfId="20458" xr:uid="{00000000-0005-0000-0000-000082500000}"/>
    <cellStyle name="Output 4 6 3" xfId="26836" xr:uid="{00000000-0005-0000-0000-000042050000}"/>
    <cellStyle name="Output 4 7" xfId="12517" xr:uid="{00000000-0005-0000-0000-000083500000}"/>
    <cellStyle name="Output 4 7 2" xfId="20459" xr:uid="{00000000-0005-0000-0000-000084500000}"/>
    <cellStyle name="Output 4 8" xfId="12518" xr:uid="{00000000-0005-0000-0000-000085500000}"/>
    <cellStyle name="Output 4 8 2" xfId="20460" xr:uid="{00000000-0005-0000-0000-000086500000}"/>
    <cellStyle name="Output 4 9" xfId="12519" xr:uid="{00000000-0005-0000-0000-000087500000}"/>
    <cellStyle name="Output 4 9 2" xfId="20461" xr:uid="{00000000-0005-0000-0000-000088500000}"/>
    <cellStyle name="Output 40" xfId="21757" xr:uid="{00000000-0005-0000-0000-000089500000}"/>
    <cellStyle name="Output 5" xfId="12520" xr:uid="{00000000-0005-0000-0000-00008A500000}"/>
    <cellStyle name="Output 5 10" xfId="12521" xr:uid="{00000000-0005-0000-0000-00008B500000}"/>
    <cellStyle name="Output 5 10 2" xfId="20462" xr:uid="{00000000-0005-0000-0000-00008C500000}"/>
    <cellStyle name="Output 5 11" xfId="12522" xr:uid="{00000000-0005-0000-0000-00008D500000}"/>
    <cellStyle name="Output 5 11 2" xfId="20463" xr:uid="{00000000-0005-0000-0000-00008E500000}"/>
    <cellStyle name="Output 5 12" xfId="22189" xr:uid="{00000000-0005-0000-0000-00008F500000}"/>
    <cellStyle name="Output 5 13" xfId="23338" xr:uid="{00000000-0005-0000-0000-000090500000}"/>
    <cellStyle name="Output 5 2" xfId="12523" xr:uid="{00000000-0005-0000-0000-000091500000}"/>
    <cellStyle name="Output 5 2 2" xfId="12524" xr:uid="{00000000-0005-0000-0000-000092500000}"/>
    <cellStyle name="Output 5 2 2 2" xfId="20464" xr:uid="{00000000-0005-0000-0000-000093500000}"/>
    <cellStyle name="Output 5 2 2 2 2" xfId="23079" xr:uid="{00000000-0005-0000-0000-000094500000}"/>
    <cellStyle name="Output 5 2 2 2 2 2" xfId="26629" xr:uid="{00000000-0005-0000-0000-000050050000}"/>
    <cellStyle name="Output 5 2 2 2 2 3" xfId="27131" xr:uid="{00000000-0005-0000-0000-000050050000}"/>
    <cellStyle name="Output 5 2 2 2 2 4" xfId="24373" xr:uid="{00000000-0005-0000-0000-000050050000}"/>
    <cellStyle name="Output 5 2 2 2 3" xfId="23474" xr:uid="{00000000-0005-0000-0000-000095500000}"/>
    <cellStyle name="Output 5 2 2 2 3 2" xfId="25493" xr:uid="{00000000-0005-0000-0000-000050050000}"/>
    <cellStyle name="Output 5 2 2 2 4" xfId="26972" xr:uid="{00000000-0005-0000-0000-000050050000}"/>
    <cellStyle name="Output 5 2 2 3" xfId="23230" xr:uid="{00000000-0005-0000-0000-000096500000}"/>
    <cellStyle name="Output 5 2 2 3 2" xfId="23534" xr:uid="{00000000-0005-0000-0000-000097500000}"/>
    <cellStyle name="Output 5 2 2 3 2 2" xfId="25642" xr:uid="{00000000-0005-0000-0000-000051050000}"/>
    <cellStyle name="Output 5 2 2 3 3" xfId="27032" xr:uid="{00000000-0005-0000-0000-000051050000}"/>
    <cellStyle name="Output 5 2 2 4" xfId="22553" xr:uid="{00000000-0005-0000-0000-000098500000}"/>
    <cellStyle name="Output 5 2 2 4 2" xfId="24971" xr:uid="{00000000-0005-0000-0000-00004F050000}"/>
    <cellStyle name="Output 5 2 2 5" xfId="23394" xr:uid="{00000000-0005-0000-0000-000099500000}"/>
    <cellStyle name="Output 5 2 2 5 2" xfId="26892" xr:uid="{00000000-0005-0000-0000-00004F050000}"/>
    <cellStyle name="Output 5 2 3" xfId="22815" xr:uid="{00000000-0005-0000-0000-00009A500000}"/>
    <cellStyle name="Output 5 2 3 2" xfId="23434" xr:uid="{00000000-0005-0000-0000-00009B500000}"/>
    <cellStyle name="Output 5 2 3 2 2" xfId="26364" xr:uid="{00000000-0005-0000-0000-000052050000}"/>
    <cellStyle name="Output 5 2 3 2 3" xfId="27091" xr:uid="{00000000-0005-0000-0000-000052050000}"/>
    <cellStyle name="Output 5 2 3 3" xfId="25235" xr:uid="{00000000-0005-0000-0000-000052050000}"/>
    <cellStyle name="Output 5 2 3 4" xfId="26932" xr:uid="{00000000-0005-0000-0000-000052050000}"/>
    <cellStyle name="Output 5 2 4" xfId="23191" xr:uid="{00000000-0005-0000-0000-00009C500000}"/>
    <cellStyle name="Output 5 2 4 2" xfId="23494" xr:uid="{00000000-0005-0000-0000-00009D500000}"/>
    <cellStyle name="Output 5 2 4 2 2" xfId="25603" xr:uid="{00000000-0005-0000-0000-000053050000}"/>
    <cellStyle name="Output 5 2 4 3" xfId="26992" xr:uid="{00000000-0005-0000-0000-000053050000}"/>
    <cellStyle name="Output 5 2 5" xfId="22295" xr:uid="{00000000-0005-0000-0000-00009E500000}"/>
    <cellStyle name="Output 5 2 5 2" xfId="24711" xr:uid="{00000000-0005-0000-0000-00004E050000}"/>
    <cellStyle name="Output 5 2 6" xfId="23354" xr:uid="{00000000-0005-0000-0000-00009F500000}"/>
    <cellStyle name="Output 5 2 6 2" xfId="26852" xr:uid="{00000000-0005-0000-0000-00004E050000}"/>
    <cellStyle name="Output 5 3" xfId="12525" xr:uid="{00000000-0005-0000-0000-0000A0500000}"/>
    <cellStyle name="Output 5 3 2" xfId="12526" xr:uid="{00000000-0005-0000-0000-0000A1500000}"/>
    <cellStyle name="Output 5 3 2 2" xfId="20465" xr:uid="{00000000-0005-0000-0000-0000A2500000}"/>
    <cellStyle name="Output 5 3 2 2 2" xfId="26528" xr:uid="{00000000-0005-0000-0000-000055050000}"/>
    <cellStyle name="Output 5 3 2 2 3" xfId="27116" xr:uid="{00000000-0005-0000-0000-000055050000}"/>
    <cellStyle name="Output 5 3 2 2 4" xfId="24276" xr:uid="{00000000-0005-0000-0000-000055050000}"/>
    <cellStyle name="Output 5 3 2 3" xfId="22978" xr:uid="{00000000-0005-0000-0000-0000A3500000}"/>
    <cellStyle name="Output 5 3 2 3 2" xfId="25394" xr:uid="{00000000-0005-0000-0000-000055050000}"/>
    <cellStyle name="Output 5 3 2 4" xfId="23459" xr:uid="{00000000-0005-0000-0000-0000A4500000}"/>
    <cellStyle name="Output 5 3 2 4 2" xfId="26957" xr:uid="{00000000-0005-0000-0000-000055050000}"/>
    <cellStyle name="Output 5 3 3" xfId="23215" xr:uid="{00000000-0005-0000-0000-0000A5500000}"/>
    <cellStyle name="Output 5 3 3 2" xfId="23519" xr:uid="{00000000-0005-0000-0000-0000A6500000}"/>
    <cellStyle name="Output 5 3 3 2 2" xfId="25627" xr:uid="{00000000-0005-0000-0000-000056050000}"/>
    <cellStyle name="Output 5 3 3 3" xfId="27017" xr:uid="{00000000-0005-0000-0000-000056050000}"/>
    <cellStyle name="Output 5 3 4" xfId="22452" xr:uid="{00000000-0005-0000-0000-0000A7500000}"/>
    <cellStyle name="Output 5 3 4 2" xfId="24872" xr:uid="{00000000-0005-0000-0000-000054050000}"/>
    <cellStyle name="Output 5 3 5" xfId="23379" xr:uid="{00000000-0005-0000-0000-0000A8500000}"/>
    <cellStyle name="Output 5 3 5 2" xfId="26877" xr:uid="{00000000-0005-0000-0000-000054050000}"/>
    <cellStyle name="Output 5 4" xfId="12527" xr:uid="{00000000-0005-0000-0000-0000A9500000}"/>
    <cellStyle name="Output 5 4 2" xfId="12528" xr:uid="{00000000-0005-0000-0000-0000AA500000}"/>
    <cellStyle name="Output 5 4 2 2" xfId="26263" xr:uid="{00000000-0005-0000-0000-000057050000}"/>
    <cellStyle name="Output 5 4 2 3" xfId="27076" xr:uid="{00000000-0005-0000-0000-000057050000}"/>
    <cellStyle name="Output 5 4 2 4" xfId="24027" xr:uid="{00000000-0005-0000-0000-000057050000}"/>
    <cellStyle name="Output 5 4 3" xfId="20466" xr:uid="{00000000-0005-0000-0000-0000AB500000}"/>
    <cellStyle name="Output 5 4 3 2" xfId="25134" xr:uid="{00000000-0005-0000-0000-000057050000}"/>
    <cellStyle name="Output 5 4 4" xfId="22714" xr:uid="{00000000-0005-0000-0000-0000AC500000}"/>
    <cellStyle name="Output 5 4 4 2" xfId="26917" xr:uid="{00000000-0005-0000-0000-000057050000}"/>
    <cellStyle name="Output 5 4 5" xfId="23419" xr:uid="{00000000-0005-0000-0000-0000AD500000}"/>
    <cellStyle name="Output 5 5" xfId="12529" xr:uid="{00000000-0005-0000-0000-0000AE500000}"/>
    <cellStyle name="Output 5 5 2" xfId="20467" xr:uid="{00000000-0005-0000-0000-0000AF500000}"/>
    <cellStyle name="Output 5 5 3" xfId="24612" xr:uid="{00000000-0005-0000-0000-00004D050000}"/>
    <cellStyle name="Output 5 6" xfId="12530" xr:uid="{00000000-0005-0000-0000-0000B0500000}"/>
    <cellStyle name="Output 5 6 2" xfId="20468" xr:uid="{00000000-0005-0000-0000-0000B1500000}"/>
    <cellStyle name="Output 5 6 3" xfId="26837" xr:uid="{00000000-0005-0000-0000-00004D050000}"/>
    <cellStyle name="Output 5 7" xfId="12531" xr:uid="{00000000-0005-0000-0000-0000B2500000}"/>
    <cellStyle name="Output 5 7 2" xfId="20469" xr:uid="{00000000-0005-0000-0000-0000B3500000}"/>
    <cellStyle name="Output 5 8" xfId="12532" xr:uid="{00000000-0005-0000-0000-0000B4500000}"/>
    <cellStyle name="Output 5 8 2" xfId="20470" xr:uid="{00000000-0005-0000-0000-0000B5500000}"/>
    <cellStyle name="Output 5 9" xfId="12533" xr:uid="{00000000-0005-0000-0000-0000B6500000}"/>
    <cellStyle name="Output 5 9 2" xfId="20471" xr:uid="{00000000-0005-0000-0000-0000B7500000}"/>
    <cellStyle name="Output 6" xfId="12534" xr:uid="{00000000-0005-0000-0000-0000B8500000}"/>
    <cellStyle name="Output 6 10" xfId="12535" xr:uid="{00000000-0005-0000-0000-0000B9500000}"/>
    <cellStyle name="Output 6 10 2" xfId="20472" xr:uid="{00000000-0005-0000-0000-0000BA500000}"/>
    <cellStyle name="Output 6 11" xfId="12536" xr:uid="{00000000-0005-0000-0000-0000BB500000}"/>
    <cellStyle name="Output 6 11 2" xfId="20473" xr:uid="{00000000-0005-0000-0000-0000BC500000}"/>
    <cellStyle name="Output 6 2" xfId="12537" xr:uid="{00000000-0005-0000-0000-0000BD500000}"/>
    <cellStyle name="Output 6 2 2" xfId="12538" xr:uid="{00000000-0005-0000-0000-0000BE500000}"/>
    <cellStyle name="Output 6 2 2 2" xfId="20474" xr:uid="{00000000-0005-0000-0000-0000BF500000}"/>
    <cellStyle name="Output 6 3" xfId="12539" xr:uid="{00000000-0005-0000-0000-0000C0500000}"/>
    <cellStyle name="Output 6 3 2" xfId="12540" xr:uid="{00000000-0005-0000-0000-0000C1500000}"/>
    <cellStyle name="Output 6 3 2 2" xfId="20475" xr:uid="{00000000-0005-0000-0000-0000C2500000}"/>
    <cellStyle name="Output 6 4" xfId="12541" xr:uid="{00000000-0005-0000-0000-0000C3500000}"/>
    <cellStyle name="Output 6 4 2" xfId="12542" xr:uid="{00000000-0005-0000-0000-0000C4500000}"/>
    <cellStyle name="Output 6 4 3" xfId="20476" xr:uid="{00000000-0005-0000-0000-0000C5500000}"/>
    <cellStyle name="Output 6 5" xfId="12543" xr:uid="{00000000-0005-0000-0000-0000C6500000}"/>
    <cellStyle name="Output 6 5 2" xfId="20477" xr:uid="{00000000-0005-0000-0000-0000C7500000}"/>
    <cellStyle name="Output 6 6" xfId="12544" xr:uid="{00000000-0005-0000-0000-0000C8500000}"/>
    <cellStyle name="Output 6 6 2" xfId="20478" xr:uid="{00000000-0005-0000-0000-0000C9500000}"/>
    <cellStyle name="Output 6 7" xfId="12545" xr:uid="{00000000-0005-0000-0000-0000CA500000}"/>
    <cellStyle name="Output 6 7 2" xfId="20479" xr:uid="{00000000-0005-0000-0000-0000CB500000}"/>
    <cellStyle name="Output 6 8" xfId="12546" xr:uid="{00000000-0005-0000-0000-0000CC500000}"/>
    <cellStyle name="Output 6 8 2" xfId="20480" xr:uid="{00000000-0005-0000-0000-0000CD500000}"/>
    <cellStyle name="Output 6 9" xfId="12547" xr:uid="{00000000-0005-0000-0000-0000CE500000}"/>
    <cellStyle name="Output 6 9 2" xfId="20481" xr:uid="{00000000-0005-0000-0000-0000CF500000}"/>
    <cellStyle name="Output 7" xfId="12548" xr:uid="{00000000-0005-0000-0000-0000D0500000}"/>
    <cellStyle name="Output 7 10" xfId="12549" xr:uid="{00000000-0005-0000-0000-0000D1500000}"/>
    <cellStyle name="Output 7 10 2" xfId="20482" xr:uid="{00000000-0005-0000-0000-0000D2500000}"/>
    <cellStyle name="Output 7 11" xfId="12550" xr:uid="{00000000-0005-0000-0000-0000D3500000}"/>
    <cellStyle name="Output 7 11 2" xfId="20483" xr:uid="{00000000-0005-0000-0000-0000D4500000}"/>
    <cellStyle name="Output 7 2" xfId="12551" xr:uid="{00000000-0005-0000-0000-0000D5500000}"/>
    <cellStyle name="Output 7 2 2" xfId="12552" xr:uid="{00000000-0005-0000-0000-0000D6500000}"/>
    <cellStyle name="Output 7 2 2 2" xfId="20484" xr:uid="{00000000-0005-0000-0000-0000D7500000}"/>
    <cellStyle name="Output 7 3" xfId="12553" xr:uid="{00000000-0005-0000-0000-0000D8500000}"/>
    <cellStyle name="Output 7 3 2" xfId="12554" xr:uid="{00000000-0005-0000-0000-0000D9500000}"/>
    <cellStyle name="Output 7 3 2 2" xfId="20485" xr:uid="{00000000-0005-0000-0000-0000DA500000}"/>
    <cellStyle name="Output 7 4" xfId="12555" xr:uid="{00000000-0005-0000-0000-0000DB500000}"/>
    <cellStyle name="Output 7 4 2" xfId="12556" xr:uid="{00000000-0005-0000-0000-0000DC500000}"/>
    <cellStyle name="Output 7 4 3" xfId="20486" xr:uid="{00000000-0005-0000-0000-0000DD500000}"/>
    <cellStyle name="Output 7 5" xfId="12557" xr:uid="{00000000-0005-0000-0000-0000DE500000}"/>
    <cellStyle name="Output 7 5 2" xfId="20487" xr:uid="{00000000-0005-0000-0000-0000DF500000}"/>
    <cellStyle name="Output 7 6" xfId="12558" xr:uid="{00000000-0005-0000-0000-0000E0500000}"/>
    <cellStyle name="Output 7 6 2" xfId="20488" xr:uid="{00000000-0005-0000-0000-0000E1500000}"/>
    <cellStyle name="Output 7 7" xfId="12559" xr:uid="{00000000-0005-0000-0000-0000E2500000}"/>
    <cellStyle name="Output 7 7 2" xfId="20489" xr:uid="{00000000-0005-0000-0000-0000E3500000}"/>
    <cellStyle name="Output 7 8" xfId="12560" xr:uid="{00000000-0005-0000-0000-0000E4500000}"/>
    <cellStyle name="Output 7 8 2" xfId="20490" xr:uid="{00000000-0005-0000-0000-0000E5500000}"/>
    <cellStyle name="Output 7 9" xfId="12561" xr:uid="{00000000-0005-0000-0000-0000E6500000}"/>
    <cellStyle name="Output 7 9 2" xfId="20491" xr:uid="{00000000-0005-0000-0000-0000E7500000}"/>
    <cellStyle name="Output 8" xfId="12562" xr:uid="{00000000-0005-0000-0000-0000E8500000}"/>
    <cellStyle name="Output 8 10" xfId="12563" xr:uid="{00000000-0005-0000-0000-0000E9500000}"/>
    <cellStyle name="Output 8 10 2" xfId="20492" xr:uid="{00000000-0005-0000-0000-0000EA500000}"/>
    <cellStyle name="Output 8 11" xfId="12564" xr:uid="{00000000-0005-0000-0000-0000EB500000}"/>
    <cellStyle name="Output 8 11 2" xfId="20493" xr:uid="{00000000-0005-0000-0000-0000EC500000}"/>
    <cellStyle name="Output 8 2" xfId="12565" xr:uid="{00000000-0005-0000-0000-0000ED500000}"/>
    <cellStyle name="Output 8 2 2" xfId="12566" xr:uid="{00000000-0005-0000-0000-0000EE500000}"/>
    <cellStyle name="Output 8 2 2 2" xfId="20494" xr:uid="{00000000-0005-0000-0000-0000EF500000}"/>
    <cellStyle name="Output 8 3" xfId="12567" xr:uid="{00000000-0005-0000-0000-0000F0500000}"/>
    <cellStyle name="Output 8 3 2" xfId="12568" xr:uid="{00000000-0005-0000-0000-0000F1500000}"/>
    <cellStyle name="Output 8 3 2 2" xfId="20495" xr:uid="{00000000-0005-0000-0000-0000F2500000}"/>
    <cellStyle name="Output 8 4" xfId="12569" xr:uid="{00000000-0005-0000-0000-0000F3500000}"/>
    <cellStyle name="Output 8 4 2" xfId="12570" xr:uid="{00000000-0005-0000-0000-0000F4500000}"/>
    <cellStyle name="Output 8 4 3" xfId="20496" xr:uid="{00000000-0005-0000-0000-0000F5500000}"/>
    <cellStyle name="Output 8 5" xfId="12571" xr:uid="{00000000-0005-0000-0000-0000F6500000}"/>
    <cellStyle name="Output 8 5 2" xfId="20497" xr:uid="{00000000-0005-0000-0000-0000F7500000}"/>
    <cellStyle name="Output 8 6" xfId="12572" xr:uid="{00000000-0005-0000-0000-0000F8500000}"/>
    <cellStyle name="Output 8 6 2" xfId="20498" xr:uid="{00000000-0005-0000-0000-0000F9500000}"/>
    <cellStyle name="Output 8 7" xfId="12573" xr:uid="{00000000-0005-0000-0000-0000FA500000}"/>
    <cellStyle name="Output 8 7 2" xfId="20499" xr:uid="{00000000-0005-0000-0000-0000FB500000}"/>
    <cellStyle name="Output 8 8" xfId="12574" xr:uid="{00000000-0005-0000-0000-0000FC500000}"/>
    <cellStyle name="Output 8 8 2" xfId="20500" xr:uid="{00000000-0005-0000-0000-0000FD500000}"/>
    <cellStyle name="Output 8 9" xfId="12575" xr:uid="{00000000-0005-0000-0000-0000FE500000}"/>
    <cellStyle name="Output 8 9 2" xfId="20501" xr:uid="{00000000-0005-0000-0000-0000FF500000}"/>
    <cellStyle name="Output 9" xfId="12576" xr:uid="{00000000-0005-0000-0000-000000510000}"/>
    <cellStyle name="Output 9 10" xfId="12577" xr:uid="{00000000-0005-0000-0000-000001510000}"/>
    <cellStyle name="Output 9 10 2" xfId="20502" xr:uid="{00000000-0005-0000-0000-000002510000}"/>
    <cellStyle name="Output 9 11" xfId="12578" xr:uid="{00000000-0005-0000-0000-000003510000}"/>
    <cellStyle name="Output 9 11 2" xfId="20503" xr:uid="{00000000-0005-0000-0000-000004510000}"/>
    <cellStyle name="Output 9 2" xfId="12579" xr:uid="{00000000-0005-0000-0000-000005510000}"/>
    <cellStyle name="Output 9 2 2" xfId="12580" xr:uid="{00000000-0005-0000-0000-000006510000}"/>
    <cellStyle name="Output 9 2 2 2" xfId="20504" xr:uid="{00000000-0005-0000-0000-000007510000}"/>
    <cellStyle name="Output 9 3" xfId="12581" xr:uid="{00000000-0005-0000-0000-000008510000}"/>
    <cellStyle name="Output 9 3 2" xfId="12582" xr:uid="{00000000-0005-0000-0000-000009510000}"/>
    <cellStyle name="Output 9 3 2 2" xfId="20505" xr:uid="{00000000-0005-0000-0000-00000A510000}"/>
    <cellStyle name="Output 9 4" xfId="12583" xr:uid="{00000000-0005-0000-0000-00000B510000}"/>
    <cellStyle name="Output 9 4 2" xfId="12584" xr:uid="{00000000-0005-0000-0000-00000C510000}"/>
    <cellStyle name="Output 9 4 3" xfId="20506" xr:uid="{00000000-0005-0000-0000-00000D510000}"/>
    <cellStyle name="Output 9 5" xfId="12585" xr:uid="{00000000-0005-0000-0000-00000E510000}"/>
    <cellStyle name="Output 9 5 2" xfId="20507" xr:uid="{00000000-0005-0000-0000-00000F510000}"/>
    <cellStyle name="Output 9 6" xfId="12586" xr:uid="{00000000-0005-0000-0000-000010510000}"/>
    <cellStyle name="Output 9 6 2" xfId="20508" xr:uid="{00000000-0005-0000-0000-000011510000}"/>
    <cellStyle name="Output 9 7" xfId="12587" xr:uid="{00000000-0005-0000-0000-000012510000}"/>
    <cellStyle name="Output 9 7 2" xfId="20509" xr:uid="{00000000-0005-0000-0000-000013510000}"/>
    <cellStyle name="Output 9 8" xfId="12588" xr:uid="{00000000-0005-0000-0000-000014510000}"/>
    <cellStyle name="Output 9 8 2" xfId="20510" xr:uid="{00000000-0005-0000-0000-000015510000}"/>
    <cellStyle name="Output 9 9" xfId="12589" xr:uid="{00000000-0005-0000-0000-000016510000}"/>
    <cellStyle name="Output 9 9 2" xfId="20511" xr:uid="{00000000-0005-0000-0000-000017510000}"/>
    <cellStyle name="PAS Table Header" xfId="27156" xr:uid="{A9643B94-D091-470D-8940-836F1DADE691}"/>
    <cellStyle name="Percent" xfId="14120" builtinId="5"/>
    <cellStyle name="Percent 10" xfId="22190" xr:uid="{00000000-0005-0000-0000-000019510000}"/>
    <cellStyle name="Percent 10 2" xfId="22251" xr:uid="{00000000-0005-0000-0000-00001A510000}"/>
    <cellStyle name="Percent 10 2 2" xfId="22377" xr:uid="{00000000-0005-0000-0000-00001B510000}"/>
    <cellStyle name="Percent 10 2 2 2" xfId="22637" xr:uid="{00000000-0005-0000-0000-00001C510000}"/>
    <cellStyle name="Percent 10 2 2 2 2" xfId="23163" xr:uid="{00000000-0005-0000-0000-00001D510000}"/>
    <cellStyle name="Percent 10 2 2 2 2 2" xfId="24455" xr:uid="{00000000-0005-0000-0000-00005D050000}"/>
    <cellStyle name="Percent 10 2 2 2 2 2 2" xfId="26713" xr:uid="{00000000-0005-0000-0000-00005D050000}"/>
    <cellStyle name="Percent 10 2 2 2 2 3" xfId="25577" xr:uid="{00000000-0005-0000-0000-00005D050000}"/>
    <cellStyle name="Percent 10 2 2 2 3" xfId="23947" xr:uid="{00000000-0005-0000-0000-00005C050000}"/>
    <cellStyle name="Percent 10 2 2 2 3 2" xfId="26182" xr:uid="{00000000-0005-0000-0000-00005C050000}"/>
    <cellStyle name="Percent 10 2 2 2 4" xfId="25055" xr:uid="{00000000-0005-0000-0000-00005C050000}"/>
    <cellStyle name="Percent 10 2 2 3" xfId="22899" xr:uid="{00000000-0005-0000-0000-00001E510000}"/>
    <cellStyle name="Percent 10 2 2 3 2" xfId="24199" xr:uid="{00000000-0005-0000-0000-00005E050000}"/>
    <cellStyle name="Percent 10 2 2 3 2 2" xfId="26448" xr:uid="{00000000-0005-0000-0000-00005E050000}"/>
    <cellStyle name="Percent 10 2 2 3 3" xfId="25318" xr:uid="{00000000-0005-0000-0000-00005E050000}"/>
    <cellStyle name="Percent 10 2 2 4" xfId="23733" xr:uid="{00000000-0005-0000-0000-00005B050000}"/>
    <cellStyle name="Percent 10 2 2 4 2" xfId="25949" xr:uid="{00000000-0005-0000-0000-00005B050000}"/>
    <cellStyle name="Percent 10 2 2 5" xfId="24794" xr:uid="{00000000-0005-0000-0000-00005B050000}"/>
    <cellStyle name="Percent 10 2 3" xfId="22508" xr:uid="{00000000-0005-0000-0000-00001F510000}"/>
    <cellStyle name="Percent 10 2 3 2" xfId="23034" xr:uid="{00000000-0005-0000-0000-000020510000}"/>
    <cellStyle name="Percent 10 2 3 2 2" xfId="24331" xr:uid="{00000000-0005-0000-0000-000060050000}"/>
    <cellStyle name="Percent 10 2 3 2 2 2" xfId="26584" xr:uid="{00000000-0005-0000-0000-000060050000}"/>
    <cellStyle name="Percent 10 2 3 2 3" xfId="25450" xr:uid="{00000000-0005-0000-0000-000060050000}"/>
    <cellStyle name="Percent 10 2 3 3" xfId="23843" xr:uid="{00000000-0005-0000-0000-00005F050000}"/>
    <cellStyle name="Percent 10 2 3 3 2" xfId="26068" xr:uid="{00000000-0005-0000-0000-00005F050000}"/>
    <cellStyle name="Percent 10 2 3 4" xfId="24928" xr:uid="{00000000-0005-0000-0000-00005F050000}"/>
    <cellStyle name="Percent 10 2 4" xfId="22770" xr:uid="{00000000-0005-0000-0000-000021510000}"/>
    <cellStyle name="Percent 10 2 4 2" xfId="24082" xr:uid="{00000000-0005-0000-0000-000061050000}"/>
    <cellStyle name="Percent 10 2 4 2 2" xfId="26319" xr:uid="{00000000-0005-0000-0000-000061050000}"/>
    <cellStyle name="Percent 10 2 4 3" xfId="25190" xr:uid="{00000000-0005-0000-0000-000061050000}"/>
    <cellStyle name="Percent 10 2 5" xfId="23635" xr:uid="{00000000-0005-0000-0000-00005A050000}"/>
    <cellStyle name="Percent 10 2 5 2" xfId="25835" xr:uid="{00000000-0005-0000-0000-00005A050000}"/>
    <cellStyle name="Percent 10 2 6" xfId="24668" xr:uid="{00000000-0005-0000-0000-00005A050000}"/>
    <cellStyle name="Percent 10 3" xfId="22327" xr:uid="{00000000-0005-0000-0000-000022510000}"/>
    <cellStyle name="Percent 10 3 2" xfId="22586" xr:uid="{00000000-0005-0000-0000-000023510000}"/>
    <cellStyle name="Percent 10 3 2 2" xfId="23112" xr:uid="{00000000-0005-0000-0000-000024510000}"/>
    <cellStyle name="Percent 10 3 2 2 2" xfId="24404" xr:uid="{00000000-0005-0000-0000-000064050000}"/>
    <cellStyle name="Percent 10 3 2 2 2 2" xfId="26662" xr:uid="{00000000-0005-0000-0000-000064050000}"/>
    <cellStyle name="Percent 10 3 2 2 3" xfId="25526" xr:uid="{00000000-0005-0000-0000-000064050000}"/>
    <cellStyle name="Percent 10 3 2 3" xfId="23900" xr:uid="{00000000-0005-0000-0000-000063050000}"/>
    <cellStyle name="Percent 10 3 2 3 2" xfId="26131" xr:uid="{00000000-0005-0000-0000-000063050000}"/>
    <cellStyle name="Percent 10 3 2 4" xfId="25004" xr:uid="{00000000-0005-0000-0000-000063050000}"/>
    <cellStyle name="Percent 10 3 3" xfId="22848" xr:uid="{00000000-0005-0000-0000-000025510000}"/>
    <cellStyle name="Percent 10 3 3 2" xfId="24148" xr:uid="{00000000-0005-0000-0000-000065050000}"/>
    <cellStyle name="Percent 10 3 3 2 2" xfId="26397" xr:uid="{00000000-0005-0000-0000-000065050000}"/>
    <cellStyle name="Percent 10 3 3 3" xfId="25267" xr:uid="{00000000-0005-0000-0000-000065050000}"/>
    <cellStyle name="Percent 10 3 4" xfId="23688" xr:uid="{00000000-0005-0000-0000-000062050000}"/>
    <cellStyle name="Percent 10 3 4 2" xfId="25898" xr:uid="{00000000-0005-0000-0000-000062050000}"/>
    <cellStyle name="Percent 10 3 5" xfId="24743" xr:uid="{00000000-0005-0000-0000-000062050000}"/>
    <cellStyle name="Percent 10 4" xfId="22453" xr:uid="{00000000-0005-0000-0000-000026510000}"/>
    <cellStyle name="Percent 10 4 2" xfId="22979" xr:uid="{00000000-0005-0000-0000-000027510000}"/>
    <cellStyle name="Percent 10 4 2 2" xfId="24277" xr:uid="{00000000-0005-0000-0000-000067050000}"/>
    <cellStyle name="Percent 10 4 2 2 2" xfId="26529" xr:uid="{00000000-0005-0000-0000-000067050000}"/>
    <cellStyle name="Percent 10 4 2 3" xfId="25395" xr:uid="{00000000-0005-0000-0000-000067050000}"/>
    <cellStyle name="Percent 10 4 3" xfId="23795" xr:uid="{00000000-0005-0000-0000-000066050000}"/>
    <cellStyle name="Percent 10 4 3 2" xfId="26017" xr:uid="{00000000-0005-0000-0000-000066050000}"/>
    <cellStyle name="Percent 10 4 4" xfId="24873" xr:uid="{00000000-0005-0000-0000-000066050000}"/>
    <cellStyle name="Percent 10 5" xfId="22715" xr:uid="{00000000-0005-0000-0000-000028510000}"/>
    <cellStyle name="Percent 10 5 2" xfId="24028" xr:uid="{00000000-0005-0000-0000-000068050000}"/>
    <cellStyle name="Percent 10 5 2 2" xfId="26264" xr:uid="{00000000-0005-0000-0000-000068050000}"/>
    <cellStyle name="Percent 10 5 3" xfId="25135" xr:uid="{00000000-0005-0000-0000-000068050000}"/>
    <cellStyle name="Percent 10 6" xfId="23591" xr:uid="{00000000-0005-0000-0000-000059050000}"/>
    <cellStyle name="Percent 10 6 2" xfId="25784" xr:uid="{00000000-0005-0000-0000-000059050000}"/>
    <cellStyle name="Percent 10 7" xfId="24613" xr:uid="{00000000-0005-0000-0000-000059050000}"/>
    <cellStyle name="Percent 10 8" xfId="23548" xr:uid="{1C21F6E7-E68F-4B69-8C15-AF0E41739D42}"/>
    <cellStyle name="Percent 11" xfId="22191" xr:uid="{00000000-0005-0000-0000-000029510000}"/>
    <cellStyle name="Percent 12" xfId="22192" xr:uid="{00000000-0005-0000-0000-00002A510000}"/>
    <cellStyle name="Percent 12 2" xfId="22252" xr:uid="{00000000-0005-0000-0000-00002B510000}"/>
    <cellStyle name="Percent 12 2 2" xfId="22378" xr:uid="{00000000-0005-0000-0000-00002C510000}"/>
    <cellStyle name="Percent 12 2 2 2" xfId="22638" xr:uid="{00000000-0005-0000-0000-00002D510000}"/>
    <cellStyle name="Percent 12 2 2 2 2" xfId="23164" xr:uid="{00000000-0005-0000-0000-00002E510000}"/>
    <cellStyle name="Percent 12 2 2 2 2 2" xfId="24456" xr:uid="{00000000-0005-0000-0000-00006E050000}"/>
    <cellStyle name="Percent 12 2 2 2 2 2 2" xfId="26714" xr:uid="{00000000-0005-0000-0000-00006E050000}"/>
    <cellStyle name="Percent 12 2 2 2 2 3" xfId="25578" xr:uid="{00000000-0005-0000-0000-00006E050000}"/>
    <cellStyle name="Percent 12 2 2 2 3" xfId="23948" xr:uid="{00000000-0005-0000-0000-00006D050000}"/>
    <cellStyle name="Percent 12 2 2 2 3 2" xfId="26183" xr:uid="{00000000-0005-0000-0000-00006D050000}"/>
    <cellStyle name="Percent 12 2 2 2 4" xfId="25056" xr:uid="{00000000-0005-0000-0000-00006D050000}"/>
    <cellStyle name="Percent 12 2 2 3" xfId="22900" xr:uid="{00000000-0005-0000-0000-00002F510000}"/>
    <cellStyle name="Percent 12 2 2 3 2" xfId="24200" xr:uid="{00000000-0005-0000-0000-00006F050000}"/>
    <cellStyle name="Percent 12 2 2 3 2 2" xfId="26449" xr:uid="{00000000-0005-0000-0000-00006F050000}"/>
    <cellStyle name="Percent 12 2 2 3 3" xfId="25319" xr:uid="{00000000-0005-0000-0000-00006F050000}"/>
    <cellStyle name="Percent 12 2 2 4" xfId="23734" xr:uid="{00000000-0005-0000-0000-00006C050000}"/>
    <cellStyle name="Percent 12 2 2 4 2" xfId="25950" xr:uid="{00000000-0005-0000-0000-00006C050000}"/>
    <cellStyle name="Percent 12 2 2 5" xfId="24795" xr:uid="{00000000-0005-0000-0000-00006C050000}"/>
    <cellStyle name="Percent 12 2 3" xfId="22509" xr:uid="{00000000-0005-0000-0000-000030510000}"/>
    <cellStyle name="Percent 12 2 3 2" xfId="23035" xr:uid="{00000000-0005-0000-0000-000031510000}"/>
    <cellStyle name="Percent 12 2 3 2 2" xfId="24332" xr:uid="{00000000-0005-0000-0000-000071050000}"/>
    <cellStyle name="Percent 12 2 3 2 2 2" xfId="26585" xr:uid="{00000000-0005-0000-0000-000071050000}"/>
    <cellStyle name="Percent 12 2 3 2 3" xfId="25451" xr:uid="{00000000-0005-0000-0000-000071050000}"/>
    <cellStyle name="Percent 12 2 3 3" xfId="23844" xr:uid="{00000000-0005-0000-0000-000070050000}"/>
    <cellStyle name="Percent 12 2 3 3 2" xfId="26069" xr:uid="{00000000-0005-0000-0000-000070050000}"/>
    <cellStyle name="Percent 12 2 3 4" xfId="24929" xr:uid="{00000000-0005-0000-0000-000070050000}"/>
    <cellStyle name="Percent 12 2 4" xfId="22771" xr:uid="{00000000-0005-0000-0000-000032510000}"/>
    <cellStyle name="Percent 12 2 4 2" xfId="24083" xr:uid="{00000000-0005-0000-0000-000072050000}"/>
    <cellStyle name="Percent 12 2 4 2 2" xfId="26320" xr:uid="{00000000-0005-0000-0000-000072050000}"/>
    <cellStyle name="Percent 12 2 4 3" xfId="25191" xr:uid="{00000000-0005-0000-0000-000072050000}"/>
    <cellStyle name="Percent 12 2 5" xfId="23636" xr:uid="{00000000-0005-0000-0000-00006B050000}"/>
    <cellStyle name="Percent 12 2 5 2" xfId="25836" xr:uid="{00000000-0005-0000-0000-00006B050000}"/>
    <cellStyle name="Percent 12 2 6" xfId="24669" xr:uid="{00000000-0005-0000-0000-00006B050000}"/>
    <cellStyle name="Percent 12 3" xfId="22328" xr:uid="{00000000-0005-0000-0000-000033510000}"/>
    <cellStyle name="Percent 12 3 2" xfId="22587" xr:uid="{00000000-0005-0000-0000-000034510000}"/>
    <cellStyle name="Percent 12 3 2 2" xfId="23113" xr:uid="{00000000-0005-0000-0000-000035510000}"/>
    <cellStyle name="Percent 12 3 2 2 2" xfId="24405" xr:uid="{00000000-0005-0000-0000-000075050000}"/>
    <cellStyle name="Percent 12 3 2 2 2 2" xfId="26663" xr:uid="{00000000-0005-0000-0000-000075050000}"/>
    <cellStyle name="Percent 12 3 2 2 3" xfId="25527" xr:uid="{00000000-0005-0000-0000-000075050000}"/>
    <cellStyle name="Percent 12 3 2 3" xfId="23901" xr:uid="{00000000-0005-0000-0000-000074050000}"/>
    <cellStyle name="Percent 12 3 2 3 2" xfId="26132" xr:uid="{00000000-0005-0000-0000-000074050000}"/>
    <cellStyle name="Percent 12 3 2 4" xfId="25005" xr:uid="{00000000-0005-0000-0000-000074050000}"/>
    <cellStyle name="Percent 12 3 3" xfId="22849" xr:uid="{00000000-0005-0000-0000-000036510000}"/>
    <cellStyle name="Percent 12 3 3 2" xfId="24149" xr:uid="{00000000-0005-0000-0000-000076050000}"/>
    <cellStyle name="Percent 12 3 3 2 2" xfId="26398" xr:uid="{00000000-0005-0000-0000-000076050000}"/>
    <cellStyle name="Percent 12 3 3 3" xfId="25268" xr:uid="{00000000-0005-0000-0000-000076050000}"/>
    <cellStyle name="Percent 12 3 4" xfId="23689" xr:uid="{00000000-0005-0000-0000-000073050000}"/>
    <cellStyle name="Percent 12 3 4 2" xfId="25899" xr:uid="{00000000-0005-0000-0000-000073050000}"/>
    <cellStyle name="Percent 12 3 5" xfId="24744" xr:uid="{00000000-0005-0000-0000-000073050000}"/>
    <cellStyle name="Percent 12 4" xfId="22454" xr:uid="{00000000-0005-0000-0000-000037510000}"/>
    <cellStyle name="Percent 12 4 2" xfId="22980" xr:uid="{00000000-0005-0000-0000-000038510000}"/>
    <cellStyle name="Percent 12 4 2 2" xfId="24278" xr:uid="{00000000-0005-0000-0000-000078050000}"/>
    <cellStyle name="Percent 12 4 2 2 2" xfId="26530" xr:uid="{00000000-0005-0000-0000-000078050000}"/>
    <cellStyle name="Percent 12 4 2 3" xfId="25396" xr:uid="{00000000-0005-0000-0000-000078050000}"/>
    <cellStyle name="Percent 12 4 3" xfId="23796" xr:uid="{00000000-0005-0000-0000-000077050000}"/>
    <cellStyle name="Percent 12 4 3 2" xfId="26018" xr:uid="{00000000-0005-0000-0000-000077050000}"/>
    <cellStyle name="Percent 12 4 4" xfId="24874" xr:uid="{00000000-0005-0000-0000-000077050000}"/>
    <cellStyle name="Percent 12 5" xfId="22716" xr:uid="{00000000-0005-0000-0000-000039510000}"/>
    <cellStyle name="Percent 12 5 2" xfId="24029" xr:uid="{00000000-0005-0000-0000-000079050000}"/>
    <cellStyle name="Percent 12 5 2 2" xfId="26265" xr:uid="{00000000-0005-0000-0000-000079050000}"/>
    <cellStyle name="Percent 12 5 3" xfId="25136" xr:uid="{00000000-0005-0000-0000-000079050000}"/>
    <cellStyle name="Percent 12 6" xfId="23592" xr:uid="{00000000-0005-0000-0000-00006A050000}"/>
    <cellStyle name="Percent 12 6 2" xfId="25785" xr:uid="{00000000-0005-0000-0000-00006A050000}"/>
    <cellStyle name="Percent 12 7" xfId="24614" xr:uid="{00000000-0005-0000-0000-00006A050000}"/>
    <cellStyle name="Percent 13" xfId="22193" xr:uid="{00000000-0005-0000-0000-00003A510000}"/>
    <cellStyle name="Percent 14" xfId="23249" xr:uid="{00000000-0005-0000-0000-00003B510000}"/>
    <cellStyle name="Percent 14 2" xfId="24492" xr:uid="{00000000-0005-0000-0000-00007B050000}"/>
    <cellStyle name="Percent 14 2 2" xfId="26753" xr:uid="{00000000-0005-0000-0000-00007B050000}"/>
    <cellStyle name="Percent 14 3" xfId="25660" xr:uid="{00000000-0005-0000-0000-00007B050000}"/>
    <cellStyle name="Percent 15" xfId="23272" xr:uid="{00000000-0005-0000-0000-00003C510000}"/>
    <cellStyle name="Percent 15 2" xfId="24505" xr:uid="{00000000-0005-0000-0000-00007C050000}"/>
    <cellStyle name="Percent 15 2 2" xfId="26776" xr:uid="{00000000-0005-0000-0000-00007C050000}"/>
    <cellStyle name="Percent 15 3" xfId="25683" xr:uid="{00000000-0005-0000-0000-00007C050000}"/>
    <cellStyle name="Percent 16" xfId="23303" xr:uid="{00000000-0005-0000-0000-00003D510000}"/>
    <cellStyle name="Percent 16 2" xfId="24525" xr:uid="{00000000-0005-0000-0000-00007D050000}"/>
    <cellStyle name="Percent 16 2 2" xfId="26804" xr:uid="{00000000-0005-0000-0000-00007D050000}"/>
    <cellStyle name="Percent 16 3" xfId="25707" xr:uid="{00000000-0005-0000-0000-00007D050000}"/>
    <cellStyle name="Percent 17" xfId="23310" xr:uid="{00000000-0005-0000-0000-00003E510000}"/>
    <cellStyle name="Percent 17 2" xfId="24528" xr:uid="{00000000-0005-0000-0000-00007E050000}"/>
    <cellStyle name="Percent 17 2 2" xfId="26810" xr:uid="{00000000-0005-0000-0000-00007E050000}"/>
    <cellStyle name="Percent 17 3" xfId="25714" xr:uid="{00000000-0005-0000-0000-00007E050000}"/>
    <cellStyle name="Percent 2" xfId="4" xr:uid="{00000000-0005-0000-0000-00003F510000}"/>
    <cellStyle name="Percent 2 2" xfId="12590" xr:uid="{00000000-0005-0000-0000-000040510000}"/>
    <cellStyle name="Percent 2 2 2" xfId="21758" xr:uid="{00000000-0005-0000-0000-000041510000}"/>
    <cellStyle name="Percent 2 2 2 2" xfId="21910" xr:uid="{00000000-0005-0000-0000-000042510000}"/>
    <cellStyle name="Percent 2 2 2 2 2" xfId="26779" xr:uid="{00000000-0005-0000-0000-000080050000}"/>
    <cellStyle name="Percent 2 2 2 3" xfId="24508" xr:uid="{00000000-0005-0000-0000-000080050000}"/>
    <cellStyle name="Percent 2 2 3" xfId="23276" xr:uid="{00000000-0005-0000-0000-000043510000}"/>
    <cellStyle name="Percent 2 3" xfId="12591" xr:uid="{00000000-0005-0000-0000-000044510000}"/>
    <cellStyle name="Percent 2 3 2" xfId="20512" xr:uid="{00000000-0005-0000-0000-000045510000}"/>
    <cellStyle name="Percent 2 3 2 2" xfId="26796" xr:uid="{00000000-0005-0000-0000-000081050000}"/>
    <cellStyle name="Percent 2 3 2 3" xfId="24520" xr:uid="{00000000-0005-0000-0000-000081050000}"/>
    <cellStyle name="Percent 2 3 3" xfId="23294" xr:uid="{00000000-0005-0000-0000-000046510000}"/>
    <cellStyle name="Percent 2 4" xfId="14132" xr:uid="{00000000-0005-0000-0000-000047510000}"/>
    <cellStyle name="Percent 2 5" xfId="21759" xr:uid="{00000000-0005-0000-0000-000048510000}"/>
    <cellStyle name="Percent 2 5 2" xfId="21822" xr:uid="{00000000-0005-0000-0000-000049510000}"/>
    <cellStyle name="Percent 2 5 2 2" xfId="21911" xr:uid="{00000000-0005-0000-0000-00004A510000}"/>
    <cellStyle name="Percent 2 5 3" xfId="21789" xr:uid="{00000000-0005-0000-0000-00004B510000}"/>
    <cellStyle name="Percent 3" xfId="14003" xr:uid="{00000000-0005-0000-0000-00004C510000}"/>
    <cellStyle name="Percent 3 2" xfId="21760" xr:uid="{00000000-0005-0000-0000-00004D510000}"/>
    <cellStyle name="Percent 3 2 2" xfId="21912" xr:uid="{00000000-0005-0000-0000-00004E510000}"/>
    <cellStyle name="Percent 3 2 3" xfId="21913" xr:uid="{00000000-0005-0000-0000-00004F510000}"/>
    <cellStyle name="Percent 3 2 4" xfId="23295" xr:uid="{00000000-0005-0000-0000-000050510000}"/>
    <cellStyle name="Percent 3 3" xfId="21761" xr:uid="{00000000-0005-0000-0000-000051510000}"/>
    <cellStyle name="Percent 3 3 2" xfId="21823" xr:uid="{00000000-0005-0000-0000-000052510000}"/>
    <cellStyle name="Percent 3 3 3" xfId="21790" xr:uid="{00000000-0005-0000-0000-000053510000}"/>
    <cellStyle name="Percent 3 3 4" xfId="21914" xr:uid="{00000000-0005-0000-0000-000054510000}"/>
    <cellStyle name="Percent 3 4" xfId="21915" xr:uid="{00000000-0005-0000-0000-000055510000}"/>
    <cellStyle name="Percent 3 4 2" xfId="21916" xr:uid="{00000000-0005-0000-0000-000056510000}"/>
    <cellStyle name="Percent 32" xfId="12592" xr:uid="{00000000-0005-0000-0000-000057510000}"/>
    <cellStyle name="Percent 32 2" xfId="12593" xr:uid="{00000000-0005-0000-0000-000058510000}"/>
    <cellStyle name="Percent 32 2 2" xfId="12594" xr:uid="{00000000-0005-0000-0000-000059510000}"/>
    <cellStyle name="Percent 32 2 2 2" xfId="20515" xr:uid="{00000000-0005-0000-0000-00005A510000}"/>
    <cellStyle name="Percent 32 2 3" xfId="20514" xr:uid="{00000000-0005-0000-0000-00005B510000}"/>
    <cellStyle name="Percent 32 3" xfId="20513" xr:uid="{00000000-0005-0000-0000-00005C510000}"/>
    <cellStyle name="Percent 4" xfId="21669" xr:uid="{00000000-0005-0000-0000-00005D510000}"/>
    <cellStyle name="Percent 4 2" xfId="12595" xr:uid="{00000000-0005-0000-0000-00005E510000}"/>
    <cellStyle name="Percent 4 2 2" xfId="21762" xr:uid="{00000000-0005-0000-0000-00005F510000}"/>
    <cellStyle name="Percent 4 2 2 2" xfId="21824" xr:uid="{00000000-0005-0000-0000-000060510000}"/>
    <cellStyle name="Percent 4 2 2 3" xfId="21791" xr:uid="{00000000-0005-0000-0000-000061510000}"/>
    <cellStyle name="Percent 4 3" xfId="12596" xr:uid="{00000000-0005-0000-0000-000062510000}"/>
    <cellStyle name="Percent 4 4" xfId="12597" xr:uid="{00000000-0005-0000-0000-000063510000}"/>
    <cellStyle name="Percent 4 5" xfId="12598" xr:uid="{00000000-0005-0000-0000-000064510000}"/>
    <cellStyle name="Percent 4 6" xfId="21763" xr:uid="{00000000-0005-0000-0000-000065510000}"/>
    <cellStyle name="Percent 4 6 2" xfId="21917" xr:uid="{00000000-0005-0000-0000-000066510000}"/>
    <cellStyle name="Percent 5" xfId="21764" xr:uid="{00000000-0005-0000-0000-000067510000}"/>
    <cellStyle name="Percent 5 2" xfId="21765" xr:uid="{00000000-0005-0000-0000-000068510000}"/>
    <cellStyle name="Percent 5 3" xfId="21825" xr:uid="{00000000-0005-0000-0000-000069510000}"/>
    <cellStyle name="Percent 5 4" xfId="21918" xr:uid="{00000000-0005-0000-0000-00006A510000}"/>
    <cellStyle name="Percent 6" xfId="12599" xr:uid="{00000000-0005-0000-0000-00006B510000}"/>
    <cellStyle name="Percent 6 2" xfId="12600" xr:uid="{00000000-0005-0000-0000-00006C510000}"/>
    <cellStyle name="Percent 6 2 2" xfId="20516" xr:uid="{00000000-0005-0000-0000-00006D510000}"/>
    <cellStyle name="Percent 6 3" xfId="21794" xr:uid="{00000000-0005-0000-0000-00006E510000}"/>
    <cellStyle name="Percent 6 4" xfId="22194" xr:uid="{00000000-0005-0000-0000-00006F510000}"/>
    <cellStyle name="Percent 7" xfId="21766" xr:uid="{00000000-0005-0000-0000-000070510000}"/>
    <cellStyle name="Percent 7 2" xfId="21821" xr:uid="{00000000-0005-0000-0000-000071510000}"/>
    <cellStyle name="Percent 7 2 2" xfId="21919" xr:uid="{00000000-0005-0000-0000-000072510000}"/>
    <cellStyle name="Percent 7 2 2 2" xfId="22639" xr:uid="{00000000-0005-0000-0000-000073510000}"/>
    <cellStyle name="Percent 7 2 2 2 2" xfId="23165" xr:uid="{00000000-0005-0000-0000-000074510000}"/>
    <cellStyle name="Percent 7 2 2 2 2 2" xfId="24457" xr:uid="{00000000-0005-0000-0000-00008B050000}"/>
    <cellStyle name="Percent 7 2 2 2 2 2 2" xfId="26715" xr:uid="{00000000-0005-0000-0000-00008B050000}"/>
    <cellStyle name="Percent 7 2 2 2 2 3" xfId="25579" xr:uid="{00000000-0005-0000-0000-00008B050000}"/>
    <cellStyle name="Percent 7 2 2 2 3" xfId="23949" xr:uid="{00000000-0005-0000-0000-00008A050000}"/>
    <cellStyle name="Percent 7 2 2 2 3 2" xfId="26184" xr:uid="{00000000-0005-0000-0000-00008A050000}"/>
    <cellStyle name="Percent 7 2 2 2 4" xfId="25057" xr:uid="{00000000-0005-0000-0000-00008A050000}"/>
    <cellStyle name="Percent 7 2 2 3" xfId="22901" xr:uid="{00000000-0005-0000-0000-000075510000}"/>
    <cellStyle name="Percent 7 2 2 3 2" xfId="24201" xr:uid="{00000000-0005-0000-0000-00008C050000}"/>
    <cellStyle name="Percent 7 2 2 3 2 2" xfId="26450" xr:uid="{00000000-0005-0000-0000-00008C050000}"/>
    <cellStyle name="Percent 7 2 2 3 3" xfId="25320" xr:uid="{00000000-0005-0000-0000-00008C050000}"/>
    <cellStyle name="Percent 7 2 2 4" xfId="22379" xr:uid="{00000000-0005-0000-0000-000076510000}"/>
    <cellStyle name="Percent 7 2 2 4 2" xfId="25951" xr:uid="{00000000-0005-0000-0000-000089050000}"/>
    <cellStyle name="Percent 7 2 2 5" xfId="24796" xr:uid="{00000000-0005-0000-0000-000089050000}"/>
    <cellStyle name="Percent 7 2 3" xfId="22510" xr:uid="{00000000-0005-0000-0000-000077510000}"/>
    <cellStyle name="Percent 7 2 3 2" xfId="23036" xr:uid="{00000000-0005-0000-0000-000078510000}"/>
    <cellStyle name="Percent 7 2 3 2 2" xfId="24333" xr:uid="{00000000-0005-0000-0000-00008E050000}"/>
    <cellStyle name="Percent 7 2 3 2 2 2" xfId="26586" xr:uid="{00000000-0005-0000-0000-00008E050000}"/>
    <cellStyle name="Percent 7 2 3 2 3" xfId="25452" xr:uid="{00000000-0005-0000-0000-00008E050000}"/>
    <cellStyle name="Percent 7 2 3 3" xfId="23845" xr:uid="{00000000-0005-0000-0000-00008D050000}"/>
    <cellStyle name="Percent 7 2 3 3 2" xfId="26070" xr:uid="{00000000-0005-0000-0000-00008D050000}"/>
    <cellStyle name="Percent 7 2 3 4" xfId="24930" xr:uid="{00000000-0005-0000-0000-00008D050000}"/>
    <cellStyle name="Percent 7 2 4" xfId="22772" xr:uid="{00000000-0005-0000-0000-000079510000}"/>
    <cellStyle name="Percent 7 2 4 2" xfId="24084" xr:uid="{00000000-0005-0000-0000-00008F050000}"/>
    <cellStyle name="Percent 7 2 4 2 2" xfId="26321" xr:uid="{00000000-0005-0000-0000-00008F050000}"/>
    <cellStyle name="Percent 7 2 4 3" xfId="25192" xr:uid="{00000000-0005-0000-0000-00008F050000}"/>
    <cellStyle name="Percent 7 2 5" xfId="22253" xr:uid="{00000000-0005-0000-0000-00007A510000}"/>
    <cellStyle name="Percent 7 2 5 2" xfId="25837" xr:uid="{00000000-0005-0000-0000-000088050000}"/>
    <cellStyle name="Percent 7 2 6" xfId="24670" xr:uid="{00000000-0005-0000-0000-000088050000}"/>
    <cellStyle name="Percent 7 3" xfId="21788" xr:uid="{00000000-0005-0000-0000-00007B510000}"/>
    <cellStyle name="Percent 7 3 2" xfId="22588" xr:uid="{00000000-0005-0000-0000-00007C510000}"/>
    <cellStyle name="Percent 7 3 2 2" xfId="23114" xr:uid="{00000000-0005-0000-0000-00007D510000}"/>
    <cellStyle name="Percent 7 3 2 2 2" xfId="24406" xr:uid="{00000000-0005-0000-0000-000092050000}"/>
    <cellStyle name="Percent 7 3 2 2 2 2" xfId="26664" xr:uid="{00000000-0005-0000-0000-000092050000}"/>
    <cellStyle name="Percent 7 3 2 2 3" xfId="25528" xr:uid="{00000000-0005-0000-0000-000092050000}"/>
    <cellStyle name="Percent 7 3 2 3" xfId="23902" xr:uid="{00000000-0005-0000-0000-000091050000}"/>
    <cellStyle name="Percent 7 3 2 3 2" xfId="26133" xr:uid="{00000000-0005-0000-0000-000091050000}"/>
    <cellStyle name="Percent 7 3 2 4" xfId="25006" xr:uid="{00000000-0005-0000-0000-000091050000}"/>
    <cellStyle name="Percent 7 3 3" xfId="22850" xr:uid="{00000000-0005-0000-0000-00007E510000}"/>
    <cellStyle name="Percent 7 3 3 2" xfId="24150" xr:uid="{00000000-0005-0000-0000-000093050000}"/>
    <cellStyle name="Percent 7 3 3 2 2" xfId="26399" xr:uid="{00000000-0005-0000-0000-000093050000}"/>
    <cellStyle name="Percent 7 3 3 3" xfId="25269" xr:uid="{00000000-0005-0000-0000-000093050000}"/>
    <cellStyle name="Percent 7 3 4" xfId="22329" xr:uid="{00000000-0005-0000-0000-00007F510000}"/>
    <cellStyle name="Percent 7 3 4 2" xfId="25900" xr:uid="{00000000-0005-0000-0000-000090050000}"/>
    <cellStyle name="Percent 7 3 5" xfId="24745" xr:uid="{00000000-0005-0000-0000-000090050000}"/>
    <cellStyle name="Percent 7 4" xfId="22455" xr:uid="{00000000-0005-0000-0000-000080510000}"/>
    <cellStyle name="Percent 7 4 2" xfId="22981" xr:uid="{00000000-0005-0000-0000-000081510000}"/>
    <cellStyle name="Percent 7 4 2 2" xfId="24279" xr:uid="{00000000-0005-0000-0000-000095050000}"/>
    <cellStyle name="Percent 7 4 2 2 2" xfId="26531" xr:uid="{00000000-0005-0000-0000-000095050000}"/>
    <cellStyle name="Percent 7 4 2 3" xfId="25397" xr:uid="{00000000-0005-0000-0000-000095050000}"/>
    <cellStyle name="Percent 7 4 3" xfId="23797" xr:uid="{00000000-0005-0000-0000-000094050000}"/>
    <cellStyle name="Percent 7 4 3 2" xfId="26019" xr:uid="{00000000-0005-0000-0000-000094050000}"/>
    <cellStyle name="Percent 7 4 4" xfId="24875" xr:uid="{00000000-0005-0000-0000-000094050000}"/>
    <cellStyle name="Percent 7 5" xfId="22717" xr:uid="{00000000-0005-0000-0000-000082510000}"/>
    <cellStyle name="Percent 7 5 2" xfId="24030" xr:uid="{00000000-0005-0000-0000-000096050000}"/>
    <cellStyle name="Percent 7 5 2 2" xfId="26266" xr:uid="{00000000-0005-0000-0000-000096050000}"/>
    <cellStyle name="Percent 7 5 3" xfId="25137" xr:uid="{00000000-0005-0000-0000-000096050000}"/>
    <cellStyle name="Percent 7 6" xfId="22195" xr:uid="{00000000-0005-0000-0000-000083510000}"/>
    <cellStyle name="Percent 7 6 2" xfId="25786" xr:uid="{00000000-0005-0000-0000-000087050000}"/>
    <cellStyle name="Percent 7 7" xfId="24615" xr:uid="{00000000-0005-0000-0000-000087050000}"/>
    <cellStyle name="Percent 8" xfId="22196" xr:uid="{00000000-0005-0000-0000-000084510000}"/>
    <cellStyle name="Percent 8 2" xfId="22254" xr:uid="{00000000-0005-0000-0000-000085510000}"/>
    <cellStyle name="Percent 8 2 2" xfId="22380" xr:uid="{00000000-0005-0000-0000-000086510000}"/>
    <cellStyle name="Percent 8 2 2 2" xfId="22640" xr:uid="{00000000-0005-0000-0000-000087510000}"/>
    <cellStyle name="Percent 8 2 2 2 2" xfId="23166" xr:uid="{00000000-0005-0000-0000-000088510000}"/>
    <cellStyle name="Percent 8 2 2 2 2 2" xfId="24458" xr:uid="{00000000-0005-0000-0000-00009B050000}"/>
    <cellStyle name="Percent 8 2 2 2 2 2 2" xfId="26716" xr:uid="{00000000-0005-0000-0000-00009B050000}"/>
    <cellStyle name="Percent 8 2 2 2 2 3" xfId="25580" xr:uid="{00000000-0005-0000-0000-00009B050000}"/>
    <cellStyle name="Percent 8 2 2 2 3" xfId="23950" xr:uid="{00000000-0005-0000-0000-00009A050000}"/>
    <cellStyle name="Percent 8 2 2 2 3 2" xfId="26185" xr:uid="{00000000-0005-0000-0000-00009A050000}"/>
    <cellStyle name="Percent 8 2 2 2 4" xfId="25058" xr:uid="{00000000-0005-0000-0000-00009A050000}"/>
    <cellStyle name="Percent 8 2 2 3" xfId="22902" xr:uid="{00000000-0005-0000-0000-000089510000}"/>
    <cellStyle name="Percent 8 2 2 3 2" xfId="24202" xr:uid="{00000000-0005-0000-0000-00009C050000}"/>
    <cellStyle name="Percent 8 2 2 3 2 2" xfId="26451" xr:uid="{00000000-0005-0000-0000-00009C050000}"/>
    <cellStyle name="Percent 8 2 2 3 3" xfId="25321" xr:uid="{00000000-0005-0000-0000-00009C050000}"/>
    <cellStyle name="Percent 8 2 2 4" xfId="23735" xr:uid="{00000000-0005-0000-0000-000099050000}"/>
    <cellStyle name="Percent 8 2 2 4 2" xfId="25952" xr:uid="{00000000-0005-0000-0000-000099050000}"/>
    <cellStyle name="Percent 8 2 2 5" xfId="24797" xr:uid="{00000000-0005-0000-0000-000099050000}"/>
    <cellStyle name="Percent 8 2 3" xfId="22511" xr:uid="{00000000-0005-0000-0000-00008A510000}"/>
    <cellStyle name="Percent 8 2 3 2" xfId="23037" xr:uid="{00000000-0005-0000-0000-00008B510000}"/>
    <cellStyle name="Percent 8 2 3 2 2" xfId="24334" xr:uid="{00000000-0005-0000-0000-00009E050000}"/>
    <cellStyle name="Percent 8 2 3 2 2 2" xfId="26587" xr:uid="{00000000-0005-0000-0000-00009E050000}"/>
    <cellStyle name="Percent 8 2 3 2 3" xfId="25453" xr:uid="{00000000-0005-0000-0000-00009E050000}"/>
    <cellStyle name="Percent 8 2 3 3" xfId="23846" xr:uid="{00000000-0005-0000-0000-00009D050000}"/>
    <cellStyle name="Percent 8 2 3 3 2" xfId="26071" xr:uid="{00000000-0005-0000-0000-00009D050000}"/>
    <cellStyle name="Percent 8 2 3 4" xfId="24931" xr:uid="{00000000-0005-0000-0000-00009D050000}"/>
    <cellStyle name="Percent 8 2 4" xfId="22773" xr:uid="{00000000-0005-0000-0000-00008C510000}"/>
    <cellStyle name="Percent 8 2 4 2" xfId="24085" xr:uid="{00000000-0005-0000-0000-00009F050000}"/>
    <cellStyle name="Percent 8 2 4 2 2" xfId="26322" xr:uid="{00000000-0005-0000-0000-00009F050000}"/>
    <cellStyle name="Percent 8 2 4 3" xfId="25193" xr:uid="{00000000-0005-0000-0000-00009F050000}"/>
    <cellStyle name="Percent 8 2 5" xfId="23637" xr:uid="{00000000-0005-0000-0000-000098050000}"/>
    <cellStyle name="Percent 8 2 5 2" xfId="25838" xr:uid="{00000000-0005-0000-0000-000098050000}"/>
    <cellStyle name="Percent 8 2 6" xfId="24671" xr:uid="{00000000-0005-0000-0000-000098050000}"/>
    <cellStyle name="Percent 8 3" xfId="22330" xr:uid="{00000000-0005-0000-0000-00008D510000}"/>
    <cellStyle name="Percent 8 3 2" xfId="22589" xr:uid="{00000000-0005-0000-0000-00008E510000}"/>
    <cellStyle name="Percent 8 3 2 2" xfId="23115" xr:uid="{00000000-0005-0000-0000-00008F510000}"/>
    <cellStyle name="Percent 8 3 2 2 2" xfId="24407" xr:uid="{00000000-0005-0000-0000-0000A2050000}"/>
    <cellStyle name="Percent 8 3 2 2 2 2" xfId="26665" xr:uid="{00000000-0005-0000-0000-0000A2050000}"/>
    <cellStyle name="Percent 8 3 2 2 3" xfId="25529" xr:uid="{00000000-0005-0000-0000-0000A2050000}"/>
    <cellStyle name="Percent 8 3 2 3" xfId="23903" xr:uid="{00000000-0005-0000-0000-0000A1050000}"/>
    <cellStyle name="Percent 8 3 2 3 2" xfId="26134" xr:uid="{00000000-0005-0000-0000-0000A1050000}"/>
    <cellStyle name="Percent 8 3 2 4" xfId="25007" xr:uid="{00000000-0005-0000-0000-0000A1050000}"/>
    <cellStyle name="Percent 8 3 3" xfId="22851" xr:uid="{00000000-0005-0000-0000-000090510000}"/>
    <cellStyle name="Percent 8 3 3 2" xfId="24151" xr:uid="{00000000-0005-0000-0000-0000A3050000}"/>
    <cellStyle name="Percent 8 3 3 2 2" xfId="26400" xr:uid="{00000000-0005-0000-0000-0000A3050000}"/>
    <cellStyle name="Percent 8 3 3 3" xfId="25270" xr:uid="{00000000-0005-0000-0000-0000A3050000}"/>
    <cellStyle name="Percent 8 3 4" xfId="23690" xr:uid="{00000000-0005-0000-0000-0000A0050000}"/>
    <cellStyle name="Percent 8 3 4 2" xfId="25901" xr:uid="{00000000-0005-0000-0000-0000A0050000}"/>
    <cellStyle name="Percent 8 3 5" xfId="24746" xr:uid="{00000000-0005-0000-0000-0000A0050000}"/>
    <cellStyle name="Percent 8 4" xfId="22456" xr:uid="{00000000-0005-0000-0000-000091510000}"/>
    <cellStyle name="Percent 8 4 2" xfId="22982" xr:uid="{00000000-0005-0000-0000-000092510000}"/>
    <cellStyle name="Percent 8 4 2 2" xfId="24280" xr:uid="{00000000-0005-0000-0000-0000A5050000}"/>
    <cellStyle name="Percent 8 4 2 2 2" xfId="26532" xr:uid="{00000000-0005-0000-0000-0000A5050000}"/>
    <cellStyle name="Percent 8 4 2 3" xfId="25398" xr:uid="{00000000-0005-0000-0000-0000A5050000}"/>
    <cellStyle name="Percent 8 4 3" xfId="23798" xr:uid="{00000000-0005-0000-0000-0000A4050000}"/>
    <cellStyle name="Percent 8 4 3 2" xfId="26020" xr:uid="{00000000-0005-0000-0000-0000A4050000}"/>
    <cellStyle name="Percent 8 4 4" xfId="24876" xr:uid="{00000000-0005-0000-0000-0000A4050000}"/>
    <cellStyle name="Percent 8 5" xfId="22718" xr:uid="{00000000-0005-0000-0000-000093510000}"/>
    <cellStyle name="Percent 8 5 2" xfId="24031" xr:uid="{00000000-0005-0000-0000-0000A6050000}"/>
    <cellStyle name="Percent 8 5 2 2" xfId="26267" xr:uid="{00000000-0005-0000-0000-0000A6050000}"/>
    <cellStyle name="Percent 8 5 3" xfId="25138" xr:uid="{00000000-0005-0000-0000-0000A6050000}"/>
    <cellStyle name="Percent 8 6" xfId="23593" xr:uid="{00000000-0005-0000-0000-000097050000}"/>
    <cellStyle name="Percent 8 6 2" xfId="25787" xr:uid="{00000000-0005-0000-0000-000097050000}"/>
    <cellStyle name="Percent 8 7" xfId="24616" xr:uid="{00000000-0005-0000-0000-000097050000}"/>
    <cellStyle name="Percent 9" xfId="22197" xr:uid="{00000000-0005-0000-0000-000094510000}"/>
    <cellStyle name="Percent 9 2" xfId="22255" xr:uid="{00000000-0005-0000-0000-000095510000}"/>
    <cellStyle name="Percent 9 2 2" xfId="22381" xr:uid="{00000000-0005-0000-0000-000096510000}"/>
    <cellStyle name="Percent 9 2 2 2" xfId="22641" xr:uid="{00000000-0005-0000-0000-000097510000}"/>
    <cellStyle name="Percent 9 2 2 2 2" xfId="23167" xr:uid="{00000000-0005-0000-0000-000098510000}"/>
    <cellStyle name="Percent 9 2 2 2 2 2" xfId="24459" xr:uid="{00000000-0005-0000-0000-0000AB050000}"/>
    <cellStyle name="Percent 9 2 2 2 2 2 2" xfId="26717" xr:uid="{00000000-0005-0000-0000-0000AB050000}"/>
    <cellStyle name="Percent 9 2 2 2 2 3" xfId="25581" xr:uid="{00000000-0005-0000-0000-0000AB050000}"/>
    <cellStyle name="Percent 9 2 2 2 3" xfId="23951" xr:uid="{00000000-0005-0000-0000-0000AA050000}"/>
    <cellStyle name="Percent 9 2 2 2 3 2" xfId="26186" xr:uid="{00000000-0005-0000-0000-0000AA050000}"/>
    <cellStyle name="Percent 9 2 2 2 4" xfId="25059" xr:uid="{00000000-0005-0000-0000-0000AA050000}"/>
    <cellStyle name="Percent 9 2 2 3" xfId="22903" xr:uid="{00000000-0005-0000-0000-000099510000}"/>
    <cellStyle name="Percent 9 2 2 3 2" xfId="24203" xr:uid="{00000000-0005-0000-0000-0000AC050000}"/>
    <cellStyle name="Percent 9 2 2 3 2 2" xfId="26452" xr:uid="{00000000-0005-0000-0000-0000AC050000}"/>
    <cellStyle name="Percent 9 2 2 3 3" xfId="25322" xr:uid="{00000000-0005-0000-0000-0000AC050000}"/>
    <cellStyle name="Percent 9 2 2 4" xfId="23736" xr:uid="{00000000-0005-0000-0000-0000A9050000}"/>
    <cellStyle name="Percent 9 2 2 4 2" xfId="25953" xr:uid="{00000000-0005-0000-0000-0000A9050000}"/>
    <cellStyle name="Percent 9 2 2 5" xfId="24798" xr:uid="{00000000-0005-0000-0000-0000A9050000}"/>
    <cellStyle name="Percent 9 2 3" xfId="22512" xr:uid="{00000000-0005-0000-0000-00009A510000}"/>
    <cellStyle name="Percent 9 2 3 2" xfId="23038" xr:uid="{00000000-0005-0000-0000-00009B510000}"/>
    <cellStyle name="Percent 9 2 3 2 2" xfId="24335" xr:uid="{00000000-0005-0000-0000-0000AE050000}"/>
    <cellStyle name="Percent 9 2 3 2 2 2" xfId="26588" xr:uid="{00000000-0005-0000-0000-0000AE050000}"/>
    <cellStyle name="Percent 9 2 3 2 3" xfId="25454" xr:uid="{00000000-0005-0000-0000-0000AE050000}"/>
    <cellStyle name="Percent 9 2 3 3" xfId="23847" xr:uid="{00000000-0005-0000-0000-0000AD050000}"/>
    <cellStyle name="Percent 9 2 3 3 2" xfId="26072" xr:uid="{00000000-0005-0000-0000-0000AD050000}"/>
    <cellStyle name="Percent 9 2 3 4" xfId="24932" xr:uid="{00000000-0005-0000-0000-0000AD050000}"/>
    <cellStyle name="Percent 9 2 4" xfId="22774" xr:uid="{00000000-0005-0000-0000-00009C510000}"/>
    <cellStyle name="Percent 9 2 4 2" xfId="24086" xr:uid="{00000000-0005-0000-0000-0000AF050000}"/>
    <cellStyle name="Percent 9 2 4 2 2" xfId="26323" xr:uid="{00000000-0005-0000-0000-0000AF050000}"/>
    <cellStyle name="Percent 9 2 4 3" xfId="25194" xr:uid="{00000000-0005-0000-0000-0000AF050000}"/>
    <cellStyle name="Percent 9 2 5" xfId="23638" xr:uid="{00000000-0005-0000-0000-0000A8050000}"/>
    <cellStyle name="Percent 9 2 5 2" xfId="25839" xr:uid="{00000000-0005-0000-0000-0000A8050000}"/>
    <cellStyle name="Percent 9 2 6" xfId="24672" xr:uid="{00000000-0005-0000-0000-0000A8050000}"/>
    <cellStyle name="Percent 9 3" xfId="22331" xr:uid="{00000000-0005-0000-0000-00009D510000}"/>
    <cellStyle name="Percent 9 3 2" xfId="22590" xr:uid="{00000000-0005-0000-0000-00009E510000}"/>
    <cellStyle name="Percent 9 3 2 2" xfId="23116" xr:uid="{00000000-0005-0000-0000-00009F510000}"/>
    <cellStyle name="Percent 9 3 2 2 2" xfId="24408" xr:uid="{00000000-0005-0000-0000-0000B2050000}"/>
    <cellStyle name="Percent 9 3 2 2 2 2" xfId="26666" xr:uid="{00000000-0005-0000-0000-0000B2050000}"/>
    <cellStyle name="Percent 9 3 2 2 3" xfId="25530" xr:uid="{00000000-0005-0000-0000-0000B2050000}"/>
    <cellStyle name="Percent 9 3 2 3" xfId="23904" xr:uid="{00000000-0005-0000-0000-0000B1050000}"/>
    <cellStyle name="Percent 9 3 2 3 2" xfId="26135" xr:uid="{00000000-0005-0000-0000-0000B1050000}"/>
    <cellStyle name="Percent 9 3 2 4" xfId="25008" xr:uid="{00000000-0005-0000-0000-0000B1050000}"/>
    <cellStyle name="Percent 9 3 3" xfId="22852" xr:uid="{00000000-0005-0000-0000-0000A0510000}"/>
    <cellStyle name="Percent 9 3 3 2" xfId="24152" xr:uid="{00000000-0005-0000-0000-0000B3050000}"/>
    <cellStyle name="Percent 9 3 3 2 2" xfId="26401" xr:uid="{00000000-0005-0000-0000-0000B3050000}"/>
    <cellStyle name="Percent 9 3 3 3" xfId="25271" xr:uid="{00000000-0005-0000-0000-0000B3050000}"/>
    <cellStyle name="Percent 9 3 4" xfId="23691" xr:uid="{00000000-0005-0000-0000-0000B0050000}"/>
    <cellStyle name="Percent 9 3 4 2" xfId="25902" xr:uid="{00000000-0005-0000-0000-0000B0050000}"/>
    <cellStyle name="Percent 9 3 5" xfId="24747" xr:uid="{00000000-0005-0000-0000-0000B0050000}"/>
    <cellStyle name="Percent 9 4" xfId="22457" xr:uid="{00000000-0005-0000-0000-0000A1510000}"/>
    <cellStyle name="Percent 9 4 2" xfId="22983" xr:uid="{00000000-0005-0000-0000-0000A2510000}"/>
    <cellStyle name="Percent 9 4 2 2" xfId="24281" xr:uid="{00000000-0005-0000-0000-0000B5050000}"/>
    <cellStyle name="Percent 9 4 2 2 2" xfId="26533" xr:uid="{00000000-0005-0000-0000-0000B5050000}"/>
    <cellStyle name="Percent 9 4 2 3" xfId="25399" xr:uid="{00000000-0005-0000-0000-0000B5050000}"/>
    <cellStyle name="Percent 9 4 3" xfId="23799" xr:uid="{00000000-0005-0000-0000-0000B4050000}"/>
    <cellStyle name="Percent 9 4 3 2" xfId="26021" xr:uid="{00000000-0005-0000-0000-0000B4050000}"/>
    <cellStyle name="Percent 9 4 4" xfId="24877" xr:uid="{00000000-0005-0000-0000-0000B4050000}"/>
    <cellStyle name="Percent 9 5" xfId="22719" xr:uid="{00000000-0005-0000-0000-0000A3510000}"/>
    <cellStyle name="Percent 9 5 2" xfId="24032" xr:uid="{00000000-0005-0000-0000-0000B6050000}"/>
    <cellStyle name="Percent 9 5 2 2" xfId="26268" xr:uid="{00000000-0005-0000-0000-0000B6050000}"/>
    <cellStyle name="Percent 9 5 3" xfId="25139" xr:uid="{00000000-0005-0000-0000-0000B6050000}"/>
    <cellStyle name="Percent 9 6" xfId="23594" xr:uid="{00000000-0005-0000-0000-0000A7050000}"/>
    <cellStyle name="Percent 9 6 2" xfId="25788" xr:uid="{00000000-0005-0000-0000-0000A7050000}"/>
    <cellStyle name="Percent 9 7" xfId="24617" xr:uid="{00000000-0005-0000-0000-0000A7050000}"/>
    <cellStyle name="Title 10" xfId="12601" xr:uid="{00000000-0005-0000-0000-0000A4510000}"/>
    <cellStyle name="Title 10 10" xfId="12602" xr:uid="{00000000-0005-0000-0000-0000A5510000}"/>
    <cellStyle name="Title 10 10 2" xfId="20517" xr:uid="{00000000-0005-0000-0000-0000A6510000}"/>
    <cellStyle name="Title 10 11" xfId="12603" xr:uid="{00000000-0005-0000-0000-0000A7510000}"/>
    <cellStyle name="Title 10 11 2" xfId="20518" xr:uid="{00000000-0005-0000-0000-0000A8510000}"/>
    <cellStyle name="Title 10 2" xfId="12604" xr:uid="{00000000-0005-0000-0000-0000A9510000}"/>
    <cellStyle name="Title 10 2 2" xfId="12605" xr:uid="{00000000-0005-0000-0000-0000AA510000}"/>
    <cellStyle name="Title 10 2 2 2" xfId="20519" xr:uid="{00000000-0005-0000-0000-0000AB510000}"/>
    <cellStyle name="Title 10 3" xfId="12606" xr:uid="{00000000-0005-0000-0000-0000AC510000}"/>
    <cellStyle name="Title 10 3 2" xfId="12607" xr:uid="{00000000-0005-0000-0000-0000AD510000}"/>
    <cellStyle name="Title 10 3 2 2" xfId="20520" xr:uid="{00000000-0005-0000-0000-0000AE510000}"/>
    <cellStyle name="Title 10 4" xfId="12608" xr:uid="{00000000-0005-0000-0000-0000AF510000}"/>
    <cellStyle name="Title 10 4 2" xfId="12609" xr:uid="{00000000-0005-0000-0000-0000B0510000}"/>
    <cellStyle name="Title 10 4 3" xfId="20521" xr:uid="{00000000-0005-0000-0000-0000B1510000}"/>
    <cellStyle name="Title 10 5" xfId="12610" xr:uid="{00000000-0005-0000-0000-0000B2510000}"/>
    <cellStyle name="Title 10 5 2" xfId="20522" xr:uid="{00000000-0005-0000-0000-0000B3510000}"/>
    <cellStyle name="Title 10 6" xfId="12611" xr:uid="{00000000-0005-0000-0000-0000B4510000}"/>
    <cellStyle name="Title 10 6 2" xfId="20523" xr:uid="{00000000-0005-0000-0000-0000B5510000}"/>
    <cellStyle name="Title 10 7" xfId="12612" xr:uid="{00000000-0005-0000-0000-0000B6510000}"/>
    <cellStyle name="Title 10 7 2" xfId="20524" xr:uid="{00000000-0005-0000-0000-0000B7510000}"/>
    <cellStyle name="Title 10 8" xfId="12613" xr:uid="{00000000-0005-0000-0000-0000B8510000}"/>
    <cellStyle name="Title 10 8 2" xfId="20525" xr:uid="{00000000-0005-0000-0000-0000B9510000}"/>
    <cellStyle name="Title 10 9" xfId="12614" xr:uid="{00000000-0005-0000-0000-0000BA510000}"/>
    <cellStyle name="Title 10 9 2" xfId="20526" xr:uid="{00000000-0005-0000-0000-0000BB510000}"/>
    <cellStyle name="Title 11" xfId="12615" xr:uid="{00000000-0005-0000-0000-0000BC510000}"/>
    <cellStyle name="Title 11 10" xfId="12616" xr:uid="{00000000-0005-0000-0000-0000BD510000}"/>
    <cellStyle name="Title 11 10 2" xfId="20527" xr:uid="{00000000-0005-0000-0000-0000BE510000}"/>
    <cellStyle name="Title 11 11" xfId="12617" xr:uid="{00000000-0005-0000-0000-0000BF510000}"/>
    <cellStyle name="Title 11 11 2" xfId="20528" xr:uid="{00000000-0005-0000-0000-0000C0510000}"/>
    <cellStyle name="Title 11 2" xfId="12618" xr:uid="{00000000-0005-0000-0000-0000C1510000}"/>
    <cellStyle name="Title 11 2 2" xfId="12619" xr:uid="{00000000-0005-0000-0000-0000C2510000}"/>
    <cellStyle name="Title 11 2 2 2" xfId="20529" xr:uid="{00000000-0005-0000-0000-0000C3510000}"/>
    <cellStyle name="Title 11 3" xfId="12620" xr:uid="{00000000-0005-0000-0000-0000C4510000}"/>
    <cellStyle name="Title 11 3 2" xfId="12621" xr:uid="{00000000-0005-0000-0000-0000C5510000}"/>
    <cellStyle name="Title 11 3 2 2" xfId="20530" xr:uid="{00000000-0005-0000-0000-0000C6510000}"/>
    <cellStyle name="Title 11 4" xfId="12622" xr:uid="{00000000-0005-0000-0000-0000C7510000}"/>
    <cellStyle name="Title 11 4 2" xfId="12623" xr:uid="{00000000-0005-0000-0000-0000C8510000}"/>
    <cellStyle name="Title 11 4 3" xfId="20531" xr:uid="{00000000-0005-0000-0000-0000C9510000}"/>
    <cellStyle name="Title 11 5" xfId="12624" xr:uid="{00000000-0005-0000-0000-0000CA510000}"/>
    <cellStyle name="Title 11 5 2" xfId="20532" xr:uid="{00000000-0005-0000-0000-0000CB510000}"/>
    <cellStyle name="Title 11 6" xfId="12625" xr:uid="{00000000-0005-0000-0000-0000CC510000}"/>
    <cellStyle name="Title 11 6 2" xfId="20533" xr:uid="{00000000-0005-0000-0000-0000CD510000}"/>
    <cellStyle name="Title 11 7" xfId="12626" xr:uid="{00000000-0005-0000-0000-0000CE510000}"/>
    <cellStyle name="Title 11 7 2" xfId="20534" xr:uid="{00000000-0005-0000-0000-0000CF510000}"/>
    <cellStyle name="Title 11 8" xfId="12627" xr:uid="{00000000-0005-0000-0000-0000D0510000}"/>
    <cellStyle name="Title 11 8 2" xfId="20535" xr:uid="{00000000-0005-0000-0000-0000D1510000}"/>
    <cellStyle name="Title 11 9" xfId="12628" xr:uid="{00000000-0005-0000-0000-0000D2510000}"/>
    <cellStyle name="Title 11 9 2" xfId="20536" xr:uid="{00000000-0005-0000-0000-0000D3510000}"/>
    <cellStyle name="Title 12" xfId="12629" xr:uid="{00000000-0005-0000-0000-0000D4510000}"/>
    <cellStyle name="Title 12 10" xfId="12630" xr:uid="{00000000-0005-0000-0000-0000D5510000}"/>
    <cellStyle name="Title 12 10 2" xfId="20537" xr:uid="{00000000-0005-0000-0000-0000D6510000}"/>
    <cellStyle name="Title 12 11" xfId="12631" xr:uid="{00000000-0005-0000-0000-0000D7510000}"/>
    <cellStyle name="Title 12 11 2" xfId="20538" xr:uid="{00000000-0005-0000-0000-0000D8510000}"/>
    <cellStyle name="Title 12 2" xfId="12632" xr:uid="{00000000-0005-0000-0000-0000D9510000}"/>
    <cellStyle name="Title 12 2 2" xfId="12633" xr:uid="{00000000-0005-0000-0000-0000DA510000}"/>
    <cellStyle name="Title 12 2 2 2" xfId="20539" xr:uid="{00000000-0005-0000-0000-0000DB510000}"/>
    <cellStyle name="Title 12 3" xfId="12634" xr:uid="{00000000-0005-0000-0000-0000DC510000}"/>
    <cellStyle name="Title 12 3 2" xfId="12635" xr:uid="{00000000-0005-0000-0000-0000DD510000}"/>
    <cellStyle name="Title 12 3 2 2" xfId="20540" xr:uid="{00000000-0005-0000-0000-0000DE510000}"/>
    <cellStyle name="Title 12 4" xfId="12636" xr:uid="{00000000-0005-0000-0000-0000DF510000}"/>
    <cellStyle name="Title 12 4 2" xfId="12637" xr:uid="{00000000-0005-0000-0000-0000E0510000}"/>
    <cellStyle name="Title 12 4 3" xfId="20541" xr:uid="{00000000-0005-0000-0000-0000E1510000}"/>
    <cellStyle name="Title 12 5" xfId="12638" xr:uid="{00000000-0005-0000-0000-0000E2510000}"/>
    <cellStyle name="Title 12 5 2" xfId="20542" xr:uid="{00000000-0005-0000-0000-0000E3510000}"/>
    <cellStyle name="Title 12 6" xfId="12639" xr:uid="{00000000-0005-0000-0000-0000E4510000}"/>
    <cellStyle name="Title 12 6 2" xfId="20543" xr:uid="{00000000-0005-0000-0000-0000E5510000}"/>
    <cellStyle name="Title 12 7" xfId="12640" xr:uid="{00000000-0005-0000-0000-0000E6510000}"/>
    <cellStyle name="Title 12 7 2" xfId="20544" xr:uid="{00000000-0005-0000-0000-0000E7510000}"/>
    <cellStyle name="Title 12 8" xfId="12641" xr:uid="{00000000-0005-0000-0000-0000E8510000}"/>
    <cellStyle name="Title 12 8 2" xfId="20545" xr:uid="{00000000-0005-0000-0000-0000E9510000}"/>
    <cellStyle name="Title 12 9" xfId="12642" xr:uid="{00000000-0005-0000-0000-0000EA510000}"/>
    <cellStyle name="Title 12 9 2" xfId="20546" xr:uid="{00000000-0005-0000-0000-0000EB510000}"/>
    <cellStyle name="Title 13" xfId="12643" xr:uid="{00000000-0005-0000-0000-0000EC510000}"/>
    <cellStyle name="Title 13 10" xfId="12644" xr:uid="{00000000-0005-0000-0000-0000ED510000}"/>
    <cellStyle name="Title 13 10 2" xfId="20547" xr:uid="{00000000-0005-0000-0000-0000EE510000}"/>
    <cellStyle name="Title 13 11" xfId="12645" xr:uid="{00000000-0005-0000-0000-0000EF510000}"/>
    <cellStyle name="Title 13 11 2" xfId="20548" xr:uid="{00000000-0005-0000-0000-0000F0510000}"/>
    <cellStyle name="Title 13 2" xfId="12646" xr:uid="{00000000-0005-0000-0000-0000F1510000}"/>
    <cellStyle name="Title 13 2 2" xfId="12647" xr:uid="{00000000-0005-0000-0000-0000F2510000}"/>
    <cellStyle name="Title 13 2 2 2" xfId="20549" xr:uid="{00000000-0005-0000-0000-0000F3510000}"/>
    <cellStyle name="Title 13 3" xfId="12648" xr:uid="{00000000-0005-0000-0000-0000F4510000}"/>
    <cellStyle name="Title 13 3 2" xfId="12649" xr:uid="{00000000-0005-0000-0000-0000F5510000}"/>
    <cellStyle name="Title 13 3 2 2" xfId="20550" xr:uid="{00000000-0005-0000-0000-0000F6510000}"/>
    <cellStyle name="Title 13 4" xfId="12650" xr:uid="{00000000-0005-0000-0000-0000F7510000}"/>
    <cellStyle name="Title 13 4 2" xfId="20551" xr:uid="{00000000-0005-0000-0000-0000F8510000}"/>
    <cellStyle name="Title 13 5" xfId="12651" xr:uid="{00000000-0005-0000-0000-0000F9510000}"/>
    <cellStyle name="Title 13 5 2" xfId="20552" xr:uid="{00000000-0005-0000-0000-0000FA510000}"/>
    <cellStyle name="Title 13 6" xfId="12652" xr:uid="{00000000-0005-0000-0000-0000FB510000}"/>
    <cellStyle name="Title 13 6 2" xfId="20553" xr:uid="{00000000-0005-0000-0000-0000FC510000}"/>
    <cellStyle name="Title 13 7" xfId="12653" xr:uid="{00000000-0005-0000-0000-0000FD510000}"/>
    <cellStyle name="Title 13 7 2" xfId="20554" xr:uid="{00000000-0005-0000-0000-0000FE510000}"/>
    <cellStyle name="Title 13 8" xfId="12654" xr:uid="{00000000-0005-0000-0000-0000FF510000}"/>
    <cellStyle name="Title 13 8 2" xfId="20555" xr:uid="{00000000-0005-0000-0000-000000520000}"/>
    <cellStyle name="Title 13 9" xfId="12655" xr:uid="{00000000-0005-0000-0000-000001520000}"/>
    <cellStyle name="Title 13 9 2" xfId="20556" xr:uid="{00000000-0005-0000-0000-000002520000}"/>
    <cellStyle name="Title 14" xfId="12656" xr:uid="{00000000-0005-0000-0000-000003520000}"/>
    <cellStyle name="Title 14 10" xfId="12657" xr:uid="{00000000-0005-0000-0000-000004520000}"/>
    <cellStyle name="Title 14 10 2" xfId="20557" xr:uid="{00000000-0005-0000-0000-000005520000}"/>
    <cellStyle name="Title 14 11" xfId="12658" xr:uid="{00000000-0005-0000-0000-000006520000}"/>
    <cellStyle name="Title 14 11 2" xfId="20558" xr:uid="{00000000-0005-0000-0000-000007520000}"/>
    <cellStyle name="Title 14 2" xfId="12659" xr:uid="{00000000-0005-0000-0000-000008520000}"/>
    <cellStyle name="Title 14 2 2" xfId="12660" xr:uid="{00000000-0005-0000-0000-000009520000}"/>
    <cellStyle name="Title 14 2 2 2" xfId="20559" xr:uid="{00000000-0005-0000-0000-00000A520000}"/>
    <cellStyle name="Title 14 3" xfId="12661" xr:uid="{00000000-0005-0000-0000-00000B520000}"/>
    <cellStyle name="Title 14 3 2" xfId="12662" xr:uid="{00000000-0005-0000-0000-00000C520000}"/>
    <cellStyle name="Title 14 3 2 2" xfId="20560" xr:uid="{00000000-0005-0000-0000-00000D520000}"/>
    <cellStyle name="Title 14 4" xfId="12663" xr:uid="{00000000-0005-0000-0000-00000E520000}"/>
    <cellStyle name="Title 14 4 2" xfId="20561" xr:uid="{00000000-0005-0000-0000-00000F520000}"/>
    <cellStyle name="Title 14 5" xfId="12664" xr:uid="{00000000-0005-0000-0000-000010520000}"/>
    <cellStyle name="Title 14 5 2" xfId="20562" xr:uid="{00000000-0005-0000-0000-000011520000}"/>
    <cellStyle name="Title 14 6" xfId="12665" xr:uid="{00000000-0005-0000-0000-000012520000}"/>
    <cellStyle name="Title 14 6 2" xfId="20563" xr:uid="{00000000-0005-0000-0000-000013520000}"/>
    <cellStyle name="Title 14 7" xfId="12666" xr:uid="{00000000-0005-0000-0000-000014520000}"/>
    <cellStyle name="Title 14 7 2" xfId="20564" xr:uid="{00000000-0005-0000-0000-000015520000}"/>
    <cellStyle name="Title 14 8" xfId="12667" xr:uid="{00000000-0005-0000-0000-000016520000}"/>
    <cellStyle name="Title 14 8 2" xfId="20565" xr:uid="{00000000-0005-0000-0000-000017520000}"/>
    <cellStyle name="Title 14 9" xfId="12668" xr:uid="{00000000-0005-0000-0000-000018520000}"/>
    <cellStyle name="Title 14 9 2" xfId="20566" xr:uid="{00000000-0005-0000-0000-000019520000}"/>
    <cellStyle name="Title 15" xfId="12669" xr:uid="{00000000-0005-0000-0000-00001A520000}"/>
    <cellStyle name="Title 15 10" xfId="12670" xr:uid="{00000000-0005-0000-0000-00001B520000}"/>
    <cellStyle name="Title 15 10 2" xfId="20567" xr:uid="{00000000-0005-0000-0000-00001C520000}"/>
    <cellStyle name="Title 15 11" xfId="12671" xr:uid="{00000000-0005-0000-0000-00001D520000}"/>
    <cellStyle name="Title 15 11 2" xfId="20568" xr:uid="{00000000-0005-0000-0000-00001E520000}"/>
    <cellStyle name="Title 15 2" xfId="12672" xr:uid="{00000000-0005-0000-0000-00001F520000}"/>
    <cellStyle name="Title 15 2 2" xfId="12673" xr:uid="{00000000-0005-0000-0000-000020520000}"/>
    <cellStyle name="Title 15 2 2 2" xfId="20569" xr:uid="{00000000-0005-0000-0000-000021520000}"/>
    <cellStyle name="Title 15 3" xfId="12674" xr:uid="{00000000-0005-0000-0000-000022520000}"/>
    <cellStyle name="Title 15 3 2" xfId="12675" xr:uid="{00000000-0005-0000-0000-000023520000}"/>
    <cellStyle name="Title 15 3 2 2" xfId="20570" xr:uid="{00000000-0005-0000-0000-000024520000}"/>
    <cellStyle name="Title 15 4" xfId="12676" xr:uid="{00000000-0005-0000-0000-000025520000}"/>
    <cellStyle name="Title 15 4 2" xfId="20571" xr:uid="{00000000-0005-0000-0000-000026520000}"/>
    <cellStyle name="Title 15 5" xfId="12677" xr:uid="{00000000-0005-0000-0000-000027520000}"/>
    <cellStyle name="Title 15 5 2" xfId="20572" xr:uid="{00000000-0005-0000-0000-000028520000}"/>
    <cellStyle name="Title 15 6" xfId="12678" xr:uid="{00000000-0005-0000-0000-000029520000}"/>
    <cellStyle name="Title 15 6 2" xfId="20573" xr:uid="{00000000-0005-0000-0000-00002A520000}"/>
    <cellStyle name="Title 15 7" xfId="12679" xr:uid="{00000000-0005-0000-0000-00002B520000}"/>
    <cellStyle name="Title 15 7 2" xfId="20574" xr:uid="{00000000-0005-0000-0000-00002C520000}"/>
    <cellStyle name="Title 15 8" xfId="12680" xr:uid="{00000000-0005-0000-0000-00002D520000}"/>
    <cellStyle name="Title 15 8 2" xfId="20575" xr:uid="{00000000-0005-0000-0000-00002E520000}"/>
    <cellStyle name="Title 15 9" xfId="12681" xr:uid="{00000000-0005-0000-0000-00002F520000}"/>
    <cellStyle name="Title 15 9 2" xfId="20576" xr:uid="{00000000-0005-0000-0000-000030520000}"/>
    <cellStyle name="Title 16" xfId="12682" xr:uid="{00000000-0005-0000-0000-000031520000}"/>
    <cellStyle name="Title 16 10" xfId="12683" xr:uid="{00000000-0005-0000-0000-000032520000}"/>
    <cellStyle name="Title 16 10 2" xfId="20577" xr:uid="{00000000-0005-0000-0000-000033520000}"/>
    <cellStyle name="Title 16 11" xfId="12684" xr:uid="{00000000-0005-0000-0000-000034520000}"/>
    <cellStyle name="Title 16 11 2" xfId="20578" xr:uid="{00000000-0005-0000-0000-000035520000}"/>
    <cellStyle name="Title 16 2" xfId="12685" xr:uid="{00000000-0005-0000-0000-000036520000}"/>
    <cellStyle name="Title 16 2 2" xfId="12686" xr:uid="{00000000-0005-0000-0000-000037520000}"/>
    <cellStyle name="Title 16 2 2 2" xfId="20579" xr:uid="{00000000-0005-0000-0000-000038520000}"/>
    <cellStyle name="Title 16 3" xfId="12687" xr:uid="{00000000-0005-0000-0000-000039520000}"/>
    <cellStyle name="Title 16 3 2" xfId="12688" xr:uid="{00000000-0005-0000-0000-00003A520000}"/>
    <cellStyle name="Title 16 3 2 2" xfId="20580" xr:uid="{00000000-0005-0000-0000-00003B520000}"/>
    <cellStyle name="Title 16 4" xfId="12689" xr:uid="{00000000-0005-0000-0000-00003C520000}"/>
    <cellStyle name="Title 16 4 2" xfId="20581" xr:uid="{00000000-0005-0000-0000-00003D520000}"/>
    <cellStyle name="Title 16 5" xfId="12690" xr:uid="{00000000-0005-0000-0000-00003E520000}"/>
    <cellStyle name="Title 16 5 2" xfId="20582" xr:uid="{00000000-0005-0000-0000-00003F520000}"/>
    <cellStyle name="Title 16 6" xfId="12691" xr:uid="{00000000-0005-0000-0000-000040520000}"/>
    <cellStyle name="Title 16 6 2" xfId="20583" xr:uid="{00000000-0005-0000-0000-000041520000}"/>
    <cellStyle name="Title 16 7" xfId="12692" xr:uid="{00000000-0005-0000-0000-000042520000}"/>
    <cellStyle name="Title 16 7 2" xfId="20584" xr:uid="{00000000-0005-0000-0000-000043520000}"/>
    <cellStyle name="Title 16 8" xfId="12693" xr:uid="{00000000-0005-0000-0000-000044520000}"/>
    <cellStyle name="Title 16 8 2" xfId="20585" xr:uid="{00000000-0005-0000-0000-000045520000}"/>
    <cellStyle name="Title 16 9" xfId="12694" xr:uid="{00000000-0005-0000-0000-000046520000}"/>
    <cellStyle name="Title 16 9 2" xfId="20586" xr:uid="{00000000-0005-0000-0000-000047520000}"/>
    <cellStyle name="Title 17" xfId="12695" xr:uid="{00000000-0005-0000-0000-000048520000}"/>
    <cellStyle name="Title 17 10" xfId="12696" xr:uid="{00000000-0005-0000-0000-000049520000}"/>
    <cellStyle name="Title 17 10 2" xfId="20587" xr:uid="{00000000-0005-0000-0000-00004A520000}"/>
    <cellStyle name="Title 17 11" xfId="12697" xr:uid="{00000000-0005-0000-0000-00004B520000}"/>
    <cellStyle name="Title 17 11 2" xfId="20588" xr:uid="{00000000-0005-0000-0000-00004C520000}"/>
    <cellStyle name="Title 17 2" xfId="12698" xr:uid="{00000000-0005-0000-0000-00004D520000}"/>
    <cellStyle name="Title 17 2 2" xfId="12699" xr:uid="{00000000-0005-0000-0000-00004E520000}"/>
    <cellStyle name="Title 17 2 2 2" xfId="20589" xr:uid="{00000000-0005-0000-0000-00004F520000}"/>
    <cellStyle name="Title 17 3" xfId="12700" xr:uid="{00000000-0005-0000-0000-000050520000}"/>
    <cellStyle name="Title 17 3 2" xfId="12701" xr:uid="{00000000-0005-0000-0000-000051520000}"/>
    <cellStyle name="Title 17 3 2 2" xfId="20590" xr:uid="{00000000-0005-0000-0000-000052520000}"/>
    <cellStyle name="Title 17 4" xfId="12702" xr:uid="{00000000-0005-0000-0000-000053520000}"/>
    <cellStyle name="Title 17 4 2" xfId="20591" xr:uid="{00000000-0005-0000-0000-000054520000}"/>
    <cellStyle name="Title 17 5" xfId="12703" xr:uid="{00000000-0005-0000-0000-000055520000}"/>
    <cellStyle name="Title 17 5 2" xfId="20592" xr:uid="{00000000-0005-0000-0000-000056520000}"/>
    <cellStyle name="Title 17 6" xfId="12704" xr:uid="{00000000-0005-0000-0000-000057520000}"/>
    <cellStyle name="Title 17 6 2" xfId="20593" xr:uid="{00000000-0005-0000-0000-000058520000}"/>
    <cellStyle name="Title 17 7" xfId="12705" xr:uid="{00000000-0005-0000-0000-000059520000}"/>
    <cellStyle name="Title 17 7 2" xfId="20594" xr:uid="{00000000-0005-0000-0000-00005A520000}"/>
    <cellStyle name="Title 17 8" xfId="12706" xr:uid="{00000000-0005-0000-0000-00005B520000}"/>
    <cellStyle name="Title 17 8 2" xfId="20595" xr:uid="{00000000-0005-0000-0000-00005C520000}"/>
    <cellStyle name="Title 17 9" xfId="12707" xr:uid="{00000000-0005-0000-0000-00005D520000}"/>
    <cellStyle name="Title 17 9 2" xfId="20596" xr:uid="{00000000-0005-0000-0000-00005E520000}"/>
    <cellStyle name="Title 18" xfId="12708" xr:uid="{00000000-0005-0000-0000-00005F520000}"/>
    <cellStyle name="Title 18 2" xfId="12709" xr:uid="{00000000-0005-0000-0000-000060520000}"/>
    <cellStyle name="Title 18 2 2" xfId="12710" xr:uid="{00000000-0005-0000-0000-000061520000}"/>
    <cellStyle name="Title 18 2 2 2" xfId="20597" xr:uid="{00000000-0005-0000-0000-000062520000}"/>
    <cellStyle name="Title 18 3" xfId="12711" xr:uid="{00000000-0005-0000-0000-000063520000}"/>
    <cellStyle name="Title 18 3 2" xfId="20598" xr:uid="{00000000-0005-0000-0000-000064520000}"/>
    <cellStyle name="Title 18 4" xfId="12712" xr:uid="{00000000-0005-0000-0000-000065520000}"/>
    <cellStyle name="Title 18 4 2" xfId="20599" xr:uid="{00000000-0005-0000-0000-000066520000}"/>
    <cellStyle name="Title 18 5" xfId="12713" xr:uid="{00000000-0005-0000-0000-000067520000}"/>
    <cellStyle name="Title 18 5 2" xfId="20600" xr:uid="{00000000-0005-0000-0000-000068520000}"/>
    <cellStyle name="Title 18 6" xfId="12714" xr:uid="{00000000-0005-0000-0000-000069520000}"/>
    <cellStyle name="Title 18 6 2" xfId="20601" xr:uid="{00000000-0005-0000-0000-00006A520000}"/>
    <cellStyle name="Title 18 7" xfId="12715" xr:uid="{00000000-0005-0000-0000-00006B520000}"/>
    <cellStyle name="Title 18 7 2" xfId="20602" xr:uid="{00000000-0005-0000-0000-00006C520000}"/>
    <cellStyle name="Title 18 8" xfId="12716" xr:uid="{00000000-0005-0000-0000-00006D520000}"/>
    <cellStyle name="Title 18 8 2" xfId="20603" xr:uid="{00000000-0005-0000-0000-00006E520000}"/>
    <cellStyle name="Title 18 9" xfId="12717" xr:uid="{00000000-0005-0000-0000-00006F520000}"/>
    <cellStyle name="Title 18 9 2" xfId="20604" xr:uid="{00000000-0005-0000-0000-000070520000}"/>
    <cellStyle name="Title 19" xfId="12718" xr:uid="{00000000-0005-0000-0000-000071520000}"/>
    <cellStyle name="Title 19 2" xfId="12719" xr:uid="{00000000-0005-0000-0000-000072520000}"/>
    <cellStyle name="Title 19 2 2" xfId="12720" xr:uid="{00000000-0005-0000-0000-000073520000}"/>
    <cellStyle name="Title 19 2 2 2" xfId="20605" xr:uid="{00000000-0005-0000-0000-000074520000}"/>
    <cellStyle name="Title 19 3" xfId="12721" xr:uid="{00000000-0005-0000-0000-000075520000}"/>
    <cellStyle name="Title 19 3 2" xfId="20606" xr:uid="{00000000-0005-0000-0000-000076520000}"/>
    <cellStyle name="Title 19 4" xfId="12722" xr:uid="{00000000-0005-0000-0000-000077520000}"/>
    <cellStyle name="Title 19 4 2" xfId="20607" xr:uid="{00000000-0005-0000-0000-000078520000}"/>
    <cellStyle name="Title 19 5" xfId="12723" xr:uid="{00000000-0005-0000-0000-000079520000}"/>
    <cellStyle name="Title 19 5 2" xfId="20608" xr:uid="{00000000-0005-0000-0000-00007A520000}"/>
    <cellStyle name="Title 19 6" xfId="12724" xr:uid="{00000000-0005-0000-0000-00007B520000}"/>
    <cellStyle name="Title 19 6 2" xfId="20609" xr:uid="{00000000-0005-0000-0000-00007C520000}"/>
    <cellStyle name="Title 19 7" xfId="12725" xr:uid="{00000000-0005-0000-0000-00007D520000}"/>
    <cellStyle name="Title 19 7 2" xfId="20610" xr:uid="{00000000-0005-0000-0000-00007E520000}"/>
    <cellStyle name="Title 19 8" xfId="12726" xr:uid="{00000000-0005-0000-0000-00007F520000}"/>
    <cellStyle name="Title 19 8 2" xfId="20611" xr:uid="{00000000-0005-0000-0000-000080520000}"/>
    <cellStyle name="Title 19 9" xfId="12727" xr:uid="{00000000-0005-0000-0000-000081520000}"/>
    <cellStyle name="Title 19 9 2" xfId="20612" xr:uid="{00000000-0005-0000-0000-000082520000}"/>
    <cellStyle name="Title 2" xfId="12728" xr:uid="{00000000-0005-0000-0000-000083520000}"/>
    <cellStyle name="Title 2 10" xfId="12729" xr:uid="{00000000-0005-0000-0000-000084520000}"/>
    <cellStyle name="Title 2 10 2" xfId="20613" xr:uid="{00000000-0005-0000-0000-000085520000}"/>
    <cellStyle name="Title 2 11" xfId="12730" xr:uid="{00000000-0005-0000-0000-000086520000}"/>
    <cellStyle name="Title 2 11 2" xfId="20614" xr:uid="{00000000-0005-0000-0000-000087520000}"/>
    <cellStyle name="Title 2 12" xfId="21767" xr:uid="{00000000-0005-0000-0000-000088520000}"/>
    <cellStyle name="Title 2 2" xfId="12731" xr:uid="{00000000-0005-0000-0000-000089520000}"/>
    <cellStyle name="Title 2 2 2" xfId="12732" xr:uid="{00000000-0005-0000-0000-00008A520000}"/>
    <cellStyle name="Title 2 2 2 2" xfId="20615" xr:uid="{00000000-0005-0000-0000-00008B520000}"/>
    <cellStyle name="Title 2 3" xfId="12733" xr:uid="{00000000-0005-0000-0000-00008C520000}"/>
    <cellStyle name="Title 2 3 2" xfId="12734" xr:uid="{00000000-0005-0000-0000-00008D520000}"/>
    <cellStyle name="Title 2 3 2 2" xfId="20616" xr:uid="{00000000-0005-0000-0000-00008E520000}"/>
    <cellStyle name="Title 2 4" xfId="12735" xr:uid="{00000000-0005-0000-0000-00008F520000}"/>
    <cellStyle name="Title 2 4 2" xfId="12736" xr:uid="{00000000-0005-0000-0000-000090520000}"/>
    <cellStyle name="Title 2 4 3" xfId="20617" xr:uid="{00000000-0005-0000-0000-000091520000}"/>
    <cellStyle name="Title 2 5" xfId="12737" xr:uid="{00000000-0005-0000-0000-000092520000}"/>
    <cellStyle name="Title 2 5 2" xfId="20618" xr:uid="{00000000-0005-0000-0000-000093520000}"/>
    <cellStyle name="Title 2 6" xfId="12738" xr:uid="{00000000-0005-0000-0000-000094520000}"/>
    <cellStyle name="Title 2 6 2" xfId="20619" xr:uid="{00000000-0005-0000-0000-000095520000}"/>
    <cellStyle name="Title 2 7" xfId="12739" xr:uid="{00000000-0005-0000-0000-000096520000}"/>
    <cellStyle name="Title 2 7 2" xfId="20620" xr:uid="{00000000-0005-0000-0000-000097520000}"/>
    <cellStyle name="Title 2 8" xfId="12740" xr:uid="{00000000-0005-0000-0000-000098520000}"/>
    <cellStyle name="Title 2 8 2" xfId="20621" xr:uid="{00000000-0005-0000-0000-000099520000}"/>
    <cellStyle name="Title 2 9" xfId="12741" xr:uid="{00000000-0005-0000-0000-00009A520000}"/>
    <cellStyle name="Title 2 9 2" xfId="20622" xr:uid="{00000000-0005-0000-0000-00009B520000}"/>
    <cellStyle name="Title 20" xfId="12742" xr:uid="{00000000-0005-0000-0000-00009C520000}"/>
    <cellStyle name="Title 20 2" xfId="12743" xr:uid="{00000000-0005-0000-0000-00009D520000}"/>
    <cellStyle name="Title 20 2 2" xfId="20623" xr:uid="{00000000-0005-0000-0000-00009E520000}"/>
    <cellStyle name="Title 20 3" xfId="12744" xr:uid="{00000000-0005-0000-0000-00009F520000}"/>
    <cellStyle name="Title 20 3 2" xfId="20624" xr:uid="{00000000-0005-0000-0000-0000A0520000}"/>
    <cellStyle name="Title 20 4" xfId="12745" xr:uid="{00000000-0005-0000-0000-0000A1520000}"/>
    <cellStyle name="Title 20 4 2" xfId="20625" xr:uid="{00000000-0005-0000-0000-0000A2520000}"/>
    <cellStyle name="Title 20 5" xfId="12746" xr:uid="{00000000-0005-0000-0000-0000A3520000}"/>
    <cellStyle name="Title 20 5 2" xfId="20626" xr:uid="{00000000-0005-0000-0000-0000A4520000}"/>
    <cellStyle name="Title 20 6" xfId="12747" xr:uid="{00000000-0005-0000-0000-0000A5520000}"/>
    <cellStyle name="Title 20 6 2" xfId="20627" xr:uid="{00000000-0005-0000-0000-0000A6520000}"/>
    <cellStyle name="Title 20 7" xfId="12748" xr:uid="{00000000-0005-0000-0000-0000A7520000}"/>
    <cellStyle name="Title 20 7 2" xfId="20628" xr:uid="{00000000-0005-0000-0000-0000A8520000}"/>
    <cellStyle name="Title 20 8" xfId="12749" xr:uid="{00000000-0005-0000-0000-0000A9520000}"/>
    <cellStyle name="Title 20 8 2" xfId="20629" xr:uid="{00000000-0005-0000-0000-0000AA520000}"/>
    <cellStyle name="Title 20 9" xfId="12750" xr:uid="{00000000-0005-0000-0000-0000AB520000}"/>
    <cellStyle name="Title 20 9 2" xfId="20630" xr:uid="{00000000-0005-0000-0000-0000AC520000}"/>
    <cellStyle name="Title 21" xfId="12751" xr:uid="{00000000-0005-0000-0000-0000AD520000}"/>
    <cellStyle name="Title 21 2" xfId="12752" xr:uid="{00000000-0005-0000-0000-0000AE520000}"/>
    <cellStyle name="Title 21 2 2" xfId="20631" xr:uid="{00000000-0005-0000-0000-0000AF520000}"/>
    <cellStyle name="Title 21 3" xfId="12753" xr:uid="{00000000-0005-0000-0000-0000B0520000}"/>
    <cellStyle name="Title 21 3 2" xfId="20632" xr:uid="{00000000-0005-0000-0000-0000B1520000}"/>
    <cellStyle name="Title 21 4" xfId="12754" xr:uid="{00000000-0005-0000-0000-0000B2520000}"/>
    <cellStyle name="Title 21 4 2" xfId="20633" xr:uid="{00000000-0005-0000-0000-0000B3520000}"/>
    <cellStyle name="Title 21 5" xfId="12755" xr:uid="{00000000-0005-0000-0000-0000B4520000}"/>
    <cellStyle name="Title 21 5 2" xfId="20634" xr:uid="{00000000-0005-0000-0000-0000B5520000}"/>
    <cellStyle name="Title 21 6" xfId="12756" xr:uid="{00000000-0005-0000-0000-0000B6520000}"/>
    <cellStyle name="Title 21 6 2" xfId="20635" xr:uid="{00000000-0005-0000-0000-0000B7520000}"/>
    <cellStyle name="Title 21 7" xfId="12757" xr:uid="{00000000-0005-0000-0000-0000B8520000}"/>
    <cellStyle name="Title 21 7 2" xfId="20636" xr:uid="{00000000-0005-0000-0000-0000B9520000}"/>
    <cellStyle name="Title 21 8" xfId="12758" xr:uid="{00000000-0005-0000-0000-0000BA520000}"/>
    <cellStyle name="Title 21 8 2" xfId="20637" xr:uid="{00000000-0005-0000-0000-0000BB520000}"/>
    <cellStyle name="Title 21 9" xfId="12759" xr:uid="{00000000-0005-0000-0000-0000BC520000}"/>
    <cellStyle name="Title 21 9 2" xfId="20638" xr:uid="{00000000-0005-0000-0000-0000BD520000}"/>
    <cellStyle name="Title 22" xfId="12760" xr:uid="{00000000-0005-0000-0000-0000BE520000}"/>
    <cellStyle name="Title 22 2" xfId="12761" xr:uid="{00000000-0005-0000-0000-0000BF520000}"/>
    <cellStyle name="Title 22 2 2" xfId="20639" xr:uid="{00000000-0005-0000-0000-0000C0520000}"/>
    <cellStyle name="Title 22 3" xfId="12762" xr:uid="{00000000-0005-0000-0000-0000C1520000}"/>
    <cellStyle name="Title 22 3 2" xfId="20640" xr:uid="{00000000-0005-0000-0000-0000C2520000}"/>
    <cellStyle name="Title 22 4" xfId="12763" xr:uid="{00000000-0005-0000-0000-0000C3520000}"/>
    <cellStyle name="Title 22 4 2" xfId="20641" xr:uid="{00000000-0005-0000-0000-0000C4520000}"/>
    <cellStyle name="Title 22 5" xfId="12764" xr:uid="{00000000-0005-0000-0000-0000C5520000}"/>
    <cellStyle name="Title 22 5 2" xfId="20642" xr:uid="{00000000-0005-0000-0000-0000C6520000}"/>
    <cellStyle name="Title 22 6" xfId="12765" xr:uid="{00000000-0005-0000-0000-0000C7520000}"/>
    <cellStyle name="Title 22 6 2" xfId="20643" xr:uid="{00000000-0005-0000-0000-0000C8520000}"/>
    <cellStyle name="Title 22 7" xfId="12766" xr:uid="{00000000-0005-0000-0000-0000C9520000}"/>
    <cellStyle name="Title 22 7 2" xfId="20644" xr:uid="{00000000-0005-0000-0000-0000CA520000}"/>
    <cellStyle name="Title 22 8" xfId="12767" xr:uid="{00000000-0005-0000-0000-0000CB520000}"/>
    <cellStyle name="Title 22 8 2" xfId="20645" xr:uid="{00000000-0005-0000-0000-0000CC520000}"/>
    <cellStyle name="Title 22 9" xfId="12768" xr:uid="{00000000-0005-0000-0000-0000CD520000}"/>
    <cellStyle name="Title 22 9 2" xfId="20646" xr:uid="{00000000-0005-0000-0000-0000CE520000}"/>
    <cellStyle name="Title 23" xfId="12769" xr:uid="{00000000-0005-0000-0000-0000CF520000}"/>
    <cellStyle name="Title 23 2" xfId="12770" xr:uid="{00000000-0005-0000-0000-0000D0520000}"/>
    <cellStyle name="Title 23 2 2" xfId="20647" xr:uid="{00000000-0005-0000-0000-0000D1520000}"/>
    <cellStyle name="Title 23 3" xfId="12771" xr:uid="{00000000-0005-0000-0000-0000D2520000}"/>
    <cellStyle name="Title 23 3 2" xfId="20648" xr:uid="{00000000-0005-0000-0000-0000D3520000}"/>
    <cellStyle name="Title 23 4" xfId="12772" xr:uid="{00000000-0005-0000-0000-0000D4520000}"/>
    <cellStyle name="Title 23 4 2" xfId="20649" xr:uid="{00000000-0005-0000-0000-0000D5520000}"/>
    <cellStyle name="Title 23 5" xfId="12773" xr:uid="{00000000-0005-0000-0000-0000D6520000}"/>
    <cellStyle name="Title 23 5 2" xfId="20650" xr:uid="{00000000-0005-0000-0000-0000D7520000}"/>
    <cellStyle name="Title 23 6" xfId="12774" xr:uid="{00000000-0005-0000-0000-0000D8520000}"/>
    <cellStyle name="Title 23 6 2" xfId="20651" xr:uid="{00000000-0005-0000-0000-0000D9520000}"/>
    <cellStyle name="Title 23 7" xfId="12775" xr:uid="{00000000-0005-0000-0000-0000DA520000}"/>
    <cellStyle name="Title 23 7 2" xfId="20652" xr:uid="{00000000-0005-0000-0000-0000DB520000}"/>
    <cellStyle name="Title 23 8" xfId="12776" xr:uid="{00000000-0005-0000-0000-0000DC520000}"/>
    <cellStyle name="Title 23 8 2" xfId="20653" xr:uid="{00000000-0005-0000-0000-0000DD520000}"/>
    <cellStyle name="Title 23 9" xfId="12777" xr:uid="{00000000-0005-0000-0000-0000DE520000}"/>
    <cellStyle name="Title 23 9 2" xfId="20654" xr:uid="{00000000-0005-0000-0000-0000DF520000}"/>
    <cellStyle name="Title 24" xfId="12778" xr:uid="{00000000-0005-0000-0000-0000E0520000}"/>
    <cellStyle name="Title 24 2" xfId="12779" xr:uid="{00000000-0005-0000-0000-0000E1520000}"/>
    <cellStyle name="Title 24 2 2" xfId="20655" xr:uid="{00000000-0005-0000-0000-0000E2520000}"/>
    <cellStyle name="Title 24 3" xfId="12780" xr:uid="{00000000-0005-0000-0000-0000E3520000}"/>
    <cellStyle name="Title 24 3 2" xfId="20656" xr:uid="{00000000-0005-0000-0000-0000E4520000}"/>
    <cellStyle name="Title 24 4" xfId="12781" xr:uid="{00000000-0005-0000-0000-0000E5520000}"/>
    <cellStyle name="Title 24 4 2" xfId="20657" xr:uid="{00000000-0005-0000-0000-0000E6520000}"/>
    <cellStyle name="Title 24 5" xfId="12782" xr:uid="{00000000-0005-0000-0000-0000E7520000}"/>
    <cellStyle name="Title 24 5 2" xfId="20658" xr:uid="{00000000-0005-0000-0000-0000E8520000}"/>
    <cellStyle name="Title 24 6" xfId="12783" xr:uid="{00000000-0005-0000-0000-0000E9520000}"/>
    <cellStyle name="Title 24 6 2" xfId="20659" xr:uid="{00000000-0005-0000-0000-0000EA520000}"/>
    <cellStyle name="Title 24 7" xfId="12784" xr:uid="{00000000-0005-0000-0000-0000EB520000}"/>
    <cellStyle name="Title 24 7 2" xfId="20660" xr:uid="{00000000-0005-0000-0000-0000EC520000}"/>
    <cellStyle name="Title 24 8" xfId="12785" xr:uid="{00000000-0005-0000-0000-0000ED520000}"/>
    <cellStyle name="Title 24 8 2" xfId="20661" xr:uid="{00000000-0005-0000-0000-0000EE520000}"/>
    <cellStyle name="Title 24 9" xfId="12786" xr:uid="{00000000-0005-0000-0000-0000EF520000}"/>
    <cellStyle name="Title 24 9 2" xfId="20662" xr:uid="{00000000-0005-0000-0000-0000F0520000}"/>
    <cellStyle name="Title 25" xfId="12787" xr:uid="{00000000-0005-0000-0000-0000F1520000}"/>
    <cellStyle name="Title 25 2" xfId="12788" xr:uid="{00000000-0005-0000-0000-0000F2520000}"/>
    <cellStyle name="Title 25 2 2" xfId="20663" xr:uid="{00000000-0005-0000-0000-0000F3520000}"/>
    <cellStyle name="Title 25 3" xfId="12789" xr:uid="{00000000-0005-0000-0000-0000F4520000}"/>
    <cellStyle name="Title 25 3 2" xfId="20664" xr:uid="{00000000-0005-0000-0000-0000F5520000}"/>
    <cellStyle name="Title 25 4" xfId="12790" xr:uid="{00000000-0005-0000-0000-0000F6520000}"/>
    <cellStyle name="Title 25 4 2" xfId="20665" xr:uid="{00000000-0005-0000-0000-0000F7520000}"/>
    <cellStyle name="Title 25 5" xfId="12791" xr:uid="{00000000-0005-0000-0000-0000F8520000}"/>
    <cellStyle name="Title 25 5 2" xfId="20666" xr:uid="{00000000-0005-0000-0000-0000F9520000}"/>
    <cellStyle name="Title 25 6" xfId="12792" xr:uid="{00000000-0005-0000-0000-0000FA520000}"/>
    <cellStyle name="Title 25 6 2" xfId="20667" xr:uid="{00000000-0005-0000-0000-0000FB520000}"/>
    <cellStyle name="Title 25 7" xfId="12793" xr:uid="{00000000-0005-0000-0000-0000FC520000}"/>
    <cellStyle name="Title 25 7 2" xfId="20668" xr:uid="{00000000-0005-0000-0000-0000FD520000}"/>
    <cellStyle name="Title 25 8" xfId="12794" xr:uid="{00000000-0005-0000-0000-0000FE520000}"/>
    <cellStyle name="Title 25 8 2" xfId="20669" xr:uid="{00000000-0005-0000-0000-0000FF520000}"/>
    <cellStyle name="Title 25 9" xfId="12795" xr:uid="{00000000-0005-0000-0000-000000530000}"/>
    <cellStyle name="Title 25 9 2" xfId="20670" xr:uid="{00000000-0005-0000-0000-000001530000}"/>
    <cellStyle name="Title 26" xfId="12796" xr:uid="{00000000-0005-0000-0000-000002530000}"/>
    <cellStyle name="Title 26 2" xfId="12797" xr:uid="{00000000-0005-0000-0000-000003530000}"/>
    <cellStyle name="Title 26 2 2" xfId="20671" xr:uid="{00000000-0005-0000-0000-000004530000}"/>
    <cellStyle name="Title 26 3" xfId="12798" xr:uid="{00000000-0005-0000-0000-000005530000}"/>
    <cellStyle name="Title 26 3 2" xfId="20672" xr:uid="{00000000-0005-0000-0000-000006530000}"/>
    <cellStyle name="Title 26 4" xfId="12799" xr:uid="{00000000-0005-0000-0000-000007530000}"/>
    <cellStyle name="Title 26 4 2" xfId="20673" xr:uid="{00000000-0005-0000-0000-000008530000}"/>
    <cellStyle name="Title 26 5" xfId="12800" xr:uid="{00000000-0005-0000-0000-000009530000}"/>
    <cellStyle name="Title 26 5 2" xfId="20674" xr:uid="{00000000-0005-0000-0000-00000A530000}"/>
    <cellStyle name="Title 26 6" xfId="12801" xr:uid="{00000000-0005-0000-0000-00000B530000}"/>
    <cellStyle name="Title 26 6 2" xfId="20675" xr:uid="{00000000-0005-0000-0000-00000C530000}"/>
    <cellStyle name="Title 26 7" xfId="12802" xr:uid="{00000000-0005-0000-0000-00000D530000}"/>
    <cellStyle name="Title 26 7 2" xfId="20676" xr:uid="{00000000-0005-0000-0000-00000E530000}"/>
    <cellStyle name="Title 26 8" xfId="12803" xr:uid="{00000000-0005-0000-0000-00000F530000}"/>
    <cellStyle name="Title 26 8 2" xfId="20677" xr:uid="{00000000-0005-0000-0000-000010530000}"/>
    <cellStyle name="Title 26 9" xfId="12804" xr:uid="{00000000-0005-0000-0000-000011530000}"/>
    <cellStyle name="Title 26 9 2" xfId="20678" xr:uid="{00000000-0005-0000-0000-000012530000}"/>
    <cellStyle name="Title 27" xfId="12805" xr:uid="{00000000-0005-0000-0000-000013530000}"/>
    <cellStyle name="Title 27 2" xfId="12806" xr:uid="{00000000-0005-0000-0000-000014530000}"/>
    <cellStyle name="Title 27 2 2" xfId="20679" xr:uid="{00000000-0005-0000-0000-000015530000}"/>
    <cellStyle name="Title 27 3" xfId="12807" xr:uid="{00000000-0005-0000-0000-000016530000}"/>
    <cellStyle name="Title 27 3 2" xfId="20680" xr:uid="{00000000-0005-0000-0000-000017530000}"/>
    <cellStyle name="Title 27 4" xfId="12808" xr:uid="{00000000-0005-0000-0000-000018530000}"/>
    <cellStyle name="Title 27 4 2" xfId="20681" xr:uid="{00000000-0005-0000-0000-000019530000}"/>
    <cellStyle name="Title 27 5" xfId="12809" xr:uid="{00000000-0005-0000-0000-00001A530000}"/>
    <cellStyle name="Title 27 5 2" xfId="20682" xr:uid="{00000000-0005-0000-0000-00001B530000}"/>
    <cellStyle name="Title 27 6" xfId="12810" xr:uid="{00000000-0005-0000-0000-00001C530000}"/>
    <cellStyle name="Title 27 6 2" xfId="20683" xr:uid="{00000000-0005-0000-0000-00001D530000}"/>
    <cellStyle name="Title 27 7" xfId="12811" xr:uid="{00000000-0005-0000-0000-00001E530000}"/>
    <cellStyle name="Title 27 7 2" xfId="20684" xr:uid="{00000000-0005-0000-0000-00001F530000}"/>
    <cellStyle name="Title 27 8" xfId="12812" xr:uid="{00000000-0005-0000-0000-000020530000}"/>
    <cellStyle name="Title 27 8 2" xfId="20685" xr:uid="{00000000-0005-0000-0000-000021530000}"/>
    <cellStyle name="Title 27 9" xfId="12813" xr:uid="{00000000-0005-0000-0000-000022530000}"/>
    <cellStyle name="Title 27 9 2" xfId="20686" xr:uid="{00000000-0005-0000-0000-000023530000}"/>
    <cellStyle name="Title 28" xfId="12814" xr:uid="{00000000-0005-0000-0000-000024530000}"/>
    <cellStyle name="Title 28 2" xfId="12815" xr:uid="{00000000-0005-0000-0000-000025530000}"/>
    <cellStyle name="Title 28 2 2" xfId="20687" xr:uid="{00000000-0005-0000-0000-000026530000}"/>
    <cellStyle name="Title 28 3" xfId="12816" xr:uid="{00000000-0005-0000-0000-000027530000}"/>
    <cellStyle name="Title 28 3 2" xfId="20688" xr:uid="{00000000-0005-0000-0000-000028530000}"/>
    <cellStyle name="Title 28 4" xfId="12817" xr:uid="{00000000-0005-0000-0000-000029530000}"/>
    <cellStyle name="Title 28 4 2" xfId="20689" xr:uid="{00000000-0005-0000-0000-00002A530000}"/>
    <cellStyle name="Title 28 5" xfId="12818" xr:uid="{00000000-0005-0000-0000-00002B530000}"/>
    <cellStyle name="Title 28 5 2" xfId="20690" xr:uid="{00000000-0005-0000-0000-00002C530000}"/>
    <cellStyle name="Title 28 6" xfId="12819" xr:uid="{00000000-0005-0000-0000-00002D530000}"/>
    <cellStyle name="Title 28 6 2" xfId="20691" xr:uid="{00000000-0005-0000-0000-00002E530000}"/>
    <cellStyle name="Title 28 7" xfId="12820" xr:uid="{00000000-0005-0000-0000-00002F530000}"/>
    <cellStyle name="Title 28 7 2" xfId="20692" xr:uid="{00000000-0005-0000-0000-000030530000}"/>
    <cellStyle name="Title 28 8" xfId="12821" xr:uid="{00000000-0005-0000-0000-000031530000}"/>
    <cellStyle name="Title 28 8 2" xfId="20693" xr:uid="{00000000-0005-0000-0000-000032530000}"/>
    <cellStyle name="Title 28 9" xfId="12822" xr:uid="{00000000-0005-0000-0000-000033530000}"/>
    <cellStyle name="Title 28 9 2" xfId="20694" xr:uid="{00000000-0005-0000-0000-000034530000}"/>
    <cellStyle name="Title 29" xfId="12823" xr:uid="{00000000-0005-0000-0000-000035530000}"/>
    <cellStyle name="Title 29 2" xfId="12824" xr:uid="{00000000-0005-0000-0000-000036530000}"/>
    <cellStyle name="Title 29 2 2" xfId="20695" xr:uid="{00000000-0005-0000-0000-000037530000}"/>
    <cellStyle name="Title 29 3" xfId="12825" xr:uid="{00000000-0005-0000-0000-000038530000}"/>
    <cellStyle name="Title 29 3 2" xfId="20696" xr:uid="{00000000-0005-0000-0000-000039530000}"/>
    <cellStyle name="Title 29 4" xfId="12826" xr:uid="{00000000-0005-0000-0000-00003A530000}"/>
    <cellStyle name="Title 29 4 2" xfId="20697" xr:uid="{00000000-0005-0000-0000-00003B530000}"/>
    <cellStyle name="Title 29 5" xfId="12827" xr:uid="{00000000-0005-0000-0000-00003C530000}"/>
    <cellStyle name="Title 29 5 2" xfId="20698" xr:uid="{00000000-0005-0000-0000-00003D530000}"/>
    <cellStyle name="Title 29 6" xfId="12828" xr:uid="{00000000-0005-0000-0000-00003E530000}"/>
    <cellStyle name="Title 29 6 2" xfId="20699" xr:uid="{00000000-0005-0000-0000-00003F530000}"/>
    <cellStyle name="Title 29 7" xfId="12829" xr:uid="{00000000-0005-0000-0000-000040530000}"/>
    <cellStyle name="Title 29 7 2" xfId="20700" xr:uid="{00000000-0005-0000-0000-000041530000}"/>
    <cellStyle name="Title 29 8" xfId="12830" xr:uid="{00000000-0005-0000-0000-000042530000}"/>
    <cellStyle name="Title 29 8 2" xfId="20701" xr:uid="{00000000-0005-0000-0000-000043530000}"/>
    <cellStyle name="Title 29 9" xfId="12831" xr:uid="{00000000-0005-0000-0000-000044530000}"/>
    <cellStyle name="Title 29 9 2" xfId="20702" xr:uid="{00000000-0005-0000-0000-000045530000}"/>
    <cellStyle name="Title 3" xfId="12832" xr:uid="{00000000-0005-0000-0000-000046530000}"/>
    <cellStyle name="Title 3 10" xfId="12833" xr:uid="{00000000-0005-0000-0000-000047530000}"/>
    <cellStyle name="Title 3 10 2" xfId="20703" xr:uid="{00000000-0005-0000-0000-000048530000}"/>
    <cellStyle name="Title 3 11" xfId="12834" xr:uid="{00000000-0005-0000-0000-000049530000}"/>
    <cellStyle name="Title 3 11 2" xfId="20704" xr:uid="{00000000-0005-0000-0000-00004A530000}"/>
    <cellStyle name="Title 3 12" xfId="22198" xr:uid="{00000000-0005-0000-0000-00004B530000}"/>
    <cellStyle name="Title 3 2" xfId="12835" xr:uid="{00000000-0005-0000-0000-00004C530000}"/>
    <cellStyle name="Title 3 2 2" xfId="12836" xr:uid="{00000000-0005-0000-0000-00004D530000}"/>
    <cellStyle name="Title 3 2 2 2" xfId="20705" xr:uid="{00000000-0005-0000-0000-00004E530000}"/>
    <cellStyle name="Title 3 3" xfId="12837" xr:uid="{00000000-0005-0000-0000-00004F530000}"/>
    <cellStyle name="Title 3 3 2" xfId="12838" xr:uid="{00000000-0005-0000-0000-000050530000}"/>
    <cellStyle name="Title 3 3 2 2" xfId="20706" xr:uid="{00000000-0005-0000-0000-000051530000}"/>
    <cellStyle name="Title 3 4" xfId="12839" xr:uid="{00000000-0005-0000-0000-000052530000}"/>
    <cellStyle name="Title 3 4 2" xfId="12840" xr:uid="{00000000-0005-0000-0000-000053530000}"/>
    <cellStyle name="Title 3 4 3" xfId="20707" xr:uid="{00000000-0005-0000-0000-000054530000}"/>
    <cellStyle name="Title 3 5" xfId="12841" xr:uid="{00000000-0005-0000-0000-000055530000}"/>
    <cellStyle name="Title 3 5 2" xfId="20708" xr:uid="{00000000-0005-0000-0000-000056530000}"/>
    <cellStyle name="Title 3 6" xfId="12842" xr:uid="{00000000-0005-0000-0000-000057530000}"/>
    <cellStyle name="Title 3 6 2" xfId="20709" xr:uid="{00000000-0005-0000-0000-000058530000}"/>
    <cellStyle name="Title 3 7" xfId="12843" xr:uid="{00000000-0005-0000-0000-000059530000}"/>
    <cellStyle name="Title 3 7 2" xfId="20710" xr:uid="{00000000-0005-0000-0000-00005A530000}"/>
    <cellStyle name="Title 3 8" xfId="12844" xr:uid="{00000000-0005-0000-0000-00005B530000}"/>
    <cellStyle name="Title 3 8 2" xfId="20711" xr:uid="{00000000-0005-0000-0000-00005C530000}"/>
    <cellStyle name="Title 3 9" xfId="12845" xr:uid="{00000000-0005-0000-0000-00005D530000}"/>
    <cellStyle name="Title 3 9 2" xfId="20712" xr:uid="{00000000-0005-0000-0000-00005E530000}"/>
    <cellStyle name="Title 30" xfId="12846" xr:uid="{00000000-0005-0000-0000-00005F530000}"/>
    <cellStyle name="Title 30 2" xfId="12847" xr:uid="{00000000-0005-0000-0000-000060530000}"/>
    <cellStyle name="Title 30 2 2" xfId="20713" xr:uid="{00000000-0005-0000-0000-000061530000}"/>
    <cellStyle name="Title 31" xfId="12848" xr:uid="{00000000-0005-0000-0000-000062530000}"/>
    <cellStyle name="Title 31 2" xfId="12849" xr:uid="{00000000-0005-0000-0000-000063530000}"/>
    <cellStyle name="Title 31 2 2" xfId="20714" xr:uid="{00000000-0005-0000-0000-000064530000}"/>
    <cellStyle name="Title 32" xfId="12850" xr:uid="{00000000-0005-0000-0000-000065530000}"/>
    <cellStyle name="Title 32 2" xfId="12851" xr:uid="{00000000-0005-0000-0000-000066530000}"/>
    <cellStyle name="Title 32 2 2" xfId="20715" xr:uid="{00000000-0005-0000-0000-000067530000}"/>
    <cellStyle name="Title 33" xfId="12852" xr:uid="{00000000-0005-0000-0000-000068530000}"/>
    <cellStyle name="Title 33 2" xfId="12853" xr:uid="{00000000-0005-0000-0000-000069530000}"/>
    <cellStyle name="Title 33 2 2" xfId="20716" xr:uid="{00000000-0005-0000-0000-00006A530000}"/>
    <cellStyle name="Title 34" xfId="12854" xr:uid="{00000000-0005-0000-0000-00006B530000}"/>
    <cellStyle name="Title 34 2" xfId="12855" xr:uid="{00000000-0005-0000-0000-00006C530000}"/>
    <cellStyle name="Title 34 2 2" xfId="20717" xr:uid="{00000000-0005-0000-0000-00006D530000}"/>
    <cellStyle name="Title 35" xfId="12856" xr:uid="{00000000-0005-0000-0000-00006E530000}"/>
    <cellStyle name="Title 35 2" xfId="12857" xr:uid="{00000000-0005-0000-0000-00006F530000}"/>
    <cellStyle name="Title 35 2 2" xfId="20718" xr:uid="{00000000-0005-0000-0000-000070530000}"/>
    <cellStyle name="Title 36" xfId="12858" xr:uid="{00000000-0005-0000-0000-000071530000}"/>
    <cellStyle name="Title 37" xfId="12859" xr:uid="{00000000-0005-0000-0000-000072530000}"/>
    <cellStyle name="Title 38" xfId="12860" xr:uid="{00000000-0005-0000-0000-000073530000}"/>
    <cellStyle name="Title 39" xfId="12861" xr:uid="{00000000-0005-0000-0000-000074530000}"/>
    <cellStyle name="Title 4" xfId="12862" xr:uid="{00000000-0005-0000-0000-000075530000}"/>
    <cellStyle name="Title 4 10" xfId="12863" xr:uid="{00000000-0005-0000-0000-000076530000}"/>
    <cellStyle name="Title 4 10 2" xfId="20719" xr:uid="{00000000-0005-0000-0000-000077530000}"/>
    <cellStyle name="Title 4 11" xfId="12864" xr:uid="{00000000-0005-0000-0000-000078530000}"/>
    <cellStyle name="Title 4 11 2" xfId="20720" xr:uid="{00000000-0005-0000-0000-000079530000}"/>
    <cellStyle name="Title 4 12" xfId="22199" xr:uid="{00000000-0005-0000-0000-00007A530000}"/>
    <cellStyle name="Title 4 2" xfId="12865" xr:uid="{00000000-0005-0000-0000-00007B530000}"/>
    <cellStyle name="Title 4 2 2" xfId="12866" xr:uid="{00000000-0005-0000-0000-00007C530000}"/>
    <cellStyle name="Title 4 2 2 2" xfId="20721" xr:uid="{00000000-0005-0000-0000-00007D530000}"/>
    <cellStyle name="Title 4 3" xfId="12867" xr:uid="{00000000-0005-0000-0000-00007E530000}"/>
    <cellStyle name="Title 4 3 2" xfId="12868" xr:uid="{00000000-0005-0000-0000-00007F530000}"/>
    <cellStyle name="Title 4 3 2 2" xfId="20722" xr:uid="{00000000-0005-0000-0000-000080530000}"/>
    <cellStyle name="Title 4 4" xfId="12869" xr:uid="{00000000-0005-0000-0000-000081530000}"/>
    <cellStyle name="Title 4 4 2" xfId="12870" xr:uid="{00000000-0005-0000-0000-000082530000}"/>
    <cellStyle name="Title 4 4 3" xfId="20723" xr:uid="{00000000-0005-0000-0000-000083530000}"/>
    <cellStyle name="Title 4 5" xfId="12871" xr:uid="{00000000-0005-0000-0000-000084530000}"/>
    <cellStyle name="Title 4 5 2" xfId="20724" xr:uid="{00000000-0005-0000-0000-000085530000}"/>
    <cellStyle name="Title 4 6" xfId="12872" xr:uid="{00000000-0005-0000-0000-000086530000}"/>
    <cellStyle name="Title 4 6 2" xfId="20725" xr:uid="{00000000-0005-0000-0000-000087530000}"/>
    <cellStyle name="Title 4 7" xfId="12873" xr:uid="{00000000-0005-0000-0000-000088530000}"/>
    <cellStyle name="Title 4 7 2" xfId="20726" xr:uid="{00000000-0005-0000-0000-000089530000}"/>
    <cellStyle name="Title 4 8" xfId="12874" xr:uid="{00000000-0005-0000-0000-00008A530000}"/>
    <cellStyle name="Title 4 8 2" xfId="20727" xr:uid="{00000000-0005-0000-0000-00008B530000}"/>
    <cellStyle name="Title 4 9" xfId="12875" xr:uid="{00000000-0005-0000-0000-00008C530000}"/>
    <cellStyle name="Title 4 9 2" xfId="20728" xr:uid="{00000000-0005-0000-0000-00008D530000}"/>
    <cellStyle name="Title 40" xfId="21768" xr:uid="{00000000-0005-0000-0000-00008E530000}"/>
    <cellStyle name="Title 41" xfId="27163" xr:uid="{DD396F59-9192-4735-96C4-CA5B125858AD}"/>
    <cellStyle name="Title 5" xfId="12876" xr:uid="{00000000-0005-0000-0000-00008F530000}"/>
    <cellStyle name="Title 5 10" xfId="12877" xr:uid="{00000000-0005-0000-0000-000090530000}"/>
    <cellStyle name="Title 5 10 2" xfId="20729" xr:uid="{00000000-0005-0000-0000-000091530000}"/>
    <cellStyle name="Title 5 11" xfId="12878" xr:uid="{00000000-0005-0000-0000-000092530000}"/>
    <cellStyle name="Title 5 11 2" xfId="20730" xr:uid="{00000000-0005-0000-0000-000093530000}"/>
    <cellStyle name="Title 5 12" xfId="22200" xr:uid="{00000000-0005-0000-0000-000094530000}"/>
    <cellStyle name="Title 5 2" xfId="12879" xr:uid="{00000000-0005-0000-0000-000095530000}"/>
    <cellStyle name="Title 5 2 2" xfId="12880" xr:uid="{00000000-0005-0000-0000-000096530000}"/>
    <cellStyle name="Title 5 2 2 2" xfId="20731" xr:uid="{00000000-0005-0000-0000-000097530000}"/>
    <cellStyle name="Title 5 3" xfId="12881" xr:uid="{00000000-0005-0000-0000-000098530000}"/>
    <cellStyle name="Title 5 3 2" xfId="12882" xr:uid="{00000000-0005-0000-0000-000099530000}"/>
    <cellStyle name="Title 5 3 2 2" xfId="20732" xr:uid="{00000000-0005-0000-0000-00009A530000}"/>
    <cellStyle name="Title 5 4" xfId="12883" xr:uid="{00000000-0005-0000-0000-00009B530000}"/>
    <cellStyle name="Title 5 4 2" xfId="12884" xr:uid="{00000000-0005-0000-0000-00009C530000}"/>
    <cellStyle name="Title 5 4 3" xfId="20733" xr:uid="{00000000-0005-0000-0000-00009D530000}"/>
    <cellStyle name="Title 5 5" xfId="12885" xr:uid="{00000000-0005-0000-0000-00009E530000}"/>
    <cellStyle name="Title 5 5 2" xfId="20734" xr:uid="{00000000-0005-0000-0000-00009F530000}"/>
    <cellStyle name="Title 5 6" xfId="12886" xr:uid="{00000000-0005-0000-0000-0000A0530000}"/>
    <cellStyle name="Title 5 6 2" xfId="20735" xr:uid="{00000000-0005-0000-0000-0000A1530000}"/>
    <cellStyle name="Title 5 7" xfId="12887" xr:uid="{00000000-0005-0000-0000-0000A2530000}"/>
    <cellStyle name="Title 5 7 2" xfId="20736" xr:uid="{00000000-0005-0000-0000-0000A3530000}"/>
    <cellStyle name="Title 5 8" xfId="12888" xr:uid="{00000000-0005-0000-0000-0000A4530000}"/>
    <cellStyle name="Title 5 8 2" xfId="20737" xr:uid="{00000000-0005-0000-0000-0000A5530000}"/>
    <cellStyle name="Title 5 9" xfId="12889" xr:uid="{00000000-0005-0000-0000-0000A6530000}"/>
    <cellStyle name="Title 5 9 2" xfId="20738" xr:uid="{00000000-0005-0000-0000-0000A7530000}"/>
    <cellStyle name="Title 6" xfId="12890" xr:uid="{00000000-0005-0000-0000-0000A8530000}"/>
    <cellStyle name="Title 6 10" xfId="12891" xr:uid="{00000000-0005-0000-0000-0000A9530000}"/>
    <cellStyle name="Title 6 10 2" xfId="20739" xr:uid="{00000000-0005-0000-0000-0000AA530000}"/>
    <cellStyle name="Title 6 11" xfId="12892" xr:uid="{00000000-0005-0000-0000-0000AB530000}"/>
    <cellStyle name="Title 6 11 2" xfId="20740" xr:uid="{00000000-0005-0000-0000-0000AC530000}"/>
    <cellStyle name="Title 6 2" xfId="12893" xr:uid="{00000000-0005-0000-0000-0000AD530000}"/>
    <cellStyle name="Title 6 2 2" xfId="12894" xr:uid="{00000000-0005-0000-0000-0000AE530000}"/>
    <cellStyle name="Title 6 2 2 2" xfId="20741" xr:uid="{00000000-0005-0000-0000-0000AF530000}"/>
    <cellStyle name="Title 6 3" xfId="12895" xr:uid="{00000000-0005-0000-0000-0000B0530000}"/>
    <cellStyle name="Title 6 3 2" xfId="12896" xr:uid="{00000000-0005-0000-0000-0000B1530000}"/>
    <cellStyle name="Title 6 3 2 2" xfId="20742" xr:uid="{00000000-0005-0000-0000-0000B2530000}"/>
    <cellStyle name="Title 6 4" xfId="12897" xr:uid="{00000000-0005-0000-0000-0000B3530000}"/>
    <cellStyle name="Title 6 4 2" xfId="12898" xr:uid="{00000000-0005-0000-0000-0000B4530000}"/>
    <cellStyle name="Title 6 4 3" xfId="20743" xr:uid="{00000000-0005-0000-0000-0000B5530000}"/>
    <cellStyle name="Title 6 5" xfId="12899" xr:uid="{00000000-0005-0000-0000-0000B6530000}"/>
    <cellStyle name="Title 6 5 2" xfId="20744" xr:uid="{00000000-0005-0000-0000-0000B7530000}"/>
    <cellStyle name="Title 6 6" xfId="12900" xr:uid="{00000000-0005-0000-0000-0000B8530000}"/>
    <cellStyle name="Title 6 6 2" xfId="20745" xr:uid="{00000000-0005-0000-0000-0000B9530000}"/>
    <cellStyle name="Title 6 7" xfId="12901" xr:uid="{00000000-0005-0000-0000-0000BA530000}"/>
    <cellStyle name="Title 6 7 2" xfId="20746" xr:uid="{00000000-0005-0000-0000-0000BB530000}"/>
    <cellStyle name="Title 6 8" xfId="12902" xr:uid="{00000000-0005-0000-0000-0000BC530000}"/>
    <cellStyle name="Title 6 8 2" xfId="20747" xr:uid="{00000000-0005-0000-0000-0000BD530000}"/>
    <cellStyle name="Title 6 9" xfId="12903" xr:uid="{00000000-0005-0000-0000-0000BE530000}"/>
    <cellStyle name="Title 6 9 2" xfId="20748" xr:uid="{00000000-0005-0000-0000-0000BF530000}"/>
    <cellStyle name="Title 7" xfId="12904" xr:uid="{00000000-0005-0000-0000-0000C0530000}"/>
    <cellStyle name="Title 7 10" xfId="12905" xr:uid="{00000000-0005-0000-0000-0000C1530000}"/>
    <cellStyle name="Title 7 10 2" xfId="20749" xr:uid="{00000000-0005-0000-0000-0000C2530000}"/>
    <cellStyle name="Title 7 11" xfId="12906" xr:uid="{00000000-0005-0000-0000-0000C3530000}"/>
    <cellStyle name="Title 7 11 2" xfId="20750" xr:uid="{00000000-0005-0000-0000-0000C4530000}"/>
    <cellStyle name="Title 7 2" xfId="12907" xr:uid="{00000000-0005-0000-0000-0000C5530000}"/>
    <cellStyle name="Title 7 2 2" xfId="12908" xr:uid="{00000000-0005-0000-0000-0000C6530000}"/>
    <cellStyle name="Title 7 2 2 2" xfId="20751" xr:uid="{00000000-0005-0000-0000-0000C7530000}"/>
    <cellStyle name="Title 7 3" xfId="12909" xr:uid="{00000000-0005-0000-0000-0000C8530000}"/>
    <cellStyle name="Title 7 3 2" xfId="12910" xr:uid="{00000000-0005-0000-0000-0000C9530000}"/>
    <cellStyle name="Title 7 3 2 2" xfId="20752" xr:uid="{00000000-0005-0000-0000-0000CA530000}"/>
    <cellStyle name="Title 7 4" xfId="12911" xr:uid="{00000000-0005-0000-0000-0000CB530000}"/>
    <cellStyle name="Title 7 4 2" xfId="12912" xr:uid="{00000000-0005-0000-0000-0000CC530000}"/>
    <cellStyle name="Title 7 4 3" xfId="20753" xr:uid="{00000000-0005-0000-0000-0000CD530000}"/>
    <cellStyle name="Title 7 5" xfId="12913" xr:uid="{00000000-0005-0000-0000-0000CE530000}"/>
    <cellStyle name="Title 7 5 2" xfId="20754" xr:uid="{00000000-0005-0000-0000-0000CF530000}"/>
    <cellStyle name="Title 7 6" xfId="12914" xr:uid="{00000000-0005-0000-0000-0000D0530000}"/>
    <cellStyle name="Title 7 6 2" xfId="20755" xr:uid="{00000000-0005-0000-0000-0000D1530000}"/>
    <cellStyle name="Title 7 7" xfId="12915" xr:uid="{00000000-0005-0000-0000-0000D2530000}"/>
    <cellStyle name="Title 7 7 2" xfId="20756" xr:uid="{00000000-0005-0000-0000-0000D3530000}"/>
    <cellStyle name="Title 7 8" xfId="12916" xr:uid="{00000000-0005-0000-0000-0000D4530000}"/>
    <cellStyle name="Title 7 8 2" xfId="20757" xr:uid="{00000000-0005-0000-0000-0000D5530000}"/>
    <cellStyle name="Title 7 9" xfId="12917" xr:uid="{00000000-0005-0000-0000-0000D6530000}"/>
    <cellStyle name="Title 7 9 2" xfId="20758" xr:uid="{00000000-0005-0000-0000-0000D7530000}"/>
    <cellStyle name="Title 8" xfId="12918" xr:uid="{00000000-0005-0000-0000-0000D8530000}"/>
    <cellStyle name="Title 8 10" xfId="12919" xr:uid="{00000000-0005-0000-0000-0000D9530000}"/>
    <cellStyle name="Title 8 10 2" xfId="20759" xr:uid="{00000000-0005-0000-0000-0000DA530000}"/>
    <cellStyle name="Title 8 11" xfId="12920" xr:uid="{00000000-0005-0000-0000-0000DB530000}"/>
    <cellStyle name="Title 8 11 2" xfId="20760" xr:uid="{00000000-0005-0000-0000-0000DC530000}"/>
    <cellStyle name="Title 8 2" xfId="12921" xr:uid="{00000000-0005-0000-0000-0000DD530000}"/>
    <cellStyle name="Title 8 2 2" xfId="12922" xr:uid="{00000000-0005-0000-0000-0000DE530000}"/>
    <cellStyle name="Title 8 2 2 2" xfId="20761" xr:uid="{00000000-0005-0000-0000-0000DF530000}"/>
    <cellStyle name="Title 8 3" xfId="12923" xr:uid="{00000000-0005-0000-0000-0000E0530000}"/>
    <cellStyle name="Title 8 3 2" xfId="12924" xr:uid="{00000000-0005-0000-0000-0000E1530000}"/>
    <cellStyle name="Title 8 3 2 2" xfId="20762" xr:uid="{00000000-0005-0000-0000-0000E2530000}"/>
    <cellStyle name="Title 8 4" xfId="12925" xr:uid="{00000000-0005-0000-0000-0000E3530000}"/>
    <cellStyle name="Title 8 4 2" xfId="12926" xr:uid="{00000000-0005-0000-0000-0000E4530000}"/>
    <cellStyle name="Title 8 4 3" xfId="20763" xr:uid="{00000000-0005-0000-0000-0000E5530000}"/>
    <cellStyle name="Title 8 5" xfId="12927" xr:uid="{00000000-0005-0000-0000-0000E6530000}"/>
    <cellStyle name="Title 8 5 2" xfId="20764" xr:uid="{00000000-0005-0000-0000-0000E7530000}"/>
    <cellStyle name="Title 8 6" xfId="12928" xr:uid="{00000000-0005-0000-0000-0000E8530000}"/>
    <cellStyle name="Title 8 6 2" xfId="20765" xr:uid="{00000000-0005-0000-0000-0000E9530000}"/>
    <cellStyle name="Title 8 7" xfId="12929" xr:uid="{00000000-0005-0000-0000-0000EA530000}"/>
    <cellStyle name="Title 8 7 2" xfId="20766" xr:uid="{00000000-0005-0000-0000-0000EB530000}"/>
    <cellStyle name="Title 8 8" xfId="12930" xr:uid="{00000000-0005-0000-0000-0000EC530000}"/>
    <cellStyle name="Title 8 8 2" xfId="20767" xr:uid="{00000000-0005-0000-0000-0000ED530000}"/>
    <cellStyle name="Title 8 9" xfId="12931" xr:uid="{00000000-0005-0000-0000-0000EE530000}"/>
    <cellStyle name="Title 8 9 2" xfId="20768" xr:uid="{00000000-0005-0000-0000-0000EF530000}"/>
    <cellStyle name="Title 9" xfId="12932" xr:uid="{00000000-0005-0000-0000-0000F0530000}"/>
    <cellStyle name="Title 9 10" xfId="12933" xr:uid="{00000000-0005-0000-0000-0000F1530000}"/>
    <cellStyle name="Title 9 10 2" xfId="20769" xr:uid="{00000000-0005-0000-0000-0000F2530000}"/>
    <cellStyle name="Title 9 11" xfId="12934" xr:uid="{00000000-0005-0000-0000-0000F3530000}"/>
    <cellStyle name="Title 9 11 2" xfId="20770" xr:uid="{00000000-0005-0000-0000-0000F4530000}"/>
    <cellStyle name="Title 9 2" xfId="12935" xr:uid="{00000000-0005-0000-0000-0000F5530000}"/>
    <cellStyle name="Title 9 2 2" xfId="12936" xr:uid="{00000000-0005-0000-0000-0000F6530000}"/>
    <cellStyle name="Title 9 2 2 2" xfId="20771" xr:uid="{00000000-0005-0000-0000-0000F7530000}"/>
    <cellStyle name="Title 9 3" xfId="12937" xr:uid="{00000000-0005-0000-0000-0000F8530000}"/>
    <cellStyle name="Title 9 3 2" xfId="12938" xr:uid="{00000000-0005-0000-0000-0000F9530000}"/>
    <cellStyle name="Title 9 3 2 2" xfId="20772" xr:uid="{00000000-0005-0000-0000-0000FA530000}"/>
    <cellStyle name="Title 9 4" xfId="12939" xr:uid="{00000000-0005-0000-0000-0000FB530000}"/>
    <cellStyle name="Title 9 4 2" xfId="12940" xr:uid="{00000000-0005-0000-0000-0000FC530000}"/>
    <cellStyle name="Title 9 4 3" xfId="20773" xr:uid="{00000000-0005-0000-0000-0000FD530000}"/>
    <cellStyle name="Title 9 5" xfId="12941" xr:uid="{00000000-0005-0000-0000-0000FE530000}"/>
    <cellStyle name="Title 9 5 2" xfId="20774" xr:uid="{00000000-0005-0000-0000-0000FF530000}"/>
    <cellStyle name="Title 9 6" xfId="12942" xr:uid="{00000000-0005-0000-0000-000000540000}"/>
    <cellStyle name="Title 9 6 2" xfId="20775" xr:uid="{00000000-0005-0000-0000-000001540000}"/>
    <cellStyle name="Title 9 7" xfId="12943" xr:uid="{00000000-0005-0000-0000-000002540000}"/>
    <cellStyle name="Title 9 7 2" xfId="20776" xr:uid="{00000000-0005-0000-0000-000003540000}"/>
    <cellStyle name="Title 9 8" xfId="12944" xr:uid="{00000000-0005-0000-0000-000004540000}"/>
    <cellStyle name="Title 9 8 2" xfId="20777" xr:uid="{00000000-0005-0000-0000-000005540000}"/>
    <cellStyle name="Title 9 9" xfId="12945" xr:uid="{00000000-0005-0000-0000-000006540000}"/>
    <cellStyle name="Title 9 9 2" xfId="20778" xr:uid="{00000000-0005-0000-0000-000007540000}"/>
    <cellStyle name="Total 10" xfId="12946" xr:uid="{00000000-0005-0000-0000-000008540000}"/>
    <cellStyle name="Total 10 10" xfId="12947" xr:uid="{00000000-0005-0000-0000-000009540000}"/>
    <cellStyle name="Total 10 10 2" xfId="20779" xr:uid="{00000000-0005-0000-0000-00000A540000}"/>
    <cellStyle name="Total 10 11" xfId="12948" xr:uid="{00000000-0005-0000-0000-00000B540000}"/>
    <cellStyle name="Total 10 11 2" xfId="20780" xr:uid="{00000000-0005-0000-0000-00000C540000}"/>
    <cellStyle name="Total 10 2" xfId="12949" xr:uid="{00000000-0005-0000-0000-00000D540000}"/>
    <cellStyle name="Total 10 2 2" xfId="12950" xr:uid="{00000000-0005-0000-0000-00000E540000}"/>
    <cellStyle name="Total 10 2 2 2" xfId="20781" xr:uid="{00000000-0005-0000-0000-00000F540000}"/>
    <cellStyle name="Total 10 3" xfId="12951" xr:uid="{00000000-0005-0000-0000-000010540000}"/>
    <cellStyle name="Total 10 3 2" xfId="12952" xr:uid="{00000000-0005-0000-0000-000011540000}"/>
    <cellStyle name="Total 10 3 2 2" xfId="20782" xr:uid="{00000000-0005-0000-0000-000012540000}"/>
    <cellStyle name="Total 10 4" xfId="12953" xr:uid="{00000000-0005-0000-0000-000013540000}"/>
    <cellStyle name="Total 10 4 2" xfId="12954" xr:uid="{00000000-0005-0000-0000-000014540000}"/>
    <cellStyle name="Total 10 4 3" xfId="20783" xr:uid="{00000000-0005-0000-0000-000015540000}"/>
    <cellStyle name="Total 10 5" xfId="12955" xr:uid="{00000000-0005-0000-0000-000016540000}"/>
    <cellStyle name="Total 10 5 2" xfId="20784" xr:uid="{00000000-0005-0000-0000-000017540000}"/>
    <cellStyle name="Total 10 6" xfId="12956" xr:uid="{00000000-0005-0000-0000-000018540000}"/>
    <cellStyle name="Total 10 6 2" xfId="20785" xr:uid="{00000000-0005-0000-0000-000019540000}"/>
    <cellStyle name="Total 10 7" xfId="12957" xr:uid="{00000000-0005-0000-0000-00001A540000}"/>
    <cellStyle name="Total 10 7 2" xfId="20786" xr:uid="{00000000-0005-0000-0000-00001B540000}"/>
    <cellStyle name="Total 10 8" xfId="12958" xr:uid="{00000000-0005-0000-0000-00001C540000}"/>
    <cellStyle name="Total 10 8 2" xfId="20787" xr:uid="{00000000-0005-0000-0000-00001D540000}"/>
    <cellStyle name="Total 10 9" xfId="12959" xr:uid="{00000000-0005-0000-0000-00001E540000}"/>
    <cellStyle name="Total 10 9 2" xfId="20788" xr:uid="{00000000-0005-0000-0000-00001F540000}"/>
    <cellStyle name="Total 11" xfId="12960" xr:uid="{00000000-0005-0000-0000-000020540000}"/>
    <cellStyle name="Total 11 10" xfId="12961" xr:uid="{00000000-0005-0000-0000-000021540000}"/>
    <cellStyle name="Total 11 10 2" xfId="20789" xr:uid="{00000000-0005-0000-0000-000022540000}"/>
    <cellStyle name="Total 11 11" xfId="12962" xr:uid="{00000000-0005-0000-0000-000023540000}"/>
    <cellStyle name="Total 11 11 2" xfId="20790" xr:uid="{00000000-0005-0000-0000-000024540000}"/>
    <cellStyle name="Total 11 2" xfId="12963" xr:uid="{00000000-0005-0000-0000-000025540000}"/>
    <cellStyle name="Total 11 2 2" xfId="12964" xr:uid="{00000000-0005-0000-0000-000026540000}"/>
    <cellStyle name="Total 11 2 2 2" xfId="20791" xr:uid="{00000000-0005-0000-0000-000027540000}"/>
    <cellStyle name="Total 11 3" xfId="12965" xr:uid="{00000000-0005-0000-0000-000028540000}"/>
    <cellStyle name="Total 11 3 2" xfId="12966" xr:uid="{00000000-0005-0000-0000-000029540000}"/>
    <cellStyle name="Total 11 3 2 2" xfId="20792" xr:uid="{00000000-0005-0000-0000-00002A540000}"/>
    <cellStyle name="Total 11 4" xfId="12967" xr:uid="{00000000-0005-0000-0000-00002B540000}"/>
    <cellStyle name="Total 11 4 2" xfId="12968" xr:uid="{00000000-0005-0000-0000-00002C540000}"/>
    <cellStyle name="Total 11 4 3" xfId="20793" xr:uid="{00000000-0005-0000-0000-00002D540000}"/>
    <cellStyle name="Total 11 5" xfId="12969" xr:uid="{00000000-0005-0000-0000-00002E540000}"/>
    <cellStyle name="Total 11 5 2" xfId="20794" xr:uid="{00000000-0005-0000-0000-00002F540000}"/>
    <cellStyle name="Total 11 6" xfId="12970" xr:uid="{00000000-0005-0000-0000-000030540000}"/>
    <cellStyle name="Total 11 6 2" xfId="20795" xr:uid="{00000000-0005-0000-0000-000031540000}"/>
    <cellStyle name="Total 11 7" xfId="12971" xr:uid="{00000000-0005-0000-0000-000032540000}"/>
    <cellStyle name="Total 11 7 2" xfId="20796" xr:uid="{00000000-0005-0000-0000-000033540000}"/>
    <cellStyle name="Total 11 8" xfId="12972" xr:uid="{00000000-0005-0000-0000-000034540000}"/>
    <cellStyle name="Total 11 8 2" xfId="20797" xr:uid="{00000000-0005-0000-0000-000035540000}"/>
    <cellStyle name="Total 11 9" xfId="12973" xr:uid="{00000000-0005-0000-0000-000036540000}"/>
    <cellStyle name="Total 11 9 2" xfId="20798" xr:uid="{00000000-0005-0000-0000-000037540000}"/>
    <cellStyle name="Total 12" xfId="12974" xr:uid="{00000000-0005-0000-0000-000038540000}"/>
    <cellStyle name="Total 12 10" xfId="12975" xr:uid="{00000000-0005-0000-0000-000039540000}"/>
    <cellStyle name="Total 12 10 2" xfId="20799" xr:uid="{00000000-0005-0000-0000-00003A540000}"/>
    <cellStyle name="Total 12 11" xfId="12976" xr:uid="{00000000-0005-0000-0000-00003B540000}"/>
    <cellStyle name="Total 12 11 2" xfId="20800" xr:uid="{00000000-0005-0000-0000-00003C540000}"/>
    <cellStyle name="Total 12 2" xfId="12977" xr:uid="{00000000-0005-0000-0000-00003D540000}"/>
    <cellStyle name="Total 12 2 2" xfId="12978" xr:uid="{00000000-0005-0000-0000-00003E540000}"/>
    <cellStyle name="Total 12 2 2 2" xfId="20801" xr:uid="{00000000-0005-0000-0000-00003F540000}"/>
    <cellStyle name="Total 12 3" xfId="12979" xr:uid="{00000000-0005-0000-0000-000040540000}"/>
    <cellStyle name="Total 12 3 2" xfId="12980" xr:uid="{00000000-0005-0000-0000-000041540000}"/>
    <cellStyle name="Total 12 3 2 2" xfId="20802" xr:uid="{00000000-0005-0000-0000-000042540000}"/>
    <cellStyle name="Total 12 4" xfId="12981" xr:uid="{00000000-0005-0000-0000-000043540000}"/>
    <cellStyle name="Total 12 4 2" xfId="12982" xr:uid="{00000000-0005-0000-0000-000044540000}"/>
    <cellStyle name="Total 12 4 3" xfId="20803" xr:uid="{00000000-0005-0000-0000-000045540000}"/>
    <cellStyle name="Total 12 5" xfId="12983" xr:uid="{00000000-0005-0000-0000-000046540000}"/>
    <cellStyle name="Total 12 5 2" xfId="20804" xr:uid="{00000000-0005-0000-0000-000047540000}"/>
    <cellStyle name="Total 12 6" xfId="12984" xr:uid="{00000000-0005-0000-0000-000048540000}"/>
    <cellStyle name="Total 12 6 2" xfId="20805" xr:uid="{00000000-0005-0000-0000-000049540000}"/>
    <cellStyle name="Total 12 7" xfId="12985" xr:uid="{00000000-0005-0000-0000-00004A540000}"/>
    <cellStyle name="Total 12 7 2" xfId="20806" xr:uid="{00000000-0005-0000-0000-00004B540000}"/>
    <cellStyle name="Total 12 8" xfId="12986" xr:uid="{00000000-0005-0000-0000-00004C540000}"/>
    <cellStyle name="Total 12 8 2" xfId="20807" xr:uid="{00000000-0005-0000-0000-00004D540000}"/>
    <cellStyle name="Total 12 9" xfId="12987" xr:uid="{00000000-0005-0000-0000-00004E540000}"/>
    <cellStyle name="Total 12 9 2" xfId="20808" xr:uid="{00000000-0005-0000-0000-00004F540000}"/>
    <cellStyle name="Total 13" xfId="12988" xr:uid="{00000000-0005-0000-0000-000050540000}"/>
    <cellStyle name="Total 13 10" xfId="12989" xr:uid="{00000000-0005-0000-0000-000051540000}"/>
    <cellStyle name="Total 13 10 2" xfId="20809" xr:uid="{00000000-0005-0000-0000-000052540000}"/>
    <cellStyle name="Total 13 11" xfId="12990" xr:uid="{00000000-0005-0000-0000-000053540000}"/>
    <cellStyle name="Total 13 11 2" xfId="20810" xr:uid="{00000000-0005-0000-0000-000054540000}"/>
    <cellStyle name="Total 13 2" xfId="12991" xr:uid="{00000000-0005-0000-0000-000055540000}"/>
    <cellStyle name="Total 13 2 2" xfId="12992" xr:uid="{00000000-0005-0000-0000-000056540000}"/>
    <cellStyle name="Total 13 2 2 2" xfId="20811" xr:uid="{00000000-0005-0000-0000-000057540000}"/>
    <cellStyle name="Total 13 3" xfId="12993" xr:uid="{00000000-0005-0000-0000-000058540000}"/>
    <cellStyle name="Total 13 3 2" xfId="12994" xr:uid="{00000000-0005-0000-0000-000059540000}"/>
    <cellStyle name="Total 13 3 2 2" xfId="20812" xr:uid="{00000000-0005-0000-0000-00005A540000}"/>
    <cellStyle name="Total 13 4" xfId="12995" xr:uid="{00000000-0005-0000-0000-00005B540000}"/>
    <cellStyle name="Total 13 4 2" xfId="20813" xr:uid="{00000000-0005-0000-0000-00005C540000}"/>
    <cellStyle name="Total 13 5" xfId="12996" xr:uid="{00000000-0005-0000-0000-00005D540000}"/>
    <cellStyle name="Total 13 5 2" xfId="20814" xr:uid="{00000000-0005-0000-0000-00005E540000}"/>
    <cellStyle name="Total 13 6" xfId="12997" xr:uid="{00000000-0005-0000-0000-00005F540000}"/>
    <cellStyle name="Total 13 6 2" xfId="20815" xr:uid="{00000000-0005-0000-0000-000060540000}"/>
    <cellStyle name="Total 13 7" xfId="12998" xr:uid="{00000000-0005-0000-0000-000061540000}"/>
    <cellStyle name="Total 13 7 2" xfId="20816" xr:uid="{00000000-0005-0000-0000-000062540000}"/>
    <cellStyle name="Total 13 8" xfId="12999" xr:uid="{00000000-0005-0000-0000-000063540000}"/>
    <cellStyle name="Total 13 8 2" xfId="20817" xr:uid="{00000000-0005-0000-0000-000064540000}"/>
    <cellStyle name="Total 13 9" xfId="13000" xr:uid="{00000000-0005-0000-0000-000065540000}"/>
    <cellStyle name="Total 13 9 2" xfId="20818" xr:uid="{00000000-0005-0000-0000-000066540000}"/>
    <cellStyle name="Total 14" xfId="13001" xr:uid="{00000000-0005-0000-0000-000067540000}"/>
    <cellStyle name="Total 14 10" xfId="13002" xr:uid="{00000000-0005-0000-0000-000068540000}"/>
    <cellStyle name="Total 14 10 2" xfId="20819" xr:uid="{00000000-0005-0000-0000-000069540000}"/>
    <cellStyle name="Total 14 11" xfId="13003" xr:uid="{00000000-0005-0000-0000-00006A540000}"/>
    <cellStyle name="Total 14 11 2" xfId="20820" xr:uid="{00000000-0005-0000-0000-00006B540000}"/>
    <cellStyle name="Total 14 2" xfId="13004" xr:uid="{00000000-0005-0000-0000-00006C540000}"/>
    <cellStyle name="Total 14 2 2" xfId="13005" xr:uid="{00000000-0005-0000-0000-00006D540000}"/>
    <cellStyle name="Total 14 2 2 2" xfId="20821" xr:uid="{00000000-0005-0000-0000-00006E540000}"/>
    <cellStyle name="Total 14 3" xfId="13006" xr:uid="{00000000-0005-0000-0000-00006F540000}"/>
    <cellStyle name="Total 14 3 2" xfId="13007" xr:uid="{00000000-0005-0000-0000-000070540000}"/>
    <cellStyle name="Total 14 3 2 2" xfId="20822" xr:uid="{00000000-0005-0000-0000-000071540000}"/>
    <cellStyle name="Total 14 4" xfId="13008" xr:uid="{00000000-0005-0000-0000-000072540000}"/>
    <cellStyle name="Total 14 4 2" xfId="20823" xr:uid="{00000000-0005-0000-0000-000073540000}"/>
    <cellStyle name="Total 14 5" xfId="13009" xr:uid="{00000000-0005-0000-0000-000074540000}"/>
    <cellStyle name="Total 14 5 2" xfId="20824" xr:uid="{00000000-0005-0000-0000-000075540000}"/>
    <cellStyle name="Total 14 6" xfId="13010" xr:uid="{00000000-0005-0000-0000-000076540000}"/>
    <cellStyle name="Total 14 6 2" xfId="20825" xr:uid="{00000000-0005-0000-0000-000077540000}"/>
    <cellStyle name="Total 14 7" xfId="13011" xr:uid="{00000000-0005-0000-0000-000078540000}"/>
    <cellStyle name="Total 14 7 2" xfId="20826" xr:uid="{00000000-0005-0000-0000-000079540000}"/>
    <cellStyle name="Total 14 8" xfId="13012" xr:uid="{00000000-0005-0000-0000-00007A540000}"/>
    <cellStyle name="Total 14 8 2" xfId="20827" xr:uid="{00000000-0005-0000-0000-00007B540000}"/>
    <cellStyle name="Total 14 9" xfId="13013" xr:uid="{00000000-0005-0000-0000-00007C540000}"/>
    <cellStyle name="Total 14 9 2" xfId="20828" xr:uid="{00000000-0005-0000-0000-00007D540000}"/>
    <cellStyle name="Total 15" xfId="13014" xr:uid="{00000000-0005-0000-0000-00007E540000}"/>
    <cellStyle name="Total 15 10" xfId="13015" xr:uid="{00000000-0005-0000-0000-00007F540000}"/>
    <cellStyle name="Total 15 10 2" xfId="20829" xr:uid="{00000000-0005-0000-0000-000080540000}"/>
    <cellStyle name="Total 15 11" xfId="13016" xr:uid="{00000000-0005-0000-0000-000081540000}"/>
    <cellStyle name="Total 15 11 2" xfId="20830" xr:uid="{00000000-0005-0000-0000-000082540000}"/>
    <cellStyle name="Total 15 2" xfId="13017" xr:uid="{00000000-0005-0000-0000-000083540000}"/>
    <cellStyle name="Total 15 2 2" xfId="13018" xr:uid="{00000000-0005-0000-0000-000084540000}"/>
    <cellStyle name="Total 15 2 2 2" xfId="20831" xr:uid="{00000000-0005-0000-0000-000085540000}"/>
    <cellStyle name="Total 15 3" xfId="13019" xr:uid="{00000000-0005-0000-0000-000086540000}"/>
    <cellStyle name="Total 15 3 2" xfId="13020" xr:uid="{00000000-0005-0000-0000-000087540000}"/>
    <cellStyle name="Total 15 3 2 2" xfId="20832" xr:uid="{00000000-0005-0000-0000-000088540000}"/>
    <cellStyle name="Total 15 4" xfId="13021" xr:uid="{00000000-0005-0000-0000-000089540000}"/>
    <cellStyle name="Total 15 4 2" xfId="20833" xr:uid="{00000000-0005-0000-0000-00008A540000}"/>
    <cellStyle name="Total 15 5" xfId="13022" xr:uid="{00000000-0005-0000-0000-00008B540000}"/>
    <cellStyle name="Total 15 5 2" xfId="20834" xr:uid="{00000000-0005-0000-0000-00008C540000}"/>
    <cellStyle name="Total 15 6" xfId="13023" xr:uid="{00000000-0005-0000-0000-00008D540000}"/>
    <cellStyle name="Total 15 6 2" xfId="20835" xr:uid="{00000000-0005-0000-0000-00008E540000}"/>
    <cellStyle name="Total 15 7" xfId="13024" xr:uid="{00000000-0005-0000-0000-00008F540000}"/>
    <cellStyle name="Total 15 7 2" xfId="20836" xr:uid="{00000000-0005-0000-0000-000090540000}"/>
    <cellStyle name="Total 15 8" xfId="13025" xr:uid="{00000000-0005-0000-0000-000091540000}"/>
    <cellStyle name="Total 15 8 2" xfId="20837" xr:uid="{00000000-0005-0000-0000-000092540000}"/>
    <cellStyle name="Total 15 9" xfId="13026" xr:uid="{00000000-0005-0000-0000-000093540000}"/>
    <cellStyle name="Total 15 9 2" xfId="20838" xr:uid="{00000000-0005-0000-0000-000094540000}"/>
    <cellStyle name="Total 16" xfId="13027" xr:uid="{00000000-0005-0000-0000-000095540000}"/>
    <cellStyle name="Total 16 10" xfId="13028" xr:uid="{00000000-0005-0000-0000-000096540000}"/>
    <cellStyle name="Total 16 10 2" xfId="20839" xr:uid="{00000000-0005-0000-0000-000097540000}"/>
    <cellStyle name="Total 16 11" xfId="13029" xr:uid="{00000000-0005-0000-0000-000098540000}"/>
    <cellStyle name="Total 16 11 2" xfId="20840" xr:uid="{00000000-0005-0000-0000-000099540000}"/>
    <cellStyle name="Total 16 2" xfId="13030" xr:uid="{00000000-0005-0000-0000-00009A540000}"/>
    <cellStyle name="Total 16 2 2" xfId="13031" xr:uid="{00000000-0005-0000-0000-00009B540000}"/>
    <cellStyle name="Total 16 2 2 2" xfId="20841" xr:uid="{00000000-0005-0000-0000-00009C540000}"/>
    <cellStyle name="Total 16 2 3" xfId="13032" xr:uid="{00000000-0005-0000-0000-00009D540000}"/>
    <cellStyle name="Total 16 2 3 2" xfId="20842" xr:uid="{00000000-0005-0000-0000-00009E540000}"/>
    <cellStyle name="Total 16 2 4" xfId="13033" xr:uid="{00000000-0005-0000-0000-00009F540000}"/>
    <cellStyle name="Total 16 2 4 2" xfId="20843" xr:uid="{00000000-0005-0000-0000-0000A0540000}"/>
    <cellStyle name="Total 16 2 5" xfId="13034" xr:uid="{00000000-0005-0000-0000-0000A1540000}"/>
    <cellStyle name="Total 16 2 5 2" xfId="20844" xr:uid="{00000000-0005-0000-0000-0000A2540000}"/>
    <cellStyle name="Total 16 2 6" xfId="13035" xr:uid="{00000000-0005-0000-0000-0000A3540000}"/>
    <cellStyle name="Total 16 2 6 2" xfId="20845" xr:uid="{00000000-0005-0000-0000-0000A4540000}"/>
    <cellStyle name="Total 16 2 7" xfId="13036" xr:uid="{00000000-0005-0000-0000-0000A5540000}"/>
    <cellStyle name="Total 16 2 7 2" xfId="20846" xr:uid="{00000000-0005-0000-0000-0000A6540000}"/>
    <cellStyle name="Total 16 2 8" xfId="13037" xr:uid="{00000000-0005-0000-0000-0000A7540000}"/>
    <cellStyle name="Total 16 2 8 2" xfId="20847" xr:uid="{00000000-0005-0000-0000-0000A8540000}"/>
    <cellStyle name="Total 16 2 9" xfId="13038" xr:uid="{00000000-0005-0000-0000-0000A9540000}"/>
    <cellStyle name="Total 16 2 9 2" xfId="20848" xr:uid="{00000000-0005-0000-0000-0000AA540000}"/>
    <cellStyle name="Total 16 3" xfId="13039" xr:uid="{00000000-0005-0000-0000-0000AB540000}"/>
    <cellStyle name="Total 16 3 2" xfId="13040" xr:uid="{00000000-0005-0000-0000-0000AC540000}"/>
    <cellStyle name="Total 16 3 2 2" xfId="20849" xr:uid="{00000000-0005-0000-0000-0000AD540000}"/>
    <cellStyle name="Total 16 3 3" xfId="13041" xr:uid="{00000000-0005-0000-0000-0000AE540000}"/>
    <cellStyle name="Total 16 3 3 2" xfId="20850" xr:uid="{00000000-0005-0000-0000-0000AF540000}"/>
    <cellStyle name="Total 16 3 4" xfId="13042" xr:uid="{00000000-0005-0000-0000-0000B0540000}"/>
    <cellStyle name="Total 16 3 4 2" xfId="20851" xr:uid="{00000000-0005-0000-0000-0000B1540000}"/>
    <cellStyle name="Total 16 3 5" xfId="13043" xr:uid="{00000000-0005-0000-0000-0000B2540000}"/>
    <cellStyle name="Total 16 3 5 2" xfId="20852" xr:uid="{00000000-0005-0000-0000-0000B3540000}"/>
    <cellStyle name="Total 16 3 6" xfId="13044" xr:uid="{00000000-0005-0000-0000-0000B4540000}"/>
    <cellStyle name="Total 16 3 6 2" xfId="20853" xr:uid="{00000000-0005-0000-0000-0000B5540000}"/>
    <cellStyle name="Total 16 3 7" xfId="13045" xr:uid="{00000000-0005-0000-0000-0000B6540000}"/>
    <cellStyle name="Total 16 3 7 2" xfId="20854" xr:uid="{00000000-0005-0000-0000-0000B7540000}"/>
    <cellStyle name="Total 16 3 8" xfId="13046" xr:uid="{00000000-0005-0000-0000-0000B8540000}"/>
    <cellStyle name="Total 16 3 8 2" xfId="20855" xr:uid="{00000000-0005-0000-0000-0000B9540000}"/>
    <cellStyle name="Total 16 3 9" xfId="13047" xr:uid="{00000000-0005-0000-0000-0000BA540000}"/>
    <cellStyle name="Total 16 3 9 2" xfId="20856" xr:uid="{00000000-0005-0000-0000-0000BB540000}"/>
    <cellStyle name="Total 16 4" xfId="13048" xr:uid="{00000000-0005-0000-0000-0000BC540000}"/>
    <cellStyle name="Total 16 4 2" xfId="20857" xr:uid="{00000000-0005-0000-0000-0000BD540000}"/>
    <cellStyle name="Total 16 5" xfId="13049" xr:uid="{00000000-0005-0000-0000-0000BE540000}"/>
    <cellStyle name="Total 16 5 2" xfId="20858" xr:uid="{00000000-0005-0000-0000-0000BF540000}"/>
    <cellStyle name="Total 16 6" xfId="13050" xr:uid="{00000000-0005-0000-0000-0000C0540000}"/>
    <cellStyle name="Total 16 6 2" xfId="20859" xr:uid="{00000000-0005-0000-0000-0000C1540000}"/>
    <cellStyle name="Total 16 7" xfId="13051" xr:uid="{00000000-0005-0000-0000-0000C2540000}"/>
    <cellStyle name="Total 16 7 2" xfId="20860" xr:uid="{00000000-0005-0000-0000-0000C3540000}"/>
    <cellStyle name="Total 16 8" xfId="13052" xr:uid="{00000000-0005-0000-0000-0000C4540000}"/>
    <cellStyle name="Total 16 8 2" xfId="20861" xr:uid="{00000000-0005-0000-0000-0000C5540000}"/>
    <cellStyle name="Total 16 9" xfId="13053" xr:uid="{00000000-0005-0000-0000-0000C6540000}"/>
    <cellStyle name="Total 16 9 2" xfId="20862" xr:uid="{00000000-0005-0000-0000-0000C7540000}"/>
    <cellStyle name="Total 17" xfId="13054" xr:uid="{00000000-0005-0000-0000-0000C8540000}"/>
    <cellStyle name="Total 17 10" xfId="13055" xr:uid="{00000000-0005-0000-0000-0000C9540000}"/>
    <cellStyle name="Total 17 10 2" xfId="20863" xr:uid="{00000000-0005-0000-0000-0000CA540000}"/>
    <cellStyle name="Total 17 11" xfId="13056" xr:uid="{00000000-0005-0000-0000-0000CB540000}"/>
    <cellStyle name="Total 17 11 2" xfId="20864" xr:uid="{00000000-0005-0000-0000-0000CC540000}"/>
    <cellStyle name="Total 17 2" xfId="13057" xr:uid="{00000000-0005-0000-0000-0000CD540000}"/>
    <cellStyle name="Total 17 2 2" xfId="13058" xr:uid="{00000000-0005-0000-0000-0000CE540000}"/>
    <cellStyle name="Total 17 2 2 2" xfId="20865" xr:uid="{00000000-0005-0000-0000-0000CF540000}"/>
    <cellStyle name="Total 17 2 3" xfId="13059" xr:uid="{00000000-0005-0000-0000-0000D0540000}"/>
    <cellStyle name="Total 17 2 3 2" xfId="20866" xr:uid="{00000000-0005-0000-0000-0000D1540000}"/>
    <cellStyle name="Total 17 2 4" xfId="13060" xr:uid="{00000000-0005-0000-0000-0000D2540000}"/>
    <cellStyle name="Total 17 2 4 2" xfId="20867" xr:uid="{00000000-0005-0000-0000-0000D3540000}"/>
    <cellStyle name="Total 17 2 5" xfId="13061" xr:uid="{00000000-0005-0000-0000-0000D4540000}"/>
    <cellStyle name="Total 17 2 5 2" xfId="20868" xr:uid="{00000000-0005-0000-0000-0000D5540000}"/>
    <cellStyle name="Total 17 2 6" xfId="13062" xr:uid="{00000000-0005-0000-0000-0000D6540000}"/>
    <cellStyle name="Total 17 2 6 2" xfId="20869" xr:uid="{00000000-0005-0000-0000-0000D7540000}"/>
    <cellStyle name="Total 17 2 7" xfId="13063" xr:uid="{00000000-0005-0000-0000-0000D8540000}"/>
    <cellStyle name="Total 17 2 7 2" xfId="20870" xr:uid="{00000000-0005-0000-0000-0000D9540000}"/>
    <cellStyle name="Total 17 2 8" xfId="13064" xr:uid="{00000000-0005-0000-0000-0000DA540000}"/>
    <cellStyle name="Total 17 2 8 2" xfId="20871" xr:uid="{00000000-0005-0000-0000-0000DB540000}"/>
    <cellStyle name="Total 17 2 9" xfId="13065" xr:uid="{00000000-0005-0000-0000-0000DC540000}"/>
    <cellStyle name="Total 17 2 9 2" xfId="20872" xr:uid="{00000000-0005-0000-0000-0000DD540000}"/>
    <cellStyle name="Total 17 3" xfId="13066" xr:uid="{00000000-0005-0000-0000-0000DE540000}"/>
    <cellStyle name="Total 17 3 2" xfId="13067" xr:uid="{00000000-0005-0000-0000-0000DF540000}"/>
    <cellStyle name="Total 17 3 2 2" xfId="20873" xr:uid="{00000000-0005-0000-0000-0000E0540000}"/>
    <cellStyle name="Total 17 3 3" xfId="13068" xr:uid="{00000000-0005-0000-0000-0000E1540000}"/>
    <cellStyle name="Total 17 3 3 2" xfId="20874" xr:uid="{00000000-0005-0000-0000-0000E2540000}"/>
    <cellStyle name="Total 17 3 4" xfId="13069" xr:uid="{00000000-0005-0000-0000-0000E3540000}"/>
    <cellStyle name="Total 17 3 4 2" xfId="20875" xr:uid="{00000000-0005-0000-0000-0000E4540000}"/>
    <cellStyle name="Total 17 3 5" xfId="13070" xr:uid="{00000000-0005-0000-0000-0000E5540000}"/>
    <cellStyle name="Total 17 3 5 2" xfId="20876" xr:uid="{00000000-0005-0000-0000-0000E6540000}"/>
    <cellStyle name="Total 17 3 6" xfId="13071" xr:uid="{00000000-0005-0000-0000-0000E7540000}"/>
    <cellStyle name="Total 17 3 6 2" xfId="20877" xr:uid="{00000000-0005-0000-0000-0000E8540000}"/>
    <cellStyle name="Total 17 3 7" xfId="13072" xr:uid="{00000000-0005-0000-0000-0000E9540000}"/>
    <cellStyle name="Total 17 3 7 2" xfId="20878" xr:uid="{00000000-0005-0000-0000-0000EA540000}"/>
    <cellStyle name="Total 17 3 8" xfId="13073" xr:uid="{00000000-0005-0000-0000-0000EB540000}"/>
    <cellStyle name="Total 17 3 8 2" xfId="20879" xr:uid="{00000000-0005-0000-0000-0000EC540000}"/>
    <cellStyle name="Total 17 3 9" xfId="13074" xr:uid="{00000000-0005-0000-0000-0000ED540000}"/>
    <cellStyle name="Total 17 3 9 2" xfId="20880" xr:uid="{00000000-0005-0000-0000-0000EE540000}"/>
    <cellStyle name="Total 17 4" xfId="13075" xr:uid="{00000000-0005-0000-0000-0000EF540000}"/>
    <cellStyle name="Total 17 4 2" xfId="20881" xr:uid="{00000000-0005-0000-0000-0000F0540000}"/>
    <cellStyle name="Total 17 5" xfId="13076" xr:uid="{00000000-0005-0000-0000-0000F1540000}"/>
    <cellStyle name="Total 17 5 2" xfId="20882" xr:uid="{00000000-0005-0000-0000-0000F2540000}"/>
    <cellStyle name="Total 17 6" xfId="13077" xr:uid="{00000000-0005-0000-0000-0000F3540000}"/>
    <cellStyle name="Total 17 6 2" xfId="20883" xr:uid="{00000000-0005-0000-0000-0000F4540000}"/>
    <cellStyle name="Total 17 7" xfId="13078" xr:uid="{00000000-0005-0000-0000-0000F5540000}"/>
    <cellStyle name="Total 17 7 2" xfId="20884" xr:uid="{00000000-0005-0000-0000-0000F6540000}"/>
    <cellStyle name="Total 17 8" xfId="13079" xr:uid="{00000000-0005-0000-0000-0000F7540000}"/>
    <cellStyle name="Total 17 8 2" xfId="20885" xr:uid="{00000000-0005-0000-0000-0000F8540000}"/>
    <cellStyle name="Total 17 9" xfId="13080" xr:uid="{00000000-0005-0000-0000-0000F9540000}"/>
    <cellStyle name="Total 17 9 2" xfId="20886" xr:uid="{00000000-0005-0000-0000-0000FA540000}"/>
    <cellStyle name="Total 18" xfId="13081" xr:uid="{00000000-0005-0000-0000-0000FB540000}"/>
    <cellStyle name="Total 18 2" xfId="13082" xr:uid="{00000000-0005-0000-0000-0000FC540000}"/>
    <cellStyle name="Total 18 2 2" xfId="13083" xr:uid="{00000000-0005-0000-0000-0000FD540000}"/>
    <cellStyle name="Total 18 2 2 2" xfId="20887" xr:uid="{00000000-0005-0000-0000-0000FE540000}"/>
    <cellStyle name="Total 18 3" xfId="13084" xr:uid="{00000000-0005-0000-0000-0000FF540000}"/>
    <cellStyle name="Total 18 3 2" xfId="20888" xr:uid="{00000000-0005-0000-0000-000000550000}"/>
    <cellStyle name="Total 18 4" xfId="13085" xr:uid="{00000000-0005-0000-0000-000001550000}"/>
    <cellStyle name="Total 18 4 2" xfId="20889" xr:uid="{00000000-0005-0000-0000-000002550000}"/>
    <cellStyle name="Total 18 5" xfId="13086" xr:uid="{00000000-0005-0000-0000-000003550000}"/>
    <cellStyle name="Total 18 5 2" xfId="20890" xr:uid="{00000000-0005-0000-0000-000004550000}"/>
    <cellStyle name="Total 18 6" xfId="13087" xr:uid="{00000000-0005-0000-0000-000005550000}"/>
    <cellStyle name="Total 18 6 2" xfId="20891" xr:uid="{00000000-0005-0000-0000-000006550000}"/>
    <cellStyle name="Total 18 7" xfId="13088" xr:uid="{00000000-0005-0000-0000-000007550000}"/>
    <cellStyle name="Total 18 7 2" xfId="20892" xr:uid="{00000000-0005-0000-0000-000008550000}"/>
    <cellStyle name="Total 18 8" xfId="13089" xr:uid="{00000000-0005-0000-0000-000009550000}"/>
    <cellStyle name="Total 18 8 2" xfId="20893" xr:uid="{00000000-0005-0000-0000-00000A550000}"/>
    <cellStyle name="Total 18 9" xfId="13090" xr:uid="{00000000-0005-0000-0000-00000B550000}"/>
    <cellStyle name="Total 18 9 2" xfId="20894" xr:uid="{00000000-0005-0000-0000-00000C550000}"/>
    <cellStyle name="Total 19" xfId="13091" xr:uid="{00000000-0005-0000-0000-00000D550000}"/>
    <cellStyle name="Total 19 2" xfId="13092" xr:uid="{00000000-0005-0000-0000-00000E550000}"/>
    <cellStyle name="Total 19 2 2" xfId="13093" xr:uid="{00000000-0005-0000-0000-00000F550000}"/>
    <cellStyle name="Total 19 2 2 2" xfId="20895" xr:uid="{00000000-0005-0000-0000-000010550000}"/>
    <cellStyle name="Total 19 3" xfId="13094" xr:uid="{00000000-0005-0000-0000-000011550000}"/>
    <cellStyle name="Total 19 3 2" xfId="20896" xr:uid="{00000000-0005-0000-0000-000012550000}"/>
    <cellStyle name="Total 19 4" xfId="13095" xr:uid="{00000000-0005-0000-0000-000013550000}"/>
    <cellStyle name="Total 19 4 2" xfId="20897" xr:uid="{00000000-0005-0000-0000-000014550000}"/>
    <cellStyle name="Total 19 5" xfId="13096" xr:uid="{00000000-0005-0000-0000-000015550000}"/>
    <cellStyle name="Total 19 5 2" xfId="20898" xr:uid="{00000000-0005-0000-0000-000016550000}"/>
    <cellStyle name="Total 19 6" xfId="13097" xr:uid="{00000000-0005-0000-0000-000017550000}"/>
    <cellStyle name="Total 19 6 2" xfId="20899" xr:uid="{00000000-0005-0000-0000-000018550000}"/>
    <cellStyle name="Total 19 7" xfId="13098" xr:uid="{00000000-0005-0000-0000-000019550000}"/>
    <cellStyle name="Total 19 7 2" xfId="20900" xr:uid="{00000000-0005-0000-0000-00001A550000}"/>
    <cellStyle name="Total 19 8" xfId="13099" xr:uid="{00000000-0005-0000-0000-00001B550000}"/>
    <cellStyle name="Total 19 8 2" xfId="20901" xr:uid="{00000000-0005-0000-0000-00001C550000}"/>
    <cellStyle name="Total 19 9" xfId="13100" xr:uid="{00000000-0005-0000-0000-00001D550000}"/>
    <cellStyle name="Total 19 9 2" xfId="20902" xr:uid="{00000000-0005-0000-0000-00001E550000}"/>
    <cellStyle name="Total 2" xfId="13101" xr:uid="{00000000-0005-0000-0000-00001F550000}"/>
    <cellStyle name="Total 2 10" xfId="13102" xr:uid="{00000000-0005-0000-0000-000020550000}"/>
    <cellStyle name="Total 2 10 2" xfId="20903" xr:uid="{00000000-0005-0000-0000-000021550000}"/>
    <cellStyle name="Total 2 11" xfId="13103" xr:uid="{00000000-0005-0000-0000-000022550000}"/>
    <cellStyle name="Total 2 11 2" xfId="20904" xr:uid="{00000000-0005-0000-0000-000023550000}"/>
    <cellStyle name="Total 2 12" xfId="21769" xr:uid="{00000000-0005-0000-0000-000024550000}"/>
    <cellStyle name="Total 2 13" xfId="23339" xr:uid="{00000000-0005-0000-0000-000025550000}"/>
    <cellStyle name="Total 2 2" xfId="13104" xr:uid="{00000000-0005-0000-0000-000026550000}"/>
    <cellStyle name="Total 2 2 10" xfId="22299" xr:uid="{00000000-0005-0000-0000-000027550000}"/>
    <cellStyle name="Total 2 2 11" xfId="23355" xr:uid="{00000000-0005-0000-0000-000028550000}"/>
    <cellStyle name="Total 2 2 2" xfId="13105" xr:uid="{00000000-0005-0000-0000-000029550000}"/>
    <cellStyle name="Total 2 2 2 2" xfId="20905" xr:uid="{00000000-0005-0000-0000-00002A550000}"/>
    <cellStyle name="Total 2 2 2 2 2" xfId="23083" xr:uid="{00000000-0005-0000-0000-00002B550000}"/>
    <cellStyle name="Total 2 2 2 2 2 2" xfId="26633" xr:uid="{00000000-0005-0000-0000-0000BE050000}"/>
    <cellStyle name="Total 2 2 2 2 2 3" xfId="27132" xr:uid="{00000000-0005-0000-0000-0000BE050000}"/>
    <cellStyle name="Total 2 2 2 2 2 4" xfId="24377" xr:uid="{00000000-0005-0000-0000-0000BE050000}"/>
    <cellStyle name="Total 2 2 2 2 3" xfId="23475" xr:uid="{00000000-0005-0000-0000-00002C550000}"/>
    <cellStyle name="Total 2 2 2 2 3 2" xfId="25497" xr:uid="{00000000-0005-0000-0000-0000BE050000}"/>
    <cellStyle name="Total 2 2 2 2 4" xfId="26973" xr:uid="{00000000-0005-0000-0000-0000BE050000}"/>
    <cellStyle name="Total 2 2 2 3" xfId="23231" xr:uid="{00000000-0005-0000-0000-00002D550000}"/>
    <cellStyle name="Total 2 2 2 3 2" xfId="23535" xr:uid="{00000000-0005-0000-0000-00002E550000}"/>
    <cellStyle name="Total 2 2 2 3 2 2" xfId="25643" xr:uid="{00000000-0005-0000-0000-0000BF050000}"/>
    <cellStyle name="Total 2 2 2 3 3" xfId="27033" xr:uid="{00000000-0005-0000-0000-0000BF050000}"/>
    <cellStyle name="Total 2 2 2 4" xfId="22557" xr:uid="{00000000-0005-0000-0000-00002F550000}"/>
    <cellStyle name="Total 2 2 2 4 2" xfId="24975" xr:uid="{00000000-0005-0000-0000-0000BD050000}"/>
    <cellStyle name="Total 2 2 2 5" xfId="23395" xr:uid="{00000000-0005-0000-0000-000030550000}"/>
    <cellStyle name="Total 2 2 2 5 2" xfId="26893" xr:uid="{00000000-0005-0000-0000-0000BD050000}"/>
    <cellStyle name="Total 2 2 3" xfId="13106" xr:uid="{00000000-0005-0000-0000-000031550000}"/>
    <cellStyle name="Total 2 2 3 2" xfId="20906" xr:uid="{00000000-0005-0000-0000-000032550000}"/>
    <cellStyle name="Total 2 2 3 2 2" xfId="26368" xr:uid="{00000000-0005-0000-0000-0000C0050000}"/>
    <cellStyle name="Total 2 2 3 2 3" xfId="27092" xr:uid="{00000000-0005-0000-0000-0000C0050000}"/>
    <cellStyle name="Total 2 2 3 2 4" xfId="24121" xr:uid="{00000000-0005-0000-0000-0000C0050000}"/>
    <cellStyle name="Total 2 2 3 3" xfId="22819" xr:uid="{00000000-0005-0000-0000-000033550000}"/>
    <cellStyle name="Total 2 2 3 3 2" xfId="25239" xr:uid="{00000000-0005-0000-0000-0000C0050000}"/>
    <cellStyle name="Total 2 2 3 4" xfId="23435" xr:uid="{00000000-0005-0000-0000-000034550000}"/>
    <cellStyle name="Total 2 2 3 4 2" xfId="26933" xr:uid="{00000000-0005-0000-0000-0000C0050000}"/>
    <cellStyle name="Total 2 2 4" xfId="13107" xr:uid="{00000000-0005-0000-0000-000035550000}"/>
    <cellStyle name="Total 2 2 4 2" xfId="20907" xr:uid="{00000000-0005-0000-0000-000036550000}"/>
    <cellStyle name="Total 2 2 4 2 2" xfId="25604" xr:uid="{00000000-0005-0000-0000-0000C1050000}"/>
    <cellStyle name="Total 2 2 4 3" xfId="23192" xr:uid="{00000000-0005-0000-0000-000037550000}"/>
    <cellStyle name="Total 2 2 4 3 2" xfId="26993" xr:uid="{00000000-0005-0000-0000-0000C1050000}"/>
    <cellStyle name="Total 2 2 4 4" xfId="23495" xr:uid="{00000000-0005-0000-0000-000038550000}"/>
    <cellStyle name="Total 2 2 5" xfId="13108" xr:uid="{00000000-0005-0000-0000-000039550000}"/>
    <cellStyle name="Total 2 2 5 2" xfId="20908" xr:uid="{00000000-0005-0000-0000-00003A550000}"/>
    <cellStyle name="Total 2 2 5 3" xfId="24715" xr:uid="{00000000-0005-0000-0000-0000BC050000}"/>
    <cellStyle name="Total 2 2 6" xfId="13109" xr:uid="{00000000-0005-0000-0000-00003B550000}"/>
    <cellStyle name="Total 2 2 6 2" xfId="20909" xr:uid="{00000000-0005-0000-0000-00003C550000}"/>
    <cellStyle name="Total 2 2 6 3" xfId="26853" xr:uid="{00000000-0005-0000-0000-0000BC050000}"/>
    <cellStyle name="Total 2 2 7" xfId="13110" xr:uid="{00000000-0005-0000-0000-00003D550000}"/>
    <cellStyle name="Total 2 2 7 2" xfId="20910" xr:uid="{00000000-0005-0000-0000-00003E550000}"/>
    <cellStyle name="Total 2 2 8" xfId="13111" xr:uid="{00000000-0005-0000-0000-00003F550000}"/>
    <cellStyle name="Total 2 2 8 2" xfId="20911" xr:uid="{00000000-0005-0000-0000-000040550000}"/>
    <cellStyle name="Total 2 2 9" xfId="13112" xr:uid="{00000000-0005-0000-0000-000041550000}"/>
    <cellStyle name="Total 2 2 9 2" xfId="20912" xr:uid="{00000000-0005-0000-0000-000042550000}"/>
    <cellStyle name="Total 2 3" xfId="13113" xr:uid="{00000000-0005-0000-0000-000043550000}"/>
    <cellStyle name="Total 2 3 10" xfId="22458" xr:uid="{00000000-0005-0000-0000-000044550000}"/>
    <cellStyle name="Total 2 3 11" xfId="23380" xr:uid="{00000000-0005-0000-0000-000045550000}"/>
    <cellStyle name="Total 2 3 2" xfId="13114" xr:uid="{00000000-0005-0000-0000-000046550000}"/>
    <cellStyle name="Total 2 3 2 2" xfId="20913" xr:uid="{00000000-0005-0000-0000-000047550000}"/>
    <cellStyle name="Total 2 3 2 2 2" xfId="26534" xr:uid="{00000000-0005-0000-0000-0000C3050000}"/>
    <cellStyle name="Total 2 3 2 2 3" xfId="27117" xr:uid="{00000000-0005-0000-0000-0000C3050000}"/>
    <cellStyle name="Total 2 3 2 2 4" xfId="24282" xr:uid="{00000000-0005-0000-0000-0000C3050000}"/>
    <cellStyle name="Total 2 3 2 3" xfId="22984" xr:uid="{00000000-0005-0000-0000-000048550000}"/>
    <cellStyle name="Total 2 3 2 3 2" xfId="25400" xr:uid="{00000000-0005-0000-0000-0000C3050000}"/>
    <cellStyle name="Total 2 3 2 4" xfId="23460" xr:uid="{00000000-0005-0000-0000-000049550000}"/>
    <cellStyle name="Total 2 3 2 4 2" xfId="26958" xr:uid="{00000000-0005-0000-0000-0000C3050000}"/>
    <cellStyle name="Total 2 3 3" xfId="13115" xr:uid="{00000000-0005-0000-0000-00004A550000}"/>
    <cellStyle name="Total 2 3 3 2" xfId="20914" xr:uid="{00000000-0005-0000-0000-00004B550000}"/>
    <cellStyle name="Total 2 3 3 2 2" xfId="25628" xr:uid="{00000000-0005-0000-0000-0000C4050000}"/>
    <cellStyle name="Total 2 3 3 3" xfId="23216" xr:uid="{00000000-0005-0000-0000-00004C550000}"/>
    <cellStyle name="Total 2 3 3 3 2" xfId="27018" xr:uid="{00000000-0005-0000-0000-0000C4050000}"/>
    <cellStyle name="Total 2 3 3 4" xfId="23520" xr:uid="{00000000-0005-0000-0000-00004D550000}"/>
    <cellStyle name="Total 2 3 4" xfId="13116" xr:uid="{00000000-0005-0000-0000-00004E550000}"/>
    <cellStyle name="Total 2 3 4 2" xfId="20915" xr:uid="{00000000-0005-0000-0000-00004F550000}"/>
    <cellStyle name="Total 2 3 4 3" xfId="24878" xr:uid="{00000000-0005-0000-0000-0000C2050000}"/>
    <cellStyle name="Total 2 3 5" xfId="13117" xr:uid="{00000000-0005-0000-0000-000050550000}"/>
    <cellStyle name="Total 2 3 5 2" xfId="20916" xr:uid="{00000000-0005-0000-0000-000051550000}"/>
    <cellStyle name="Total 2 3 5 3" xfId="26878" xr:uid="{00000000-0005-0000-0000-0000C2050000}"/>
    <cellStyle name="Total 2 3 6" xfId="13118" xr:uid="{00000000-0005-0000-0000-000052550000}"/>
    <cellStyle name="Total 2 3 6 2" xfId="20917" xr:uid="{00000000-0005-0000-0000-000053550000}"/>
    <cellStyle name="Total 2 3 7" xfId="13119" xr:uid="{00000000-0005-0000-0000-000054550000}"/>
    <cellStyle name="Total 2 3 7 2" xfId="20918" xr:uid="{00000000-0005-0000-0000-000055550000}"/>
    <cellStyle name="Total 2 3 8" xfId="13120" xr:uid="{00000000-0005-0000-0000-000056550000}"/>
    <cellStyle name="Total 2 3 8 2" xfId="20919" xr:uid="{00000000-0005-0000-0000-000057550000}"/>
    <cellStyle name="Total 2 3 9" xfId="13121" xr:uid="{00000000-0005-0000-0000-000058550000}"/>
    <cellStyle name="Total 2 3 9 2" xfId="20920" xr:uid="{00000000-0005-0000-0000-000059550000}"/>
    <cellStyle name="Total 2 4" xfId="13122" xr:uid="{00000000-0005-0000-0000-00005A550000}"/>
    <cellStyle name="Total 2 4 2" xfId="13123" xr:uid="{00000000-0005-0000-0000-00005B550000}"/>
    <cellStyle name="Total 2 4 2 2" xfId="26269" xr:uid="{00000000-0005-0000-0000-0000C5050000}"/>
    <cellStyle name="Total 2 4 2 3" xfId="27077" xr:uid="{00000000-0005-0000-0000-0000C5050000}"/>
    <cellStyle name="Total 2 4 2 4" xfId="24033" xr:uid="{00000000-0005-0000-0000-0000C5050000}"/>
    <cellStyle name="Total 2 4 3" xfId="20921" xr:uid="{00000000-0005-0000-0000-00005C550000}"/>
    <cellStyle name="Total 2 4 3 2" xfId="25140" xr:uid="{00000000-0005-0000-0000-0000C5050000}"/>
    <cellStyle name="Total 2 4 4" xfId="22720" xr:uid="{00000000-0005-0000-0000-00005D550000}"/>
    <cellStyle name="Total 2 4 4 2" xfId="26918" xr:uid="{00000000-0005-0000-0000-0000C5050000}"/>
    <cellStyle name="Total 2 4 5" xfId="23420" xr:uid="{00000000-0005-0000-0000-00005E550000}"/>
    <cellStyle name="Total 2 5" xfId="13124" xr:uid="{00000000-0005-0000-0000-00005F550000}"/>
    <cellStyle name="Total 2 5 2" xfId="20922" xr:uid="{00000000-0005-0000-0000-000060550000}"/>
    <cellStyle name="Total 2 5 3" xfId="24618" xr:uid="{00000000-0005-0000-0000-0000BB050000}"/>
    <cellStyle name="Total 2 6" xfId="13125" xr:uid="{00000000-0005-0000-0000-000061550000}"/>
    <cellStyle name="Total 2 6 2" xfId="20923" xr:uid="{00000000-0005-0000-0000-000062550000}"/>
    <cellStyle name="Total 2 6 3" xfId="26838" xr:uid="{00000000-0005-0000-0000-0000BB050000}"/>
    <cellStyle name="Total 2 7" xfId="13126" xr:uid="{00000000-0005-0000-0000-000063550000}"/>
    <cellStyle name="Total 2 7 2" xfId="20924" xr:uid="{00000000-0005-0000-0000-000064550000}"/>
    <cellStyle name="Total 2 8" xfId="13127" xr:uid="{00000000-0005-0000-0000-000065550000}"/>
    <cellStyle name="Total 2 8 2" xfId="20925" xr:uid="{00000000-0005-0000-0000-000066550000}"/>
    <cellStyle name="Total 2 9" xfId="13128" xr:uid="{00000000-0005-0000-0000-000067550000}"/>
    <cellStyle name="Total 2 9 2" xfId="20926" xr:uid="{00000000-0005-0000-0000-000068550000}"/>
    <cellStyle name="Total 20" xfId="13129" xr:uid="{00000000-0005-0000-0000-000069550000}"/>
    <cellStyle name="Total 20 2" xfId="13130" xr:uid="{00000000-0005-0000-0000-00006A550000}"/>
    <cellStyle name="Total 20 2 2" xfId="20927" xr:uid="{00000000-0005-0000-0000-00006B550000}"/>
    <cellStyle name="Total 20 3" xfId="13131" xr:uid="{00000000-0005-0000-0000-00006C550000}"/>
    <cellStyle name="Total 20 3 2" xfId="20928" xr:uid="{00000000-0005-0000-0000-00006D550000}"/>
    <cellStyle name="Total 20 4" xfId="13132" xr:uid="{00000000-0005-0000-0000-00006E550000}"/>
    <cellStyle name="Total 20 4 2" xfId="20929" xr:uid="{00000000-0005-0000-0000-00006F550000}"/>
    <cellStyle name="Total 20 5" xfId="13133" xr:uid="{00000000-0005-0000-0000-000070550000}"/>
    <cellStyle name="Total 20 5 2" xfId="20930" xr:uid="{00000000-0005-0000-0000-000071550000}"/>
    <cellStyle name="Total 20 6" xfId="13134" xr:uid="{00000000-0005-0000-0000-000072550000}"/>
    <cellStyle name="Total 20 6 2" xfId="20931" xr:uid="{00000000-0005-0000-0000-000073550000}"/>
    <cellStyle name="Total 20 7" xfId="13135" xr:uid="{00000000-0005-0000-0000-000074550000}"/>
    <cellStyle name="Total 20 7 2" xfId="20932" xr:uid="{00000000-0005-0000-0000-000075550000}"/>
    <cellStyle name="Total 20 8" xfId="13136" xr:uid="{00000000-0005-0000-0000-000076550000}"/>
    <cellStyle name="Total 20 8 2" xfId="20933" xr:uid="{00000000-0005-0000-0000-000077550000}"/>
    <cellStyle name="Total 20 9" xfId="13137" xr:uid="{00000000-0005-0000-0000-000078550000}"/>
    <cellStyle name="Total 20 9 2" xfId="20934" xr:uid="{00000000-0005-0000-0000-000079550000}"/>
    <cellStyle name="Total 21" xfId="13138" xr:uid="{00000000-0005-0000-0000-00007A550000}"/>
    <cellStyle name="Total 21 2" xfId="13139" xr:uid="{00000000-0005-0000-0000-00007B550000}"/>
    <cellStyle name="Total 21 2 2" xfId="20935" xr:uid="{00000000-0005-0000-0000-00007C550000}"/>
    <cellStyle name="Total 21 3" xfId="13140" xr:uid="{00000000-0005-0000-0000-00007D550000}"/>
    <cellStyle name="Total 21 3 2" xfId="20936" xr:uid="{00000000-0005-0000-0000-00007E550000}"/>
    <cellStyle name="Total 21 4" xfId="13141" xr:uid="{00000000-0005-0000-0000-00007F550000}"/>
    <cellStyle name="Total 21 4 2" xfId="20937" xr:uid="{00000000-0005-0000-0000-000080550000}"/>
    <cellStyle name="Total 21 5" xfId="13142" xr:uid="{00000000-0005-0000-0000-000081550000}"/>
    <cellStyle name="Total 21 5 2" xfId="20938" xr:uid="{00000000-0005-0000-0000-000082550000}"/>
    <cellStyle name="Total 21 6" xfId="13143" xr:uid="{00000000-0005-0000-0000-000083550000}"/>
    <cellStyle name="Total 21 6 2" xfId="20939" xr:uid="{00000000-0005-0000-0000-000084550000}"/>
    <cellStyle name="Total 21 7" xfId="13144" xr:uid="{00000000-0005-0000-0000-000085550000}"/>
    <cellStyle name="Total 21 7 2" xfId="20940" xr:uid="{00000000-0005-0000-0000-000086550000}"/>
    <cellStyle name="Total 21 8" xfId="13145" xr:uid="{00000000-0005-0000-0000-000087550000}"/>
    <cellStyle name="Total 21 8 2" xfId="20941" xr:uid="{00000000-0005-0000-0000-000088550000}"/>
    <cellStyle name="Total 21 9" xfId="13146" xr:uid="{00000000-0005-0000-0000-000089550000}"/>
    <cellStyle name="Total 21 9 2" xfId="20942" xr:uid="{00000000-0005-0000-0000-00008A550000}"/>
    <cellStyle name="Total 22" xfId="13147" xr:uid="{00000000-0005-0000-0000-00008B550000}"/>
    <cellStyle name="Total 22 2" xfId="13148" xr:uid="{00000000-0005-0000-0000-00008C550000}"/>
    <cellStyle name="Total 22 2 2" xfId="20943" xr:uid="{00000000-0005-0000-0000-00008D550000}"/>
    <cellStyle name="Total 22 3" xfId="13149" xr:uid="{00000000-0005-0000-0000-00008E550000}"/>
    <cellStyle name="Total 22 3 2" xfId="20944" xr:uid="{00000000-0005-0000-0000-00008F550000}"/>
    <cellStyle name="Total 22 4" xfId="13150" xr:uid="{00000000-0005-0000-0000-000090550000}"/>
    <cellStyle name="Total 22 4 2" xfId="20945" xr:uid="{00000000-0005-0000-0000-000091550000}"/>
    <cellStyle name="Total 22 5" xfId="13151" xr:uid="{00000000-0005-0000-0000-000092550000}"/>
    <cellStyle name="Total 22 5 2" xfId="20946" xr:uid="{00000000-0005-0000-0000-000093550000}"/>
    <cellStyle name="Total 22 6" xfId="13152" xr:uid="{00000000-0005-0000-0000-000094550000}"/>
    <cellStyle name="Total 22 6 2" xfId="20947" xr:uid="{00000000-0005-0000-0000-000095550000}"/>
    <cellStyle name="Total 22 7" xfId="13153" xr:uid="{00000000-0005-0000-0000-000096550000}"/>
    <cellStyle name="Total 22 7 2" xfId="20948" xr:uid="{00000000-0005-0000-0000-000097550000}"/>
    <cellStyle name="Total 22 8" xfId="13154" xr:uid="{00000000-0005-0000-0000-000098550000}"/>
    <cellStyle name="Total 22 8 2" xfId="20949" xr:uid="{00000000-0005-0000-0000-000099550000}"/>
    <cellStyle name="Total 22 9" xfId="13155" xr:uid="{00000000-0005-0000-0000-00009A550000}"/>
    <cellStyle name="Total 22 9 2" xfId="20950" xr:uid="{00000000-0005-0000-0000-00009B550000}"/>
    <cellStyle name="Total 23" xfId="13156" xr:uid="{00000000-0005-0000-0000-00009C550000}"/>
    <cellStyle name="Total 23 2" xfId="13157" xr:uid="{00000000-0005-0000-0000-00009D550000}"/>
    <cellStyle name="Total 23 2 2" xfId="20951" xr:uid="{00000000-0005-0000-0000-00009E550000}"/>
    <cellStyle name="Total 23 3" xfId="13158" xr:uid="{00000000-0005-0000-0000-00009F550000}"/>
    <cellStyle name="Total 23 3 2" xfId="20952" xr:uid="{00000000-0005-0000-0000-0000A0550000}"/>
    <cellStyle name="Total 23 4" xfId="13159" xr:uid="{00000000-0005-0000-0000-0000A1550000}"/>
    <cellStyle name="Total 23 4 2" xfId="20953" xr:uid="{00000000-0005-0000-0000-0000A2550000}"/>
    <cellStyle name="Total 23 5" xfId="13160" xr:uid="{00000000-0005-0000-0000-0000A3550000}"/>
    <cellStyle name="Total 23 5 2" xfId="20954" xr:uid="{00000000-0005-0000-0000-0000A4550000}"/>
    <cellStyle name="Total 23 6" xfId="13161" xr:uid="{00000000-0005-0000-0000-0000A5550000}"/>
    <cellStyle name="Total 23 6 2" xfId="20955" xr:uid="{00000000-0005-0000-0000-0000A6550000}"/>
    <cellStyle name="Total 23 7" xfId="13162" xr:uid="{00000000-0005-0000-0000-0000A7550000}"/>
    <cellStyle name="Total 23 7 2" xfId="20956" xr:uid="{00000000-0005-0000-0000-0000A8550000}"/>
    <cellStyle name="Total 23 8" xfId="13163" xr:uid="{00000000-0005-0000-0000-0000A9550000}"/>
    <cellStyle name="Total 23 8 2" xfId="20957" xr:uid="{00000000-0005-0000-0000-0000AA550000}"/>
    <cellStyle name="Total 23 9" xfId="13164" xr:uid="{00000000-0005-0000-0000-0000AB550000}"/>
    <cellStyle name="Total 23 9 2" xfId="20958" xr:uid="{00000000-0005-0000-0000-0000AC550000}"/>
    <cellStyle name="Total 24" xfId="13165" xr:uid="{00000000-0005-0000-0000-0000AD550000}"/>
    <cellStyle name="Total 24 2" xfId="13166" xr:uid="{00000000-0005-0000-0000-0000AE550000}"/>
    <cellStyle name="Total 24 2 2" xfId="20959" xr:uid="{00000000-0005-0000-0000-0000AF550000}"/>
    <cellStyle name="Total 24 3" xfId="13167" xr:uid="{00000000-0005-0000-0000-0000B0550000}"/>
    <cellStyle name="Total 24 3 2" xfId="20960" xr:uid="{00000000-0005-0000-0000-0000B1550000}"/>
    <cellStyle name="Total 24 4" xfId="13168" xr:uid="{00000000-0005-0000-0000-0000B2550000}"/>
    <cellStyle name="Total 24 4 2" xfId="20961" xr:uid="{00000000-0005-0000-0000-0000B3550000}"/>
    <cellStyle name="Total 24 5" xfId="13169" xr:uid="{00000000-0005-0000-0000-0000B4550000}"/>
    <cellStyle name="Total 24 5 2" xfId="20962" xr:uid="{00000000-0005-0000-0000-0000B5550000}"/>
    <cellStyle name="Total 24 6" xfId="13170" xr:uid="{00000000-0005-0000-0000-0000B6550000}"/>
    <cellStyle name="Total 24 6 2" xfId="20963" xr:uid="{00000000-0005-0000-0000-0000B7550000}"/>
    <cellStyle name="Total 24 7" xfId="13171" xr:uid="{00000000-0005-0000-0000-0000B8550000}"/>
    <cellStyle name="Total 24 7 2" xfId="20964" xr:uid="{00000000-0005-0000-0000-0000B9550000}"/>
    <cellStyle name="Total 24 8" xfId="13172" xr:uid="{00000000-0005-0000-0000-0000BA550000}"/>
    <cellStyle name="Total 24 8 2" xfId="20965" xr:uid="{00000000-0005-0000-0000-0000BB550000}"/>
    <cellStyle name="Total 24 9" xfId="13173" xr:uid="{00000000-0005-0000-0000-0000BC550000}"/>
    <cellStyle name="Total 24 9 2" xfId="20966" xr:uid="{00000000-0005-0000-0000-0000BD550000}"/>
    <cellStyle name="Total 25" xfId="13174" xr:uid="{00000000-0005-0000-0000-0000BE550000}"/>
    <cellStyle name="Total 25 2" xfId="13175" xr:uid="{00000000-0005-0000-0000-0000BF550000}"/>
    <cellStyle name="Total 25 2 2" xfId="20967" xr:uid="{00000000-0005-0000-0000-0000C0550000}"/>
    <cellStyle name="Total 25 3" xfId="13176" xr:uid="{00000000-0005-0000-0000-0000C1550000}"/>
    <cellStyle name="Total 25 3 2" xfId="20968" xr:uid="{00000000-0005-0000-0000-0000C2550000}"/>
    <cellStyle name="Total 25 4" xfId="13177" xr:uid="{00000000-0005-0000-0000-0000C3550000}"/>
    <cellStyle name="Total 25 4 2" xfId="20969" xr:uid="{00000000-0005-0000-0000-0000C4550000}"/>
    <cellStyle name="Total 25 5" xfId="13178" xr:uid="{00000000-0005-0000-0000-0000C5550000}"/>
    <cellStyle name="Total 25 5 2" xfId="20970" xr:uid="{00000000-0005-0000-0000-0000C6550000}"/>
    <cellStyle name="Total 25 6" xfId="13179" xr:uid="{00000000-0005-0000-0000-0000C7550000}"/>
    <cellStyle name="Total 25 6 2" xfId="20971" xr:uid="{00000000-0005-0000-0000-0000C8550000}"/>
    <cellStyle name="Total 25 7" xfId="13180" xr:uid="{00000000-0005-0000-0000-0000C9550000}"/>
    <cellStyle name="Total 25 7 2" xfId="20972" xr:uid="{00000000-0005-0000-0000-0000CA550000}"/>
    <cellStyle name="Total 25 8" xfId="13181" xr:uid="{00000000-0005-0000-0000-0000CB550000}"/>
    <cellStyle name="Total 25 8 2" xfId="20973" xr:uid="{00000000-0005-0000-0000-0000CC550000}"/>
    <cellStyle name="Total 25 9" xfId="13182" xr:uid="{00000000-0005-0000-0000-0000CD550000}"/>
    <cellStyle name="Total 25 9 2" xfId="20974" xr:uid="{00000000-0005-0000-0000-0000CE550000}"/>
    <cellStyle name="Total 26" xfId="13183" xr:uid="{00000000-0005-0000-0000-0000CF550000}"/>
    <cellStyle name="Total 26 2" xfId="13184" xr:uid="{00000000-0005-0000-0000-0000D0550000}"/>
    <cellStyle name="Total 26 2 2" xfId="20975" xr:uid="{00000000-0005-0000-0000-0000D1550000}"/>
    <cellStyle name="Total 26 3" xfId="13185" xr:uid="{00000000-0005-0000-0000-0000D2550000}"/>
    <cellStyle name="Total 26 3 2" xfId="20976" xr:uid="{00000000-0005-0000-0000-0000D3550000}"/>
    <cellStyle name="Total 26 4" xfId="13186" xr:uid="{00000000-0005-0000-0000-0000D4550000}"/>
    <cellStyle name="Total 26 4 2" xfId="20977" xr:uid="{00000000-0005-0000-0000-0000D5550000}"/>
    <cellStyle name="Total 26 5" xfId="13187" xr:uid="{00000000-0005-0000-0000-0000D6550000}"/>
    <cellStyle name="Total 26 5 2" xfId="20978" xr:uid="{00000000-0005-0000-0000-0000D7550000}"/>
    <cellStyle name="Total 26 6" xfId="13188" xr:uid="{00000000-0005-0000-0000-0000D8550000}"/>
    <cellStyle name="Total 26 6 2" xfId="20979" xr:uid="{00000000-0005-0000-0000-0000D9550000}"/>
    <cellStyle name="Total 26 7" xfId="13189" xr:uid="{00000000-0005-0000-0000-0000DA550000}"/>
    <cellStyle name="Total 26 7 2" xfId="20980" xr:uid="{00000000-0005-0000-0000-0000DB550000}"/>
    <cellStyle name="Total 26 8" xfId="13190" xr:uid="{00000000-0005-0000-0000-0000DC550000}"/>
    <cellStyle name="Total 26 8 2" xfId="20981" xr:uid="{00000000-0005-0000-0000-0000DD550000}"/>
    <cellStyle name="Total 26 9" xfId="13191" xr:uid="{00000000-0005-0000-0000-0000DE550000}"/>
    <cellStyle name="Total 26 9 2" xfId="20982" xr:uid="{00000000-0005-0000-0000-0000DF550000}"/>
    <cellStyle name="Total 27" xfId="13192" xr:uid="{00000000-0005-0000-0000-0000E0550000}"/>
    <cellStyle name="Total 27 2" xfId="13193" xr:uid="{00000000-0005-0000-0000-0000E1550000}"/>
    <cellStyle name="Total 27 2 2" xfId="20983" xr:uid="{00000000-0005-0000-0000-0000E2550000}"/>
    <cellStyle name="Total 27 3" xfId="13194" xr:uid="{00000000-0005-0000-0000-0000E3550000}"/>
    <cellStyle name="Total 27 3 2" xfId="20984" xr:uid="{00000000-0005-0000-0000-0000E4550000}"/>
    <cellStyle name="Total 27 4" xfId="13195" xr:uid="{00000000-0005-0000-0000-0000E5550000}"/>
    <cellStyle name="Total 27 4 2" xfId="20985" xr:uid="{00000000-0005-0000-0000-0000E6550000}"/>
    <cellStyle name="Total 27 5" xfId="13196" xr:uid="{00000000-0005-0000-0000-0000E7550000}"/>
    <cellStyle name="Total 27 5 2" xfId="20986" xr:uid="{00000000-0005-0000-0000-0000E8550000}"/>
    <cellStyle name="Total 27 6" xfId="13197" xr:uid="{00000000-0005-0000-0000-0000E9550000}"/>
    <cellStyle name="Total 27 6 2" xfId="20987" xr:uid="{00000000-0005-0000-0000-0000EA550000}"/>
    <cellStyle name="Total 27 7" xfId="13198" xr:uid="{00000000-0005-0000-0000-0000EB550000}"/>
    <cellStyle name="Total 27 7 2" xfId="20988" xr:uid="{00000000-0005-0000-0000-0000EC550000}"/>
    <cellStyle name="Total 27 8" xfId="13199" xr:uid="{00000000-0005-0000-0000-0000ED550000}"/>
    <cellStyle name="Total 27 8 2" xfId="20989" xr:uid="{00000000-0005-0000-0000-0000EE550000}"/>
    <cellStyle name="Total 27 9" xfId="13200" xr:uid="{00000000-0005-0000-0000-0000EF550000}"/>
    <cellStyle name="Total 27 9 2" xfId="20990" xr:uid="{00000000-0005-0000-0000-0000F0550000}"/>
    <cellStyle name="Total 28" xfId="13201" xr:uid="{00000000-0005-0000-0000-0000F1550000}"/>
    <cellStyle name="Total 28 2" xfId="13202" xr:uid="{00000000-0005-0000-0000-0000F2550000}"/>
    <cellStyle name="Total 28 2 2" xfId="20991" xr:uid="{00000000-0005-0000-0000-0000F3550000}"/>
    <cellStyle name="Total 28 3" xfId="13203" xr:uid="{00000000-0005-0000-0000-0000F4550000}"/>
    <cellStyle name="Total 28 3 2" xfId="20992" xr:uid="{00000000-0005-0000-0000-0000F5550000}"/>
    <cellStyle name="Total 28 4" xfId="13204" xr:uid="{00000000-0005-0000-0000-0000F6550000}"/>
    <cellStyle name="Total 28 4 2" xfId="20993" xr:uid="{00000000-0005-0000-0000-0000F7550000}"/>
    <cellStyle name="Total 28 5" xfId="13205" xr:uid="{00000000-0005-0000-0000-0000F8550000}"/>
    <cellStyle name="Total 28 5 2" xfId="20994" xr:uid="{00000000-0005-0000-0000-0000F9550000}"/>
    <cellStyle name="Total 28 6" xfId="13206" xr:uid="{00000000-0005-0000-0000-0000FA550000}"/>
    <cellStyle name="Total 28 6 2" xfId="20995" xr:uid="{00000000-0005-0000-0000-0000FB550000}"/>
    <cellStyle name="Total 28 7" xfId="13207" xr:uid="{00000000-0005-0000-0000-0000FC550000}"/>
    <cellStyle name="Total 28 7 2" xfId="20996" xr:uid="{00000000-0005-0000-0000-0000FD550000}"/>
    <cellStyle name="Total 28 8" xfId="13208" xr:uid="{00000000-0005-0000-0000-0000FE550000}"/>
    <cellStyle name="Total 28 8 2" xfId="20997" xr:uid="{00000000-0005-0000-0000-0000FF550000}"/>
    <cellStyle name="Total 28 9" xfId="13209" xr:uid="{00000000-0005-0000-0000-000000560000}"/>
    <cellStyle name="Total 28 9 2" xfId="20998" xr:uid="{00000000-0005-0000-0000-000001560000}"/>
    <cellStyle name="Total 29" xfId="13210" xr:uid="{00000000-0005-0000-0000-000002560000}"/>
    <cellStyle name="Total 29 2" xfId="13211" xr:uid="{00000000-0005-0000-0000-000003560000}"/>
    <cellStyle name="Total 29 2 2" xfId="20999" xr:uid="{00000000-0005-0000-0000-000004560000}"/>
    <cellStyle name="Total 29 3" xfId="13212" xr:uid="{00000000-0005-0000-0000-000005560000}"/>
    <cellStyle name="Total 29 3 2" xfId="21000" xr:uid="{00000000-0005-0000-0000-000006560000}"/>
    <cellStyle name="Total 29 4" xfId="13213" xr:uid="{00000000-0005-0000-0000-000007560000}"/>
    <cellStyle name="Total 29 4 2" xfId="21001" xr:uid="{00000000-0005-0000-0000-000008560000}"/>
    <cellStyle name="Total 29 5" xfId="13214" xr:uid="{00000000-0005-0000-0000-000009560000}"/>
    <cellStyle name="Total 29 5 2" xfId="21002" xr:uid="{00000000-0005-0000-0000-00000A560000}"/>
    <cellStyle name="Total 29 6" xfId="13215" xr:uid="{00000000-0005-0000-0000-00000B560000}"/>
    <cellStyle name="Total 29 6 2" xfId="21003" xr:uid="{00000000-0005-0000-0000-00000C560000}"/>
    <cellStyle name="Total 29 7" xfId="13216" xr:uid="{00000000-0005-0000-0000-00000D560000}"/>
    <cellStyle name="Total 29 7 2" xfId="21004" xr:uid="{00000000-0005-0000-0000-00000E560000}"/>
    <cellStyle name="Total 29 8" xfId="13217" xr:uid="{00000000-0005-0000-0000-00000F560000}"/>
    <cellStyle name="Total 29 8 2" xfId="21005" xr:uid="{00000000-0005-0000-0000-000010560000}"/>
    <cellStyle name="Total 29 9" xfId="13218" xr:uid="{00000000-0005-0000-0000-000011560000}"/>
    <cellStyle name="Total 29 9 2" xfId="21006" xr:uid="{00000000-0005-0000-0000-000012560000}"/>
    <cellStyle name="Total 3" xfId="13219" xr:uid="{00000000-0005-0000-0000-000013560000}"/>
    <cellStyle name="Total 3 10" xfId="13220" xr:uid="{00000000-0005-0000-0000-000014560000}"/>
    <cellStyle name="Total 3 10 2" xfId="21007" xr:uid="{00000000-0005-0000-0000-000015560000}"/>
    <cellStyle name="Total 3 11" xfId="13221" xr:uid="{00000000-0005-0000-0000-000016560000}"/>
    <cellStyle name="Total 3 11 2" xfId="21008" xr:uid="{00000000-0005-0000-0000-000017560000}"/>
    <cellStyle name="Total 3 12" xfId="22201" xr:uid="{00000000-0005-0000-0000-000018560000}"/>
    <cellStyle name="Total 3 13" xfId="23340" xr:uid="{00000000-0005-0000-0000-000019560000}"/>
    <cellStyle name="Total 3 2" xfId="13222" xr:uid="{00000000-0005-0000-0000-00001A560000}"/>
    <cellStyle name="Total 3 2 10" xfId="22300" xr:uid="{00000000-0005-0000-0000-00001B560000}"/>
    <cellStyle name="Total 3 2 11" xfId="23356" xr:uid="{00000000-0005-0000-0000-00001C560000}"/>
    <cellStyle name="Total 3 2 2" xfId="13223" xr:uid="{00000000-0005-0000-0000-00001D560000}"/>
    <cellStyle name="Total 3 2 2 2" xfId="21009" xr:uid="{00000000-0005-0000-0000-00001E560000}"/>
    <cellStyle name="Total 3 2 2 2 2" xfId="23084" xr:uid="{00000000-0005-0000-0000-00001F560000}"/>
    <cellStyle name="Total 3 2 2 2 2 2" xfId="26634" xr:uid="{00000000-0005-0000-0000-0000C9050000}"/>
    <cellStyle name="Total 3 2 2 2 2 3" xfId="27133" xr:uid="{00000000-0005-0000-0000-0000C9050000}"/>
    <cellStyle name="Total 3 2 2 2 2 4" xfId="24378" xr:uid="{00000000-0005-0000-0000-0000C9050000}"/>
    <cellStyle name="Total 3 2 2 2 3" xfId="23476" xr:uid="{00000000-0005-0000-0000-000020560000}"/>
    <cellStyle name="Total 3 2 2 2 3 2" xfId="25498" xr:uid="{00000000-0005-0000-0000-0000C9050000}"/>
    <cellStyle name="Total 3 2 2 2 4" xfId="26974" xr:uid="{00000000-0005-0000-0000-0000C9050000}"/>
    <cellStyle name="Total 3 2 2 3" xfId="23232" xr:uid="{00000000-0005-0000-0000-000021560000}"/>
    <cellStyle name="Total 3 2 2 3 2" xfId="23536" xr:uid="{00000000-0005-0000-0000-000022560000}"/>
    <cellStyle name="Total 3 2 2 3 2 2" xfId="25644" xr:uid="{00000000-0005-0000-0000-0000CA050000}"/>
    <cellStyle name="Total 3 2 2 3 3" xfId="27034" xr:uid="{00000000-0005-0000-0000-0000CA050000}"/>
    <cellStyle name="Total 3 2 2 4" xfId="22558" xr:uid="{00000000-0005-0000-0000-000023560000}"/>
    <cellStyle name="Total 3 2 2 4 2" xfId="24976" xr:uid="{00000000-0005-0000-0000-0000C8050000}"/>
    <cellStyle name="Total 3 2 2 5" xfId="23396" xr:uid="{00000000-0005-0000-0000-000024560000}"/>
    <cellStyle name="Total 3 2 2 5 2" xfId="26894" xr:uid="{00000000-0005-0000-0000-0000C8050000}"/>
    <cellStyle name="Total 3 2 3" xfId="13224" xr:uid="{00000000-0005-0000-0000-000025560000}"/>
    <cellStyle name="Total 3 2 3 2" xfId="21010" xr:uid="{00000000-0005-0000-0000-000026560000}"/>
    <cellStyle name="Total 3 2 3 2 2" xfId="26369" xr:uid="{00000000-0005-0000-0000-0000CB050000}"/>
    <cellStyle name="Total 3 2 3 2 3" xfId="27093" xr:uid="{00000000-0005-0000-0000-0000CB050000}"/>
    <cellStyle name="Total 3 2 3 2 4" xfId="24122" xr:uid="{00000000-0005-0000-0000-0000CB050000}"/>
    <cellStyle name="Total 3 2 3 3" xfId="22820" xr:uid="{00000000-0005-0000-0000-000027560000}"/>
    <cellStyle name="Total 3 2 3 3 2" xfId="25240" xr:uid="{00000000-0005-0000-0000-0000CB050000}"/>
    <cellStyle name="Total 3 2 3 4" xfId="23436" xr:uid="{00000000-0005-0000-0000-000028560000}"/>
    <cellStyle name="Total 3 2 3 4 2" xfId="26934" xr:uid="{00000000-0005-0000-0000-0000CB050000}"/>
    <cellStyle name="Total 3 2 4" xfId="13225" xr:uid="{00000000-0005-0000-0000-000029560000}"/>
    <cellStyle name="Total 3 2 4 2" xfId="21011" xr:uid="{00000000-0005-0000-0000-00002A560000}"/>
    <cellStyle name="Total 3 2 4 2 2" xfId="25605" xr:uid="{00000000-0005-0000-0000-0000CC050000}"/>
    <cellStyle name="Total 3 2 4 3" xfId="23193" xr:uid="{00000000-0005-0000-0000-00002B560000}"/>
    <cellStyle name="Total 3 2 4 3 2" xfId="26994" xr:uid="{00000000-0005-0000-0000-0000CC050000}"/>
    <cellStyle name="Total 3 2 4 4" xfId="23496" xr:uid="{00000000-0005-0000-0000-00002C560000}"/>
    <cellStyle name="Total 3 2 5" xfId="13226" xr:uid="{00000000-0005-0000-0000-00002D560000}"/>
    <cellStyle name="Total 3 2 5 2" xfId="21012" xr:uid="{00000000-0005-0000-0000-00002E560000}"/>
    <cellStyle name="Total 3 2 5 3" xfId="24716" xr:uid="{00000000-0005-0000-0000-0000C7050000}"/>
    <cellStyle name="Total 3 2 6" xfId="13227" xr:uid="{00000000-0005-0000-0000-00002F560000}"/>
    <cellStyle name="Total 3 2 6 2" xfId="21013" xr:uid="{00000000-0005-0000-0000-000030560000}"/>
    <cellStyle name="Total 3 2 6 3" xfId="26854" xr:uid="{00000000-0005-0000-0000-0000C7050000}"/>
    <cellStyle name="Total 3 2 7" xfId="13228" xr:uid="{00000000-0005-0000-0000-000031560000}"/>
    <cellStyle name="Total 3 2 7 2" xfId="21014" xr:uid="{00000000-0005-0000-0000-000032560000}"/>
    <cellStyle name="Total 3 2 8" xfId="13229" xr:uid="{00000000-0005-0000-0000-000033560000}"/>
    <cellStyle name="Total 3 2 8 2" xfId="21015" xr:uid="{00000000-0005-0000-0000-000034560000}"/>
    <cellStyle name="Total 3 2 9" xfId="13230" xr:uid="{00000000-0005-0000-0000-000035560000}"/>
    <cellStyle name="Total 3 2 9 2" xfId="21016" xr:uid="{00000000-0005-0000-0000-000036560000}"/>
    <cellStyle name="Total 3 3" xfId="13231" xr:uid="{00000000-0005-0000-0000-000037560000}"/>
    <cellStyle name="Total 3 3 10" xfId="22459" xr:uid="{00000000-0005-0000-0000-000038560000}"/>
    <cellStyle name="Total 3 3 11" xfId="23381" xr:uid="{00000000-0005-0000-0000-000039560000}"/>
    <cellStyle name="Total 3 3 2" xfId="13232" xr:uid="{00000000-0005-0000-0000-00003A560000}"/>
    <cellStyle name="Total 3 3 2 2" xfId="21017" xr:uid="{00000000-0005-0000-0000-00003B560000}"/>
    <cellStyle name="Total 3 3 2 2 2" xfId="26535" xr:uid="{00000000-0005-0000-0000-0000CE050000}"/>
    <cellStyle name="Total 3 3 2 2 3" xfId="27118" xr:uid="{00000000-0005-0000-0000-0000CE050000}"/>
    <cellStyle name="Total 3 3 2 2 4" xfId="24283" xr:uid="{00000000-0005-0000-0000-0000CE050000}"/>
    <cellStyle name="Total 3 3 2 3" xfId="22985" xr:uid="{00000000-0005-0000-0000-00003C560000}"/>
    <cellStyle name="Total 3 3 2 3 2" xfId="25401" xr:uid="{00000000-0005-0000-0000-0000CE050000}"/>
    <cellStyle name="Total 3 3 2 4" xfId="23461" xr:uid="{00000000-0005-0000-0000-00003D560000}"/>
    <cellStyle name="Total 3 3 2 4 2" xfId="26959" xr:uid="{00000000-0005-0000-0000-0000CE050000}"/>
    <cellStyle name="Total 3 3 3" xfId="13233" xr:uid="{00000000-0005-0000-0000-00003E560000}"/>
    <cellStyle name="Total 3 3 3 2" xfId="21018" xr:uid="{00000000-0005-0000-0000-00003F560000}"/>
    <cellStyle name="Total 3 3 3 2 2" xfId="25629" xr:uid="{00000000-0005-0000-0000-0000CF050000}"/>
    <cellStyle name="Total 3 3 3 3" xfId="23217" xr:uid="{00000000-0005-0000-0000-000040560000}"/>
    <cellStyle name="Total 3 3 3 3 2" xfId="27019" xr:uid="{00000000-0005-0000-0000-0000CF050000}"/>
    <cellStyle name="Total 3 3 3 4" xfId="23521" xr:uid="{00000000-0005-0000-0000-000041560000}"/>
    <cellStyle name="Total 3 3 4" xfId="13234" xr:uid="{00000000-0005-0000-0000-000042560000}"/>
    <cellStyle name="Total 3 3 4 2" xfId="21019" xr:uid="{00000000-0005-0000-0000-000043560000}"/>
    <cellStyle name="Total 3 3 4 3" xfId="24879" xr:uid="{00000000-0005-0000-0000-0000CD050000}"/>
    <cellStyle name="Total 3 3 5" xfId="13235" xr:uid="{00000000-0005-0000-0000-000044560000}"/>
    <cellStyle name="Total 3 3 5 2" xfId="21020" xr:uid="{00000000-0005-0000-0000-000045560000}"/>
    <cellStyle name="Total 3 3 5 3" xfId="26879" xr:uid="{00000000-0005-0000-0000-0000CD050000}"/>
    <cellStyle name="Total 3 3 6" xfId="13236" xr:uid="{00000000-0005-0000-0000-000046560000}"/>
    <cellStyle name="Total 3 3 6 2" xfId="21021" xr:uid="{00000000-0005-0000-0000-000047560000}"/>
    <cellStyle name="Total 3 3 7" xfId="13237" xr:uid="{00000000-0005-0000-0000-000048560000}"/>
    <cellStyle name="Total 3 3 7 2" xfId="21022" xr:uid="{00000000-0005-0000-0000-000049560000}"/>
    <cellStyle name="Total 3 3 8" xfId="13238" xr:uid="{00000000-0005-0000-0000-00004A560000}"/>
    <cellStyle name="Total 3 3 8 2" xfId="21023" xr:uid="{00000000-0005-0000-0000-00004B560000}"/>
    <cellStyle name="Total 3 3 9" xfId="13239" xr:uid="{00000000-0005-0000-0000-00004C560000}"/>
    <cellStyle name="Total 3 3 9 2" xfId="21024" xr:uid="{00000000-0005-0000-0000-00004D560000}"/>
    <cellStyle name="Total 3 4" xfId="13240" xr:uid="{00000000-0005-0000-0000-00004E560000}"/>
    <cellStyle name="Total 3 4 2" xfId="13241" xr:uid="{00000000-0005-0000-0000-00004F560000}"/>
    <cellStyle name="Total 3 4 2 2" xfId="26270" xr:uid="{00000000-0005-0000-0000-0000D0050000}"/>
    <cellStyle name="Total 3 4 2 3" xfId="27078" xr:uid="{00000000-0005-0000-0000-0000D0050000}"/>
    <cellStyle name="Total 3 4 2 4" xfId="24034" xr:uid="{00000000-0005-0000-0000-0000D0050000}"/>
    <cellStyle name="Total 3 4 3" xfId="21025" xr:uid="{00000000-0005-0000-0000-000050560000}"/>
    <cellStyle name="Total 3 4 3 2" xfId="25141" xr:uid="{00000000-0005-0000-0000-0000D0050000}"/>
    <cellStyle name="Total 3 4 4" xfId="22721" xr:uid="{00000000-0005-0000-0000-000051560000}"/>
    <cellStyle name="Total 3 4 4 2" xfId="26919" xr:uid="{00000000-0005-0000-0000-0000D0050000}"/>
    <cellStyle name="Total 3 4 5" xfId="23421" xr:uid="{00000000-0005-0000-0000-000052560000}"/>
    <cellStyle name="Total 3 5" xfId="13242" xr:uid="{00000000-0005-0000-0000-000053560000}"/>
    <cellStyle name="Total 3 5 2" xfId="21026" xr:uid="{00000000-0005-0000-0000-000054560000}"/>
    <cellStyle name="Total 3 5 3" xfId="24619" xr:uid="{00000000-0005-0000-0000-0000C6050000}"/>
    <cellStyle name="Total 3 6" xfId="13243" xr:uid="{00000000-0005-0000-0000-000055560000}"/>
    <cellStyle name="Total 3 6 2" xfId="21027" xr:uid="{00000000-0005-0000-0000-000056560000}"/>
    <cellStyle name="Total 3 6 3" xfId="26839" xr:uid="{00000000-0005-0000-0000-0000C6050000}"/>
    <cellStyle name="Total 3 7" xfId="13244" xr:uid="{00000000-0005-0000-0000-000057560000}"/>
    <cellStyle name="Total 3 7 2" xfId="21028" xr:uid="{00000000-0005-0000-0000-000058560000}"/>
    <cellStyle name="Total 3 8" xfId="13245" xr:uid="{00000000-0005-0000-0000-000059560000}"/>
    <cellStyle name="Total 3 8 2" xfId="21029" xr:uid="{00000000-0005-0000-0000-00005A560000}"/>
    <cellStyle name="Total 3 9" xfId="13246" xr:uid="{00000000-0005-0000-0000-00005B560000}"/>
    <cellStyle name="Total 3 9 2" xfId="21030" xr:uid="{00000000-0005-0000-0000-00005C560000}"/>
    <cellStyle name="Total 30" xfId="13247" xr:uid="{00000000-0005-0000-0000-00005D560000}"/>
    <cellStyle name="Total 30 2" xfId="13248" xr:uid="{00000000-0005-0000-0000-00005E560000}"/>
    <cellStyle name="Total 30 2 2" xfId="21031" xr:uid="{00000000-0005-0000-0000-00005F560000}"/>
    <cellStyle name="Total 31" xfId="13249" xr:uid="{00000000-0005-0000-0000-000060560000}"/>
    <cellStyle name="Total 31 2" xfId="13250" xr:uid="{00000000-0005-0000-0000-000061560000}"/>
    <cellStyle name="Total 31 2 2" xfId="21032" xr:uid="{00000000-0005-0000-0000-000062560000}"/>
    <cellStyle name="Total 32" xfId="13251" xr:uid="{00000000-0005-0000-0000-000063560000}"/>
    <cellStyle name="Total 32 2" xfId="13252" xr:uid="{00000000-0005-0000-0000-000064560000}"/>
    <cellStyle name="Total 32 2 2" xfId="21033" xr:uid="{00000000-0005-0000-0000-000065560000}"/>
    <cellStyle name="Total 33" xfId="13253" xr:uid="{00000000-0005-0000-0000-000066560000}"/>
    <cellStyle name="Total 33 2" xfId="13254" xr:uid="{00000000-0005-0000-0000-000067560000}"/>
    <cellStyle name="Total 33 2 2" xfId="21034" xr:uid="{00000000-0005-0000-0000-000068560000}"/>
    <cellStyle name="Total 34" xfId="13255" xr:uid="{00000000-0005-0000-0000-000069560000}"/>
    <cellStyle name="Total 34 2" xfId="13256" xr:uid="{00000000-0005-0000-0000-00006A560000}"/>
    <cellStyle name="Total 34 2 2" xfId="21035" xr:uid="{00000000-0005-0000-0000-00006B560000}"/>
    <cellStyle name="Total 35" xfId="13257" xr:uid="{00000000-0005-0000-0000-00006C560000}"/>
    <cellStyle name="Total 35 2" xfId="13258" xr:uid="{00000000-0005-0000-0000-00006D560000}"/>
    <cellStyle name="Total 35 2 2" xfId="21036" xr:uid="{00000000-0005-0000-0000-00006E560000}"/>
    <cellStyle name="Total 36" xfId="13259" xr:uid="{00000000-0005-0000-0000-00006F560000}"/>
    <cellStyle name="Total 37" xfId="13260" xr:uid="{00000000-0005-0000-0000-000070560000}"/>
    <cellStyle name="Total 38" xfId="13261" xr:uid="{00000000-0005-0000-0000-000071560000}"/>
    <cellStyle name="Total 39" xfId="13262" xr:uid="{00000000-0005-0000-0000-000072560000}"/>
    <cellStyle name="Total 4" xfId="13263" xr:uid="{00000000-0005-0000-0000-000073560000}"/>
    <cellStyle name="Total 4 10" xfId="13264" xr:uid="{00000000-0005-0000-0000-000074560000}"/>
    <cellStyle name="Total 4 10 2" xfId="21037" xr:uid="{00000000-0005-0000-0000-000075560000}"/>
    <cellStyle name="Total 4 11" xfId="13265" xr:uid="{00000000-0005-0000-0000-000076560000}"/>
    <cellStyle name="Total 4 11 2" xfId="21038" xr:uid="{00000000-0005-0000-0000-000077560000}"/>
    <cellStyle name="Total 4 12" xfId="22202" xr:uid="{00000000-0005-0000-0000-000078560000}"/>
    <cellStyle name="Total 4 13" xfId="23341" xr:uid="{00000000-0005-0000-0000-000079560000}"/>
    <cellStyle name="Total 4 2" xfId="13266" xr:uid="{00000000-0005-0000-0000-00007A560000}"/>
    <cellStyle name="Total 4 2 10" xfId="22301" xr:uid="{00000000-0005-0000-0000-00007B560000}"/>
    <cellStyle name="Total 4 2 11" xfId="23357" xr:uid="{00000000-0005-0000-0000-00007C560000}"/>
    <cellStyle name="Total 4 2 2" xfId="13267" xr:uid="{00000000-0005-0000-0000-00007D560000}"/>
    <cellStyle name="Total 4 2 2 2" xfId="21039" xr:uid="{00000000-0005-0000-0000-00007E560000}"/>
    <cellStyle name="Total 4 2 2 2 2" xfId="23085" xr:uid="{00000000-0005-0000-0000-00007F560000}"/>
    <cellStyle name="Total 4 2 2 2 2 2" xfId="26635" xr:uid="{00000000-0005-0000-0000-0000D4050000}"/>
    <cellStyle name="Total 4 2 2 2 2 3" xfId="27134" xr:uid="{00000000-0005-0000-0000-0000D4050000}"/>
    <cellStyle name="Total 4 2 2 2 2 4" xfId="24379" xr:uid="{00000000-0005-0000-0000-0000D4050000}"/>
    <cellStyle name="Total 4 2 2 2 3" xfId="23477" xr:uid="{00000000-0005-0000-0000-000080560000}"/>
    <cellStyle name="Total 4 2 2 2 3 2" xfId="25499" xr:uid="{00000000-0005-0000-0000-0000D4050000}"/>
    <cellStyle name="Total 4 2 2 2 4" xfId="26975" xr:uid="{00000000-0005-0000-0000-0000D4050000}"/>
    <cellStyle name="Total 4 2 2 3" xfId="23233" xr:uid="{00000000-0005-0000-0000-000081560000}"/>
    <cellStyle name="Total 4 2 2 3 2" xfId="23537" xr:uid="{00000000-0005-0000-0000-000082560000}"/>
    <cellStyle name="Total 4 2 2 3 2 2" xfId="25645" xr:uid="{00000000-0005-0000-0000-0000D5050000}"/>
    <cellStyle name="Total 4 2 2 3 3" xfId="27035" xr:uid="{00000000-0005-0000-0000-0000D5050000}"/>
    <cellStyle name="Total 4 2 2 4" xfId="22559" xr:uid="{00000000-0005-0000-0000-000083560000}"/>
    <cellStyle name="Total 4 2 2 4 2" xfId="24977" xr:uid="{00000000-0005-0000-0000-0000D3050000}"/>
    <cellStyle name="Total 4 2 2 5" xfId="23397" xr:uid="{00000000-0005-0000-0000-000084560000}"/>
    <cellStyle name="Total 4 2 2 5 2" xfId="26895" xr:uid="{00000000-0005-0000-0000-0000D3050000}"/>
    <cellStyle name="Total 4 2 3" xfId="13268" xr:uid="{00000000-0005-0000-0000-000085560000}"/>
    <cellStyle name="Total 4 2 3 2" xfId="21040" xr:uid="{00000000-0005-0000-0000-000086560000}"/>
    <cellStyle name="Total 4 2 3 2 2" xfId="26370" xr:uid="{00000000-0005-0000-0000-0000D6050000}"/>
    <cellStyle name="Total 4 2 3 2 3" xfId="27094" xr:uid="{00000000-0005-0000-0000-0000D6050000}"/>
    <cellStyle name="Total 4 2 3 2 4" xfId="24123" xr:uid="{00000000-0005-0000-0000-0000D6050000}"/>
    <cellStyle name="Total 4 2 3 3" xfId="22821" xr:uid="{00000000-0005-0000-0000-000087560000}"/>
    <cellStyle name="Total 4 2 3 3 2" xfId="25241" xr:uid="{00000000-0005-0000-0000-0000D6050000}"/>
    <cellStyle name="Total 4 2 3 4" xfId="23437" xr:uid="{00000000-0005-0000-0000-000088560000}"/>
    <cellStyle name="Total 4 2 3 4 2" xfId="26935" xr:uid="{00000000-0005-0000-0000-0000D6050000}"/>
    <cellStyle name="Total 4 2 4" xfId="13269" xr:uid="{00000000-0005-0000-0000-000089560000}"/>
    <cellStyle name="Total 4 2 4 2" xfId="21041" xr:uid="{00000000-0005-0000-0000-00008A560000}"/>
    <cellStyle name="Total 4 2 4 2 2" xfId="25606" xr:uid="{00000000-0005-0000-0000-0000D7050000}"/>
    <cellStyle name="Total 4 2 4 3" xfId="23194" xr:uid="{00000000-0005-0000-0000-00008B560000}"/>
    <cellStyle name="Total 4 2 4 3 2" xfId="26995" xr:uid="{00000000-0005-0000-0000-0000D7050000}"/>
    <cellStyle name="Total 4 2 4 4" xfId="23497" xr:uid="{00000000-0005-0000-0000-00008C560000}"/>
    <cellStyle name="Total 4 2 5" xfId="13270" xr:uid="{00000000-0005-0000-0000-00008D560000}"/>
    <cellStyle name="Total 4 2 5 2" xfId="21042" xr:uid="{00000000-0005-0000-0000-00008E560000}"/>
    <cellStyle name="Total 4 2 5 3" xfId="24717" xr:uid="{00000000-0005-0000-0000-0000D2050000}"/>
    <cellStyle name="Total 4 2 6" xfId="13271" xr:uid="{00000000-0005-0000-0000-00008F560000}"/>
    <cellStyle name="Total 4 2 6 2" xfId="21043" xr:uid="{00000000-0005-0000-0000-000090560000}"/>
    <cellStyle name="Total 4 2 6 3" xfId="26855" xr:uid="{00000000-0005-0000-0000-0000D2050000}"/>
    <cellStyle name="Total 4 2 7" xfId="13272" xr:uid="{00000000-0005-0000-0000-000091560000}"/>
    <cellStyle name="Total 4 2 7 2" xfId="21044" xr:uid="{00000000-0005-0000-0000-000092560000}"/>
    <cellStyle name="Total 4 2 8" xfId="13273" xr:uid="{00000000-0005-0000-0000-000093560000}"/>
    <cellStyle name="Total 4 2 8 2" xfId="21045" xr:uid="{00000000-0005-0000-0000-000094560000}"/>
    <cellStyle name="Total 4 2 9" xfId="13274" xr:uid="{00000000-0005-0000-0000-000095560000}"/>
    <cellStyle name="Total 4 2 9 2" xfId="21046" xr:uid="{00000000-0005-0000-0000-000096560000}"/>
    <cellStyle name="Total 4 3" xfId="13275" xr:uid="{00000000-0005-0000-0000-000097560000}"/>
    <cellStyle name="Total 4 3 10" xfId="22460" xr:uid="{00000000-0005-0000-0000-000098560000}"/>
    <cellStyle name="Total 4 3 11" xfId="23382" xr:uid="{00000000-0005-0000-0000-000099560000}"/>
    <cellStyle name="Total 4 3 2" xfId="13276" xr:uid="{00000000-0005-0000-0000-00009A560000}"/>
    <cellStyle name="Total 4 3 2 2" xfId="21047" xr:uid="{00000000-0005-0000-0000-00009B560000}"/>
    <cellStyle name="Total 4 3 2 2 2" xfId="26536" xr:uid="{00000000-0005-0000-0000-0000D9050000}"/>
    <cellStyle name="Total 4 3 2 2 3" xfId="27119" xr:uid="{00000000-0005-0000-0000-0000D9050000}"/>
    <cellStyle name="Total 4 3 2 2 4" xfId="24284" xr:uid="{00000000-0005-0000-0000-0000D9050000}"/>
    <cellStyle name="Total 4 3 2 3" xfId="22986" xr:uid="{00000000-0005-0000-0000-00009C560000}"/>
    <cellStyle name="Total 4 3 2 3 2" xfId="25402" xr:uid="{00000000-0005-0000-0000-0000D9050000}"/>
    <cellStyle name="Total 4 3 2 4" xfId="23462" xr:uid="{00000000-0005-0000-0000-00009D560000}"/>
    <cellStyle name="Total 4 3 2 4 2" xfId="26960" xr:uid="{00000000-0005-0000-0000-0000D9050000}"/>
    <cellStyle name="Total 4 3 3" xfId="13277" xr:uid="{00000000-0005-0000-0000-00009E560000}"/>
    <cellStyle name="Total 4 3 3 2" xfId="21048" xr:uid="{00000000-0005-0000-0000-00009F560000}"/>
    <cellStyle name="Total 4 3 3 2 2" xfId="25630" xr:uid="{00000000-0005-0000-0000-0000DA050000}"/>
    <cellStyle name="Total 4 3 3 3" xfId="23218" xr:uid="{00000000-0005-0000-0000-0000A0560000}"/>
    <cellStyle name="Total 4 3 3 3 2" xfId="27020" xr:uid="{00000000-0005-0000-0000-0000DA050000}"/>
    <cellStyle name="Total 4 3 3 4" xfId="23522" xr:uid="{00000000-0005-0000-0000-0000A1560000}"/>
    <cellStyle name="Total 4 3 4" xfId="13278" xr:uid="{00000000-0005-0000-0000-0000A2560000}"/>
    <cellStyle name="Total 4 3 4 2" xfId="21049" xr:uid="{00000000-0005-0000-0000-0000A3560000}"/>
    <cellStyle name="Total 4 3 4 3" xfId="24880" xr:uid="{00000000-0005-0000-0000-0000D8050000}"/>
    <cellStyle name="Total 4 3 5" xfId="13279" xr:uid="{00000000-0005-0000-0000-0000A4560000}"/>
    <cellStyle name="Total 4 3 5 2" xfId="21050" xr:uid="{00000000-0005-0000-0000-0000A5560000}"/>
    <cellStyle name="Total 4 3 5 3" xfId="26880" xr:uid="{00000000-0005-0000-0000-0000D8050000}"/>
    <cellStyle name="Total 4 3 6" xfId="13280" xr:uid="{00000000-0005-0000-0000-0000A6560000}"/>
    <cellStyle name="Total 4 3 6 2" xfId="21051" xr:uid="{00000000-0005-0000-0000-0000A7560000}"/>
    <cellStyle name="Total 4 3 7" xfId="13281" xr:uid="{00000000-0005-0000-0000-0000A8560000}"/>
    <cellStyle name="Total 4 3 7 2" xfId="21052" xr:uid="{00000000-0005-0000-0000-0000A9560000}"/>
    <cellStyle name="Total 4 3 8" xfId="13282" xr:uid="{00000000-0005-0000-0000-0000AA560000}"/>
    <cellStyle name="Total 4 3 8 2" xfId="21053" xr:uid="{00000000-0005-0000-0000-0000AB560000}"/>
    <cellStyle name="Total 4 3 9" xfId="13283" xr:uid="{00000000-0005-0000-0000-0000AC560000}"/>
    <cellStyle name="Total 4 3 9 2" xfId="21054" xr:uid="{00000000-0005-0000-0000-0000AD560000}"/>
    <cellStyle name="Total 4 4" xfId="13284" xr:uid="{00000000-0005-0000-0000-0000AE560000}"/>
    <cellStyle name="Total 4 4 2" xfId="13285" xr:uid="{00000000-0005-0000-0000-0000AF560000}"/>
    <cellStyle name="Total 4 4 2 2" xfId="26271" xr:uid="{00000000-0005-0000-0000-0000DB050000}"/>
    <cellStyle name="Total 4 4 2 3" xfId="27079" xr:uid="{00000000-0005-0000-0000-0000DB050000}"/>
    <cellStyle name="Total 4 4 2 4" xfId="24035" xr:uid="{00000000-0005-0000-0000-0000DB050000}"/>
    <cellStyle name="Total 4 4 3" xfId="21055" xr:uid="{00000000-0005-0000-0000-0000B0560000}"/>
    <cellStyle name="Total 4 4 3 2" xfId="25142" xr:uid="{00000000-0005-0000-0000-0000DB050000}"/>
    <cellStyle name="Total 4 4 4" xfId="22722" xr:uid="{00000000-0005-0000-0000-0000B1560000}"/>
    <cellStyle name="Total 4 4 4 2" xfId="26920" xr:uid="{00000000-0005-0000-0000-0000DB050000}"/>
    <cellStyle name="Total 4 4 5" xfId="23422" xr:uid="{00000000-0005-0000-0000-0000B2560000}"/>
    <cellStyle name="Total 4 5" xfId="13286" xr:uid="{00000000-0005-0000-0000-0000B3560000}"/>
    <cellStyle name="Total 4 5 2" xfId="21056" xr:uid="{00000000-0005-0000-0000-0000B4560000}"/>
    <cellStyle name="Total 4 5 3" xfId="24620" xr:uid="{00000000-0005-0000-0000-0000D1050000}"/>
    <cellStyle name="Total 4 6" xfId="13287" xr:uid="{00000000-0005-0000-0000-0000B5560000}"/>
    <cellStyle name="Total 4 6 2" xfId="21057" xr:uid="{00000000-0005-0000-0000-0000B6560000}"/>
    <cellStyle name="Total 4 6 3" xfId="26840" xr:uid="{00000000-0005-0000-0000-0000D1050000}"/>
    <cellStyle name="Total 4 7" xfId="13288" xr:uid="{00000000-0005-0000-0000-0000B7560000}"/>
    <cellStyle name="Total 4 7 2" xfId="21058" xr:uid="{00000000-0005-0000-0000-0000B8560000}"/>
    <cellStyle name="Total 4 8" xfId="13289" xr:uid="{00000000-0005-0000-0000-0000B9560000}"/>
    <cellStyle name="Total 4 8 2" xfId="21059" xr:uid="{00000000-0005-0000-0000-0000BA560000}"/>
    <cellStyle name="Total 4 9" xfId="13290" xr:uid="{00000000-0005-0000-0000-0000BB560000}"/>
    <cellStyle name="Total 4 9 2" xfId="21060" xr:uid="{00000000-0005-0000-0000-0000BC560000}"/>
    <cellStyle name="Total 40" xfId="21770" xr:uid="{00000000-0005-0000-0000-0000BD560000}"/>
    <cellStyle name="Total 5" xfId="13291" xr:uid="{00000000-0005-0000-0000-0000BE560000}"/>
    <cellStyle name="Total 5 10" xfId="13292" xr:uid="{00000000-0005-0000-0000-0000BF560000}"/>
    <cellStyle name="Total 5 10 2" xfId="21061" xr:uid="{00000000-0005-0000-0000-0000C0560000}"/>
    <cellStyle name="Total 5 11" xfId="13293" xr:uid="{00000000-0005-0000-0000-0000C1560000}"/>
    <cellStyle name="Total 5 11 2" xfId="21062" xr:uid="{00000000-0005-0000-0000-0000C2560000}"/>
    <cellStyle name="Total 5 12" xfId="22203" xr:uid="{00000000-0005-0000-0000-0000C3560000}"/>
    <cellStyle name="Total 5 13" xfId="23342" xr:uid="{00000000-0005-0000-0000-0000C4560000}"/>
    <cellStyle name="Total 5 2" xfId="13294" xr:uid="{00000000-0005-0000-0000-0000C5560000}"/>
    <cellStyle name="Total 5 2 10" xfId="22302" xr:uid="{00000000-0005-0000-0000-0000C6560000}"/>
    <cellStyle name="Total 5 2 11" xfId="23358" xr:uid="{00000000-0005-0000-0000-0000C7560000}"/>
    <cellStyle name="Total 5 2 2" xfId="13295" xr:uid="{00000000-0005-0000-0000-0000C8560000}"/>
    <cellStyle name="Total 5 2 2 2" xfId="21063" xr:uid="{00000000-0005-0000-0000-0000C9560000}"/>
    <cellStyle name="Total 5 2 2 2 2" xfId="23086" xr:uid="{00000000-0005-0000-0000-0000CA560000}"/>
    <cellStyle name="Total 5 2 2 2 2 2" xfId="26636" xr:uid="{00000000-0005-0000-0000-0000DF050000}"/>
    <cellStyle name="Total 5 2 2 2 2 3" xfId="27135" xr:uid="{00000000-0005-0000-0000-0000DF050000}"/>
    <cellStyle name="Total 5 2 2 2 2 4" xfId="24380" xr:uid="{00000000-0005-0000-0000-0000DF050000}"/>
    <cellStyle name="Total 5 2 2 2 3" xfId="23478" xr:uid="{00000000-0005-0000-0000-0000CB560000}"/>
    <cellStyle name="Total 5 2 2 2 3 2" xfId="25500" xr:uid="{00000000-0005-0000-0000-0000DF050000}"/>
    <cellStyle name="Total 5 2 2 2 4" xfId="26976" xr:uid="{00000000-0005-0000-0000-0000DF050000}"/>
    <cellStyle name="Total 5 2 2 3" xfId="23234" xr:uid="{00000000-0005-0000-0000-0000CC560000}"/>
    <cellStyle name="Total 5 2 2 3 2" xfId="23538" xr:uid="{00000000-0005-0000-0000-0000CD560000}"/>
    <cellStyle name="Total 5 2 2 3 2 2" xfId="25646" xr:uid="{00000000-0005-0000-0000-0000E0050000}"/>
    <cellStyle name="Total 5 2 2 3 3" xfId="27036" xr:uid="{00000000-0005-0000-0000-0000E0050000}"/>
    <cellStyle name="Total 5 2 2 4" xfId="22560" xr:uid="{00000000-0005-0000-0000-0000CE560000}"/>
    <cellStyle name="Total 5 2 2 4 2" xfId="24978" xr:uid="{00000000-0005-0000-0000-0000DE050000}"/>
    <cellStyle name="Total 5 2 2 5" xfId="23398" xr:uid="{00000000-0005-0000-0000-0000CF560000}"/>
    <cellStyle name="Total 5 2 2 5 2" xfId="26896" xr:uid="{00000000-0005-0000-0000-0000DE050000}"/>
    <cellStyle name="Total 5 2 3" xfId="13296" xr:uid="{00000000-0005-0000-0000-0000D0560000}"/>
    <cellStyle name="Total 5 2 3 2" xfId="21064" xr:uid="{00000000-0005-0000-0000-0000D1560000}"/>
    <cellStyle name="Total 5 2 3 2 2" xfId="26371" xr:uid="{00000000-0005-0000-0000-0000E1050000}"/>
    <cellStyle name="Total 5 2 3 2 3" xfId="27095" xr:uid="{00000000-0005-0000-0000-0000E1050000}"/>
    <cellStyle name="Total 5 2 3 2 4" xfId="24124" xr:uid="{00000000-0005-0000-0000-0000E1050000}"/>
    <cellStyle name="Total 5 2 3 3" xfId="22822" xr:uid="{00000000-0005-0000-0000-0000D2560000}"/>
    <cellStyle name="Total 5 2 3 3 2" xfId="25242" xr:uid="{00000000-0005-0000-0000-0000E1050000}"/>
    <cellStyle name="Total 5 2 3 4" xfId="23438" xr:uid="{00000000-0005-0000-0000-0000D3560000}"/>
    <cellStyle name="Total 5 2 3 4 2" xfId="26936" xr:uid="{00000000-0005-0000-0000-0000E1050000}"/>
    <cellStyle name="Total 5 2 4" xfId="13297" xr:uid="{00000000-0005-0000-0000-0000D4560000}"/>
    <cellStyle name="Total 5 2 4 2" xfId="21065" xr:uid="{00000000-0005-0000-0000-0000D5560000}"/>
    <cellStyle name="Total 5 2 4 2 2" xfId="25607" xr:uid="{00000000-0005-0000-0000-0000E2050000}"/>
    <cellStyle name="Total 5 2 4 3" xfId="23195" xr:uid="{00000000-0005-0000-0000-0000D6560000}"/>
    <cellStyle name="Total 5 2 4 3 2" xfId="26996" xr:uid="{00000000-0005-0000-0000-0000E2050000}"/>
    <cellStyle name="Total 5 2 4 4" xfId="23498" xr:uid="{00000000-0005-0000-0000-0000D7560000}"/>
    <cellStyle name="Total 5 2 5" xfId="13298" xr:uid="{00000000-0005-0000-0000-0000D8560000}"/>
    <cellStyle name="Total 5 2 5 2" xfId="21066" xr:uid="{00000000-0005-0000-0000-0000D9560000}"/>
    <cellStyle name="Total 5 2 5 3" xfId="24718" xr:uid="{00000000-0005-0000-0000-0000DD050000}"/>
    <cellStyle name="Total 5 2 6" xfId="13299" xr:uid="{00000000-0005-0000-0000-0000DA560000}"/>
    <cellStyle name="Total 5 2 6 2" xfId="21067" xr:uid="{00000000-0005-0000-0000-0000DB560000}"/>
    <cellStyle name="Total 5 2 6 3" xfId="26856" xr:uid="{00000000-0005-0000-0000-0000DD050000}"/>
    <cellStyle name="Total 5 2 7" xfId="13300" xr:uid="{00000000-0005-0000-0000-0000DC560000}"/>
    <cellStyle name="Total 5 2 7 2" xfId="21068" xr:uid="{00000000-0005-0000-0000-0000DD560000}"/>
    <cellStyle name="Total 5 2 8" xfId="13301" xr:uid="{00000000-0005-0000-0000-0000DE560000}"/>
    <cellStyle name="Total 5 2 8 2" xfId="21069" xr:uid="{00000000-0005-0000-0000-0000DF560000}"/>
    <cellStyle name="Total 5 2 9" xfId="13302" xr:uid="{00000000-0005-0000-0000-0000E0560000}"/>
    <cellStyle name="Total 5 2 9 2" xfId="21070" xr:uid="{00000000-0005-0000-0000-0000E1560000}"/>
    <cellStyle name="Total 5 3" xfId="13303" xr:uid="{00000000-0005-0000-0000-0000E2560000}"/>
    <cellStyle name="Total 5 3 10" xfId="22461" xr:uid="{00000000-0005-0000-0000-0000E3560000}"/>
    <cellStyle name="Total 5 3 11" xfId="23383" xr:uid="{00000000-0005-0000-0000-0000E4560000}"/>
    <cellStyle name="Total 5 3 2" xfId="13304" xr:uid="{00000000-0005-0000-0000-0000E5560000}"/>
    <cellStyle name="Total 5 3 2 2" xfId="21071" xr:uid="{00000000-0005-0000-0000-0000E6560000}"/>
    <cellStyle name="Total 5 3 2 2 2" xfId="26537" xr:uid="{00000000-0005-0000-0000-0000E4050000}"/>
    <cellStyle name="Total 5 3 2 2 3" xfId="27120" xr:uid="{00000000-0005-0000-0000-0000E4050000}"/>
    <cellStyle name="Total 5 3 2 2 4" xfId="24285" xr:uid="{00000000-0005-0000-0000-0000E4050000}"/>
    <cellStyle name="Total 5 3 2 3" xfId="22987" xr:uid="{00000000-0005-0000-0000-0000E7560000}"/>
    <cellStyle name="Total 5 3 2 3 2" xfId="25403" xr:uid="{00000000-0005-0000-0000-0000E4050000}"/>
    <cellStyle name="Total 5 3 2 4" xfId="23463" xr:uid="{00000000-0005-0000-0000-0000E8560000}"/>
    <cellStyle name="Total 5 3 2 4 2" xfId="26961" xr:uid="{00000000-0005-0000-0000-0000E4050000}"/>
    <cellStyle name="Total 5 3 3" xfId="13305" xr:uid="{00000000-0005-0000-0000-0000E9560000}"/>
    <cellStyle name="Total 5 3 3 2" xfId="21072" xr:uid="{00000000-0005-0000-0000-0000EA560000}"/>
    <cellStyle name="Total 5 3 3 2 2" xfId="25631" xr:uid="{00000000-0005-0000-0000-0000E5050000}"/>
    <cellStyle name="Total 5 3 3 3" xfId="23219" xr:uid="{00000000-0005-0000-0000-0000EB560000}"/>
    <cellStyle name="Total 5 3 3 3 2" xfId="27021" xr:uid="{00000000-0005-0000-0000-0000E5050000}"/>
    <cellStyle name="Total 5 3 3 4" xfId="23523" xr:uid="{00000000-0005-0000-0000-0000EC560000}"/>
    <cellStyle name="Total 5 3 4" xfId="13306" xr:uid="{00000000-0005-0000-0000-0000ED560000}"/>
    <cellStyle name="Total 5 3 4 2" xfId="21073" xr:uid="{00000000-0005-0000-0000-0000EE560000}"/>
    <cellStyle name="Total 5 3 4 3" xfId="24881" xr:uid="{00000000-0005-0000-0000-0000E3050000}"/>
    <cellStyle name="Total 5 3 5" xfId="13307" xr:uid="{00000000-0005-0000-0000-0000EF560000}"/>
    <cellStyle name="Total 5 3 5 2" xfId="21074" xr:uid="{00000000-0005-0000-0000-0000F0560000}"/>
    <cellStyle name="Total 5 3 5 3" xfId="26881" xr:uid="{00000000-0005-0000-0000-0000E3050000}"/>
    <cellStyle name="Total 5 3 6" xfId="13308" xr:uid="{00000000-0005-0000-0000-0000F1560000}"/>
    <cellStyle name="Total 5 3 6 2" xfId="21075" xr:uid="{00000000-0005-0000-0000-0000F2560000}"/>
    <cellStyle name="Total 5 3 7" xfId="13309" xr:uid="{00000000-0005-0000-0000-0000F3560000}"/>
    <cellStyle name="Total 5 3 7 2" xfId="21076" xr:uid="{00000000-0005-0000-0000-0000F4560000}"/>
    <cellStyle name="Total 5 3 8" xfId="13310" xr:uid="{00000000-0005-0000-0000-0000F5560000}"/>
    <cellStyle name="Total 5 3 8 2" xfId="21077" xr:uid="{00000000-0005-0000-0000-0000F6560000}"/>
    <cellStyle name="Total 5 3 9" xfId="13311" xr:uid="{00000000-0005-0000-0000-0000F7560000}"/>
    <cellStyle name="Total 5 3 9 2" xfId="21078" xr:uid="{00000000-0005-0000-0000-0000F8560000}"/>
    <cellStyle name="Total 5 4" xfId="13312" xr:uid="{00000000-0005-0000-0000-0000F9560000}"/>
    <cellStyle name="Total 5 4 2" xfId="13313" xr:uid="{00000000-0005-0000-0000-0000FA560000}"/>
    <cellStyle name="Total 5 4 2 2" xfId="26272" xr:uid="{00000000-0005-0000-0000-0000E6050000}"/>
    <cellStyle name="Total 5 4 2 3" xfId="27080" xr:uid="{00000000-0005-0000-0000-0000E6050000}"/>
    <cellStyle name="Total 5 4 2 4" xfId="24036" xr:uid="{00000000-0005-0000-0000-0000E6050000}"/>
    <cellStyle name="Total 5 4 3" xfId="21079" xr:uid="{00000000-0005-0000-0000-0000FB560000}"/>
    <cellStyle name="Total 5 4 3 2" xfId="25143" xr:uid="{00000000-0005-0000-0000-0000E6050000}"/>
    <cellStyle name="Total 5 4 4" xfId="22723" xr:uid="{00000000-0005-0000-0000-0000FC560000}"/>
    <cellStyle name="Total 5 4 4 2" xfId="26921" xr:uid="{00000000-0005-0000-0000-0000E6050000}"/>
    <cellStyle name="Total 5 4 5" xfId="23423" xr:uid="{00000000-0005-0000-0000-0000FD560000}"/>
    <cellStyle name="Total 5 5" xfId="13314" xr:uid="{00000000-0005-0000-0000-0000FE560000}"/>
    <cellStyle name="Total 5 5 2" xfId="21080" xr:uid="{00000000-0005-0000-0000-0000FF560000}"/>
    <cellStyle name="Total 5 5 3" xfId="24621" xr:uid="{00000000-0005-0000-0000-0000DC050000}"/>
    <cellStyle name="Total 5 6" xfId="13315" xr:uid="{00000000-0005-0000-0000-000000570000}"/>
    <cellStyle name="Total 5 6 2" xfId="21081" xr:uid="{00000000-0005-0000-0000-000001570000}"/>
    <cellStyle name="Total 5 6 3" xfId="26841" xr:uid="{00000000-0005-0000-0000-0000DC050000}"/>
    <cellStyle name="Total 5 7" xfId="13316" xr:uid="{00000000-0005-0000-0000-000002570000}"/>
    <cellStyle name="Total 5 7 2" xfId="21082" xr:uid="{00000000-0005-0000-0000-000003570000}"/>
    <cellStyle name="Total 5 8" xfId="13317" xr:uid="{00000000-0005-0000-0000-000004570000}"/>
    <cellStyle name="Total 5 8 2" xfId="21083" xr:uid="{00000000-0005-0000-0000-000005570000}"/>
    <cellStyle name="Total 5 9" xfId="13318" xr:uid="{00000000-0005-0000-0000-000006570000}"/>
    <cellStyle name="Total 5 9 2" xfId="21084" xr:uid="{00000000-0005-0000-0000-000007570000}"/>
    <cellStyle name="Total 6" xfId="13319" xr:uid="{00000000-0005-0000-0000-000008570000}"/>
    <cellStyle name="Total 6 10" xfId="13320" xr:uid="{00000000-0005-0000-0000-000009570000}"/>
    <cellStyle name="Total 6 10 2" xfId="21085" xr:uid="{00000000-0005-0000-0000-00000A570000}"/>
    <cellStyle name="Total 6 11" xfId="13321" xr:uid="{00000000-0005-0000-0000-00000B570000}"/>
    <cellStyle name="Total 6 11 2" xfId="21086" xr:uid="{00000000-0005-0000-0000-00000C570000}"/>
    <cellStyle name="Total 6 12" xfId="23559" xr:uid="{C5963D65-E772-49A9-A77C-9F4443101949}"/>
    <cellStyle name="Total 6 2" xfId="13322" xr:uid="{00000000-0005-0000-0000-00000D570000}"/>
    <cellStyle name="Total 6 2 2" xfId="13323" xr:uid="{00000000-0005-0000-0000-00000E570000}"/>
    <cellStyle name="Total 6 2 2 2" xfId="21087" xr:uid="{00000000-0005-0000-0000-00000F570000}"/>
    <cellStyle name="Total 6 2 3" xfId="13324" xr:uid="{00000000-0005-0000-0000-000010570000}"/>
    <cellStyle name="Total 6 2 3 2" xfId="21088" xr:uid="{00000000-0005-0000-0000-000011570000}"/>
    <cellStyle name="Total 6 2 4" xfId="13325" xr:uid="{00000000-0005-0000-0000-000012570000}"/>
    <cellStyle name="Total 6 2 4 2" xfId="21089" xr:uid="{00000000-0005-0000-0000-000013570000}"/>
    <cellStyle name="Total 6 2 5" xfId="13326" xr:uid="{00000000-0005-0000-0000-000014570000}"/>
    <cellStyle name="Total 6 2 5 2" xfId="21090" xr:uid="{00000000-0005-0000-0000-000015570000}"/>
    <cellStyle name="Total 6 2 6" xfId="13327" xr:uid="{00000000-0005-0000-0000-000016570000}"/>
    <cellStyle name="Total 6 2 6 2" xfId="21091" xr:uid="{00000000-0005-0000-0000-000017570000}"/>
    <cellStyle name="Total 6 2 7" xfId="13328" xr:uid="{00000000-0005-0000-0000-000018570000}"/>
    <cellStyle name="Total 6 2 7 2" xfId="21092" xr:uid="{00000000-0005-0000-0000-000019570000}"/>
    <cellStyle name="Total 6 2 8" xfId="13329" xr:uid="{00000000-0005-0000-0000-00001A570000}"/>
    <cellStyle name="Total 6 2 8 2" xfId="21093" xr:uid="{00000000-0005-0000-0000-00001B570000}"/>
    <cellStyle name="Total 6 2 9" xfId="13330" xr:uid="{00000000-0005-0000-0000-00001C570000}"/>
    <cellStyle name="Total 6 2 9 2" xfId="21094" xr:uid="{00000000-0005-0000-0000-00001D570000}"/>
    <cellStyle name="Total 6 3" xfId="13331" xr:uid="{00000000-0005-0000-0000-00001E570000}"/>
    <cellStyle name="Total 6 3 2" xfId="13332" xr:uid="{00000000-0005-0000-0000-00001F570000}"/>
    <cellStyle name="Total 6 3 2 2" xfId="21095" xr:uid="{00000000-0005-0000-0000-000020570000}"/>
    <cellStyle name="Total 6 3 3" xfId="13333" xr:uid="{00000000-0005-0000-0000-000021570000}"/>
    <cellStyle name="Total 6 3 3 2" xfId="21096" xr:uid="{00000000-0005-0000-0000-000022570000}"/>
    <cellStyle name="Total 6 3 4" xfId="13334" xr:uid="{00000000-0005-0000-0000-000023570000}"/>
    <cellStyle name="Total 6 3 4 2" xfId="21097" xr:uid="{00000000-0005-0000-0000-000024570000}"/>
    <cellStyle name="Total 6 3 5" xfId="13335" xr:uid="{00000000-0005-0000-0000-000025570000}"/>
    <cellStyle name="Total 6 3 5 2" xfId="21098" xr:uid="{00000000-0005-0000-0000-000026570000}"/>
    <cellStyle name="Total 6 3 6" xfId="13336" xr:uid="{00000000-0005-0000-0000-000027570000}"/>
    <cellStyle name="Total 6 3 6 2" xfId="21099" xr:uid="{00000000-0005-0000-0000-000028570000}"/>
    <cellStyle name="Total 6 3 7" xfId="13337" xr:uid="{00000000-0005-0000-0000-000029570000}"/>
    <cellStyle name="Total 6 3 7 2" xfId="21100" xr:uid="{00000000-0005-0000-0000-00002A570000}"/>
    <cellStyle name="Total 6 3 8" xfId="13338" xr:uid="{00000000-0005-0000-0000-00002B570000}"/>
    <cellStyle name="Total 6 3 8 2" xfId="21101" xr:uid="{00000000-0005-0000-0000-00002C570000}"/>
    <cellStyle name="Total 6 3 9" xfId="13339" xr:uid="{00000000-0005-0000-0000-00002D570000}"/>
    <cellStyle name="Total 6 3 9 2" xfId="21102" xr:uid="{00000000-0005-0000-0000-00002E570000}"/>
    <cellStyle name="Total 6 4" xfId="13340" xr:uid="{00000000-0005-0000-0000-00002F570000}"/>
    <cellStyle name="Total 6 4 2" xfId="13341" xr:uid="{00000000-0005-0000-0000-000030570000}"/>
    <cellStyle name="Total 6 4 3" xfId="21103" xr:uid="{00000000-0005-0000-0000-000031570000}"/>
    <cellStyle name="Total 6 5" xfId="13342" xr:uid="{00000000-0005-0000-0000-000032570000}"/>
    <cellStyle name="Total 6 5 2" xfId="21104" xr:uid="{00000000-0005-0000-0000-000033570000}"/>
    <cellStyle name="Total 6 6" xfId="13343" xr:uid="{00000000-0005-0000-0000-000034570000}"/>
    <cellStyle name="Total 6 6 2" xfId="21105" xr:uid="{00000000-0005-0000-0000-000035570000}"/>
    <cellStyle name="Total 6 7" xfId="13344" xr:uid="{00000000-0005-0000-0000-000036570000}"/>
    <cellStyle name="Total 6 7 2" xfId="21106" xr:uid="{00000000-0005-0000-0000-000037570000}"/>
    <cellStyle name="Total 6 8" xfId="13345" xr:uid="{00000000-0005-0000-0000-000038570000}"/>
    <cellStyle name="Total 6 8 2" xfId="21107" xr:uid="{00000000-0005-0000-0000-000039570000}"/>
    <cellStyle name="Total 6 9" xfId="13346" xr:uid="{00000000-0005-0000-0000-00003A570000}"/>
    <cellStyle name="Total 6 9 2" xfId="21108" xr:uid="{00000000-0005-0000-0000-00003B570000}"/>
    <cellStyle name="Total 7" xfId="13347" xr:uid="{00000000-0005-0000-0000-00003C570000}"/>
    <cellStyle name="Total 7 10" xfId="13348" xr:uid="{00000000-0005-0000-0000-00003D570000}"/>
    <cellStyle name="Total 7 10 2" xfId="21109" xr:uid="{00000000-0005-0000-0000-00003E570000}"/>
    <cellStyle name="Total 7 11" xfId="13349" xr:uid="{00000000-0005-0000-0000-00003F570000}"/>
    <cellStyle name="Total 7 11 2" xfId="21110" xr:uid="{00000000-0005-0000-0000-000040570000}"/>
    <cellStyle name="Total 7 2" xfId="13350" xr:uid="{00000000-0005-0000-0000-000041570000}"/>
    <cellStyle name="Total 7 2 2" xfId="13351" xr:uid="{00000000-0005-0000-0000-000042570000}"/>
    <cellStyle name="Total 7 2 2 2" xfId="21111" xr:uid="{00000000-0005-0000-0000-000043570000}"/>
    <cellStyle name="Total 7 2 3" xfId="13352" xr:uid="{00000000-0005-0000-0000-000044570000}"/>
    <cellStyle name="Total 7 2 3 2" xfId="21112" xr:uid="{00000000-0005-0000-0000-000045570000}"/>
    <cellStyle name="Total 7 2 4" xfId="13353" xr:uid="{00000000-0005-0000-0000-000046570000}"/>
    <cellStyle name="Total 7 2 4 2" xfId="21113" xr:uid="{00000000-0005-0000-0000-000047570000}"/>
    <cellStyle name="Total 7 2 5" xfId="13354" xr:uid="{00000000-0005-0000-0000-000048570000}"/>
    <cellStyle name="Total 7 2 5 2" xfId="21114" xr:uid="{00000000-0005-0000-0000-000049570000}"/>
    <cellStyle name="Total 7 2 6" xfId="13355" xr:uid="{00000000-0005-0000-0000-00004A570000}"/>
    <cellStyle name="Total 7 2 6 2" xfId="21115" xr:uid="{00000000-0005-0000-0000-00004B570000}"/>
    <cellStyle name="Total 7 2 7" xfId="13356" xr:uid="{00000000-0005-0000-0000-00004C570000}"/>
    <cellStyle name="Total 7 2 7 2" xfId="21116" xr:uid="{00000000-0005-0000-0000-00004D570000}"/>
    <cellStyle name="Total 7 2 8" xfId="13357" xr:uid="{00000000-0005-0000-0000-00004E570000}"/>
    <cellStyle name="Total 7 2 8 2" xfId="21117" xr:uid="{00000000-0005-0000-0000-00004F570000}"/>
    <cellStyle name="Total 7 2 9" xfId="13358" xr:uid="{00000000-0005-0000-0000-000050570000}"/>
    <cellStyle name="Total 7 2 9 2" xfId="21118" xr:uid="{00000000-0005-0000-0000-000051570000}"/>
    <cellStyle name="Total 7 3" xfId="13359" xr:uid="{00000000-0005-0000-0000-000052570000}"/>
    <cellStyle name="Total 7 3 2" xfId="13360" xr:uid="{00000000-0005-0000-0000-000053570000}"/>
    <cellStyle name="Total 7 3 2 2" xfId="21119" xr:uid="{00000000-0005-0000-0000-000054570000}"/>
    <cellStyle name="Total 7 3 3" xfId="13361" xr:uid="{00000000-0005-0000-0000-000055570000}"/>
    <cellStyle name="Total 7 3 3 2" xfId="21120" xr:uid="{00000000-0005-0000-0000-000056570000}"/>
    <cellStyle name="Total 7 3 4" xfId="13362" xr:uid="{00000000-0005-0000-0000-000057570000}"/>
    <cellStyle name="Total 7 3 4 2" xfId="21121" xr:uid="{00000000-0005-0000-0000-000058570000}"/>
    <cellStyle name="Total 7 3 5" xfId="13363" xr:uid="{00000000-0005-0000-0000-000059570000}"/>
    <cellStyle name="Total 7 3 5 2" xfId="21122" xr:uid="{00000000-0005-0000-0000-00005A570000}"/>
    <cellStyle name="Total 7 3 6" xfId="13364" xr:uid="{00000000-0005-0000-0000-00005B570000}"/>
    <cellStyle name="Total 7 3 6 2" xfId="21123" xr:uid="{00000000-0005-0000-0000-00005C570000}"/>
    <cellStyle name="Total 7 3 7" xfId="13365" xr:uid="{00000000-0005-0000-0000-00005D570000}"/>
    <cellStyle name="Total 7 3 7 2" xfId="21124" xr:uid="{00000000-0005-0000-0000-00005E570000}"/>
    <cellStyle name="Total 7 3 8" xfId="13366" xr:uid="{00000000-0005-0000-0000-00005F570000}"/>
    <cellStyle name="Total 7 3 8 2" xfId="21125" xr:uid="{00000000-0005-0000-0000-000060570000}"/>
    <cellStyle name="Total 7 3 9" xfId="13367" xr:uid="{00000000-0005-0000-0000-000061570000}"/>
    <cellStyle name="Total 7 3 9 2" xfId="21126" xr:uid="{00000000-0005-0000-0000-000062570000}"/>
    <cellStyle name="Total 7 4" xfId="13368" xr:uid="{00000000-0005-0000-0000-000063570000}"/>
    <cellStyle name="Total 7 4 2" xfId="13369" xr:uid="{00000000-0005-0000-0000-000064570000}"/>
    <cellStyle name="Total 7 4 3" xfId="21127" xr:uid="{00000000-0005-0000-0000-000065570000}"/>
    <cellStyle name="Total 7 5" xfId="13370" xr:uid="{00000000-0005-0000-0000-000066570000}"/>
    <cellStyle name="Total 7 5 2" xfId="21128" xr:uid="{00000000-0005-0000-0000-000067570000}"/>
    <cellStyle name="Total 7 6" xfId="13371" xr:uid="{00000000-0005-0000-0000-000068570000}"/>
    <cellStyle name="Total 7 6 2" xfId="21129" xr:uid="{00000000-0005-0000-0000-000069570000}"/>
    <cellStyle name="Total 7 7" xfId="13372" xr:uid="{00000000-0005-0000-0000-00006A570000}"/>
    <cellStyle name="Total 7 7 2" xfId="21130" xr:uid="{00000000-0005-0000-0000-00006B570000}"/>
    <cellStyle name="Total 7 8" xfId="13373" xr:uid="{00000000-0005-0000-0000-00006C570000}"/>
    <cellStyle name="Total 7 8 2" xfId="21131" xr:uid="{00000000-0005-0000-0000-00006D570000}"/>
    <cellStyle name="Total 7 9" xfId="13374" xr:uid="{00000000-0005-0000-0000-00006E570000}"/>
    <cellStyle name="Total 7 9 2" xfId="21132" xr:uid="{00000000-0005-0000-0000-00006F570000}"/>
    <cellStyle name="Total 8" xfId="13375" xr:uid="{00000000-0005-0000-0000-000070570000}"/>
    <cellStyle name="Total 8 10" xfId="13376" xr:uid="{00000000-0005-0000-0000-000071570000}"/>
    <cellStyle name="Total 8 10 2" xfId="21133" xr:uid="{00000000-0005-0000-0000-000072570000}"/>
    <cellStyle name="Total 8 11" xfId="13377" xr:uid="{00000000-0005-0000-0000-000073570000}"/>
    <cellStyle name="Total 8 11 2" xfId="21134" xr:uid="{00000000-0005-0000-0000-000074570000}"/>
    <cellStyle name="Total 8 2" xfId="13378" xr:uid="{00000000-0005-0000-0000-000075570000}"/>
    <cellStyle name="Total 8 2 2" xfId="13379" xr:uid="{00000000-0005-0000-0000-000076570000}"/>
    <cellStyle name="Total 8 2 2 2" xfId="21135" xr:uid="{00000000-0005-0000-0000-000077570000}"/>
    <cellStyle name="Total 8 2 3" xfId="13380" xr:uid="{00000000-0005-0000-0000-000078570000}"/>
    <cellStyle name="Total 8 2 3 2" xfId="21136" xr:uid="{00000000-0005-0000-0000-000079570000}"/>
    <cellStyle name="Total 8 2 4" xfId="13381" xr:uid="{00000000-0005-0000-0000-00007A570000}"/>
    <cellStyle name="Total 8 2 4 2" xfId="21137" xr:uid="{00000000-0005-0000-0000-00007B570000}"/>
    <cellStyle name="Total 8 2 5" xfId="13382" xr:uid="{00000000-0005-0000-0000-00007C570000}"/>
    <cellStyle name="Total 8 2 5 2" xfId="21138" xr:uid="{00000000-0005-0000-0000-00007D570000}"/>
    <cellStyle name="Total 8 2 6" xfId="13383" xr:uid="{00000000-0005-0000-0000-00007E570000}"/>
    <cellStyle name="Total 8 2 6 2" xfId="21139" xr:uid="{00000000-0005-0000-0000-00007F570000}"/>
    <cellStyle name="Total 8 2 7" xfId="13384" xr:uid="{00000000-0005-0000-0000-000080570000}"/>
    <cellStyle name="Total 8 2 7 2" xfId="21140" xr:uid="{00000000-0005-0000-0000-000081570000}"/>
    <cellStyle name="Total 8 2 8" xfId="13385" xr:uid="{00000000-0005-0000-0000-000082570000}"/>
    <cellStyle name="Total 8 2 8 2" xfId="21141" xr:uid="{00000000-0005-0000-0000-000083570000}"/>
    <cellStyle name="Total 8 2 9" xfId="13386" xr:uid="{00000000-0005-0000-0000-000084570000}"/>
    <cellStyle name="Total 8 2 9 2" xfId="21142" xr:uid="{00000000-0005-0000-0000-000085570000}"/>
    <cellStyle name="Total 8 3" xfId="13387" xr:uid="{00000000-0005-0000-0000-000086570000}"/>
    <cellStyle name="Total 8 3 2" xfId="13388" xr:uid="{00000000-0005-0000-0000-000087570000}"/>
    <cellStyle name="Total 8 3 2 2" xfId="21143" xr:uid="{00000000-0005-0000-0000-000088570000}"/>
    <cellStyle name="Total 8 3 3" xfId="13389" xr:uid="{00000000-0005-0000-0000-000089570000}"/>
    <cellStyle name="Total 8 3 3 2" xfId="21144" xr:uid="{00000000-0005-0000-0000-00008A570000}"/>
    <cellStyle name="Total 8 3 4" xfId="13390" xr:uid="{00000000-0005-0000-0000-00008B570000}"/>
    <cellStyle name="Total 8 3 4 2" xfId="21145" xr:uid="{00000000-0005-0000-0000-00008C570000}"/>
    <cellStyle name="Total 8 3 5" xfId="13391" xr:uid="{00000000-0005-0000-0000-00008D570000}"/>
    <cellStyle name="Total 8 3 5 2" xfId="21146" xr:uid="{00000000-0005-0000-0000-00008E570000}"/>
    <cellStyle name="Total 8 3 6" xfId="13392" xr:uid="{00000000-0005-0000-0000-00008F570000}"/>
    <cellStyle name="Total 8 3 6 2" xfId="21147" xr:uid="{00000000-0005-0000-0000-000090570000}"/>
    <cellStyle name="Total 8 3 7" xfId="13393" xr:uid="{00000000-0005-0000-0000-000091570000}"/>
    <cellStyle name="Total 8 3 7 2" xfId="21148" xr:uid="{00000000-0005-0000-0000-000092570000}"/>
    <cellStyle name="Total 8 3 8" xfId="13394" xr:uid="{00000000-0005-0000-0000-000093570000}"/>
    <cellStyle name="Total 8 3 8 2" xfId="21149" xr:uid="{00000000-0005-0000-0000-000094570000}"/>
    <cellStyle name="Total 8 3 9" xfId="13395" xr:uid="{00000000-0005-0000-0000-000095570000}"/>
    <cellStyle name="Total 8 3 9 2" xfId="21150" xr:uid="{00000000-0005-0000-0000-000096570000}"/>
    <cellStyle name="Total 8 4" xfId="13396" xr:uid="{00000000-0005-0000-0000-000097570000}"/>
    <cellStyle name="Total 8 4 2" xfId="13397" xr:uid="{00000000-0005-0000-0000-000098570000}"/>
    <cellStyle name="Total 8 4 3" xfId="21151" xr:uid="{00000000-0005-0000-0000-000099570000}"/>
    <cellStyle name="Total 8 5" xfId="13398" xr:uid="{00000000-0005-0000-0000-00009A570000}"/>
    <cellStyle name="Total 8 5 2" xfId="21152" xr:uid="{00000000-0005-0000-0000-00009B570000}"/>
    <cellStyle name="Total 8 6" xfId="13399" xr:uid="{00000000-0005-0000-0000-00009C570000}"/>
    <cellStyle name="Total 8 6 2" xfId="21153" xr:uid="{00000000-0005-0000-0000-00009D570000}"/>
    <cellStyle name="Total 8 7" xfId="13400" xr:uid="{00000000-0005-0000-0000-00009E570000}"/>
    <cellStyle name="Total 8 7 2" xfId="21154" xr:uid="{00000000-0005-0000-0000-00009F570000}"/>
    <cellStyle name="Total 8 8" xfId="13401" xr:uid="{00000000-0005-0000-0000-0000A0570000}"/>
    <cellStyle name="Total 8 8 2" xfId="21155" xr:uid="{00000000-0005-0000-0000-0000A1570000}"/>
    <cellStyle name="Total 8 9" xfId="13402" xr:uid="{00000000-0005-0000-0000-0000A2570000}"/>
    <cellStyle name="Total 8 9 2" xfId="21156" xr:uid="{00000000-0005-0000-0000-0000A3570000}"/>
    <cellStyle name="Total 9" xfId="13403" xr:uid="{00000000-0005-0000-0000-0000A4570000}"/>
    <cellStyle name="Total 9 10" xfId="13404" xr:uid="{00000000-0005-0000-0000-0000A5570000}"/>
    <cellStyle name="Total 9 10 2" xfId="21157" xr:uid="{00000000-0005-0000-0000-0000A6570000}"/>
    <cellStyle name="Total 9 11" xfId="13405" xr:uid="{00000000-0005-0000-0000-0000A7570000}"/>
    <cellStyle name="Total 9 11 2" xfId="21158" xr:uid="{00000000-0005-0000-0000-0000A8570000}"/>
    <cellStyle name="Total 9 2" xfId="13406" xr:uid="{00000000-0005-0000-0000-0000A9570000}"/>
    <cellStyle name="Total 9 2 2" xfId="13407" xr:uid="{00000000-0005-0000-0000-0000AA570000}"/>
    <cellStyle name="Total 9 2 2 2" xfId="21159" xr:uid="{00000000-0005-0000-0000-0000AB570000}"/>
    <cellStyle name="Total 9 2 3" xfId="13408" xr:uid="{00000000-0005-0000-0000-0000AC570000}"/>
    <cellStyle name="Total 9 2 3 2" xfId="21160" xr:uid="{00000000-0005-0000-0000-0000AD570000}"/>
    <cellStyle name="Total 9 2 4" xfId="13409" xr:uid="{00000000-0005-0000-0000-0000AE570000}"/>
    <cellStyle name="Total 9 2 4 2" xfId="21161" xr:uid="{00000000-0005-0000-0000-0000AF570000}"/>
    <cellStyle name="Total 9 2 5" xfId="13410" xr:uid="{00000000-0005-0000-0000-0000B0570000}"/>
    <cellStyle name="Total 9 2 5 2" xfId="21162" xr:uid="{00000000-0005-0000-0000-0000B1570000}"/>
    <cellStyle name="Total 9 2 6" xfId="13411" xr:uid="{00000000-0005-0000-0000-0000B2570000}"/>
    <cellStyle name="Total 9 2 6 2" xfId="21163" xr:uid="{00000000-0005-0000-0000-0000B3570000}"/>
    <cellStyle name="Total 9 2 7" xfId="13412" xr:uid="{00000000-0005-0000-0000-0000B4570000}"/>
    <cellStyle name="Total 9 2 7 2" xfId="21164" xr:uid="{00000000-0005-0000-0000-0000B5570000}"/>
    <cellStyle name="Total 9 2 8" xfId="13413" xr:uid="{00000000-0005-0000-0000-0000B6570000}"/>
    <cellStyle name="Total 9 2 8 2" xfId="21165" xr:uid="{00000000-0005-0000-0000-0000B7570000}"/>
    <cellStyle name="Total 9 2 9" xfId="13414" xr:uid="{00000000-0005-0000-0000-0000B8570000}"/>
    <cellStyle name="Total 9 2 9 2" xfId="21166" xr:uid="{00000000-0005-0000-0000-0000B9570000}"/>
    <cellStyle name="Total 9 3" xfId="13415" xr:uid="{00000000-0005-0000-0000-0000BA570000}"/>
    <cellStyle name="Total 9 3 2" xfId="13416" xr:uid="{00000000-0005-0000-0000-0000BB570000}"/>
    <cellStyle name="Total 9 3 2 2" xfId="21167" xr:uid="{00000000-0005-0000-0000-0000BC570000}"/>
    <cellStyle name="Total 9 3 3" xfId="13417" xr:uid="{00000000-0005-0000-0000-0000BD570000}"/>
    <cellStyle name="Total 9 3 3 2" xfId="21168" xr:uid="{00000000-0005-0000-0000-0000BE570000}"/>
    <cellStyle name="Total 9 3 4" xfId="13418" xr:uid="{00000000-0005-0000-0000-0000BF570000}"/>
    <cellStyle name="Total 9 3 4 2" xfId="21169" xr:uid="{00000000-0005-0000-0000-0000C0570000}"/>
    <cellStyle name="Total 9 3 5" xfId="13419" xr:uid="{00000000-0005-0000-0000-0000C1570000}"/>
    <cellStyle name="Total 9 3 5 2" xfId="21170" xr:uid="{00000000-0005-0000-0000-0000C2570000}"/>
    <cellStyle name="Total 9 3 6" xfId="13420" xr:uid="{00000000-0005-0000-0000-0000C3570000}"/>
    <cellStyle name="Total 9 3 6 2" xfId="21171" xr:uid="{00000000-0005-0000-0000-0000C4570000}"/>
    <cellStyle name="Total 9 3 7" xfId="13421" xr:uid="{00000000-0005-0000-0000-0000C5570000}"/>
    <cellStyle name="Total 9 3 7 2" xfId="21172" xr:uid="{00000000-0005-0000-0000-0000C6570000}"/>
    <cellStyle name="Total 9 3 8" xfId="13422" xr:uid="{00000000-0005-0000-0000-0000C7570000}"/>
    <cellStyle name="Total 9 3 8 2" xfId="21173" xr:uid="{00000000-0005-0000-0000-0000C8570000}"/>
    <cellStyle name="Total 9 3 9" xfId="13423" xr:uid="{00000000-0005-0000-0000-0000C9570000}"/>
    <cellStyle name="Total 9 3 9 2" xfId="21174" xr:uid="{00000000-0005-0000-0000-0000CA570000}"/>
    <cellStyle name="Total 9 4" xfId="13424" xr:uid="{00000000-0005-0000-0000-0000CB570000}"/>
    <cellStyle name="Total 9 4 2" xfId="13425" xr:uid="{00000000-0005-0000-0000-0000CC570000}"/>
    <cellStyle name="Total 9 4 3" xfId="21175" xr:uid="{00000000-0005-0000-0000-0000CD570000}"/>
    <cellStyle name="Total 9 5" xfId="13426" xr:uid="{00000000-0005-0000-0000-0000CE570000}"/>
    <cellStyle name="Total 9 5 2" xfId="21176" xr:uid="{00000000-0005-0000-0000-0000CF570000}"/>
    <cellStyle name="Total 9 6" xfId="13427" xr:uid="{00000000-0005-0000-0000-0000D0570000}"/>
    <cellStyle name="Total 9 6 2" xfId="21177" xr:uid="{00000000-0005-0000-0000-0000D1570000}"/>
    <cellStyle name="Total 9 7" xfId="13428" xr:uid="{00000000-0005-0000-0000-0000D2570000}"/>
    <cellStyle name="Total 9 7 2" xfId="21178" xr:uid="{00000000-0005-0000-0000-0000D3570000}"/>
    <cellStyle name="Total 9 8" xfId="13429" xr:uid="{00000000-0005-0000-0000-0000D4570000}"/>
    <cellStyle name="Total 9 8 2" xfId="21179" xr:uid="{00000000-0005-0000-0000-0000D5570000}"/>
    <cellStyle name="Total 9 9" xfId="13430" xr:uid="{00000000-0005-0000-0000-0000D6570000}"/>
    <cellStyle name="Total 9 9 2" xfId="21180" xr:uid="{00000000-0005-0000-0000-0000D7570000}"/>
    <cellStyle name="Warning Text 10" xfId="13431" xr:uid="{00000000-0005-0000-0000-0000D8570000}"/>
    <cellStyle name="Warning Text 10 10" xfId="13432" xr:uid="{00000000-0005-0000-0000-0000D9570000}"/>
    <cellStyle name="Warning Text 10 10 2" xfId="21181" xr:uid="{00000000-0005-0000-0000-0000DA570000}"/>
    <cellStyle name="Warning Text 10 11" xfId="13433" xr:uid="{00000000-0005-0000-0000-0000DB570000}"/>
    <cellStyle name="Warning Text 10 11 2" xfId="21182" xr:uid="{00000000-0005-0000-0000-0000DC570000}"/>
    <cellStyle name="Warning Text 10 2" xfId="13434" xr:uid="{00000000-0005-0000-0000-0000DD570000}"/>
    <cellStyle name="Warning Text 10 2 2" xfId="13435" xr:uid="{00000000-0005-0000-0000-0000DE570000}"/>
    <cellStyle name="Warning Text 10 2 2 2" xfId="21183" xr:uid="{00000000-0005-0000-0000-0000DF570000}"/>
    <cellStyle name="Warning Text 10 2 3" xfId="13436" xr:uid="{00000000-0005-0000-0000-0000E0570000}"/>
    <cellStyle name="Warning Text 10 2 3 2" xfId="21184" xr:uid="{00000000-0005-0000-0000-0000E1570000}"/>
    <cellStyle name="Warning Text 10 2 4" xfId="13437" xr:uid="{00000000-0005-0000-0000-0000E2570000}"/>
    <cellStyle name="Warning Text 10 2 4 2" xfId="21185" xr:uid="{00000000-0005-0000-0000-0000E3570000}"/>
    <cellStyle name="Warning Text 10 2 5" xfId="13438" xr:uid="{00000000-0005-0000-0000-0000E4570000}"/>
    <cellStyle name="Warning Text 10 2 5 2" xfId="21186" xr:uid="{00000000-0005-0000-0000-0000E5570000}"/>
    <cellStyle name="Warning Text 10 2 6" xfId="13439" xr:uid="{00000000-0005-0000-0000-0000E6570000}"/>
    <cellStyle name="Warning Text 10 2 6 2" xfId="21187" xr:uid="{00000000-0005-0000-0000-0000E7570000}"/>
    <cellStyle name="Warning Text 10 2 7" xfId="13440" xr:uid="{00000000-0005-0000-0000-0000E8570000}"/>
    <cellStyle name="Warning Text 10 2 7 2" xfId="21188" xr:uid="{00000000-0005-0000-0000-0000E9570000}"/>
    <cellStyle name="Warning Text 10 2 8" xfId="13441" xr:uid="{00000000-0005-0000-0000-0000EA570000}"/>
    <cellStyle name="Warning Text 10 2 8 2" xfId="21189" xr:uid="{00000000-0005-0000-0000-0000EB570000}"/>
    <cellStyle name="Warning Text 10 2 9" xfId="13442" xr:uid="{00000000-0005-0000-0000-0000EC570000}"/>
    <cellStyle name="Warning Text 10 2 9 2" xfId="21190" xr:uid="{00000000-0005-0000-0000-0000ED570000}"/>
    <cellStyle name="Warning Text 10 3" xfId="13443" xr:uid="{00000000-0005-0000-0000-0000EE570000}"/>
    <cellStyle name="Warning Text 10 3 2" xfId="13444" xr:uid="{00000000-0005-0000-0000-0000EF570000}"/>
    <cellStyle name="Warning Text 10 3 2 2" xfId="21191" xr:uid="{00000000-0005-0000-0000-0000F0570000}"/>
    <cellStyle name="Warning Text 10 3 3" xfId="13445" xr:uid="{00000000-0005-0000-0000-0000F1570000}"/>
    <cellStyle name="Warning Text 10 3 3 2" xfId="21192" xr:uid="{00000000-0005-0000-0000-0000F2570000}"/>
    <cellStyle name="Warning Text 10 3 4" xfId="13446" xr:uid="{00000000-0005-0000-0000-0000F3570000}"/>
    <cellStyle name="Warning Text 10 3 4 2" xfId="21193" xr:uid="{00000000-0005-0000-0000-0000F4570000}"/>
    <cellStyle name="Warning Text 10 3 5" xfId="13447" xr:uid="{00000000-0005-0000-0000-0000F5570000}"/>
    <cellStyle name="Warning Text 10 3 5 2" xfId="21194" xr:uid="{00000000-0005-0000-0000-0000F6570000}"/>
    <cellStyle name="Warning Text 10 3 6" xfId="13448" xr:uid="{00000000-0005-0000-0000-0000F7570000}"/>
    <cellStyle name="Warning Text 10 3 6 2" xfId="21195" xr:uid="{00000000-0005-0000-0000-0000F8570000}"/>
    <cellStyle name="Warning Text 10 3 7" xfId="13449" xr:uid="{00000000-0005-0000-0000-0000F9570000}"/>
    <cellStyle name="Warning Text 10 3 7 2" xfId="21196" xr:uid="{00000000-0005-0000-0000-0000FA570000}"/>
    <cellStyle name="Warning Text 10 3 8" xfId="13450" xr:uid="{00000000-0005-0000-0000-0000FB570000}"/>
    <cellStyle name="Warning Text 10 3 8 2" xfId="21197" xr:uid="{00000000-0005-0000-0000-0000FC570000}"/>
    <cellStyle name="Warning Text 10 3 9" xfId="13451" xr:uid="{00000000-0005-0000-0000-0000FD570000}"/>
    <cellStyle name="Warning Text 10 3 9 2" xfId="21198" xr:uid="{00000000-0005-0000-0000-0000FE570000}"/>
    <cellStyle name="Warning Text 10 4" xfId="13452" xr:uid="{00000000-0005-0000-0000-0000FF570000}"/>
    <cellStyle name="Warning Text 10 4 2" xfId="13453" xr:uid="{00000000-0005-0000-0000-000000580000}"/>
    <cellStyle name="Warning Text 10 4 3" xfId="21199" xr:uid="{00000000-0005-0000-0000-000001580000}"/>
    <cellStyle name="Warning Text 10 5" xfId="13454" xr:uid="{00000000-0005-0000-0000-000002580000}"/>
    <cellStyle name="Warning Text 10 5 2" xfId="21200" xr:uid="{00000000-0005-0000-0000-000003580000}"/>
    <cellStyle name="Warning Text 10 6" xfId="13455" xr:uid="{00000000-0005-0000-0000-000004580000}"/>
    <cellStyle name="Warning Text 10 6 2" xfId="21201" xr:uid="{00000000-0005-0000-0000-000005580000}"/>
    <cellStyle name="Warning Text 10 7" xfId="13456" xr:uid="{00000000-0005-0000-0000-000006580000}"/>
    <cellStyle name="Warning Text 10 7 2" xfId="21202" xr:uid="{00000000-0005-0000-0000-000007580000}"/>
    <cellStyle name="Warning Text 10 8" xfId="13457" xr:uid="{00000000-0005-0000-0000-000008580000}"/>
    <cellStyle name="Warning Text 10 8 2" xfId="21203" xr:uid="{00000000-0005-0000-0000-000009580000}"/>
    <cellStyle name="Warning Text 10 9" xfId="13458" xr:uid="{00000000-0005-0000-0000-00000A580000}"/>
    <cellStyle name="Warning Text 10 9 2" xfId="21204" xr:uid="{00000000-0005-0000-0000-00000B580000}"/>
    <cellStyle name="Warning Text 11" xfId="13459" xr:uid="{00000000-0005-0000-0000-00000C580000}"/>
    <cellStyle name="Warning Text 11 10" xfId="13460" xr:uid="{00000000-0005-0000-0000-00000D580000}"/>
    <cellStyle name="Warning Text 11 10 2" xfId="21205" xr:uid="{00000000-0005-0000-0000-00000E580000}"/>
    <cellStyle name="Warning Text 11 11" xfId="13461" xr:uid="{00000000-0005-0000-0000-00000F580000}"/>
    <cellStyle name="Warning Text 11 11 2" xfId="21206" xr:uid="{00000000-0005-0000-0000-000010580000}"/>
    <cellStyle name="Warning Text 11 2" xfId="13462" xr:uid="{00000000-0005-0000-0000-000011580000}"/>
    <cellStyle name="Warning Text 11 2 2" xfId="13463" xr:uid="{00000000-0005-0000-0000-000012580000}"/>
    <cellStyle name="Warning Text 11 2 2 2" xfId="21207" xr:uid="{00000000-0005-0000-0000-000013580000}"/>
    <cellStyle name="Warning Text 11 2 3" xfId="13464" xr:uid="{00000000-0005-0000-0000-000014580000}"/>
    <cellStyle name="Warning Text 11 2 3 2" xfId="21208" xr:uid="{00000000-0005-0000-0000-000015580000}"/>
    <cellStyle name="Warning Text 11 2 4" xfId="13465" xr:uid="{00000000-0005-0000-0000-000016580000}"/>
    <cellStyle name="Warning Text 11 2 4 2" xfId="21209" xr:uid="{00000000-0005-0000-0000-000017580000}"/>
    <cellStyle name="Warning Text 11 2 5" xfId="13466" xr:uid="{00000000-0005-0000-0000-000018580000}"/>
    <cellStyle name="Warning Text 11 2 5 2" xfId="21210" xr:uid="{00000000-0005-0000-0000-000019580000}"/>
    <cellStyle name="Warning Text 11 2 6" xfId="13467" xr:uid="{00000000-0005-0000-0000-00001A580000}"/>
    <cellStyle name="Warning Text 11 2 6 2" xfId="21211" xr:uid="{00000000-0005-0000-0000-00001B580000}"/>
    <cellStyle name="Warning Text 11 2 7" xfId="13468" xr:uid="{00000000-0005-0000-0000-00001C580000}"/>
    <cellStyle name="Warning Text 11 2 7 2" xfId="21212" xr:uid="{00000000-0005-0000-0000-00001D580000}"/>
    <cellStyle name="Warning Text 11 2 8" xfId="13469" xr:uid="{00000000-0005-0000-0000-00001E580000}"/>
    <cellStyle name="Warning Text 11 2 8 2" xfId="21213" xr:uid="{00000000-0005-0000-0000-00001F580000}"/>
    <cellStyle name="Warning Text 11 2 9" xfId="13470" xr:uid="{00000000-0005-0000-0000-000020580000}"/>
    <cellStyle name="Warning Text 11 2 9 2" xfId="21214" xr:uid="{00000000-0005-0000-0000-000021580000}"/>
    <cellStyle name="Warning Text 11 3" xfId="13471" xr:uid="{00000000-0005-0000-0000-000022580000}"/>
    <cellStyle name="Warning Text 11 3 2" xfId="13472" xr:uid="{00000000-0005-0000-0000-000023580000}"/>
    <cellStyle name="Warning Text 11 3 2 2" xfId="21215" xr:uid="{00000000-0005-0000-0000-000024580000}"/>
    <cellStyle name="Warning Text 11 3 3" xfId="13473" xr:uid="{00000000-0005-0000-0000-000025580000}"/>
    <cellStyle name="Warning Text 11 3 3 2" xfId="21216" xr:uid="{00000000-0005-0000-0000-000026580000}"/>
    <cellStyle name="Warning Text 11 3 4" xfId="13474" xr:uid="{00000000-0005-0000-0000-000027580000}"/>
    <cellStyle name="Warning Text 11 3 4 2" xfId="21217" xr:uid="{00000000-0005-0000-0000-000028580000}"/>
    <cellStyle name="Warning Text 11 3 5" xfId="13475" xr:uid="{00000000-0005-0000-0000-000029580000}"/>
    <cellStyle name="Warning Text 11 3 5 2" xfId="21218" xr:uid="{00000000-0005-0000-0000-00002A580000}"/>
    <cellStyle name="Warning Text 11 3 6" xfId="13476" xr:uid="{00000000-0005-0000-0000-00002B580000}"/>
    <cellStyle name="Warning Text 11 3 6 2" xfId="21219" xr:uid="{00000000-0005-0000-0000-00002C580000}"/>
    <cellStyle name="Warning Text 11 3 7" xfId="13477" xr:uid="{00000000-0005-0000-0000-00002D580000}"/>
    <cellStyle name="Warning Text 11 3 7 2" xfId="21220" xr:uid="{00000000-0005-0000-0000-00002E580000}"/>
    <cellStyle name="Warning Text 11 3 8" xfId="13478" xr:uid="{00000000-0005-0000-0000-00002F580000}"/>
    <cellStyle name="Warning Text 11 3 8 2" xfId="21221" xr:uid="{00000000-0005-0000-0000-000030580000}"/>
    <cellStyle name="Warning Text 11 3 9" xfId="13479" xr:uid="{00000000-0005-0000-0000-000031580000}"/>
    <cellStyle name="Warning Text 11 3 9 2" xfId="21222" xr:uid="{00000000-0005-0000-0000-000032580000}"/>
    <cellStyle name="Warning Text 11 4" xfId="13480" xr:uid="{00000000-0005-0000-0000-000033580000}"/>
    <cellStyle name="Warning Text 11 4 2" xfId="13481" xr:uid="{00000000-0005-0000-0000-000034580000}"/>
    <cellStyle name="Warning Text 11 4 3" xfId="21223" xr:uid="{00000000-0005-0000-0000-000035580000}"/>
    <cellStyle name="Warning Text 11 5" xfId="13482" xr:uid="{00000000-0005-0000-0000-000036580000}"/>
    <cellStyle name="Warning Text 11 5 2" xfId="21224" xr:uid="{00000000-0005-0000-0000-000037580000}"/>
    <cellStyle name="Warning Text 11 6" xfId="13483" xr:uid="{00000000-0005-0000-0000-000038580000}"/>
    <cellStyle name="Warning Text 11 6 2" xfId="21225" xr:uid="{00000000-0005-0000-0000-000039580000}"/>
    <cellStyle name="Warning Text 11 7" xfId="13484" xr:uid="{00000000-0005-0000-0000-00003A580000}"/>
    <cellStyle name="Warning Text 11 7 2" xfId="21226" xr:uid="{00000000-0005-0000-0000-00003B580000}"/>
    <cellStyle name="Warning Text 11 8" xfId="13485" xr:uid="{00000000-0005-0000-0000-00003C580000}"/>
    <cellStyle name="Warning Text 11 8 2" xfId="21227" xr:uid="{00000000-0005-0000-0000-00003D580000}"/>
    <cellStyle name="Warning Text 11 9" xfId="13486" xr:uid="{00000000-0005-0000-0000-00003E580000}"/>
    <cellStyle name="Warning Text 11 9 2" xfId="21228" xr:uid="{00000000-0005-0000-0000-00003F580000}"/>
    <cellStyle name="Warning Text 12" xfId="13487" xr:uid="{00000000-0005-0000-0000-000040580000}"/>
    <cellStyle name="Warning Text 12 10" xfId="13488" xr:uid="{00000000-0005-0000-0000-000041580000}"/>
    <cellStyle name="Warning Text 12 10 2" xfId="21229" xr:uid="{00000000-0005-0000-0000-000042580000}"/>
    <cellStyle name="Warning Text 12 11" xfId="13489" xr:uid="{00000000-0005-0000-0000-000043580000}"/>
    <cellStyle name="Warning Text 12 11 2" xfId="21230" xr:uid="{00000000-0005-0000-0000-000044580000}"/>
    <cellStyle name="Warning Text 12 2" xfId="13490" xr:uid="{00000000-0005-0000-0000-000045580000}"/>
    <cellStyle name="Warning Text 12 2 2" xfId="13491" xr:uid="{00000000-0005-0000-0000-000046580000}"/>
    <cellStyle name="Warning Text 12 2 2 2" xfId="21231" xr:uid="{00000000-0005-0000-0000-000047580000}"/>
    <cellStyle name="Warning Text 12 2 3" xfId="13492" xr:uid="{00000000-0005-0000-0000-000048580000}"/>
    <cellStyle name="Warning Text 12 2 3 2" xfId="21232" xr:uid="{00000000-0005-0000-0000-000049580000}"/>
    <cellStyle name="Warning Text 12 2 4" xfId="13493" xr:uid="{00000000-0005-0000-0000-00004A580000}"/>
    <cellStyle name="Warning Text 12 2 4 2" xfId="21233" xr:uid="{00000000-0005-0000-0000-00004B580000}"/>
    <cellStyle name="Warning Text 12 2 5" xfId="13494" xr:uid="{00000000-0005-0000-0000-00004C580000}"/>
    <cellStyle name="Warning Text 12 2 5 2" xfId="21234" xr:uid="{00000000-0005-0000-0000-00004D580000}"/>
    <cellStyle name="Warning Text 12 2 6" xfId="13495" xr:uid="{00000000-0005-0000-0000-00004E580000}"/>
    <cellStyle name="Warning Text 12 2 6 2" xfId="21235" xr:uid="{00000000-0005-0000-0000-00004F580000}"/>
    <cellStyle name="Warning Text 12 2 7" xfId="13496" xr:uid="{00000000-0005-0000-0000-000050580000}"/>
    <cellStyle name="Warning Text 12 2 7 2" xfId="21236" xr:uid="{00000000-0005-0000-0000-000051580000}"/>
    <cellStyle name="Warning Text 12 2 8" xfId="13497" xr:uid="{00000000-0005-0000-0000-000052580000}"/>
    <cellStyle name="Warning Text 12 2 8 2" xfId="21237" xr:uid="{00000000-0005-0000-0000-000053580000}"/>
    <cellStyle name="Warning Text 12 2 9" xfId="13498" xr:uid="{00000000-0005-0000-0000-000054580000}"/>
    <cellStyle name="Warning Text 12 2 9 2" xfId="21238" xr:uid="{00000000-0005-0000-0000-000055580000}"/>
    <cellStyle name="Warning Text 12 3" xfId="13499" xr:uid="{00000000-0005-0000-0000-000056580000}"/>
    <cellStyle name="Warning Text 12 3 2" xfId="13500" xr:uid="{00000000-0005-0000-0000-000057580000}"/>
    <cellStyle name="Warning Text 12 3 2 2" xfId="21239" xr:uid="{00000000-0005-0000-0000-000058580000}"/>
    <cellStyle name="Warning Text 12 3 3" xfId="13501" xr:uid="{00000000-0005-0000-0000-000059580000}"/>
    <cellStyle name="Warning Text 12 3 3 2" xfId="21240" xr:uid="{00000000-0005-0000-0000-00005A580000}"/>
    <cellStyle name="Warning Text 12 3 4" xfId="13502" xr:uid="{00000000-0005-0000-0000-00005B580000}"/>
    <cellStyle name="Warning Text 12 3 4 2" xfId="21241" xr:uid="{00000000-0005-0000-0000-00005C580000}"/>
    <cellStyle name="Warning Text 12 3 5" xfId="13503" xr:uid="{00000000-0005-0000-0000-00005D580000}"/>
    <cellStyle name="Warning Text 12 3 5 2" xfId="21242" xr:uid="{00000000-0005-0000-0000-00005E580000}"/>
    <cellStyle name="Warning Text 12 3 6" xfId="13504" xr:uid="{00000000-0005-0000-0000-00005F580000}"/>
    <cellStyle name="Warning Text 12 3 6 2" xfId="21243" xr:uid="{00000000-0005-0000-0000-000060580000}"/>
    <cellStyle name="Warning Text 12 3 7" xfId="13505" xr:uid="{00000000-0005-0000-0000-000061580000}"/>
    <cellStyle name="Warning Text 12 3 7 2" xfId="21244" xr:uid="{00000000-0005-0000-0000-000062580000}"/>
    <cellStyle name="Warning Text 12 3 8" xfId="13506" xr:uid="{00000000-0005-0000-0000-000063580000}"/>
    <cellStyle name="Warning Text 12 3 8 2" xfId="21245" xr:uid="{00000000-0005-0000-0000-000064580000}"/>
    <cellStyle name="Warning Text 12 3 9" xfId="13507" xr:uid="{00000000-0005-0000-0000-000065580000}"/>
    <cellStyle name="Warning Text 12 3 9 2" xfId="21246" xr:uid="{00000000-0005-0000-0000-000066580000}"/>
    <cellStyle name="Warning Text 12 4" xfId="13508" xr:uid="{00000000-0005-0000-0000-000067580000}"/>
    <cellStyle name="Warning Text 12 4 2" xfId="13509" xr:uid="{00000000-0005-0000-0000-000068580000}"/>
    <cellStyle name="Warning Text 12 4 3" xfId="21247" xr:uid="{00000000-0005-0000-0000-000069580000}"/>
    <cellStyle name="Warning Text 12 5" xfId="13510" xr:uid="{00000000-0005-0000-0000-00006A580000}"/>
    <cellStyle name="Warning Text 12 5 2" xfId="21248" xr:uid="{00000000-0005-0000-0000-00006B580000}"/>
    <cellStyle name="Warning Text 12 6" xfId="13511" xr:uid="{00000000-0005-0000-0000-00006C580000}"/>
    <cellStyle name="Warning Text 12 6 2" xfId="21249" xr:uid="{00000000-0005-0000-0000-00006D580000}"/>
    <cellStyle name="Warning Text 12 7" xfId="13512" xr:uid="{00000000-0005-0000-0000-00006E580000}"/>
    <cellStyle name="Warning Text 12 7 2" xfId="21250" xr:uid="{00000000-0005-0000-0000-00006F580000}"/>
    <cellStyle name="Warning Text 12 8" xfId="13513" xr:uid="{00000000-0005-0000-0000-000070580000}"/>
    <cellStyle name="Warning Text 12 8 2" xfId="21251" xr:uid="{00000000-0005-0000-0000-000071580000}"/>
    <cellStyle name="Warning Text 12 9" xfId="13514" xr:uid="{00000000-0005-0000-0000-000072580000}"/>
    <cellStyle name="Warning Text 12 9 2" xfId="21252" xr:uid="{00000000-0005-0000-0000-000073580000}"/>
    <cellStyle name="Warning Text 13" xfId="13515" xr:uid="{00000000-0005-0000-0000-000074580000}"/>
    <cellStyle name="Warning Text 13 10" xfId="13516" xr:uid="{00000000-0005-0000-0000-000075580000}"/>
    <cellStyle name="Warning Text 13 10 2" xfId="21253" xr:uid="{00000000-0005-0000-0000-000076580000}"/>
    <cellStyle name="Warning Text 13 11" xfId="13517" xr:uid="{00000000-0005-0000-0000-000077580000}"/>
    <cellStyle name="Warning Text 13 11 2" xfId="21254" xr:uid="{00000000-0005-0000-0000-000078580000}"/>
    <cellStyle name="Warning Text 13 2" xfId="13518" xr:uid="{00000000-0005-0000-0000-000079580000}"/>
    <cellStyle name="Warning Text 13 2 2" xfId="13519" xr:uid="{00000000-0005-0000-0000-00007A580000}"/>
    <cellStyle name="Warning Text 13 2 2 2" xfId="21255" xr:uid="{00000000-0005-0000-0000-00007B580000}"/>
    <cellStyle name="Warning Text 13 2 3" xfId="13520" xr:uid="{00000000-0005-0000-0000-00007C580000}"/>
    <cellStyle name="Warning Text 13 2 3 2" xfId="21256" xr:uid="{00000000-0005-0000-0000-00007D580000}"/>
    <cellStyle name="Warning Text 13 2 4" xfId="13521" xr:uid="{00000000-0005-0000-0000-00007E580000}"/>
    <cellStyle name="Warning Text 13 2 4 2" xfId="21257" xr:uid="{00000000-0005-0000-0000-00007F580000}"/>
    <cellStyle name="Warning Text 13 2 5" xfId="13522" xr:uid="{00000000-0005-0000-0000-000080580000}"/>
    <cellStyle name="Warning Text 13 2 5 2" xfId="21258" xr:uid="{00000000-0005-0000-0000-000081580000}"/>
    <cellStyle name="Warning Text 13 2 6" xfId="13523" xr:uid="{00000000-0005-0000-0000-000082580000}"/>
    <cellStyle name="Warning Text 13 2 6 2" xfId="21259" xr:uid="{00000000-0005-0000-0000-000083580000}"/>
    <cellStyle name="Warning Text 13 2 7" xfId="13524" xr:uid="{00000000-0005-0000-0000-000084580000}"/>
    <cellStyle name="Warning Text 13 2 7 2" xfId="21260" xr:uid="{00000000-0005-0000-0000-000085580000}"/>
    <cellStyle name="Warning Text 13 2 8" xfId="13525" xr:uid="{00000000-0005-0000-0000-000086580000}"/>
    <cellStyle name="Warning Text 13 2 8 2" xfId="21261" xr:uid="{00000000-0005-0000-0000-000087580000}"/>
    <cellStyle name="Warning Text 13 2 9" xfId="13526" xr:uid="{00000000-0005-0000-0000-000088580000}"/>
    <cellStyle name="Warning Text 13 2 9 2" xfId="21262" xr:uid="{00000000-0005-0000-0000-000089580000}"/>
    <cellStyle name="Warning Text 13 3" xfId="13527" xr:uid="{00000000-0005-0000-0000-00008A580000}"/>
    <cellStyle name="Warning Text 13 3 2" xfId="13528" xr:uid="{00000000-0005-0000-0000-00008B580000}"/>
    <cellStyle name="Warning Text 13 3 2 2" xfId="21263" xr:uid="{00000000-0005-0000-0000-00008C580000}"/>
    <cellStyle name="Warning Text 13 3 3" xfId="13529" xr:uid="{00000000-0005-0000-0000-00008D580000}"/>
    <cellStyle name="Warning Text 13 3 3 2" xfId="21264" xr:uid="{00000000-0005-0000-0000-00008E580000}"/>
    <cellStyle name="Warning Text 13 3 4" xfId="13530" xr:uid="{00000000-0005-0000-0000-00008F580000}"/>
    <cellStyle name="Warning Text 13 3 4 2" xfId="21265" xr:uid="{00000000-0005-0000-0000-000090580000}"/>
    <cellStyle name="Warning Text 13 3 5" xfId="13531" xr:uid="{00000000-0005-0000-0000-000091580000}"/>
    <cellStyle name="Warning Text 13 3 5 2" xfId="21266" xr:uid="{00000000-0005-0000-0000-000092580000}"/>
    <cellStyle name="Warning Text 13 3 6" xfId="13532" xr:uid="{00000000-0005-0000-0000-000093580000}"/>
    <cellStyle name="Warning Text 13 3 6 2" xfId="21267" xr:uid="{00000000-0005-0000-0000-000094580000}"/>
    <cellStyle name="Warning Text 13 3 7" xfId="13533" xr:uid="{00000000-0005-0000-0000-000095580000}"/>
    <cellStyle name="Warning Text 13 3 7 2" xfId="21268" xr:uid="{00000000-0005-0000-0000-000096580000}"/>
    <cellStyle name="Warning Text 13 3 8" xfId="13534" xr:uid="{00000000-0005-0000-0000-000097580000}"/>
    <cellStyle name="Warning Text 13 3 8 2" xfId="21269" xr:uid="{00000000-0005-0000-0000-000098580000}"/>
    <cellStyle name="Warning Text 13 3 9" xfId="13535" xr:uid="{00000000-0005-0000-0000-000099580000}"/>
    <cellStyle name="Warning Text 13 3 9 2" xfId="21270" xr:uid="{00000000-0005-0000-0000-00009A580000}"/>
    <cellStyle name="Warning Text 13 4" xfId="13536" xr:uid="{00000000-0005-0000-0000-00009B580000}"/>
    <cellStyle name="Warning Text 13 4 2" xfId="21271" xr:uid="{00000000-0005-0000-0000-00009C580000}"/>
    <cellStyle name="Warning Text 13 5" xfId="13537" xr:uid="{00000000-0005-0000-0000-00009D580000}"/>
    <cellStyle name="Warning Text 13 5 2" xfId="21272" xr:uid="{00000000-0005-0000-0000-00009E580000}"/>
    <cellStyle name="Warning Text 13 6" xfId="13538" xr:uid="{00000000-0005-0000-0000-00009F580000}"/>
    <cellStyle name="Warning Text 13 6 2" xfId="21273" xr:uid="{00000000-0005-0000-0000-0000A0580000}"/>
    <cellStyle name="Warning Text 13 7" xfId="13539" xr:uid="{00000000-0005-0000-0000-0000A1580000}"/>
    <cellStyle name="Warning Text 13 7 2" xfId="21274" xr:uid="{00000000-0005-0000-0000-0000A2580000}"/>
    <cellStyle name="Warning Text 13 8" xfId="13540" xr:uid="{00000000-0005-0000-0000-0000A3580000}"/>
    <cellStyle name="Warning Text 13 8 2" xfId="21275" xr:uid="{00000000-0005-0000-0000-0000A4580000}"/>
    <cellStyle name="Warning Text 13 9" xfId="13541" xr:uid="{00000000-0005-0000-0000-0000A5580000}"/>
    <cellStyle name="Warning Text 13 9 2" xfId="21276" xr:uid="{00000000-0005-0000-0000-0000A6580000}"/>
    <cellStyle name="Warning Text 14" xfId="13542" xr:uid="{00000000-0005-0000-0000-0000A7580000}"/>
    <cellStyle name="Warning Text 14 10" xfId="13543" xr:uid="{00000000-0005-0000-0000-0000A8580000}"/>
    <cellStyle name="Warning Text 14 10 2" xfId="21277" xr:uid="{00000000-0005-0000-0000-0000A9580000}"/>
    <cellStyle name="Warning Text 14 11" xfId="13544" xr:uid="{00000000-0005-0000-0000-0000AA580000}"/>
    <cellStyle name="Warning Text 14 11 2" xfId="21278" xr:uid="{00000000-0005-0000-0000-0000AB580000}"/>
    <cellStyle name="Warning Text 14 2" xfId="13545" xr:uid="{00000000-0005-0000-0000-0000AC580000}"/>
    <cellStyle name="Warning Text 14 2 2" xfId="13546" xr:uid="{00000000-0005-0000-0000-0000AD580000}"/>
    <cellStyle name="Warning Text 14 2 2 2" xfId="21279" xr:uid="{00000000-0005-0000-0000-0000AE580000}"/>
    <cellStyle name="Warning Text 14 2 3" xfId="13547" xr:uid="{00000000-0005-0000-0000-0000AF580000}"/>
    <cellStyle name="Warning Text 14 2 3 2" xfId="21280" xr:uid="{00000000-0005-0000-0000-0000B0580000}"/>
    <cellStyle name="Warning Text 14 2 4" xfId="13548" xr:uid="{00000000-0005-0000-0000-0000B1580000}"/>
    <cellStyle name="Warning Text 14 2 4 2" xfId="21281" xr:uid="{00000000-0005-0000-0000-0000B2580000}"/>
    <cellStyle name="Warning Text 14 2 5" xfId="13549" xr:uid="{00000000-0005-0000-0000-0000B3580000}"/>
    <cellStyle name="Warning Text 14 2 5 2" xfId="21282" xr:uid="{00000000-0005-0000-0000-0000B4580000}"/>
    <cellStyle name="Warning Text 14 2 6" xfId="13550" xr:uid="{00000000-0005-0000-0000-0000B5580000}"/>
    <cellStyle name="Warning Text 14 2 6 2" xfId="21283" xr:uid="{00000000-0005-0000-0000-0000B6580000}"/>
    <cellStyle name="Warning Text 14 2 7" xfId="13551" xr:uid="{00000000-0005-0000-0000-0000B7580000}"/>
    <cellStyle name="Warning Text 14 2 7 2" xfId="21284" xr:uid="{00000000-0005-0000-0000-0000B8580000}"/>
    <cellStyle name="Warning Text 14 2 8" xfId="13552" xr:uid="{00000000-0005-0000-0000-0000B9580000}"/>
    <cellStyle name="Warning Text 14 2 8 2" xfId="21285" xr:uid="{00000000-0005-0000-0000-0000BA580000}"/>
    <cellStyle name="Warning Text 14 2 9" xfId="13553" xr:uid="{00000000-0005-0000-0000-0000BB580000}"/>
    <cellStyle name="Warning Text 14 2 9 2" xfId="21286" xr:uid="{00000000-0005-0000-0000-0000BC580000}"/>
    <cellStyle name="Warning Text 14 3" xfId="13554" xr:uid="{00000000-0005-0000-0000-0000BD580000}"/>
    <cellStyle name="Warning Text 14 3 2" xfId="13555" xr:uid="{00000000-0005-0000-0000-0000BE580000}"/>
    <cellStyle name="Warning Text 14 3 2 2" xfId="21287" xr:uid="{00000000-0005-0000-0000-0000BF580000}"/>
    <cellStyle name="Warning Text 14 3 3" xfId="13556" xr:uid="{00000000-0005-0000-0000-0000C0580000}"/>
    <cellStyle name="Warning Text 14 3 3 2" xfId="21288" xr:uid="{00000000-0005-0000-0000-0000C1580000}"/>
    <cellStyle name="Warning Text 14 3 4" xfId="13557" xr:uid="{00000000-0005-0000-0000-0000C2580000}"/>
    <cellStyle name="Warning Text 14 3 4 2" xfId="21289" xr:uid="{00000000-0005-0000-0000-0000C3580000}"/>
    <cellStyle name="Warning Text 14 3 5" xfId="13558" xr:uid="{00000000-0005-0000-0000-0000C4580000}"/>
    <cellStyle name="Warning Text 14 3 5 2" xfId="21290" xr:uid="{00000000-0005-0000-0000-0000C5580000}"/>
    <cellStyle name="Warning Text 14 3 6" xfId="13559" xr:uid="{00000000-0005-0000-0000-0000C6580000}"/>
    <cellStyle name="Warning Text 14 3 6 2" xfId="21291" xr:uid="{00000000-0005-0000-0000-0000C7580000}"/>
    <cellStyle name="Warning Text 14 3 7" xfId="13560" xr:uid="{00000000-0005-0000-0000-0000C8580000}"/>
    <cellStyle name="Warning Text 14 3 7 2" xfId="21292" xr:uid="{00000000-0005-0000-0000-0000C9580000}"/>
    <cellStyle name="Warning Text 14 3 8" xfId="13561" xr:uid="{00000000-0005-0000-0000-0000CA580000}"/>
    <cellStyle name="Warning Text 14 3 8 2" xfId="21293" xr:uid="{00000000-0005-0000-0000-0000CB580000}"/>
    <cellStyle name="Warning Text 14 3 9" xfId="13562" xr:uid="{00000000-0005-0000-0000-0000CC580000}"/>
    <cellStyle name="Warning Text 14 3 9 2" xfId="21294" xr:uid="{00000000-0005-0000-0000-0000CD580000}"/>
    <cellStyle name="Warning Text 14 4" xfId="13563" xr:uid="{00000000-0005-0000-0000-0000CE580000}"/>
    <cellStyle name="Warning Text 14 4 2" xfId="21295" xr:uid="{00000000-0005-0000-0000-0000CF580000}"/>
    <cellStyle name="Warning Text 14 5" xfId="13564" xr:uid="{00000000-0005-0000-0000-0000D0580000}"/>
    <cellStyle name="Warning Text 14 5 2" xfId="21296" xr:uid="{00000000-0005-0000-0000-0000D1580000}"/>
    <cellStyle name="Warning Text 14 6" xfId="13565" xr:uid="{00000000-0005-0000-0000-0000D2580000}"/>
    <cellStyle name="Warning Text 14 6 2" xfId="21297" xr:uid="{00000000-0005-0000-0000-0000D3580000}"/>
    <cellStyle name="Warning Text 14 7" xfId="13566" xr:uid="{00000000-0005-0000-0000-0000D4580000}"/>
    <cellStyle name="Warning Text 14 7 2" xfId="21298" xr:uid="{00000000-0005-0000-0000-0000D5580000}"/>
    <cellStyle name="Warning Text 14 8" xfId="13567" xr:uid="{00000000-0005-0000-0000-0000D6580000}"/>
    <cellStyle name="Warning Text 14 8 2" xfId="21299" xr:uid="{00000000-0005-0000-0000-0000D7580000}"/>
    <cellStyle name="Warning Text 14 9" xfId="13568" xr:uid="{00000000-0005-0000-0000-0000D8580000}"/>
    <cellStyle name="Warning Text 14 9 2" xfId="21300" xr:uid="{00000000-0005-0000-0000-0000D9580000}"/>
    <cellStyle name="Warning Text 15" xfId="13569" xr:uid="{00000000-0005-0000-0000-0000DA580000}"/>
    <cellStyle name="Warning Text 15 10" xfId="13570" xr:uid="{00000000-0005-0000-0000-0000DB580000}"/>
    <cellStyle name="Warning Text 15 10 2" xfId="21301" xr:uid="{00000000-0005-0000-0000-0000DC580000}"/>
    <cellStyle name="Warning Text 15 11" xfId="13571" xr:uid="{00000000-0005-0000-0000-0000DD580000}"/>
    <cellStyle name="Warning Text 15 11 2" xfId="21302" xr:uid="{00000000-0005-0000-0000-0000DE580000}"/>
    <cellStyle name="Warning Text 15 2" xfId="13572" xr:uid="{00000000-0005-0000-0000-0000DF580000}"/>
    <cellStyle name="Warning Text 15 2 2" xfId="13573" xr:uid="{00000000-0005-0000-0000-0000E0580000}"/>
    <cellStyle name="Warning Text 15 2 2 2" xfId="21303" xr:uid="{00000000-0005-0000-0000-0000E1580000}"/>
    <cellStyle name="Warning Text 15 2 3" xfId="13574" xr:uid="{00000000-0005-0000-0000-0000E2580000}"/>
    <cellStyle name="Warning Text 15 2 3 2" xfId="21304" xr:uid="{00000000-0005-0000-0000-0000E3580000}"/>
    <cellStyle name="Warning Text 15 2 4" xfId="13575" xr:uid="{00000000-0005-0000-0000-0000E4580000}"/>
    <cellStyle name="Warning Text 15 2 4 2" xfId="21305" xr:uid="{00000000-0005-0000-0000-0000E5580000}"/>
    <cellStyle name="Warning Text 15 2 5" xfId="13576" xr:uid="{00000000-0005-0000-0000-0000E6580000}"/>
    <cellStyle name="Warning Text 15 2 5 2" xfId="21306" xr:uid="{00000000-0005-0000-0000-0000E7580000}"/>
    <cellStyle name="Warning Text 15 2 6" xfId="13577" xr:uid="{00000000-0005-0000-0000-0000E8580000}"/>
    <cellStyle name="Warning Text 15 2 6 2" xfId="21307" xr:uid="{00000000-0005-0000-0000-0000E9580000}"/>
    <cellStyle name="Warning Text 15 2 7" xfId="13578" xr:uid="{00000000-0005-0000-0000-0000EA580000}"/>
    <cellStyle name="Warning Text 15 2 7 2" xfId="21308" xr:uid="{00000000-0005-0000-0000-0000EB580000}"/>
    <cellStyle name="Warning Text 15 2 8" xfId="13579" xr:uid="{00000000-0005-0000-0000-0000EC580000}"/>
    <cellStyle name="Warning Text 15 2 8 2" xfId="21309" xr:uid="{00000000-0005-0000-0000-0000ED580000}"/>
    <cellStyle name="Warning Text 15 2 9" xfId="13580" xr:uid="{00000000-0005-0000-0000-0000EE580000}"/>
    <cellStyle name="Warning Text 15 2 9 2" xfId="21310" xr:uid="{00000000-0005-0000-0000-0000EF580000}"/>
    <cellStyle name="Warning Text 15 3" xfId="13581" xr:uid="{00000000-0005-0000-0000-0000F0580000}"/>
    <cellStyle name="Warning Text 15 3 2" xfId="13582" xr:uid="{00000000-0005-0000-0000-0000F1580000}"/>
    <cellStyle name="Warning Text 15 3 2 2" xfId="21311" xr:uid="{00000000-0005-0000-0000-0000F2580000}"/>
    <cellStyle name="Warning Text 15 3 3" xfId="13583" xr:uid="{00000000-0005-0000-0000-0000F3580000}"/>
    <cellStyle name="Warning Text 15 3 3 2" xfId="21312" xr:uid="{00000000-0005-0000-0000-0000F4580000}"/>
    <cellStyle name="Warning Text 15 3 4" xfId="13584" xr:uid="{00000000-0005-0000-0000-0000F5580000}"/>
    <cellStyle name="Warning Text 15 3 4 2" xfId="21313" xr:uid="{00000000-0005-0000-0000-0000F6580000}"/>
    <cellStyle name="Warning Text 15 3 5" xfId="13585" xr:uid="{00000000-0005-0000-0000-0000F7580000}"/>
    <cellStyle name="Warning Text 15 3 5 2" xfId="21314" xr:uid="{00000000-0005-0000-0000-0000F8580000}"/>
    <cellStyle name="Warning Text 15 3 6" xfId="13586" xr:uid="{00000000-0005-0000-0000-0000F9580000}"/>
    <cellStyle name="Warning Text 15 3 6 2" xfId="21315" xr:uid="{00000000-0005-0000-0000-0000FA580000}"/>
    <cellStyle name="Warning Text 15 3 7" xfId="13587" xr:uid="{00000000-0005-0000-0000-0000FB580000}"/>
    <cellStyle name="Warning Text 15 3 7 2" xfId="21316" xr:uid="{00000000-0005-0000-0000-0000FC580000}"/>
    <cellStyle name="Warning Text 15 3 8" xfId="13588" xr:uid="{00000000-0005-0000-0000-0000FD580000}"/>
    <cellStyle name="Warning Text 15 3 8 2" xfId="21317" xr:uid="{00000000-0005-0000-0000-0000FE580000}"/>
    <cellStyle name="Warning Text 15 3 9" xfId="13589" xr:uid="{00000000-0005-0000-0000-0000FF580000}"/>
    <cellStyle name="Warning Text 15 3 9 2" xfId="21318" xr:uid="{00000000-0005-0000-0000-000000590000}"/>
    <cellStyle name="Warning Text 15 4" xfId="13590" xr:uid="{00000000-0005-0000-0000-000001590000}"/>
    <cellStyle name="Warning Text 15 4 2" xfId="21319" xr:uid="{00000000-0005-0000-0000-000002590000}"/>
    <cellStyle name="Warning Text 15 5" xfId="13591" xr:uid="{00000000-0005-0000-0000-000003590000}"/>
    <cellStyle name="Warning Text 15 5 2" xfId="21320" xr:uid="{00000000-0005-0000-0000-000004590000}"/>
    <cellStyle name="Warning Text 15 6" xfId="13592" xr:uid="{00000000-0005-0000-0000-000005590000}"/>
    <cellStyle name="Warning Text 15 6 2" xfId="21321" xr:uid="{00000000-0005-0000-0000-000006590000}"/>
    <cellStyle name="Warning Text 15 7" xfId="13593" xr:uid="{00000000-0005-0000-0000-000007590000}"/>
    <cellStyle name="Warning Text 15 7 2" xfId="21322" xr:uid="{00000000-0005-0000-0000-000008590000}"/>
    <cellStyle name="Warning Text 15 8" xfId="13594" xr:uid="{00000000-0005-0000-0000-000009590000}"/>
    <cellStyle name="Warning Text 15 8 2" xfId="21323" xr:uid="{00000000-0005-0000-0000-00000A590000}"/>
    <cellStyle name="Warning Text 15 9" xfId="13595" xr:uid="{00000000-0005-0000-0000-00000B590000}"/>
    <cellStyle name="Warning Text 15 9 2" xfId="21324" xr:uid="{00000000-0005-0000-0000-00000C590000}"/>
    <cellStyle name="Warning Text 16" xfId="13596" xr:uid="{00000000-0005-0000-0000-00000D590000}"/>
    <cellStyle name="Warning Text 16 10" xfId="13597" xr:uid="{00000000-0005-0000-0000-00000E590000}"/>
    <cellStyle name="Warning Text 16 10 2" xfId="21325" xr:uid="{00000000-0005-0000-0000-00000F590000}"/>
    <cellStyle name="Warning Text 16 11" xfId="13598" xr:uid="{00000000-0005-0000-0000-000010590000}"/>
    <cellStyle name="Warning Text 16 11 2" xfId="21326" xr:uid="{00000000-0005-0000-0000-000011590000}"/>
    <cellStyle name="Warning Text 16 2" xfId="13599" xr:uid="{00000000-0005-0000-0000-000012590000}"/>
    <cellStyle name="Warning Text 16 2 2" xfId="13600" xr:uid="{00000000-0005-0000-0000-000013590000}"/>
    <cellStyle name="Warning Text 16 2 2 2" xfId="21327" xr:uid="{00000000-0005-0000-0000-000014590000}"/>
    <cellStyle name="Warning Text 16 2 3" xfId="13601" xr:uid="{00000000-0005-0000-0000-000015590000}"/>
    <cellStyle name="Warning Text 16 2 3 2" xfId="21328" xr:uid="{00000000-0005-0000-0000-000016590000}"/>
    <cellStyle name="Warning Text 16 2 4" xfId="13602" xr:uid="{00000000-0005-0000-0000-000017590000}"/>
    <cellStyle name="Warning Text 16 2 4 2" xfId="21329" xr:uid="{00000000-0005-0000-0000-000018590000}"/>
    <cellStyle name="Warning Text 16 2 5" xfId="13603" xr:uid="{00000000-0005-0000-0000-000019590000}"/>
    <cellStyle name="Warning Text 16 2 5 2" xfId="21330" xr:uid="{00000000-0005-0000-0000-00001A590000}"/>
    <cellStyle name="Warning Text 16 2 6" xfId="13604" xr:uid="{00000000-0005-0000-0000-00001B590000}"/>
    <cellStyle name="Warning Text 16 2 6 2" xfId="21331" xr:uid="{00000000-0005-0000-0000-00001C590000}"/>
    <cellStyle name="Warning Text 16 2 7" xfId="13605" xr:uid="{00000000-0005-0000-0000-00001D590000}"/>
    <cellStyle name="Warning Text 16 2 7 2" xfId="21332" xr:uid="{00000000-0005-0000-0000-00001E590000}"/>
    <cellStyle name="Warning Text 16 2 8" xfId="13606" xr:uid="{00000000-0005-0000-0000-00001F590000}"/>
    <cellStyle name="Warning Text 16 2 8 2" xfId="21333" xr:uid="{00000000-0005-0000-0000-000020590000}"/>
    <cellStyle name="Warning Text 16 2 9" xfId="13607" xr:uid="{00000000-0005-0000-0000-000021590000}"/>
    <cellStyle name="Warning Text 16 2 9 2" xfId="21334" xr:uid="{00000000-0005-0000-0000-000022590000}"/>
    <cellStyle name="Warning Text 16 3" xfId="13608" xr:uid="{00000000-0005-0000-0000-000023590000}"/>
    <cellStyle name="Warning Text 16 3 2" xfId="13609" xr:uid="{00000000-0005-0000-0000-000024590000}"/>
    <cellStyle name="Warning Text 16 3 2 2" xfId="21335" xr:uid="{00000000-0005-0000-0000-000025590000}"/>
    <cellStyle name="Warning Text 16 3 3" xfId="13610" xr:uid="{00000000-0005-0000-0000-000026590000}"/>
    <cellStyle name="Warning Text 16 3 3 2" xfId="21336" xr:uid="{00000000-0005-0000-0000-000027590000}"/>
    <cellStyle name="Warning Text 16 3 4" xfId="13611" xr:uid="{00000000-0005-0000-0000-000028590000}"/>
    <cellStyle name="Warning Text 16 3 4 2" xfId="21337" xr:uid="{00000000-0005-0000-0000-000029590000}"/>
    <cellStyle name="Warning Text 16 3 5" xfId="13612" xr:uid="{00000000-0005-0000-0000-00002A590000}"/>
    <cellStyle name="Warning Text 16 3 5 2" xfId="21338" xr:uid="{00000000-0005-0000-0000-00002B590000}"/>
    <cellStyle name="Warning Text 16 3 6" xfId="13613" xr:uid="{00000000-0005-0000-0000-00002C590000}"/>
    <cellStyle name="Warning Text 16 3 6 2" xfId="21339" xr:uid="{00000000-0005-0000-0000-00002D590000}"/>
    <cellStyle name="Warning Text 16 3 7" xfId="13614" xr:uid="{00000000-0005-0000-0000-00002E590000}"/>
    <cellStyle name="Warning Text 16 3 7 2" xfId="21340" xr:uid="{00000000-0005-0000-0000-00002F590000}"/>
    <cellStyle name="Warning Text 16 3 8" xfId="13615" xr:uid="{00000000-0005-0000-0000-000030590000}"/>
    <cellStyle name="Warning Text 16 3 8 2" xfId="21341" xr:uid="{00000000-0005-0000-0000-000031590000}"/>
    <cellStyle name="Warning Text 16 3 9" xfId="13616" xr:uid="{00000000-0005-0000-0000-000032590000}"/>
    <cellStyle name="Warning Text 16 3 9 2" xfId="21342" xr:uid="{00000000-0005-0000-0000-000033590000}"/>
    <cellStyle name="Warning Text 16 4" xfId="13617" xr:uid="{00000000-0005-0000-0000-000034590000}"/>
    <cellStyle name="Warning Text 16 4 2" xfId="21343" xr:uid="{00000000-0005-0000-0000-000035590000}"/>
    <cellStyle name="Warning Text 16 5" xfId="13618" xr:uid="{00000000-0005-0000-0000-000036590000}"/>
    <cellStyle name="Warning Text 16 5 2" xfId="21344" xr:uid="{00000000-0005-0000-0000-000037590000}"/>
    <cellStyle name="Warning Text 16 6" xfId="13619" xr:uid="{00000000-0005-0000-0000-000038590000}"/>
    <cellStyle name="Warning Text 16 6 2" xfId="21345" xr:uid="{00000000-0005-0000-0000-000039590000}"/>
    <cellStyle name="Warning Text 16 7" xfId="13620" xr:uid="{00000000-0005-0000-0000-00003A590000}"/>
    <cellStyle name="Warning Text 16 7 2" xfId="21346" xr:uid="{00000000-0005-0000-0000-00003B590000}"/>
    <cellStyle name="Warning Text 16 8" xfId="13621" xr:uid="{00000000-0005-0000-0000-00003C590000}"/>
    <cellStyle name="Warning Text 16 8 2" xfId="21347" xr:uid="{00000000-0005-0000-0000-00003D590000}"/>
    <cellStyle name="Warning Text 16 9" xfId="13622" xr:uid="{00000000-0005-0000-0000-00003E590000}"/>
    <cellStyle name="Warning Text 16 9 2" xfId="21348" xr:uid="{00000000-0005-0000-0000-00003F590000}"/>
    <cellStyle name="Warning Text 17" xfId="13623" xr:uid="{00000000-0005-0000-0000-000040590000}"/>
    <cellStyle name="Warning Text 17 10" xfId="13624" xr:uid="{00000000-0005-0000-0000-000041590000}"/>
    <cellStyle name="Warning Text 17 10 2" xfId="21349" xr:uid="{00000000-0005-0000-0000-000042590000}"/>
    <cellStyle name="Warning Text 17 11" xfId="13625" xr:uid="{00000000-0005-0000-0000-000043590000}"/>
    <cellStyle name="Warning Text 17 11 2" xfId="21350" xr:uid="{00000000-0005-0000-0000-000044590000}"/>
    <cellStyle name="Warning Text 17 2" xfId="13626" xr:uid="{00000000-0005-0000-0000-000045590000}"/>
    <cellStyle name="Warning Text 17 2 2" xfId="13627" xr:uid="{00000000-0005-0000-0000-000046590000}"/>
    <cellStyle name="Warning Text 17 2 2 2" xfId="21351" xr:uid="{00000000-0005-0000-0000-000047590000}"/>
    <cellStyle name="Warning Text 17 2 3" xfId="13628" xr:uid="{00000000-0005-0000-0000-000048590000}"/>
    <cellStyle name="Warning Text 17 2 3 2" xfId="21352" xr:uid="{00000000-0005-0000-0000-000049590000}"/>
    <cellStyle name="Warning Text 17 2 4" xfId="13629" xr:uid="{00000000-0005-0000-0000-00004A590000}"/>
    <cellStyle name="Warning Text 17 2 4 2" xfId="21353" xr:uid="{00000000-0005-0000-0000-00004B590000}"/>
    <cellStyle name="Warning Text 17 2 5" xfId="13630" xr:uid="{00000000-0005-0000-0000-00004C590000}"/>
    <cellStyle name="Warning Text 17 2 5 2" xfId="21354" xr:uid="{00000000-0005-0000-0000-00004D590000}"/>
    <cellStyle name="Warning Text 17 2 6" xfId="13631" xr:uid="{00000000-0005-0000-0000-00004E590000}"/>
    <cellStyle name="Warning Text 17 2 6 2" xfId="21355" xr:uid="{00000000-0005-0000-0000-00004F590000}"/>
    <cellStyle name="Warning Text 17 2 7" xfId="13632" xr:uid="{00000000-0005-0000-0000-000050590000}"/>
    <cellStyle name="Warning Text 17 2 7 2" xfId="21356" xr:uid="{00000000-0005-0000-0000-000051590000}"/>
    <cellStyle name="Warning Text 17 2 8" xfId="13633" xr:uid="{00000000-0005-0000-0000-000052590000}"/>
    <cellStyle name="Warning Text 17 2 8 2" xfId="21357" xr:uid="{00000000-0005-0000-0000-000053590000}"/>
    <cellStyle name="Warning Text 17 2 9" xfId="13634" xr:uid="{00000000-0005-0000-0000-000054590000}"/>
    <cellStyle name="Warning Text 17 2 9 2" xfId="21358" xr:uid="{00000000-0005-0000-0000-000055590000}"/>
    <cellStyle name="Warning Text 17 3" xfId="13635" xr:uid="{00000000-0005-0000-0000-000056590000}"/>
    <cellStyle name="Warning Text 17 3 2" xfId="13636" xr:uid="{00000000-0005-0000-0000-000057590000}"/>
    <cellStyle name="Warning Text 17 3 2 2" xfId="21359" xr:uid="{00000000-0005-0000-0000-000058590000}"/>
    <cellStyle name="Warning Text 17 3 3" xfId="13637" xr:uid="{00000000-0005-0000-0000-000059590000}"/>
    <cellStyle name="Warning Text 17 3 3 2" xfId="21360" xr:uid="{00000000-0005-0000-0000-00005A590000}"/>
    <cellStyle name="Warning Text 17 3 4" xfId="13638" xr:uid="{00000000-0005-0000-0000-00005B590000}"/>
    <cellStyle name="Warning Text 17 3 4 2" xfId="21361" xr:uid="{00000000-0005-0000-0000-00005C590000}"/>
    <cellStyle name="Warning Text 17 3 5" xfId="13639" xr:uid="{00000000-0005-0000-0000-00005D590000}"/>
    <cellStyle name="Warning Text 17 3 5 2" xfId="21362" xr:uid="{00000000-0005-0000-0000-00005E590000}"/>
    <cellStyle name="Warning Text 17 3 6" xfId="13640" xr:uid="{00000000-0005-0000-0000-00005F590000}"/>
    <cellStyle name="Warning Text 17 3 6 2" xfId="21363" xr:uid="{00000000-0005-0000-0000-000060590000}"/>
    <cellStyle name="Warning Text 17 3 7" xfId="13641" xr:uid="{00000000-0005-0000-0000-000061590000}"/>
    <cellStyle name="Warning Text 17 3 7 2" xfId="21364" xr:uid="{00000000-0005-0000-0000-000062590000}"/>
    <cellStyle name="Warning Text 17 3 8" xfId="13642" xr:uid="{00000000-0005-0000-0000-000063590000}"/>
    <cellStyle name="Warning Text 17 3 8 2" xfId="21365" xr:uid="{00000000-0005-0000-0000-000064590000}"/>
    <cellStyle name="Warning Text 17 3 9" xfId="13643" xr:uid="{00000000-0005-0000-0000-000065590000}"/>
    <cellStyle name="Warning Text 17 3 9 2" xfId="21366" xr:uid="{00000000-0005-0000-0000-000066590000}"/>
    <cellStyle name="Warning Text 17 4" xfId="13644" xr:uid="{00000000-0005-0000-0000-000067590000}"/>
    <cellStyle name="Warning Text 17 4 2" xfId="21367" xr:uid="{00000000-0005-0000-0000-000068590000}"/>
    <cellStyle name="Warning Text 17 5" xfId="13645" xr:uid="{00000000-0005-0000-0000-000069590000}"/>
    <cellStyle name="Warning Text 17 5 2" xfId="21368" xr:uid="{00000000-0005-0000-0000-00006A590000}"/>
    <cellStyle name="Warning Text 17 6" xfId="13646" xr:uid="{00000000-0005-0000-0000-00006B590000}"/>
    <cellStyle name="Warning Text 17 6 2" xfId="21369" xr:uid="{00000000-0005-0000-0000-00006C590000}"/>
    <cellStyle name="Warning Text 17 7" xfId="13647" xr:uid="{00000000-0005-0000-0000-00006D590000}"/>
    <cellStyle name="Warning Text 17 7 2" xfId="21370" xr:uid="{00000000-0005-0000-0000-00006E590000}"/>
    <cellStyle name="Warning Text 17 8" xfId="13648" xr:uid="{00000000-0005-0000-0000-00006F590000}"/>
    <cellStyle name="Warning Text 17 8 2" xfId="21371" xr:uid="{00000000-0005-0000-0000-000070590000}"/>
    <cellStyle name="Warning Text 17 9" xfId="13649" xr:uid="{00000000-0005-0000-0000-000071590000}"/>
    <cellStyle name="Warning Text 17 9 2" xfId="21372" xr:uid="{00000000-0005-0000-0000-000072590000}"/>
    <cellStyle name="Warning Text 18" xfId="13650" xr:uid="{00000000-0005-0000-0000-000073590000}"/>
    <cellStyle name="Warning Text 18 2" xfId="13651" xr:uid="{00000000-0005-0000-0000-000074590000}"/>
    <cellStyle name="Warning Text 18 2 2" xfId="13652" xr:uid="{00000000-0005-0000-0000-000075590000}"/>
    <cellStyle name="Warning Text 18 2 2 2" xfId="21373" xr:uid="{00000000-0005-0000-0000-000076590000}"/>
    <cellStyle name="Warning Text 18 3" xfId="13653" xr:uid="{00000000-0005-0000-0000-000077590000}"/>
    <cellStyle name="Warning Text 18 3 2" xfId="21374" xr:uid="{00000000-0005-0000-0000-000078590000}"/>
    <cellStyle name="Warning Text 18 4" xfId="13654" xr:uid="{00000000-0005-0000-0000-000079590000}"/>
    <cellStyle name="Warning Text 18 4 2" xfId="21375" xr:uid="{00000000-0005-0000-0000-00007A590000}"/>
    <cellStyle name="Warning Text 18 5" xfId="13655" xr:uid="{00000000-0005-0000-0000-00007B590000}"/>
    <cellStyle name="Warning Text 18 5 2" xfId="21376" xr:uid="{00000000-0005-0000-0000-00007C590000}"/>
    <cellStyle name="Warning Text 18 6" xfId="13656" xr:uid="{00000000-0005-0000-0000-00007D590000}"/>
    <cellStyle name="Warning Text 18 6 2" xfId="21377" xr:uid="{00000000-0005-0000-0000-00007E590000}"/>
    <cellStyle name="Warning Text 18 7" xfId="13657" xr:uid="{00000000-0005-0000-0000-00007F590000}"/>
    <cellStyle name="Warning Text 18 7 2" xfId="21378" xr:uid="{00000000-0005-0000-0000-000080590000}"/>
    <cellStyle name="Warning Text 18 8" xfId="13658" xr:uid="{00000000-0005-0000-0000-000081590000}"/>
    <cellStyle name="Warning Text 18 8 2" xfId="21379" xr:uid="{00000000-0005-0000-0000-000082590000}"/>
    <cellStyle name="Warning Text 18 9" xfId="13659" xr:uid="{00000000-0005-0000-0000-000083590000}"/>
    <cellStyle name="Warning Text 18 9 2" xfId="21380" xr:uid="{00000000-0005-0000-0000-000084590000}"/>
    <cellStyle name="Warning Text 19" xfId="13660" xr:uid="{00000000-0005-0000-0000-000085590000}"/>
    <cellStyle name="Warning Text 19 2" xfId="13661" xr:uid="{00000000-0005-0000-0000-000086590000}"/>
    <cellStyle name="Warning Text 19 2 2" xfId="13662" xr:uid="{00000000-0005-0000-0000-000087590000}"/>
    <cellStyle name="Warning Text 19 2 2 2" xfId="21381" xr:uid="{00000000-0005-0000-0000-000088590000}"/>
    <cellStyle name="Warning Text 19 3" xfId="13663" xr:uid="{00000000-0005-0000-0000-000089590000}"/>
    <cellStyle name="Warning Text 19 3 2" xfId="21382" xr:uid="{00000000-0005-0000-0000-00008A590000}"/>
    <cellStyle name="Warning Text 19 4" xfId="13664" xr:uid="{00000000-0005-0000-0000-00008B590000}"/>
    <cellStyle name="Warning Text 19 4 2" xfId="21383" xr:uid="{00000000-0005-0000-0000-00008C590000}"/>
    <cellStyle name="Warning Text 19 5" xfId="13665" xr:uid="{00000000-0005-0000-0000-00008D590000}"/>
    <cellStyle name="Warning Text 19 5 2" xfId="21384" xr:uid="{00000000-0005-0000-0000-00008E590000}"/>
    <cellStyle name="Warning Text 19 6" xfId="13666" xr:uid="{00000000-0005-0000-0000-00008F590000}"/>
    <cellStyle name="Warning Text 19 6 2" xfId="21385" xr:uid="{00000000-0005-0000-0000-000090590000}"/>
    <cellStyle name="Warning Text 19 7" xfId="13667" xr:uid="{00000000-0005-0000-0000-000091590000}"/>
    <cellStyle name="Warning Text 19 7 2" xfId="21386" xr:uid="{00000000-0005-0000-0000-000092590000}"/>
    <cellStyle name="Warning Text 19 8" xfId="13668" xr:uid="{00000000-0005-0000-0000-000093590000}"/>
    <cellStyle name="Warning Text 19 8 2" xfId="21387" xr:uid="{00000000-0005-0000-0000-000094590000}"/>
    <cellStyle name="Warning Text 19 9" xfId="13669" xr:uid="{00000000-0005-0000-0000-000095590000}"/>
    <cellStyle name="Warning Text 19 9 2" xfId="21388" xr:uid="{00000000-0005-0000-0000-000096590000}"/>
    <cellStyle name="Warning Text 2" xfId="13670" xr:uid="{00000000-0005-0000-0000-000097590000}"/>
    <cellStyle name="Warning Text 2 10" xfId="13671" xr:uid="{00000000-0005-0000-0000-000098590000}"/>
    <cellStyle name="Warning Text 2 10 2" xfId="21389" xr:uid="{00000000-0005-0000-0000-000099590000}"/>
    <cellStyle name="Warning Text 2 11" xfId="13672" xr:uid="{00000000-0005-0000-0000-00009A590000}"/>
    <cellStyle name="Warning Text 2 11 2" xfId="21390" xr:uid="{00000000-0005-0000-0000-00009B590000}"/>
    <cellStyle name="Warning Text 2 2" xfId="13673" xr:uid="{00000000-0005-0000-0000-00009C590000}"/>
    <cellStyle name="Warning Text 2 2 2" xfId="13674" xr:uid="{00000000-0005-0000-0000-00009D590000}"/>
    <cellStyle name="Warning Text 2 2 2 2" xfId="21391" xr:uid="{00000000-0005-0000-0000-00009E590000}"/>
    <cellStyle name="Warning Text 2 2 3" xfId="13675" xr:uid="{00000000-0005-0000-0000-00009F590000}"/>
    <cellStyle name="Warning Text 2 2 3 2" xfId="21392" xr:uid="{00000000-0005-0000-0000-0000A0590000}"/>
    <cellStyle name="Warning Text 2 2 4" xfId="13676" xr:uid="{00000000-0005-0000-0000-0000A1590000}"/>
    <cellStyle name="Warning Text 2 2 4 2" xfId="21393" xr:uid="{00000000-0005-0000-0000-0000A2590000}"/>
    <cellStyle name="Warning Text 2 2 5" xfId="13677" xr:uid="{00000000-0005-0000-0000-0000A3590000}"/>
    <cellStyle name="Warning Text 2 2 5 2" xfId="21394" xr:uid="{00000000-0005-0000-0000-0000A4590000}"/>
    <cellStyle name="Warning Text 2 2 6" xfId="13678" xr:uid="{00000000-0005-0000-0000-0000A5590000}"/>
    <cellStyle name="Warning Text 2 2 6 2" xfId="21395" xr:uid="{00000000-0005-0000-0000-0000A6590000}"/>
    <cellStyle name="Warning Text 2 2 7" xfId="13679" xr:uid="{00000000-0005-0000-0000-0000A7590000}"/>
    <cellStyle name="Warning Text 2 2 7 2" xfId="21396" xr:uid="{00000000-0005-0000-0000-0000A8590000}"/>
    <cellStyle name="Warning Text 2 2 8" xfId="13680" xr:uid="{00000000-0005-0000-0000-0000A9590000}"/>
    <cellStyle name="Warning Text 2 2 8 2" xfId="21397" xr:uid="{00000000-0005-0000-0000-0000AA590000}"/>
    <cellStyle name="Warning Text 2 2 9" xfId="13681" xr:uid="{00000000-0005-0000-0000-0000AB590000}"/>
    <cellStyle name="Warning Text 2 2 9 2" xfId="21398" xr:uid="{00000000-0005-0000-0000-0000AC590000}"/>
    <cellStyle name="Warning Text 2 3" xfId="13682" xr:uid="{00000000-0005-0000-0000-0000AD590000}"/>
    <cellStyle name="Warning Text 2 3 2" xfId="13683" xr:uid="{00000000-0005-0000-0000-0000AE590000}"/>
    <cellStyle name="Warning Text 2 3 2 2" xfId="21399" xr:uid="{00000000-0005-0000-0000-0000AF590000}"/>
    <cellStyle name="Warning Text 2 3 3" xfId="13684" xr:uid="{00000000-0005-0000-0000-0000B0590000}"/>
    <cellStyle name="Warning Text 2 3 3 2" xfId="21400" xr:uid="{00000000-0005-0000-0000-0000B1590000}"/>
    <cellStyle name="Warning Text 2 3 4" xfId="13685" xr:uid="{00000000-0005-0000-0000-0000B2590000}"/>
    <cellStyle name="Warning Text 2 3 4 2" xfId="21401" xr:uid="{00000000-0005-0000-0000-0000B3590000}"/>
    <cellStyle name="Warning Text 2 3 5" xfId="13686" xr:uid="{00000000-0005-0000-0000-0000B4590000}"/>
    <cellStyle name="Warning Text 2 3 5 2" xfId="21402" xr:uid="{00000000-0005-0000-0000-0000B5590000}"/>
    <cellStyle name="Warning Text 2 3 6" xfId="13687" xr:uid="{00000000-0005-0000-0000-0000B6590000}"/>
    <cellStyle name="Warning Text 2 3 6 2" xfId="21403" xr:uid="{00000000-0005-0000-0000-0000B7590000}"/>
    <cellStyle name="Warning Text 2 3 7" xfId="13688" xr:uid="{00000000-0005-0000-0000-0000B8590000}"/>
    <cellStyle name="Warning Text 2 3 7 2" xfId="21404" xr:uid="{00000000-0005-0000-0000-0000B9590000}"/>
    <cellStyle name="Warning Text 2 3 8" xfId="13689" xr:uid="{00000000-0005-0000-0000-0000BA590000}"/>
    <cellStyle name="Warning Text 2 3 8 2" xfId="21405" xr:uid="{00000000-0005-0000-0000-0000BB590000}"/>
    <cellStyle name="Warning Text 2 3 9" xfId="13690" xr:uid="{00000000-0005-0000-0000-0000BC590000}"/>
    <cellStyle name="Warning Text 2 3 9 2" xfId="21406" xr:uid="{00000000-0005-0000-0000-0000BD590000}"/>
    <cellStyle name="Warning Text 2 4" xfId="13691" xr:uid="{00000000-0005-0000-0000-0000BE590000}"/>
    <cellStyle name="Warning Text 2 4 2" xfId="13692" xr:uid="{00000000-0005-0000-0000-0000BF590000}"/>
    <cellStyle name="Warning Text 2 4 3" xfId="21407" xr:uid="{00000000-0005-0000-0000-0000C0590000}"/>
    <cellStyle name="Warning Text 2 5" xfId="13693" xr:uid="{00000000-0005-0000-0000-0000C1590000}"/>
    <cellStyle name="Warning Text 2 5 2" xfId="21408" xr:uid="{00000000-0005-0000-0000-0000C2590000}"/>
    <cellStyle name="Warning Text 2 6" xfId="13694" xr:uid="{00000000-0005-0000-0000-0000C3590000}"/>
    <cellStyle name="Warning Text 2 6 2" xfId="21409" xr:uid="{00000000-0005-0000-0000-0000C4590000}"/>
    <cellStyle name="Warning Text 2 7" xfId="13695" xr:uid="{00000000-0005-0000-0000-0000C5590000}"/>
    <cellStyle name="Warning Text 2 7 2" xfId="21410" xr:uid="{00000000-0005-0000-0000-0000C6590000}"/>
    <cellStyle name="Warning Text 2 8" xfId="13696" xr:uid="{00000000-0005-0000-0000-0000C7590000}"/>
    <cellStyle name="Warning Text 2 8 2" xfId="21411" xr:uid="{00000000-0005-0000-0000-0000C8590000}"/>
    <cellStyle name="Warning Text 2 9" xfId="13697" xr:uid="{00000000-0005-0000-0000-0000C9590000}"/>
    <cellStyle name="Warning Text 2 9 2" xfId="21412" xr:uid="{00000000-0005-0000-0000-0000CA590000}"/>
    <cellStyle name="Warning Text 20" xfId="13698" xr:uid="{00000000-0005-0000-0000-0000CB590000}"/>
    <cellStyle name="Warning Text 20 2" xfId="13699" xr:uid="{00000000-0005-0000-0000-0000CC590000}"/>
    <cellStyle name="Warning Text 20 2 2" xfId="21413" xr:uid="{00000000-0005-0000-0000-0000CD590000}"/>
    <cellStyle name="Warning Text 20 3" xfId="13700" xr:uid="{00000000-0005-0000-0000-0000CE590000}"/>
    <cellStyle name="Warning Text 20 3 2" xfId="21414" xr:uid="{00000000-0005-0000-0000-0000CF590000}"/>
    <cellStyle name="Warning Text 20 4" xfId="13701" xr:uid="{00000000-0005-0000-0000-0000D0590000}"/>
    <cellStyle name="Warning Text 20 4 2" xfId="21415" xr:uid="{00000000-0005-0000-0000-0000D1590000}"/>
    <cellStyle name="Warning Text 20 5" xfId="13702" xr:uid="{00000000-0005-0000-0000-0000D2590000}"/>
    <cellStyle name="Warning Text 20 5 2" xfId="21416" xr:uid="{00000000-0005-0000-0000-0000D3590000}"/>
    <cellStyle name="Warning Text 20 6" xfId="13703" xr:uid="{00000000-0005-0000-0000-0000D4590000}"/>
    <cellStyle name="Warning Text 20 6 2" xfId="21417" xr:uid="{00000000-0005-0000-0000-0000D5590000}"/>
    <cellStyle name="Warning Text 20 7" xfId="13704" xr:uid="{00000000-0005-0000-0000-0000D6590000}"/>
    <cellStyle name="Warning Text 20 7 2" xfId="21418" xr:uid="{00000000-0005-0000-0000-0000D7590000}"/>
    <cellStyle name="Warning Text 20 8" xfId="13705" xr:uid="{00000000-0005-0000-0000-0000D8590000}"/>
    <cellStyle name="Warning Text 20 8 2" xfId="21419" xr:uid="{00000000-0005-0000-0000-0000D9590000}"/>
    <cellStyle name="Warning Text 20 9" xfId="13706" xr:uid="{00000000-0005-0000-0000-0000DA590000}"/>
    <cellStyle name="Warning Text 20 9 2" xfId="21420" xr:uid="{00000000-0005-0000-0000-0000DB590000}"/>
    <cellStyle name="Warning Text 21" xfId="13707" xr:uid="{00000000-0005-0000-0000-0000DC590000}"/>
    <cellStyle name="Warning Text 21 2" xfId="13708" xr:uid="{00000000-0005-0000-0000-0000DD590000}"/>
    <cellStyle name="Warning Text 21 2 2" xfId="21421" xr:uid="{00000000-0005-0000-0000-0000DE590000}"/>
    <cellStyle name="Warning Text 21 3" xfId="13709" xr:uid="{00000000-0005-0000-0000-0000DF590000}"/>
    <cellStyle name="Warning Text 21 3 2" xfId="21422" xr:uid="{00000000-0005-0000-0000-0000E0590000}"/>
    <cellStyle name="Warning Text 21 4" xfId="13710" xr:uid="{00000000-0005-0000-0000-0000E1590000}"/>
    <cellStyle name="Warning Text 21 4 2" xfId="21423" xr:uid="{00000000-0005-0000-0000-0000E2590000}"/>
    <cellStyle name="Warning Text 21 5" xfId="13711" xr:uid="{00000000-0005-0000-0000-0000E3590000}"/>
    <cellStyle name="Warning Text 21 5 2" xfId="21424" xr:uid="{00000000-0005-0000-0000-0000E4590000}"/>
    <cellStyle name="Warning Text 21 6" xfId="13712" xr:uid="{00000000-0005-0000-0000-0000E5590000}"/>
    <cellStyle name="Warning Text 21 6 2" xfId="21425" xr:uid="{00000000-0005-0000-0000-0000E6590000}"/>
    <cellStyle name="Warning Text 21 7" xfId="13713" xr:uid="{00000000-0005-0000-0000-0000E7590000}"/>
    <cellStyle name="Warning Text 21 7 2" xfId="21426" xr:uid="{00000000-0005-0000-0000-0000E8590000}"/>
    <cellStyle name="Warning Text 21 8" xfId="13714" xr:uid="{00000000-0005-0000-0000-0000E9590000}"/>
    <cellStyle name="Warning Text 21 8 2" xfId="21427" xr:uid="{00000000-0005-0000-0000-0000EA590000}"/>
    <cellStyle name="Warning Text 21 9" xfId="13715" xr:uid="{00000000-0005-0000-0000-0000EB590000}"/>
    <cellStyle name="Warning Text 21 9 2" xfId="21428" xr:uid="{00000000-0005-0000-0000-0000EC590000}"/>
    <cellStyle name="Warning Text 22" xfId="13716" xr:uid="{00000000-0005-0000-0000-0000ED590000}"/>
    <cellStyle name="Warning Text 22 2" xfId="13717" xr:uid="{00000000-0005-0000-0000-0000EE590000}"/>
    <cellStyle name="Warning Text 22 2 2" xfId="21429" xr:uid="{00000000-0005-0000-0000-0000EF590000}"/>
    <cellStyle name="Warning Text 22 3" xfId="13718" xr:uid="{00000000-0005-0000-0000-0000F0590000}"/>
    <cellStyle name="Warning Text 22 3 2" xfId="21430" xr:uid="{00000000-0005-0000-0000-0000F1590000}"/>
    <cellStyle name="Warning Text 22 4" xfId="13719" xr:uid="{00000000-0005-0000-0000-0000F2590000}"/>
    <cellStyle name="Warning Text 22 4 2" xfId="21431" xr:uid="{00000000-0005-0000-0000-0000F3590000}"/>
    <cellStyle name="Warning Text 22 5" xfId="13720" xr:uid="{00000000-0005-0000-0000-0000F4590000}"/>
    <cellStyle name="Warning Text 22 5 2" xfId="21432" xr:uid="{00000000-0005-0000-0000-0000F5590000}"/>
    <cellStyle name="Warning Text 22 6" xfId="13721" xr:uid="{00000000-0005-0000-0000-0000F6590000}"/>
    <cellStyle name="Warning Text 22 6 2" xfId="21433" xr:uid="{00000000-0005-0000-0000-0000F7590000}"/>
    <cellStyle name="Warning Text 22 7" xfId="13722" xr:uid="{00000000-0005-0000-0000-0000F8590000}"/>
    <cellStyle name="Warning Text 22 7 2" xfId="21434" xr:uid="{00000000-0005-0000-0000-0000F9590000}"/>
    <cellStyle name="Warning Text 22 8" xfId="13723" xr:uid="{00000000-0005-0000-0000-0000FA590000}"/>
    <cellStyle name="Warning Text 22 8 2" xfId="21435" xr:uid="{00000000-0005-0000-0000-0000FB590000}"/>
    <cellStyle name="Warning Text 22 9" xfId="13724" xr:uid="{00000000-0005-0000-0000-0000FC590000}"/>
    <cellStyle name="Warning Text 22 9 2" xfId="21436" xr:uid="{00000000-0005-0000-0000-0000FD590000}"/>
    <cellStyle name="Warning Text 23" xfId="13725" xr:uid="{00000000-0005-0000-0000-0000FE590000}"/>
    <cellStyle name="Warning Text 23 2" xfId="13726" xr:uid="{00000000-0005-0000-0000-0000FF590000}"/>
    <cellStyle name="Warning Text 23 2 2" xfId="21437" xr:uid="{00000000-0005-0000-0000-0000005A0000}"/>
    <cellStyle name="Warning Text 23 3" xfId="13727" xr:uid="{00000000-0005-0000-0000-0000015A0000}"/>
    <cellStyle name="Warning Text 23 3 2" xfId="21438" xr:uid="{00000000-0005-0000-0000-0000025A0000}"/>
    <cellStyle name="Warning Text 23 4" xfId="13728" xr:uid="{00000000-0005-0000-0000-0000035A0000}"/>
    <cellStyle name="Warning Text 23 4 2" xfId="21439" xr:uid="{00000000-0005-0000-0000-0000045A0000}"/>
    <cellStyle name="Warning Text 23 5" xfId="13729" xr:uid="{00000000-0005-0000-0000-0000055A0000}"/>
    <cellStyle name="Warning Text 23 5 2" xfId="21440" xr:uid="{00000000-0005-0000-0000-0000065A0000}"/>
    <cellStyle name="Warning Text 23 6" xfId="13730" xr:uid="{00000000-0005-0000-0000-0000075A0000}"/>
    <cellStyle name="Warning Text 23 6 2" xfId="21441" xr:uid="{00000000-0005-0000-0000-0000085A0000}"/>
    <cellStyle name="Warning Text 23 7" xfId="13731" xr:uid="{00000000-0005-0000-0000-0000095A0000}"/>
    <cellStyle name="Warning Text 23 7 2" xfId="21442" xr:uid="{00000000-0005-0000-0000-00000A5A0000}"/>
    <cellStyle name="Warning Text 23 8" xfId="13732" xr:uid="{00000000-0005-0000-0000-00000B5A0000}"/>
    <cellStyle name="Warning Text 23 8 2" xfId="21443" xr:uid="{00000000-0005-0000-0000-00000C5A0000}"/>
    <cellStyle name="Warning Text 23 9" xfId="13733" xr:uid="{00000000-0005-0000-0000-00000D5A0000}"/>
    <cellStyle name="Warning Text 23 9 2" xfId="21444" xr:uid="{00000000-0005-0000-0000-00000E5A0000}"/>
    <cellStyle name="Warning Text 24" xfId="13734" xr:uid="{00000000-0005-0000-0000-00000F5A0000}"/>
    <cellStyle name="Warning Text 24 2" xfId="13735" xr:uid="{00000000-0005-0000-0000-0000105A0000}"/>
    <cellStyle name="Warning Text 24 2 2" xfId="21445" xr:uid="{00000000-0005-0000-0000-0000115A0000}"/>
    <cellStyle name="Warning Text 24 3" xfId="13736" xr:uid="{00000000-0005-0000-0000-0000125A0000}"/>
    <cellStyle name="Warning Text 24 3 2" xfId="21446" xr:uid="{00000000-0005-0000-0000-0000135A0000}"/>
    <cellStyle name="Warning Text 24 4" xfId="13737" xr:uid="{00000000-0005-0000-0000-0000145A0000}"/>
    <cellStyle name="Warning Text 24 4 2" xfId="21447" xr:uid="{00000000-0005-0000-0000-0000155A0000}"/>
    <cellStyle name="Warning Text 24 5" xfId="13738" xr:uid="{00000000-0005-0000-0000-0000165A0000}"/>
    <cellStyle name="Warning Text 24 5 2" xfId="21448" xr:uid="{00000000-0005-0000-0000-0000175A0000}"/>
    <cellStyle name="Warning Text 24 6" xfId="13739" xr:uid="{00000000-0005-0000-0000-0000185A0000}"/>
    <cellStyle name="Warning Text 24 6 2" xfId="21449" xr:uid="{00000000-0005-0000-0000-0000195A0000}"/>
    <cellStyle name="Warning Text 24 7" xfId="13740" xr:uid="{00000000-0005-0000-0000-00001A5A0000}"/>
    <cellStyle name="Warning Text 24 7 2" xfId="21450" xr:uid="{00000000-0005-0000-0000-00001B5A0000}"/>
    <cellStyle name="Warning Text 24 8" xfId="13741" xr:uid="{00000000-0005-0000-0000-00001C5A0000}"/>
    <cellStyle name="Warning Text 24 8 2" xfId="21451" xr:uid="{00000000-0005-0000-0000-00001D5A0000}"/>
    <cellStyle name="Warning Text 24 9" xfId="13742" xr:uid="{00000000-0005-0000-0000-00001E5A0000}"/>
    <cellStyle name="Warning Text 24 9 2" xfId="21452" xr:uid="{00000000-0005-0000-0000-00001F5A0000}"/>
    <cellStyle name="Warning Text 25" xfId="13743" xr:uid="{00000000-0005-0000-0000-0000205A0000}"/>
    <cellStyle name="Warning Text 25 2" xfId="13744" xr:uid="{00000000-0005-0000-0000-0000215A0000}"/>
    <cellStyle name="Warning Text 25 2 2" xfId="21453" xr:uid="{00000000-0005-0000-0000-0000225A0000}"/>
    <cellStyle name="Warning Text 25 3" xfId="13745" xr:uid="{00000000-0005-0000-0000-0000235A0000}"/>
    <cellStyle name="Warning Text 25 3 2" xfId="21454" xr:uid="{00000000-0005-0000-0000-0000245A0000}"/>
    <cellStyle name="Warning Text 25 4" xfId="13746" xr:uid="{00000000-0005-0000-0000-0000255A0000}"/>
    <cellStyle name="Warning Text 25 4 2" xfId="21455" xr:uid="{00000000-0005-0000-0000-0000265A0000}"/>
    <cellStyle name="Warning Text 25 5" xfId="13747" xr:uid="{00000000-0005-0000-0000-0000275A0000}"/>
    <cellStyle name="Warning Text 25 5 2" xfId="21456" xr:uid="{00000000-0005-0000-0000-0000285A0000}"/>
    <cellStyle name="Warning Text 25 6" xfId="13748" xr:uid="{00000000-0005-0000-0000-0000295A0000}"/>
    <cellStyle name="Warning Text 25 6 2" xfId="21457" xr:uid="{00000000-0005-0000-0000-00002A5A0000}"/>
    <cellStyle name="Warning Text 25 7" xfId="13749" xr:uid="{00000000-0005-0000-0000-00002B5A0000}"/>
    <cellStyle name="Warning Text 25 7 2" xfId="21458" xr:uid="{00000000-0005-0000-0000-00002C5A0000}"/>
    <cellStyle name="Warning Text 25 8" xfId="13750" xr:uid="{00000000-0005-0000-0000-00002D5A0000}"/>
    <cellStyle name="Warning Text 25 8 2" xfId="21459" xr:uid="{00000000-0005-0000-0000-00002E5A0000}"/>
    <cellStyle name="Warning Text 25 9" xfId="13751" xr:uid="{00000000-0005-0000-0000-00002F5A0000}"/>
    <cellStyle name="Warning Text 25 9 2" xfId="21460" xr:uid="{00000000-0005-0000-0000-0000305A0000}"/>
    <cellStyle name="Warning Text 26" xfId="13752" xr:uid="{00000000-0005-0000-0000-0000315A0000}"/>
    <cellStyle name="Warning Text 26 2" xfId="13753" xr:uid="{00000000-0005-0000-0000-0000325A0000}"/>
    <cellStyle name="Warning Text 26 2 2" xfId="21461" xr:uid="{00000000-0005-0000-0000-0000335A0000}"/>
    <cellStyle name="Warning Text 26 3" xfId="13754" xr:uid="{00000000-0005-0000-0000-0000345A0000}"/>
    <cellStyle name="Warning Text 26 3 2" xfId="21462" xr:uid="{00000000-0005-0000-0000-0000355A0000}"/>
    <cellStyle name="Warning Text 26 4" xfId="13755" xr:uid="{00000000-0005-0000-0000-0000365A0000}"/>
    <cellStyle name="Warning Text 26 4 2" xfId="21463" xr:uid="{00000000-0005-0000-0000-0000375A0000}"/>
    <cellStyle name="Warning Text 26 5" xfId="13756" xr:uid="{00000000-0005-0000-0000-0000385A0000}"/>
    <cellStyle name="Warning Text 26 5 2" xfId="21464" xr:uid="{00000000-0005-0000-0000-0000395A0000}"/>
    <cellStyle name="Warning Text 26 6" xfId="13757" xr:uid="{00000000-0005-0000-0000-00003A5A0000}"/>
    <cellStyle name="Warning Text 26 6 2" xfId="21465" xr:uid="{00000000-0005-0000-0000-00003B5A0000}"/>
    <cellStyle name="Warning Text 26 7" xfId="13758" xr:uid="{00000000-0005-0000-0000-00003C5A0000}"/>
    <cellStyle name="Warning Text 26 7 2" xfId="21466" xr:uid="{00000000-0005-0000-0000-00003D5A0000}"/>
    <cellStyle name="Warning Text 26 8" xfId="13759" xr:uid="{00000000-0005-0000-0000-00003E5A0000}"/>
    <cellStyle name="Warning Text 26 8 2" xfId="21467" xr:uid="{00000000-0005-0000-0000-00003F5A0000}"/>
    <cellStyle name="Warning Text 26 9" xfId="13760" xr:uid="{00000000-0005-0000-0000-0000405A0000}"/>
    <cellStyle name="Warning Text 26 9 2" xfId="21468" xr:uid="{00000000-0005-0000-0000-0000415A0000}"/>
    <cellStyle name="Warning Text 27" xfId="13761" xr:uid="{00000000-0005-0000-0000-0000425A0000}"/>
    <cellStyle name="Warning Text 27 2" xfId="13762" xr:uid="{00000000-0005-0000-0000-0000435A0000}"/>
    <cellStyle name="Warning Text 27 2 2" xfId="21469" xr:uid="{00000000-0005-0000-0000-0000445A0000}"/>
    <cellStyle name="Warning Text 27 3" xfId="13763" xr:uid="{00000000-0005-0000-0000-0000455A0000}"/>
    <cellStyle name="Warning Text 27 3 2" xfId="21470" xr:uid="{00000000-0005-0000-0000-0000465A0000}"/>
    <cellStyle name="Warning Text 27 4" xfId="13764" xr:uid="{00000000-0005-0000-0000-0000475A0000}"/>
    <cellStyle name="Warning Text 27 4 2" xfId="21471" xr:uid="{00000000-0005-0000-0000-0000485A0000}"/>
    <cellStyle name="Warning Text 27 5" xfId="13765" xr:uid="{00000000-0005-0000-0000-0000495A0000}"/>
    <cellStyle name="Warning Text 27 5 2" xfId="21472" xr:uid="{00000000-0005-0000-0000-00004A5A0000}"/>
    <cellStyle name="Warning Text 27 6" xfId="13766" xr:uid="{00000000-0005-0000-0000-00004B5A0000}"/>
    <cellStyle name="Warning Text 27 6 2" xfId="21473" xr:uid="{00000000-0005-0000-0000-00004C5A0000}"/>
    <cellStyle name="Warning Text 27 7" xfId="13767" xr:uid="{00000000-0005-0000-0000-00004D5A0000}"/>
    <cellStyle name="Warning Text 27 7 2" xfId="21474" xr:uid="{00000000-0005-0000-0000-00004E5A0000}"/>
    <cellStyle name="Warning Text 27 8" xfId="13768" xr:uid="{00000000-0005-0000-0000-00004F5A0000}"/>
    <cellStyle name="Warning Text 27 8 2" xfId="21475" xr:uid="{00000000-0005-0000-0000-0000505A0000}"/>
    <cellStyle name="Warning Text 27 9" xfId="13769" xr:uid="{00000000-0005-0000-0000-0000515A0000}"/>
    <cellStyle name="Warning Text 27 9 2" xfId="21476" xr:uid="{00000000-0005-0000-0000-0000525A0000}"/>
    <cellStyle name="Warning Text 28" xfId="13770" xr:uid="{00000000-0005-0000-0000-0000535A0000}"/>
    <cellStyle name="Warning Text 28 2" xfId="13771" xr:uid="{00000000-0005-0000-0000-0000545A0000}"/>
    <cellStyle name="Warning Text 28 2 2" xfId="21477" xr:uid="{00000000-0005-0000-0000-0000555A0000}"/>
    <cellStyle name="Warning Text 28 3" xfId="13772" xr:uid="{00000000-0005-0000-0000-0000565A0000}"/>
    <cellStyle name="Warning Text 28 3 2" xfId="21478" xr:uid="{00000000-0005-0000-0000-0000575A0000}"/>
    <cellStyle name="Warning Text 28 4" xfId="13773" xr:uid="{00000000-0005-0000-0000-0000585A0000}"/>
    <cellStyle name="Warning Text 28 4 2" xfId="21479" xr:uid="{00000000-0005-0000-0000-0000595A0000}"/>
    <cellStyle name="Warning Text 28 5" xfId="13774" xr:uid="{00000000-0005-0000-0000-00005A5A0000}"/>
    <cellStyle name="Warning Text 28 5 2" xfId="21480" xr:uid="{00000000-0005-0000-0000-00005B5A0000}"/>
    <cellStyle name="Warning Text 28 6" xfId="13775" xr:uid="{00000000-0005-0000-0000-00005C5A0000}"/>
    <cellStyle name="Warning Text 28 6 2" xfId="21481" xr:uid="{00000000-0005-0000-0000-00005D5A0000}"/>
    <cellStyle name="Warning Text 28 7" xfId="13776" xr:uid="{00000000-0005-0000-0000-00005E5A0000}"/>
    <cellStyle name="Warning Text 28 7 2" xfId="21482" xr:uid="{00000000-0005-0000-0000-00005F5A0000}"/>
    <cellStyle name="Warning Text 28 8" xfId="13777" xr:uid="{00000000-0005-0000-0000-0000605A0000}"/>
    <cellStyle name="Warning Text 28 8 2" xfId="21483" xr:uid="{00000000-0005-0000-0000-0000615A0000}"/>
    <cellStyle name="Warning Text 28 9" xfId="13778" xr:uid="{00000000-0005-0000-0000-0000625A0000}"/>
    <cellStyle name="Warning Text 28 9 2" xfId="21484" xr:uid="{00000000-0005-0000-0000-0000635A0000}"/>
    <cellStyle name="Warning Text 29" xfId="13779" xr:uid="{00000000-0005-0000-0000-0000645A0000}"/>
    <cellStyle name="Warning Text 29 2" xfId="13780" xr:uid="{00000000-0005-0000-0000-0000655A0000}"/>
    <cellStyle name="Warning Text 29 2 2" xfId="21485" xr:uid="{00000000-0005-0000-0000-0000665A0000}"/>
    <cellStyle name="Warning Text 29 3" xfId="13781" xr:uid="{00000000-0005-0000-0000-0000675A0000}"/>
    <cellStyle name="Warning Text 29 3 2" xfId="21486" xr:uid="{00000000-0005-0000-0000-0000685A0000}"/>
    <cellStyle name="Warning Text 29 4" xfId="13782" xr:uid="{00000000-0005-0000-0000-0000695A0000}"/>
    <cellStyle name="Warning Text 29 4 2" xfId="21487" xr:uid="{00000000-0005-0000-0000-00006A5A0000}"/>
    <cellStyle name="Warning Text 29 5" xfId="13783" xr:uid="{00000000-0005-0000-0000-00006B5A0000}"/>
    <cellStyle name="Warning Text 29 5 2" xfId="21488" xr:uid="{00000000-0005-0000-0000-00006C5A0000}"/>
    <cellStyle name="Warning Text 29 6" xfId="13784" xr:uid="{00000000-0005-0000-0000-00006D5A0000}"/>
    <cellStyle name="Warning Text 29 6 2" xfId="21489" xr:uid="{00000000-0005-0000-0000-00006E5A0000}"/>
    <cellStyle name="Warning Text 29 7" xfId="13785" xr:uid="{00000000-0005-0000-0000-00006F5A0000}"/>
    <cellStyle name="Warning Text 29 7 2" xfId="21490" xr:uid="{00000000-0005-0000-0000-0000705A0000}"/>
    <cellStyle name="Warning Text 29 8" xfId="13786" xr:uid="{00000000-0005-0000-0000-0000715A0000}"/>
    <cellStyle name="Warning Text 29 8 2" xfId="21491" xr:uid="{00000000-0005-0000-0000-0000725A0000}"/>
    <cellStyle name="Warning Text 29 9" xfId="13787" xr:uid="{00000000-0005-0000-0000-0000735A0000}"/>
    <cellStyle name="Warning Text 29 9 2" xfId="21492" xr:uid="{00000000-0005-0000-0000-0000745A0000}"/>
    <cellStyle name="Warning Text 3" xfId="13788" xr:uid="{00000000-0005-0000-0000-0000755A0000}"/>
    <cellStyle name="Warning Text 3 10" xfId="13789" xr:uid="{00000000-0005-0000-0000-0000765A0000}"/>
    <cellStyle name="Warning Text 3 10 2" xfId="21493" xr:uid="{00000000-0005-0000-0000-0000775A0000}"/>
    <cellStyle name="Warning Text 3 11" xfId="13790" xr:uid="{00000000-0005-0000-0000-0000785A0000}"/>
    <cellStyle name="Warning Text 3 11 2" xfId="21494" xr:uid="{00000000-0005-0000-0000-0000795A0000}"/>
    <cellStyle name="Warning Text 3 12" xfId="22204" xr:uid="{00000000-0005-0000-0000-00007A5A0000}"/>
    <cellStyle name="Warning Text 3 2" xfId="13791" xr:uid="{00000000-0005-0000-0000-00007B5A0000}"/>
    <cellStyle name="Warning Text 3 2 2" xfId="13792" xr:uid="{00000000-0005-0000-0000-00007C5A0000}"/>
    <cellStyle name="Warning Text 3 2 2 2" xfId="21495" xr:uid="{00000000-0005-0000-0000-00007D5A0000}"/>
    <cellStyle name="Warning Text 3 2 3" xfId="13793" xr:uid="{00000000-0005-0000-0000-00007E5A0000}"/>
    <cellStyle name="Warning Text 3 2 3 2" xfId="21496" xr:uid="{00000000-0005-0000-0000-00007F5A0000}"/>
    <cellStyle name="Warning Text 3 2 4" xfId="13794" xr:uid="{00000000-0005-0000-0000-0000805A0000}"/>
    <cellStyle name="Warning Text 3 2 4 2" xfId="21497" xr:uid="{00000000-0005-0000-0000-0000815A0000}"/>
    <cellStyle name="Warning Text 3 2 5" xfId="13795" xr:uid="{00000000-0005-0000-0000-0000825A0000}"/>
    <cellStyle name="Warning Text 3 2 5 2" xfId="21498" xr:uid="{00000000-0005-0000-0000-0000835A0000}"/>
    <cellStyle name="Warning Text 3 2 6" xfId="13796" xr:uid="{00000000-0005-0000-0000-0000845A0000}"/>
    <cellStyle name="Warning Text 3 2 6 2" xfId="21499" xr:uid="{00000000-0005-0000-0000-0000855A0000}"/>
    <cellStyle name="Warning Text 3 2 7" xfId="13797" xr:uid="{00000000-0005-0000-0000-0000865A0000}"/>
    <cellStyle name="Warning Text 3 2 7 2" xfId="21500" xr:uid="{00000000-0005-0000-0000-0000875A0000}"/>
    <cellStyle name="Warning Text 3 2 8" xfId="13798" xr:uid="{00000000-0005-0000-0000-0000885A0000}"/>
    <cellStyle name="Warning Text 3 2 8 2" xfId="21501" xr:uid="{00000000-0005-0000-0000-0000895A0000}"/>
    <cellStyle name="Warning Text 3 2 9" xfId="13799" xr:uid="{00000000-0005-0000-0000-00008A5A0000}"/>
    <cellStyle name="Warning Text 3 2 9 2" xfId="21502" xr:uid="{00000000-0005-0000-0000-00008B5A0000}"/>
    <cellStyle name="Warning Text 3 3" xfId="13800" xr:uid="{00000000-0005-0000-0000-00008C5A0000}"/>
    <cellStyle name="Warning Text 3 3 2" xfId="13801" xr:uid="{00000000-0005-0000-0000-00008D5A0000}"/>
    <cellStyle name="Warning Text 3 3 2 2" xfId="21503" xr:uid="{00000000-0005-0000-0000-00008E5A0000}"/>
    <cellStyle name="Warning Text 3 3 3" xfId="13802" xr:uid="{00000000-0005-0000-0000-00008F5A0000}"/>
    <cellStyle name="Warning Text 3 3 3 2" xfId="21504" xr:uid="{00000000-0005-0000-0000-0000905A0000}"/>
    <cellStyle name="Warning Text 3 3 4" xfId="13803" xr:uid="{00000000-0005-0000-0000-0000915A0000}"/>
    <cellStyle name="Warning Text 3 3 4 2" xfId="21505" xr:uid="{00000000-0005-0000-0000-0000925A0000}"/>
    <cellStyle name="Warning Text 3 3 5" xfId="13804" xr:uid="{00000000-0005-0000-0000-0000935A0000}"/>
    <cellStyle name="Warning Text 3 3 5 2" xfId="21506" xr:uid="{00000000-0005-0000-0000-0000945A0000}"/>
    <cellStyle name="Warning Text 3 3 6" xfId="13805" xr:uid="{00000000-0005-0000-0000-0000955A0000}"/>
    <cellStyle name="Warning Text 3 3 6 2" xfId="21507" xr:uid="{00000000-0005-0000-0000-0000965A0000}"/>
    <cellStyle name="Warning Text 3 3 7" xfId="13806" xr:uid="{00000000-0005-0000-0000-0000975A0000}"/>
    <cellStyle name="Warning Text 3 3 7 2" xfId="21508" xr:uid="{00000000-0005-0000-0000-0000985A0000}"/>
    <cellStyle name="Warning Text 3 3 8" xfId="13807" xr:uid="{00000000-0005-0000-0000-0000995A0000}"/>
    <cellStyle name="Warning Text 3 3 8 2" xfId="21509" xr:uid="{00000000-0005-0000-0000-00009A5A0000}"/>
    <cellStyle name="Warning Text 3 3 9" xfId="13808" xr:uid="{00000000-0005-0000-0000-00009B5A0000}"/>
    <cellStyle name="Warning Text 3 3 9 2" xfId="21510" xr:uid="{00000000-0005-0000-0000-00009C5A0000}"/>
    <cellStyle name="Warning Text 3 4" xfId="13809" xr:uid="{00000000-0005-0000-0000-00009D5A0000}"/>
    <cellStyle name="Warning Text 3 4 2" xfId="13810" xr:uid="{00000000-0005-0000-0000-00009E5A0000}"/>
    <cellStyle name="Warning Text 3 4 3" xfId="21511" xr:uid="{00000000-0005-0000-0000-00009F5A0000}"/>
    <cellStyle name="Warning Text 3 5" xfId="13811" xr:uid="{00000000-0005-0000-0000-0000A05A0000}"/>
    <cellStyle name="Warning Text 3 5 2" xfId="21512" xr:uid="{00000000-0005-0000-0000-0000A15A0000}"/>
    <cellStyle name="Warning Text 3 6" xfId="13812" xr:uid="{00000000-0005-0000-0000-0000A25A0000}"/>
    <cellStyle name="Warning Text 3 6 2" xfId="21513" xr:uid="{00000000-0005-0000-0000-0000A35A0000}"/>
    <cellStyle name="Warning Text 3 7" xfId="13813" xr:uid="{00000000-0005-0000-0000-0000A45A0000}"/>
    <cellStyle name="Warning Text 3 7 2" xfId="21514" xr:uid="{00000000-0005-0000-0000-0000A55A0000}"/>
    <cellStyle name="Warning Text 3 8" xfId="13814" xr:uid="{00000000-0005-0000-0000-0000A65A0000}"/>
    <cellStyle name="Warning Text 3 8 2" xfId="21515" xr:uid="{00000000-0005-0000-0000-0000A75A0000}"/>
    <cellStyle name="Warning Text 3 9" xfId="13815" xr:uid="{00000000-0005-0000-0000-0000A85A0000}"/>
    <cellStyle name="Warning Text 3 9 2" xfId="21516" xr:uid="{00000000-0005-0000-0000-0000A95A0000}"/>
    <cellStyle name="Warning Text 30" xfId="13816" xr:uid="{00000000-0005-0000-0000-0000AA5A0000}"/>
    <cellStyle name="Warning Text 30 2" xfId="13817" xr:uid="{00000000-0005-0000-0000-0000AB5A0000}"/>
    <cellStyle name="Warning Text 30 2 2" xfId="21517" xr:uid="{00000000-0005-0000-0000-0000AC5A0000}"/>
    <cellStyle name="Warning Text 31" xfId="13818" xr:uid="{00000000-0005-0000-0000-0000AD5A0000}"/>
    <cellStyle name="Warning Text 31 2" xfId="13819" xr:uid="{00000000-0005-0000-0000-0000AE5A0000}"/>
    <cellStyle name="Warning Text 31 2 2" xfId="21518" xr:uid="{00000000-0005-0000-0000-0000AF5A0000}"/>
    <cellStyle name="Warning Text 32" xfId="13820" xr:uid="{00000000-0005-0000-0000-0000B05A0000}"/>
    <cellStyle name="Warning Text 32 2" xfId="13821" xr:uid="{00000000-0005-0000-0000-0000B15A0000}"/>
    <cellStyle name="Warning Text 32 2 2" xfId="21519" xr:uid="{00000000-0005-0000-0000-0000B25A0000}"/>
    <cellStyle name="Warning Text 33" xfId="13822" xr:uid="{00000000-0005-0000-0000-0000B35A0000}"/>
    <cellStyle name="Warning Text 33 2" xfId="13823" xr:uid="{00000000-0005-0000-0000-0000B45A0000}"/>
    <cellStyle name="Warning Text 33 2 2" xfId="21520" xr:uid="{00000000-0005-0000-0000-0000B55A0000}"/>
    <cellStyle name="Warning Text 34" xfId="13824" xr:uid="{00000000-0005-0000-0000-0000B65A0000}"/>
    <cellStyle name="Warning Text 34 2" xfId="13825" xr:uid="{00000000-0005-0000-0000-0000B75A0000}"/>
    <cellStyle name="Warning Text 34 2 2" xfId="21521" xr:uid="{00000000-0005-0000-0000-0000B85A0000}"/>
    <cellStyle name="Warning Text 35" xfId="13826" xr:uid="{00000000-0005-0000-0000-0000B95A0000}"/>
    <cellStyle name="Warning Text 35 2" xfId="13827" xr:uid="{00000000-0005-0000-0000-0000BA5A0000}"/>
    <cellStyle name="Warning Text 35 2 2" xfId="21522" xr:uid="{00000000-0005-0000-0000-0000BB5A0000}"/>
    <cellStyle name="Warning Text 36" xfId="13828" xr:uid="{00000000-0005-0000-0000-0000BC5A0000}"/>
    <cellStyle name="Warning Text 37" xfId="13829" xr:uid="{00000000-0005-0000-0000-0000BD5A0000}"/>
    <cellStyle name="Warning Text 38" xfId="13830" xr:uid="{00000000-0005-0000-0000-0000BE5A0000}"/>
    <cellStyle name="Warning Text 39" xfId="13831" xr:uid="{00000000-0005-0000-0000-0000BF5A0000}"/>
    <cellStyle name="Warning Text 4" xfId="13832" xr:uid="{00000000-0005-0000-0000-0000C05A0000}"/>
    <cellStyle name="Warning Text 4 10" xfId="13833" xr:uid="{00000000-0005-0000-0000-0000C15A0000}"/>
    <cellStyle name="Warning Text 4 10 2" xfId="21523" xr:uid="{00000000-0005-0000-0000-0000C25A0000}"/>
    <cellStyle name="Warning Text 4 11" xfId="13834" xr:uid="{00000000-0005-0000-0000-0000C35A0000}"/>
    <cellStyle name="Warning Text 4 11 2" xfId="21524" xr:uid="{00000000-0005-0000-0000-0000C45A0000}"/>
    <cellStyle name="Warning Text 4 2" xfId="13835" xr:uid="{00000000-0005-0000-0000-0000C55A0000}"/>
    <cellStyle name="Warning Text 4 2 2" xfId="13836" xr:uid="{00000000-0005-0000-0000-0000C65A0000}"/>
    <cellStyle name="Warning Text 4 2 2 2" xfId="21525" xr:uid="{00000000-0005-0000-0000-0000C75A0000}"/>
    <cellStyle name="Warning Text 4 2 3" xfId="13837" xr:uid="{00000000-0005-0000-0000-0000C85A0000}"/>
    <cellStyle name="Warning Text 4 2 3 2" xfId="21526" xr:uid="{00000000-0005-0000-0000-0000C95A0000}"/>
    <cellStyle name="Warning Text 4 2 4" xfId="13838" xr:uid="{00000000-0005-0000-0000-0000CA5A0000}"/>
    <cellStyle name="Warning Text 4 2 4 2" xfId="21527" xr:uid="{00000000-0005-0000-0000-0000CB5A0000}"/>
    <cellStyle name="Warning Text 4 2 5" xfId="13839" xr:uid="{00000000-0005-0000-0000-0000CC5A0000}"/>
    <cellStyle name="Warning Text 4 2 5 2" xfId="21528" xr:uid="{00000000-0005-0000-0000-0000CD5A0000}"/>
    <cellStyle name="Warning Text 4 2 6" xfId="13840" xr:uid="{00000000-0005-0000-0000-0000CE5A0000}"/>
    <cellStyle name="Warning Text 4 2 6 2" xfId="21529" xr:uid="{00000000-0005-0000-0000-0000CF5A0000}"/>
    <cellStyle name="Warning Text 4 2 7" xfId="13841" xr:uid="{00000000-0005-0000-0000-0000D05A0000}"/>
    <cellStyle name="Warning Text 4 2 7 2" xfId="21530" xr:uid="{00000000-0005-0000-0000-0000D15A0000}"/>
    <cellStyle name="Warning Text 4 2 8" xfId="13842" xr:uid="{00000000-0005-0000-0000-0000D25A0000}"/>
    <cellStyle name="Warning Text 4 2 8 2" xfId="21531" xr:uid="{00000000-0005-0000-0000-0000D35A0000}"/>
    <cellStyle name="Warning Text 4 2 9" xfId="13843" xr:uid="{00000000-0005-0000-0000-0000D45A0000}"/>
    <cellStyle name="Warning Text 4 2 9 2" xfId="21532" xr:uid="{00000000-0005-0000-0000-0000D55A0000}"/>
    <cellStyle name="Warning Text 4 3" xfId="13844" xr:uid="{00000000-0005-0000-0000-0000D65A0000}"/>
    <cellStyle name="Warning Text 4 3 2" xfId="13845" xr:uid="{00000000-0005-0000-0000-0000D75A0000}"/>
    <cellStyle name="Warning Text 4 3 2 2" xfId="21533" xr:uid="{00000000-0005-0000-0000-0000D85A0000}"/>
    <cellStyle name="Warning Text 4 3 3" xfId="13846" xr:uid="{00000000-0005-0000-0000-0000D95A0000}"/>
    <cellStyle name="Warning Text 4 3 3 2" xfId="21534" xr:uid="{00000000-0005-0000-0000-0000DA5A0000}"/>
    <cellStyle name="Warning Text 4 3 4" xfId="13847" xr:uid="{00000000-0005-0000-0000-0000DB5A0000}"/>
    <cellStyle name="Warning Text 4 3 4 2" xfId="21535" xr:uid="{00000000-0005-0000-0000-0000DC5A0000}"/>
    <cellStyle name="Warning Text 4 3 5" xfId="13848" xr:uid="{00000000-0005-0000-0000-0000DD5A0000}"/>
    <cellStyle name="Warning Text 4 3 5 2" xfId="21536" xr:uid="{00000000-0005-0000-0000-0000DE5A0000}"/>
    <cellStyle name="Warning Text 4 3 6" xfId="13849" xr:uid="{00000000-0005-0000-0000-0000DF5A0000}"/>
    <cellStyle name="Warning Text 4 3 6 2" xfId="21537" xr:uid="{00000000-0005-0000-0000-0000E05A0000}"/>
    <cellStyle name="Warning Text 4 3 7" xfId="13850" xr:uid="{00000000-0005-0000-0000-0000E15A0000}"/>
    <cellStyle name="Warning Text 4 3 7 2" xfId="21538" xr:uid="{00000000-0005-0000-0000-0000E25A0000}"/>
    <cellStyle name="Warning Text 4 3 8" xfId="13851" xr:uid="{00000000-0005-0000-0000-0000E35A0000}"/>
    <cellStyle name="Warning Text 4 3 8 2" xfId="21539" xr:uid="{00000000-0005-0000-0000-0000E45A0000}"/>
    <cellStyle name="Warning Text 4 3 9" xfId="13852" xr:uid="{00000000-0005-0000-0000-0000E55A0000}"/>
    <cellStyle name="Warning Text 4 3 9 2" xfId="21540" xr:uid="{00000000-0005-0000-0000-0000E65A0000}"/>
    <cellStyle name="Warning Text 4 4" xfId="13853" xr:uid="{00000000-0005-0000-0000-0000E75A0000}"/>
    <cellStyle name="Warning Text 4 4 2" xfId="13854" xr:uid="{00000000-0005-0000-0000-0000E85A0000}"/>
    <cellStyle name="Warning Text 4 4 3" xfId="21541" xr:uid="{00000000-0005-0000-0000-0000E95A0000}"/>
    <cellStyle name="Warning Text 4 5" xfId="13855" xr:uid="{00000000-0005-0000-0000-0000EA5A0000}"/>
    <cellStyle name="Warning Text 4 5 2" xfId="21542" xr:uid="{00000000-0005-0000-0000-0000EB5A0000}"/>
    <cellStyle name="Warning Text 4 6" xfId="13856" xr:uid="{00000000-0005-0000-0000-0000EC5A0000}"/>
    <cellStyle name="Warning Text 4 6 2" xfId="21543" xr:uid="{00000000-0005-0000-0000-0000ED5A0000}"/>
    <cellStyle name="Warning Text 4 7" xfId="13857" xr:uid="{00000000-0005-0000-0000-0000EE5A0000}"/>
    <cellStyle name="Warning Text 4 7 2" xfId="21544" xr:uid="{00000000-0005-0000-0000-0000EF5A0000}"/>
    <cellStyle name="Warning Text 4 8" xfId="13858" xr:uid="{00000000-0005-0000-0000-0000F05A0000}"/>
    <cellStyle name="Warning Text 4 8 2" xfId="21545" xr:uid="{00000000-0005-0000-0000-0000F15A0000}"/>
    <cellStyle name="Warning Text 4 9" xfId="13859" xr:uid="{00000000-0005-0000-0000-0000F25A0000}"/>
    <cellStyle name="Warning Text 4 9 2" xfId="21546" xr:uid="{00000000-0005-0000-0000-0000F35A0000}"/>
    <cellStyle name="Warning Text 5" xfId="13860" xr:uid="{00000000-0005-0000-0000-0000F45A0000}"/>
    <cellStyle name="Warning Text 5 10" xfId="13861" xr:uid="{00000000-0005-0000-0000-0000F55A0000}"/>
    <cellStyle name="Warning Text 5 10 2" xfId="21547" xr:uid="{00000000-0005-0000-0000-0000F65A0000}"/>
    <cellStyle name="Warning Text 5 11" xfId="13862" xr:uid="{00000000-0005-0000-0000-0000F75A0000}"/>
    <cellStyle name="Warning Text 5 11 2" xfId="21548" xr:uid="{00000000-0005-0000-0000-0000F85A0000}"/>
    <cellStyle name="Warning Text 5 2" xfId="13863" xr:uid="{00000000-0005-0000-0000-0000F95A0000}"/>
    <cellStyle name="Warning Text 5 2 2" xfId="13864" xr:uid="{00000000-0005-0000-0000-0000FA5A0000}"/>
    <cellStyle name="Warning Text 5 2 2 2" xfId="21549" xr:uid="{00000000-0005-0000-0000-0000FB5A0000}"/>
    <cellStyle name="Warning Text 5 2 3" xfId="13865" xr:uid="{00000000-0005-0000-0000-0000FC5A0000}"/>
    <cellStyle name="Warning Text 5 2 3 2" xfId="21550" xr:uid="{00000000-0005-0000-0000-0000FD5A0000}"/>
    <cellStyle name="Warning Text 5 2 4" xfId="13866" xr:uid="{00000000-0005-0000-0000-0000FE5A0000}"/>
    <cellStyle name="Warning Text 5 2 4 2" xfId="21551" xr:uid="{00000000-0005-0000-0000-0000FF5A0000}"/>
    <cellStyle name="Warning Text 5 2 5" xfId="13867" xr:uid="{00000000-0005-0000-0000-0000005B0000}"/>
    <cellStyle name="Warning Text 5 2 5 2" xfId="21552" xr:uid="{00000000-0005-0000-0000-0000015B0000}"/>
    <cellStyle name="Warning Text 5 2 6" xfId="13868" xr:uid="{00000000-0005-0000-0000-0000025B0000}"/>
    <cellStyle name="Warning Text 5 2 6 2" xfId="21553" xr:uid="{00000000-0005-0000-0000-0000035B0000}"/>
    <cellStyle name="Warning Text 5 2 7" xfId="13869" xr:uid="{00000000-0005-0000-0000-0000045B0000}"/>
    <cellStyle name="Warning Text 5 2 7 2" xfId="21554" xr:uid="{00000000-0005-0000-0000-0000055B0000}"/>
    <cellStyle name="Warning Text 5 2 8" xfId="13870" xr:uid="{00000000-0005-0000-0000-0000065B0000}"/>
    <cellStyle name="Warning Text 5 2 8 2" xfId="21555" xr:uid="{00000000-0005-0000-0000-0000075B0000}"/>
    <cellStyle name="Warning Text 5 2 9" xfId="13871" xr:uid="{00000000-0005-0000-0000-0000085B0000}"/>
    <cellStyle name="Warning Text 5 2 9 2" xfId="21556" xr:uid="{00000000-0005-0000-0000-0000095B0000}"/>
    <cellStyle name="Warning Text 5 3" xfId="13872" xr:uid="{00000000-0005-0000-0000-00000A5B0000}"/>
    <cellStyle name="Warning Text 5 3 2" xfId="13873" xr:uid="{00000000-0005-0000-0000-00000B5B0000}"/>
    <cellStyle name="Warning Text 5 3 2 2" xfId="21557" xr:uid="{00000000-0005-0000-0000-00000C5B0000}"/>
    <cellStyle name="Warning Text 5 3 3" xfId="13874" xr:uid="{00000000-0005-0000-0000-00000D5B0000}"/>
    <cellStyle name="Warning Text 5 3 3 2" xfId="21558" xr:uid="{00000000-0005-0000-0000-00000E5B0000}"/>
    <cellStyle name="Warning Text 5 3 4" xfId="13875" xr:uid="{00000000-0005-0000-0000-00000F5B0000}"/>
    <cellStyle name="Warning Text 5 3 4 2" xfId="21559" xr:uid="{00000000-0005-0000-0000-0000105B0000}"/>
    <cellStyle name="Warning Text 5 3 5" xfId="13876" xr:uid="{00000000-0005-0000-0000-0000115B0000}"/>
    <cellStyle name="Warning Text 5 3 5 2" xfId="21560" xr:uid="{00000000-0005-0000-0000-0000125B0000}"/>
    <cellStyle name="Warning Text 5 3 6" xfId="13877" xr:uid="{00000000-0005-0000-0000-0000135B0000}"/>
    <cellStyle name="Warning Text 5 3 6 2" xfId="21561" xr:uid="{00000000-0005-0000-0000-0000145B0000}"/>
    <cellStyle name="Warning Text 5 3 7" xfId="13878" xr:uid="{00000000-0005-0000-0000-0000155B0000}"/>
    <cellStyle name="Warning Text 5 3 7 2" xfId="21562" xr:uid="{00000000-0005-0000-0000-0000165B0000}"/>
    <cellStyle name="Warning Text 5 3 8" xfId="13879" xr:uid="{00000000-0005-0000-0000-0000175B0000}"/>
    <cellStyle name="Warning Text 5 3 8 2" xfId="21563" xr:uid="{00000000-0005-0000-0000-0000185B0000}"/>
    <cellStyle name="Warning Text 5 3 9" xfId="13880" xr:uid="{00000000-0005-0000-0000-0000195B0000}"/>
    <cellStyle name="Warning Text 5 3 9 2" xfId="21564" xr:uid="{00000000-0005-0000-0000-00001A5B0000}"/>
    <cellStyle name="Warning Text 5 4" xfId="13881" xr:uid="{00000000-0005-0000-0000-00001B5B0000}"/>
    <cellStyle name="Warning Text 5 4 2" xfId="13882" xr:uid="{00000000-0005-0000-0000-00001C5B0000}"/>
    <cellStyle name="Warning Text 5 4 3" xfId="21565" xr:uid="{00000000-0005-0000-0000-00001D5B0000}"/>
    <cellStyle name="Warning Text 5 5" xfId="13883" xr:uid="{00000000-0005-0000-0000-00001E5B0000}"/>
    <cellStyle name="Warning Text 5 5 2" xfId="21566" xr:uid="{00000000-0005-0000-0000-00001F5B0000}"/>
    <cellStyle name="Warning Text 5 6" xfId="13884" xr:uid="{00000000-0005-0000-0000-0000205B0000}"/>
    <cellStyle name="Warning Text 5 6 2" xfId="21567" xr:uid="{00000000-0005-0000-0000-0000215B0000}"/>
    <cellStyle name="Warning Text 5 7" xfId="13885" xr:uid="{00000000-0005-0000-0000-0000225B0000}"/>
    <cellStyle name="Warning Text 5 7 2" xfId="21568" xr:uid="{00000000-0005-0000-0000-0000235B0000}"/>
    <cellStyle name="Warning Text 5 8" xfId="13886" xr:uid="{00000000-0005-0000-0000-0000245B0000}"/>
    <cellStyle name="Warning Text 5 8 2" xfId="21569" xr:uid="{00000000-0005-0000-0000-0000255B0000}"/>
    <cellStyle name="Warning Text 5 9" xfId="13887" xr:uid="{00000000-0005-0000-0000-0000265B0000}"/>
    <cellStyle name="Warning Text 5 9 2" xfId="21570" xr:uid="{00000000-0005-0000-0000-0000275B0000}"/>
    <cellStyle name="Warning Text 6" xfId="13888" xr:uid="{00000000-0005-0000-0000-0000285B0000}"/>
    <cellStyle name="Warning Text 6 10" xfId="13889" xr:uid="{00000000-0005-0000-0000-0000295B0000}"/>
    <cellStyle name="Warning Text 6 10 2" xfId="21571" xr:uid="{00000000-0005-0000-0000-00002A5B0000}"/>
    <cellStyle name="Warning Text 6 11" xfId="13890" xr:uid="{00000000-0005-0000-0000-00002B5B0000}"/>
    <cellStyle name="Warning Text 6 11 2" xfId="21572" xr:uid="{00000000-0005-0000-0000-00002C5B0000}"/>
    <cellStyle name="Warning Text 6 2" xfId="13891" xr:uid="{00000000-0005-0000-0000-00002D5B0000}"/>
    <cellStyle name="Warning Text 6 2 2" xfId="13892" xr:uid="{00000000-0005-0000-0000-00002E5B0000}"/>
    <cellStyle name="Warning Text 6 2 2 2" xfId="21573" xr:uid="{00000000-0005-0000-0000-00002F5B0000}"/>
    <cellStyle name="Warning Text 6 2 3" xfId="13893" xr:uid="{00000000-0005-0000-0000-0000305B0000}"/>
    <cellStyle name="Warning Text 6 2 3 2" xfId="21574" xr:uid="{00000000-0005-0000-0000-0000315B0000}"/>
    <cellStyle name="Warning Text 6 2 4" xfId="13894" xr:uid="{00000000-0005-0000-0000-0000325B0000}"/>
    <cellStyle name="Warning Text 6 2 4 2" xfId="21575" xr:uid="{00000000-0005-0000-0000-0000335B0000}"/>
    <cellStyle name="Warning Text 6 2 5" xfId="13895" xr:uid="{00000000-0005-0000-0000-0000345B0000}"/>
    <cellStyle name="Warning Text 6 2 5 2" xfId="21576" xr:uid="{00000000-0005-0000-0000-0000355B0000}"/>
    <cellStyle name="Warning Text 6 2 6" xfId="13896" xr:uid="{00000000-0005-0000-0000-0000365B0000}"/>
    <cellStyle name="Warning Text 6 2 6 2" xfId="21577" xr:uid="{00000000-0005-0000-0000-0000375B0000}"/>
    <cellStyle name="Warning Text 6 2 7" xfId="13897" xr:uid="{00000000-0005-0000-0000-0000385B0000}"/>
    <cellStyle name="Warning Text 6 2 7 2" xfId="21578" xr:uid="{00000000-0005-0000-0000-0000395B0000}"/>
    <cellStyle name="Warning Text 6 2 8" xfId="13898" xr:uid="{00000000-0005-0000-0000-00003A5B0000}"/>
    <cellStyle name="Warning Text 6 2 8 2" xfId="21579" xr:uid="{00000000-0005-0000-0000-00003B5B0000}"/>
    <cellStyle name="Warning Text 6 2 9" xfId="13899" xr:uid="{00000000-0005-0000-0000-00003C5B0000}"/>
    <cellStyle name="Warning Text 6 2 9 2" xfId="21580" xr:uid="{00000000-0005-0000-0000-00003D5B0000}"/>
    <cellStyle name="Warning Text 6 3" xfId="13900" xr:uid="{00000000-0005-0000-0000-00003E5B0000}"/>
    <cellStyle name="Warning Text 6 3 2" xfId="13901" xr:uid="{00000000-0005-0000-0000-00003F5B0000}"/>
    <cellStyle name="Warning Text 6 3 2 2" xfId="21581" xr:uid="{00000000-0005-0000-0000-0000405B0000}"/>
    <cellStyle name="Warning Text 6 3 3" xfId="13902" xr:uid="{00000000-0005-0000-0000-0000415B0000}"/>
    <cellStyle name="Warning Text 6 3 3 2" xfId="21582" xr:uid="{00000000-0005-0000-0000-0000425B0000}"/>
    <cellStyle name="Warning Text 6 3 4" xfId="13903" xr:uid="{00000000-0005-0000-0000-0000435B0000}"/>
    <cellStyle name="Warning Text 6 3 4 2" xfId="21583" xr:uid="{00000000-0005-0000-0000-0000445B0000}"/>
    <cellStyle name="Warning Text 6 3 5" xfId="13904" xr:uid="{00000000-0005-0000-0000-0000455B0000}"/>
    <cellStyle name="Warning Text 6 3 5 2" xfId="21584" xr:uid="{00000000-0005-0000-0000-0000465B0000}"/>
    <cellStyle name="Warning Text 6 3 6" xfId="13905" xr:uid="{00000000-0005-0000-0000-0000475B0000}"/>
    <cellStyle name="Warning Text 6 3 6 2" xfId="21585" xr:uid="{00000000-0005-0000-0000-0000485B0000}"/>
    <cellStyle name="Warning Text 6 3 7" xfId="13906" xr:uid="{00000000-0005-0000-0000-0000495B0000}"/>
    <cellStyle name="Warning Text 6 3 7 2" xfId="21586" xr:uid="{00000000-0005-0000-0000-00004A5B0000}"/>
    <cellStyle name="Warning Text 6 3 8" xfId="13907" xr:uid="{00000000-0005-0000-0000-00004B5B0000}"/>
    <cellStyle name="Warning Text 6 3 8 2" xfId="21587" xr:uid="{00000000-0005-0000-0000-00004C5B0000}"/>
    <cellStyle name="Warning Text 6 3 9" xfId="13908" xr:uid="{00000000-0005-0000-0000-00004D5B0000}"/>
    <cellStyle name="Warning Text 6 3 9 2" xfId="21588" xr:uid="{00000000-0005-0000-0000-00004E5B0000}"/>
    <cellStyle name="Warning Text 6 4" xfId="13909" xr:uid="{00000000-0005-0000-0000-00004F5B0000}"/>
    <cellStyle name="Warning Text 6 4 2" xfId="13910" xr:uid="{00000000-0005-0000-0000-0000505B0000}"/>
    <cellStyle name="Warning Text 6 4 3" xfId="21589" xr:uid="{00000000-0005-0000-0000-0000515B0000}"/>
    <cellStyle name="Warning Text 6 5" xfId="13911" xr:uid="{00000000-0005-0000-0000-0000525B0000}"/>
    <cellStyle name="Warning Text 6 5 2" xfId="21590" xr:uid="{00000000-0005-0000-0000-0000535B0000}"/>
    <cellStyle name="Warning Text 6 6" xfId="13912" xr:uid="{00000000-0005-0000-0000-0000545B0000}"/>
    <cellStyle name="Warning Text 6 6 2" xfId="21591" xr:uid="{00000000-0005-0000-0000-0000555B0000}"/>
    <cellStyle name="Warning Text 6 7" xfId="13913" xr:uid="{00000000-0005-0000-0000-0000565B0000}"/>
    <cellStyle name="Warning Text 6 7 2" xfId="21592" xr:uid="{00000000-0005-0000-0000-0000575B0000}"/>
    <cellStyle name="Warning Text 6 8" xfId="13914" xr:uid="{00000000-0005-0000-0000-0000585B0000}"/>
    <cellStyle name="Warning Text 6 8 2" xfId="21593" xr:uid="{00000000-0005-0000-0000-0000595B0000}"/>
    <cellStyle name="Warning Text 6 9" xfId="13915" xr:uid="{00000000-0005-0000-0000-00005A5B0000}"/>
    <cellStyle name="Warning Text 6 9 2" xfId="21594" xr:uid="{00000000-0005-0000-0000-00005B5B0000}"/>
    <cellStyle name="Warning Text 7" xfId="13916" xr:uid="{00000000-0005-0000-0000-00005C5B0000}"/>
    <cellStyle name="Warning Text 7 10" xfId="13917" xr:uid="{00000000-0005-0000-0000-00005D5B0000}"/>
    <cellStyle name="Warning Text 7 10 2" xfId="21595" xr:uid="{00000000-0005-0000-0000-00005E5B0000}"/>
    <cellStyle name="Warning Text 7 11" xfId="13918" xr:uid="{00000000-0005-0000-0000-00005F5B0000}"/>
    <cellStyle name="Warning Text 7 11 2" xfId="21596" xr:uid="{00000000-0005-0000-0000-0000605B0000}"/>
    <cellStyle name="Warning Text 7 2" xfId="13919" xr:uid="{00000000-0005-0000-0000-0000615B0000}"/>
    <cellStyle name="Warning Text 7 2 2" xfId="13920" xr:uid="{00000000-0005-0000-0000-0000625B0000}"/>
    <cellStyle name="Warning Text 7 2 2 2" xfId="21597" xr:uid="{00000000-0005-0000-0000-0000635B0000}"/>
    <cellStyle name="Warning Text 7 2 3" xfId="13921" xr:uid="{00000000-0005-0000-0000-0000645B0000}"/>
    <cellStyle name="Warning Text 7 2 3 2" xfId="21598" xr:uid="{00000000-0005-0000-0000-0000655B0000}"/>
    <cellStyle name="Warning Text 7 2 4" xfId="13922" xr:uid="{00000000-0005-0000-0000-0000665B0000}"/>
    <cellStyle name="Warning Text 7 2 4 2" xfId="21599" xr:uid="{00000000-0005-0000-0000-0000675B0000}"/>
    <cellStyle name="Warning Text 7 2 5" xfId="13923" xr:uid="{00000000-0005-0000-0000-0000685B0000}"/>
    <cellStyle name="Warning Text 7 2 5 2" xfId="21600" xr:uid="{00000000-0005-0000-0000-0000695B0000}"/>
    <cellStyle name="Warning Text 7 2 6" xfId="13924" xr:uid="{00000000-0005-0000-0000-00006A5B0000}"/>
    <cellStyle name="Warning Text 7 2 6 2" xfId="21601" xr:uid="{00000000-0005-0000-0000-00006B5B0000}"/>
    <cellStyle name="Warning Text 7 2 7" xfId="13925" xr:uid="{00000000-0005-0000-0000-00006C5B0000}"/>
    <cellStyle name="Warning Text 7 2 7 2" xfId="21602" xr:uid="{00000000-0005-0000-0000-00006D5B0000}"/>
    <cellStyle name="Warning Text 7 2 8" xfId="13926" xr:uid="{00000000-0005-0000-0000-00006E5B0000}"/>
    <cellStyle name="Warning Text 7 2 8 2" xfId="21603" xr:uid="{00000000-0005-0000-0000-00006F5B0000}"/>
    <cellStyle name="Warning Text 7 2 9" xfId="13927" xr:uid="{00000000-0005-0000-0000-0000705B0000}"/>
    <cellStyle name="Warning Text 7 2 9 2" xfId="21604" xr:uid="{00000000-0005-0000-0000-0000715B0000}"/>
    <cellStyle name="Warning Text 7 3" xfId="13928" xr:uid="{00000000-0005-0000-0000-0000725B0000}"/>
    <cellStyle name="Warning Text 7 3 2" xfId="13929" xr:uid="{00000000-0005-0000-0000-0000735B0000}"/>
    <cellStyle name="Warning Text 7 3 2 2" xfId="21605" xr:uid="{00000000-0005-0000-0000-0000745B0000}"/>
    <cellStyle name="Warning Text 7 3 3" xfId="13930" xr:uid="{00000000-0005-0000-0000-0000755B0000}"/>
    <cellStyle name="Warning Text 7 3 3 2" xfId="21606" xr:uid="{00000000-0005-0000-0000-0000765B0000}"/>
    <cellStyle name="Warning Text 7 3 4" xfId="13931" xr:uid="{00000000-0005-0000-0000-0000775B0000}"/>
    <cellStyle name="Warning Text 7 3 4 2" xfId="21607" xr:uid="{00000000-0005-0000-0000-0000785B0000}"/>
    <cellStyle name="Warning Text 7 3 5" xfId="13932" xr:uid="{00000000-0005-0000-0000-0000795B0000}"/>
    <cellStyle name="Warning Text 7 3 5 2" xfId="21608" xr:uid="{00000000-0005-0000-0000-00007A5B0000}"/>
    <cellStyle name="Warning Text 7 3 6" xfId="13933" xr:uid="{00000000-0005-0000-0000-00007B5B0000}"/>
    <cellStyle name="Warning Text 7 3 6 2" xfId="21609" xr:uid="{00000000-0005-0000-0000-00007C5B0000}"/>
    <cellStyle name="Warning Text 7 3 7" xfId="13934" xr:uid="{00000000-0005-0000-0000-00007D5B0000}"/>
    <cellStyle name="Warning Text 7 3 7 2" xfId="21610" xr:uid="{00000000-0005-0000-0000-00007E5B0000}"/>
    <cellStyle name="Warning Text 7 3 8" xfId="13935" xr:uid="{00000000-0005-0000-0000-00007F5B0000}"/>
    <cellStyle name="Warning Text 7 3 8 2" xfId="21611" xr:uid="{00000000-0005-0000-0000-0000805B0000}"/>
    <cellStyle name="Warning Text 7 3 9" xfId="13936" xr:uid="{00000000-0005-0000-0000-0000815B0000}"/>
    <cellStyle name="Warning Text 7 3 9 2" xfId="21612" xr:uid="{00000000-0005-0000-0000-0000825B0000}"/>
    <cellStyle name="Warning Text 7 4" xfId="13937" xr:uid="{00000000-0005-0000-0000-0000835B0000}"/>
    <cellStyle name="Warning Text 7 4 2" xfId="13938" xr:uid="{00000000-0005-0000-0000-0000845B0000}"/>
    <cellStyle name="Warning Text 7 4 3" xfId="21613" xr:uid="{00000000-0005-0000-0000-0000855B0000}"/>
    <cellStyle name="Warning Text 7 5" xfId="13939" xr:uid="{00000000-0005-0000-0000-0000865B0000}"/>
    <cellStyle name="Warning Text 7 5 2" xfId="21614" xr:uid="{00000000-0005-0000-0000-0000875B0000}"/>
    <cellStyle name="Warning Text 7 6" xfId="13940" xr:uid="{00000000-0005-0000-0000-0000885B0000}"/>
    <cellStyle name="Warning Text 7 6 2" xfId="21615" xr:uid="{00000000-0005-0000-0000-0000895B0000}"/>
    <cellStyle name="Warning Text 7 7" xfId="13941" xr:uid="{00000000-0005-0000-0000-00008A5B0000}"/>
    <cellStyle name="Warning Text 7 7 2" xfId="21616" xr:uid="{00000000-0005-0000-0000-00008B5B0000}"/>
    <cellStyle name="Warning Text 7 8" xfId="13942" xr:uid="{00000000-0005-0000-0000-00008C5B0000}"/>
    <cellStyle name="Warning Text 7 8 2" xfId="21617" xr:uid="{00000000-0005-0000-0000-00008D5B0000}"/>
    <cellStyle name="Warning Text 7 9" xfId="13943" xr:uid="{00000000-0005-0000-0000-00008E5B0000}"/>
    <cellStyle name="Warning Text 7 9 2" xfId="21618" xr:uid="{00000000-0005-0000-0000-00008F5B0000}"/>
    <cellStyle name="Warning Text 8" xfId="13944" xr:uid="{00000000-0005-0000-0000-0000905B0000}"/>
    <cellStyle name="Warning Text 8 10" xfId="13945" xr:uid="{00000000-0005-0000-0000-0000915B0000}"/>
    <cellStyle name="Warning Text 8 10 2" xfId="21619" xr:uid="{00000000-0005-0000-0000-0000925B0000}"/>
    <cellStyle name="Warning Text 8 11" xfId="13946" xr:uid="{00000000-0005-0000-0000-0000935B0000}"/>
    <cellStyle name="Warning Text 8 11 2" xfId="21620" xr:uid="{00000000-0005-0000-0000-0000945B0000}"/>
    <cellStyle name="Warning Text 8 2" xfId="13947" xr:uid="{00000000-0005-0000-0000-0000955B0000}"/>
    <cellStyle name="Warning Text 8 2 2" xfId="13948" xr:uid="{00000000-0005-0000-0000-0000965B0000}"/>
    <cellStyle name="Warning Text 8 2 2 2" xfId="21621" xr:uid="{00000000-0005-0000-0000-0000975B0000}"/>
    <cellStyle name="Warning Text 8 2 3" xfId="13949" xr:uid="{00000000-0005-0000-0000-0000985B0000}"/>
    <cellStyle name="Warning Text 8 2 3 2" xfId="21622" xr:uid="{00000000-0005-0000-0000-0000995B0000}"/>
    <cellStyle name="Warning Text 8 2 4" xfId="13950" xr:uid="{00000000-0005-0000-0000-00009A5B0000}"/>
    <cellStyle name="Warning Text 8 2 4 2" xfId="21623" xr:uid="{00000000-0005-0000-0000-00009B5B0000}"/>
    <cellStyle name="Warning Text 8 2 5" xfId="13951" xr:uid="{00000000-0005-0000-0000-00009C5B0000}"/>
    <cellStyle name="Warning Text 8 2 5 2" xfId="21624" xr:uid="{00000000-0005-0000-0000-00009D5B0000}"/>
    <cellStyle name="Warning Text 8 2 6" xfId="13952" xr:uid="{00000000-0005-0000-0000-00009E5B0000}"/>
    <cellStyle name="Warning Text 8 2 6 2" xfId="21625" xr:uid="{00000000-0005-0000-0000-00009F5B0000}"/>
    <cellStyle name="Warning Text 8 2 7" xfId="13953" xr:uid="{00000000-0005-0000-0000-0000A05B0000}"/>
    <cellStyle name="Warning Text 8 2 7 2" xfId="21626" xr:uid="{00000000-0005-0000-0000-0000A15B0000}"/>
    <cellStyle name="Warning Text 8 2 8" xfId="13954" xr:uid="{00000000-0005-0000-0000-0000A25B0000}"/>
    <cellStyle name="Warning Text 8 2 8 2" xfId="21627" xr:uid="{00000000-0005-0000-0000-0000A35B0000}"/>
    <cellStyle name="Warning Text 8 2 9" xfId="13955" xr:uid="{00000000-0005-0000-0000-0000A45B0000}"/>
    <cellStyle name="Warning Text 8 2 9 2" xfId="21628" xr:uid="{00000000-0005-0000-0000-0000A55B0000}"/>
    <cellStyle name="Warning Text 8 3" xfId="13956" xr:uid="{00000000-0005-0000-0000-0000A65B0000}"/>
    <cellStyle name="Warning Text 8 3 2" xfId="13957" xr:uid="{00000000-0005-0000-0000-0000A75B0000}"/>
    <cellStyle name="Warning Text 8 3 2 2" xfId="21629" xr:uid="{00000000-0005-0000-0000-0000A85B0000}"/>
    <cellStyle name="Warning Text 8 3 3" xfId="13958" xr:uid="{00000000-0005-0000-0000-0000A95B0000}"/>
    <cellStyle name="Warning Text 8 3 3 2" xfId="21630" xr:uid="{00000000-0005-0000-0000-0000AA5B0000}"/>
    <cellStyle name="Warning Text 8 3 4" xfId="13959" xr:uid="{00000000-0005-0000-0000-0000AB5B0000}"/>
    <cellStyle name="Warning Text 8 3 4 2" xfId="21631" xr:uid="{00000000-0005-0000-0000-0000AC5B0000}"/>
    <cellStyle name="Warning Text 8 3 5" xfId="13960" xr:uid="{00000000-0005-0000-0000-0000AD5B0000}"/>
    <cellStyle name="Warning Text 8 3 5 2" xfId="21632" xr:uid="{00000000-0005-0000-0000-0000AE5B0000}"/>
    <cellStyle name="Warning Text 8 3 6" xfId="13961" xr:uid="{00000000-0005-0000-0000-0000AF5B0000}"/>
    <cellStyle name="Warning Text 8 3 6 2" xfId="21633" xr:uid="{00000000-0005-0000-0000-0000B05B0000}"/>
    <cellStyle name="Warning Text 8 3 7" xfId="13962" xr:uid="{00000000-0005-0000-0000-0000B15B0000}"/>
    <cellStyle name="Warning Text 8 3 7 2" xfId="21634" xr:uid="{00000000-0005-0000-0000-0000B25B0000}"/>
    <cellStyle name="Warning Text 8 3 8" xfId="13963" xr:uid="{00000000-0005-0000-0000-0000B35B0000}"/>
    <cellStyle name="Warning Text 8 3 8 2" xfId="21635" xr:uid="{00000000-0005-0000-0000-0000B45B0000}"/>
    <cellStyle name="Warning Text 8 3 9" xfId="13964" xr:uid="{00000000-0005-0000-0000-0000B55B0000}"/>
    <cellStyle name="Warning Text 8 3 9 2" xfId="21636" xr:uid="{00000000-0005-0000-0000-0000B65B0000}"/>
    <cellStyle name="Warning Text 8 4" xfId="13965" xr:uid="{00000000-0005-0000-0000-0000B75B0000}"/>
    <cellStyle name="Warning Text 8 4 2" xfId="13966" xr:uid="{00000000-0005-0000-0000-0000B85B0000}"/>
    <cellStyle name="Warning Text 8 4 3" xfId="21637" xr:uid="{00000000-0005-0000-0000-0000B95B0000}"/>
    <cellStyle name="Warning Text 8 5" xfId="13967" xr:uid="{00000000-0005-0000-0000-0000BA5B0000}"/>
    <cellStyle name="Warning Text 8 5 2" xfId="21638" xr:uid="{00000000-0005-0000-0000-0000BB5B0000}"/>
    <cellStyle name="Warning Text 8 6" xfId="13968" xr:uid="{00000000-0005-0000-0000-0000BC5B0000}"/>
    <cellStyle name="Warning Text 8 6 2" xfId="21639" xr:uid="{00000000-0005-0000-0000-0000BD5B0000}"/>
    <cellStyle name="Warning Text 8 7" xfId="13969" xr:uid="{00000000-0005-0000-0000-0000BE5B0000}"/>
    <cellStyle name="Warning Text 8 7 2" xfId="21640" xr:uid="{00000000-0005-0000-0000-0000BF5B0000}"/>
    <cellStyle name="Warning Text 8 8" xfId="13970" xr:uid="{00000000-0005-0000-0000-0000C05B0000}"/>
    <cellStyle name="Warning Text 8 8 2" xfId="21641" xr:uid="{00000000-0005-0000-0000-0000C15B0000}"/>
    <cellStyle name="Warning Text 8 9" xfId="13971" xr:uid="{00000000-0005-0000-0000-0000C25B0000}"/>
    <cellStyle name="Warning Text 8 9 2" xfId="21642" xr:uid="{00000000-0005-0000-0000-0000C35B0000}"/>
    <cellStyle name="Warning Text 9" xfId="13972" xr:uid="{00000000-0005-0000-0000-0000C45B0000}"/>
    <cellStyle name="Warning Text 9 10" xfId="13973" xr:uid="{00000000-0005-0000-0000-0000C55B0000}"/>
    <cellStyle name="Warning Text 9 10 2" xfId="21643" xr:uid="{00000000-0005-0000-0000-0000C65B0000}"/>
    <cellStyle name="Warning Text 9 11" xfId="13974" xr:uid="{00000000-0005-0000-0000-0000C75B0000}"/>
    <cellStyle name="Warning Text 9 11 2" xfId="21644" xr:uid="{00000000-0005-0000-0000-0000C85B0000}"/>
    <cellStyle name="Warning Text 9 2" xfId="13975" xr:uid="{00000000-0005-0000-0000-0000C95B0000}"/>
    <cellStyle name="Warning Text 9 2 2" xfId="13976" xr:uid="{00000000-0005-0000-0000-0000CA5B0000}"/>
    <cellStyle name="Warning Text 9 2 2 2" xfId="21645" xr:uid="{00000000-0005-0000-0000-0000CB5B0000}"/>
    <cellStyle name="Warning Text 9 2 3" xfId="13977" xr:uid="{00000000-0005-0000-0000-0000CC5B0000}"/>
    <cellStyle name="Warning Text 9 2 3 2" xfId="21646" xr:uid="{00000000-0005-0000-0000-0000CD5B0000}"/>
    <cellStyle name="Warning Text 9 2 4" xfId="13978" xr:uid="{00000000-0005-0000-0000-0000CE5B0000}"/>
    <cellStyle name="Warning Text 9 2 4 2" xfId="21647" xr:uid="{00000000-0005-0000-0000-0000CF5B0000}"/>
    <cellStyle name="Warning Text 9 2 5" xfId="13979" xr:uid="{00000000-0005-0000-0000-0000D05B0000}"/>
    <cellStyle name="Warning Text 9 2 5 2" xfId="21648" xr:uid="{00000000-0005-0000-0000-0000D15B0000}"/>
    <cellStyle name="Warning Text 9 2 6" xfId="13980" xr:uid="{00000000-0005-0000-0000-0000D25B0000}"/>
    <cellStyle name="Warning Text 9 2 6 2" xfId="21649" xr:uid="{00000000-0005-0000-0000-0000D35B0000}"/>
    <cellStyle name="Warning Text 9 2 7" xfId="13981" xr:uid="{00000000-0005-0000-0000-0000D45B0000}"/>
    <cellStyle name="Warning Text 9 2 7 2" xfId="21650" xr:uid="{00000000-0005-0000-0000-0000D55B0000}"/>
    <cellStyle name="Warning Text 9 2 8" xfId="13982" xr:uid="{00000000-0005-0000-0000-0000D65B0000}"/>
    <cellStyle name="Warning Text 9 2 8 2" xfId="21651" xr:uid="{00000000-0005-0000-0000-0000D75B0000}"/>
    <cellStyle name="Warning Text 9 2 9" xfId="13983" xr:uid="{00000000-0005-0000-0000-0000D85B0000}"/>
    <cellStyle name="Warning Text 9 2 9 2" xfId="21652" xr:uid="{00000000-0005-0000-0000-0000D95B0000}"/>
    <cellStyle name="Warning Text 9 3" xfId="13984" xr:uid="{00000000-0005-0000-0000-0000DA5B0000}"/>
    <cellStyle name="Warning Text 9 3 2" xfId="13985" xr:uid="{00000000-0005-0000-0000-0000DB5B0000}"/>
    <cellStyle name="Warning Text 9 3 2 2" xfId="21653" xr:uid="{00000000-0005-0000-0000-0000DC5B0000}"/>
    <cellStyle name="Warning Text 9 3 3" xfId="13986" xr:uid="{00000000-0005-0000-0000-0000DD5B0000}"/>
    <cellStyle name="Warning Text 9 3 3 2" xfId="21654" xr:uid="{00000000-0005-0000-0000-0000DE5B0000}"/>
    <cellStyle name="Warning Text 9 3 4" xfId="13987" xr:uid="{00000000-0005-0000-0000-0000DF5B0000}"/>
    <cellStyle name="Warning Text 9 3 4 2" xfId="21655" xr:uid="{00000000-0005-0000-0000-0000E05B0000}"/>
    <cellStyle name="Warning Text 9 3 5" xfId="13988" xr:uid="{00000000-0005-0000-0000-0000E15B0000}"/>
    <cellStyle name="Warning Text 9 3 5 2" xfId="21656" xr:uid="{00000000-0005-0000-0000-0000E25B0000}"/>
    <cellStyle name="Warning Text 9 3 6" xfId="13989" xr:uid="{00000000-0005-0000-0000-0000E35B0000}"/>
    <cellStyle name="Warning Text 9 3 6 2" xfId="21657" xr:uid="{00000000-0005-0000-0000-0000E45B0000}"/>
    <cellStyle name="Warning Text 9 3 7" xfId="13990" xr:uid="{00000000-0005-0000-0000-0000E55B0000}"/>
    <cellStyle name="Warning Text 9 3 7 2" xfId="21658" xr:uid="{00000000-0005-0000-0000-0000E65B0000}"/>
    <cellStyle name="Warning Text 9 3 8" xfId="13991" xr:uid="{00000000-0005-0000-0000-0000E75B0000}"/>
    <cellStyle name="Warning Text 9 3 8 2" xfId="21659" xr:uid="{00000000-0005-0000-0000-0000E85B0000}"/>
    <cellStyle name="Warning Text 9 3 9" xfId="13992" xr:uid="{00000000-0005-0000-0000-0000E95B0000}"/>
    <cellStyle name="Warning Text 9 3 9 2" xfId="21660" xr:uid="{00000000-0005-0000-0000-0000EA5B0000}"/>
    <cellStyle name="Warning Text 9 4" xfId="13993" xr:uid="{00000000-0005-0000-0000-0000EB5B0000}"/>
    <cellStyle name="Warning Text 9 4 2" xfId="13994" xr:uid="{00000000-0005-0000-0000-0000EC5B0000}"/>
    <cellStyle name="Warning Text 9 4 3" xfId="21661" xr:uid="{00000000-0005-0000-0000-0000ED5B0000}"/>
    <cellStyle name="Warning Text 9 5" xfId="13995" xr:uid="{00000000-0005-0000-0000-0000EE5B0000}"/>
    <cellStyle name="Warning Text 9 5 2" xfId="21662" xr:uid="{00000000-0005-0000-0000-0000EF5B0000}"/>
    <cellStyle name="Warning Text 9 6" xfId="13996" xr:uid="{00000000-0005-0000-0000-0000F05B0000}"/>
    <cellStyle name="Warning Text 9 6 2" xfId="21663" xr:uid="{00000000-0005-0000-0000-0000F15B0000}"/>
    <cellStyle name="Warning Text 9 7" xfId="13997" xr:uid="{00000000-0005-0000-0000-0000F25B0000}"/>
    <cellStyle name="Warning Text 9 7 2" xfId="21664" xr:uid="{00000000-0005-0000-0000-0000F35B0000}"/>
    <cellStyle name="Warning Text 9 8" xfId="13998" xr:uid="{00000000-0005-0000-0000-0000F45B0000}"/>
    <cellStyle name="Warning Text 9 8 2" xfId="21665" xr:uid="{00000000-0005-0000-0000-0000F55B0000}"/>
    <cellStyle name="Warning Text 9 9" xfId="13999" xr:uid="{00000000-0005-0000-0000-0000F65B0000}"/>
    <cellStyle name="Warning Text 9 9 2" xfId="21666" xr:uid="{00000000-0005-0000-0000-0000F75B0000}"/>
  </cellStyles>
  <dxfs count="0"/>
  <tableStyles count="0" defaultTableStyle="TableStyleMedium2" defaultPivotStyle="PivotStyleLight16"/>
  <colors>
    <mruColors>
      <color rgb="FFC7C9C8"/>
      <color rgb="FF7DB03D"/>
      <color rgb="FFD61010"/>
      <color rgb="FFF55036"/>
      <color rgb="FF0051A2"/>
      <color rgb="FF006DDA"/>
      <color rgb="FFC3DFA1"/>
      <color rgb="FF0082FF"/>
      <color rgb="FF8DC42A"/>
      <color rgb="FF9ED5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7356656037931"/>
          <c:y val="0.1472180036464957"/>
          <c:w val="0.85133979868888621"/>
          <c:h val="0.56509828252521888"/>
        </c:manualLayout>
      </c:layout>
      <c:lineChart>
        <c:grouping val="standard"/>
        <c:varyColors val="0"/>
        <c:ser>
          <c:idx val="0"/>
          <c:order val="0"/>
          <c:tx>
            <c:v>Actual/Projected Cash</c:v>
          </c:tx>
          <c:spPr>
            <a:ln w="34925">
              <a:solidFill>
                <a:srgbClr val="6D9622"/>
              </a:solidFill>
            </a:ln>
          </c:spPr>
          <c:marker>
            <c:symbol val="none"/>
          </c:marker>
          <c:dLbls>
            <c:dLbl>
              <c:idx val="11"/>
              <c:layout>
                <c:manualLayout>
                  <c:x val="-2.7007133587071859E-2"/>
                  <c:y val="-8.6518674334537873E-2"/>
                </c:manualLayout>
              </c:layout>
              <c:tx>
                <c:rich>
                  <a:bodyPr/>
                  <a:lstStyle/>
                  <a:p>
                    <a:fld id="{0BF3348F-42B6-449C-B33D-90D74B3148BC}" type="VALUE">
                      <a:rPr lang="en-US" sz="70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43C-4E94-9372-9FBBABFDF906}"/>
                </c:ext>
              </c:extLst>
            </c:dLbl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'Revenue Inputs'!$M$4:$X$4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'FY19-20'!$E$173:$P$173</c:f>
              <c:numCache>
                <c:formatCode>_(* #,##0_);_(* \(#,##0\);_(* "-"_);_(@_)</c:formatCode>
                <c:ptCount val="12"/>
                <c:pt idx="0">
                  <c:v>4999.8199999999488</c:v>
                </c:pt>
                <c:pt idx="1">
                  <c:v>296691.31</c:v>
                </c:pt>
                <c:pt idx="2">
                  <c:v>380840.83999999933</c:v>
                </c:pt>
                <c:pt idx="3">
                  <c:v>9841397.790000001</c:v>
                </c:pt>
                <c:pt idx="4">
                  <c:v>3672884.8200000003</c:v>
                </c:pt>
                <c:pt idx="5">
                  <c:v>5086888.6400000006</c:v>
                </c:pt>
                <c:pt idx="6">
                  <c:v>7935345.2200000007</c:v>
                </c:pt>
                <c:pt idx="7">
                  <c:v>2689523.9500000011</c:v>
                </c:pt>
                <c:pt idx="8">
                  <c:v>2528394.9700000016</c:v>
                </c:pt>
                <c:pt idx="9">
                  <c:v>855290.59000000218</c:v>
                </c:pt>
                <c:pt idx="10">
                  <c:v>3212224.8600000022</c:v>
                </c:pt>
                <c:pt idx="11">
                  <c:v>3676607.8000000035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C-4E94-9372-9FBBABFDF906}"/>
            </c:ext>
          </c:extLst>
        </c:ser>
        <c:ser>
          <c:idx val="1"/>
          <c:order val="1"/>
          <c:tx>
            <c:v>15% Cash Reserve</c:v>
          </c:tx>
          <c:spPr>
            <a:ln cmpd="dbl"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strRef>
              <c:f>'Revenue Inputs'!$M$4:$X$4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'FY19-20'!$E$174:$P$174</c:f>
              <c:numCache>
                <c:formatCode>_(* #,##0_);_(* \(#,##0\);_(* "-"_);_(@_)</c:formatCode>
                <c:ptCount val="12"/>
                <c:pt idx="0">
                  <c:v>4471823.3489999995</c:v>
                </c:pt>
                <c:pt idx="1">
                  <c:v>4471823.3489999995</c:v>
                </c:pt>
                <c:pt idx="2">
                  <c:v>4471823.3489999995</c:v>
                </c:pt>
                <c:pt idx="3">
                  <c:v>4471823.3489999995</c:v>
                </c:pt>
                <c:pt idx="4">
                  <c:v>4471823.3489999995</c:v>
                </c:pt>
                <c:pt idx="5">
                  <c:v>4471823.3489999995</c:v>
                </c:pt>
                <c:pt idx="6">
                  <c:v>4471823.3489999995</c:v>
                </c:pt>
                <c:pt idx="7">
                  <c:v>4471823.3489999995</c:v>
                </c:pt>
                <c:pt idx="8">
                  <c:v>4471823.3489999995</c:v>
                </c:pt>
                <c:pt idx="9">
                  <c:v>4471823.3489999995</c:v>
                </c:pt>
                <c:pt idx="10">
                  <c:v>4471823.3489999995</c:v>
                </c:pt>
                <c:pt idx="11">
                  <c:v>4471823.3489999995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C-4E94-9372-9FBBABFDF906}"/>
            </c:ext>
          </c:extLst>
        </c:ser>
        <c:ser>
          <c:idx val="2"/>
          <c:order val="2"/>
          <c:tx>
            <c:v>Budgeted Cash</c:v>
          </c:tx>
          <c:spPr>
            <a:ln w="34925" cmpd="sng">
              <a:solidFill>
                <a:schemeClr val="tx2">
                  <a:lumMod val="5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11"/>
              <c:layout>
                <c:manualLayout>
                  <c:x val="-1.9292105614341734E-2"/>
                  <c:y val="-3.0631673927466206E-2"/>
                </c:manualLayout>
              </c:layout>
              <c:numFmt formatCode="_(&quot;$&quot;* #,##0_);_(&quot;$&quot;* \(#,##0\);_(&quot;$&quot;* &quot;-&quot;_);_(@_)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256414143898639E-2"/>
                      <c:h val="0.13138972766217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43C-4E94-9372-9FBBABFDF9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'Revenue Inputs'!$M$4:$X$4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'Original Budget'!$E$172:$P$172</c:f>
              <c:numCache>
                <c:formatCode>_(* #,##0_);_(* \(#,##0\);_(* "-"_);_(@_)</c:formatCode>
                <c:ptCount val="12"/>
                <c:pt idx="0">
                  <c:v>2304066.6047499999</c:v>
                </c:pt>
                <c:pt idx="1">
                  <c:v>886624.47313636355</c:v>
                </c:pt>
                <c:pt idx="2">
                  <c:v>145761.13680472714</c:v>
                </c:pt>
                <c:pt idx="3">
                  <c:v>5529468.1163445888</c:v>
                </c:pt>
                <c:pt idx="4">
                  <c:v>620479.36638695281</c:v>
                </c:pt>
                <c:pt idx="5">
                  <c:v>464597.66642931662</c:v>
                </c:pt>
                <c:pt idx="6">
                  <c:v>2121652.2366866786</c:v>
                </c:pt>
                <c:pt idx="7">
                  <c:v>543500.0622630422</c:v>
                </c:pt>
                <c:pt idx="8">
                  <c:v>625621.76665790519</c:v>
                </c:pt>
                <c:pt idx="9">
                  <c:v>637694.27105276799</c:v>
                </c:pt>
                <c:pt idx="10">
                  <c:v>2313709.3324476313</c:v>
                </c:pt>
                <c:pt idx="11">
                  <c:v>119221.74384249374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3C-4E94-9372-9FBBABFD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05608"/>
        <c:axId val="164002080"/>
      </c:lineChart>
      <c:dateAx>
        <c:axId val="1640056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64002080"/>
        <c:crosses val="autoZero"/>
        <c:auto val="1"/>
        <c:lblOffset val="100"/>
        <c:baseTimeUnit val="months"/>
        <c:majorTimeUnit val="months"/>
        <c:minorUnit val="1"/>
        <c:minorTimeUnit val="months"/>
      </c:dateAx>
      <c:valAx>
        <c:axId val="164002080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  <a:alpha val="70000"/>
                </a:schemeClr>
              </a:solidFill>
              <a:prstDash val="solid"/>
            </a:ln>
          </c:spPr>
        </c:majorGridlines>
        <c:numFmt formatCode="_(&quot;$&quot;* #,##0_);_(&quot;$&quot;* \(#,##0\);_(&quot;$&quot;* &quot;-&quot;_);_(@_)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6400560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5135104008370234E-3"/>
                <c:y val="0.28299159115362843"/>
              </c:manualLayout>
            </c:layout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</c:dispUnitsLbl>
        </c:dispUnits>
      </c:valAx>
      <c:spPr>
        <a:solidFill>
          <a:schemeClr val="bg1"/>
        </a:solidFill>
        <a:ln w="3175">
          <a:solidFill>
            <a:schemeClr val="tx1"/>
          </a:solidFill>
          <a:prstDash val="solid"/>
        </a:ln>
        <a:effectLst>
          <a:softEdge rad="63500"/>
        </a:effectLst>
        <a:scene3d>
          <a:camera prst="orthographicFront"/>
          <a:lightRig rig="threePt" dir="t"/>
        </a:scene3d>
        <a:sp3d prstMaterial="dkEdge">
          <a:bevelB/>
        </a:sp3d>
      </c:spPr>
    </c:plotArea>
    <c:legend>
      <c:legendPos val="b"/>
      <c:layout>
        <c:manualLayout>
          <c:xMode val="edge"/>
          <c:yMode val="edge"/>
          <c:x val="0.2274987328393622"/>
          <c:y val="0.88622634659159205"/>
          <c:w val="0.54953398283084309"/>
          <c:h val="0.11377365340840798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3175" cap="rnd" cmpd="sng">
      <a:solidFill>
        <a:schemeClr val="tx1"/>
      </a:solidFill>
      <a:prstDash val="solid"/>
      <a:miter lim="800000"/>
    </a:ln>
    <a:effectLst/>
    <a:scene3d>
      <a:camera prst="orthographicFront"/>
      <a:lightRig rig="threePt" dir="t"/>
    </a:scene3d>
    <a:sp3d/>
  </c:spPr>
  <c:txPr>
    <a:bodyPr/>
    <a:lstStyle/>
    <a:p>
      <a:pPr>
        <a:defRPr sz="7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0433681734997"/>
          <c:y val="0.15825076874303032"/>
          <c:w val="0.82340300500453123"/>
          <c:h val="0.51450302730672792"/>
        </c:manualLayout>
      </c:layout>
      <c:lineChart>
        <c:grouping val="standard"/>
        <c:varyColors val="0"/>
        <c:ser>
          <c:idx val="3"/>
          <c:order val="0"/>
          <c:tx>
            <c:v>Budget Enrollment</c:v>
          </c:tx>
          <c:spPr>
            <a:ln w="19050">
              <a:solidFill>
                <a:srgbClr val="C00000"/>
              </a:solidFill>
              <a:prstDash val="lgDash"/>
            </a:ln>
          </c:spPr>
          <c:marker>
            <c:symbol val="none"/>
          </c:marker>
          <c:cat>
            <c:strLit>
              <c:ptCount val="12"/>
              <c:pt idx="0">
                <c:v>Jul</c:v>
              </c:pt>
              <c:pt idx="1">
                <c:v>Aug</c:v>
              </c:pt>
              <c:pt idx="2">
                <c:v>Sep</c:v>
              </c:pt>
              <c:pt idx="3">
                <c:v>Oct</c:v>
              </c:pt>
              <c:pt idx="4">
                <c:v>Nov</c:v>
              </c:pt>
              <c:pt idx="5">
                <c:v>Dec</c:v>
              </c:pt>
              <c:pt idx="6">
                <c:v>Jan</c:v>
              </c:pt>
              <c:pt idx="7">
                <c:v>Feb</c:v>
              </c:pt>
              <c:pt idx="8">
                <c:v>Mar</c:v>
              </c:pt>
              <c:pt idx="9">
                <c:v>Apr</c:v>
              </c:pt>
              <c:pt idx="10">
                <c:v>May</c:v>
              </c:pt>
              <c:pt idx="11">
                <c:v>Jun</c:v>
              </c:pt>
            </c:strLit>
          </c:cat>
          <c:val>
            <c:numRef>
              <c:f>'Original Budget'!$E$183:$P$183</c:f>
              <c:numCache>
                <c:formatCode>_(* #,##0_);_(* \(#,##0\);_(* "-"_);_(@_)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0-49FF-9839-1E72C947B0A3}"/>
            </c:ext>
          </c:extLst>
        </c:ser>
        <c:ser>
          <c:idx val="1"/>
          <c:order val="1"/>
          <c:tx>
            <c:v>Actual Enrollment</c:v>
          </c:tx>
          <c:spPr>
            <a:ln w="25400" cmpd="sng">
              <a:solidFill>
                <a:schemeClr val="tx2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Lit>
              <c:ptCount val="12"/>
              <c:pt idx="0">
                <c:v>Jul</c:v>
              </c:pt>
              <c:pt idx="1">
                <c:v>Aug</c:v>
              </c:pt>
              <c:pt idx="2">
                <c:v>Sep</c:v>
              </c:pt>
              <c:pt idx="3">
                <c:v>Oct</c:v>
              </c:pt>
              <c:pt idx="4">
                <c:v>Nov</c:v>
              </c:pt>
              <c:pt idx="5">
                <c:v>Dec</c:v>
              </c:pt>
              <c:pt idx="6">
                <c:v>Jan</c:v>
              </c:pt>
              <c:pt idx="7">
                <c:v>Feb</c:v>
              </c:pt>
              <c:pt idx="8">
                <c:v>Mar</c:v>
              </c:pt>
              <c:pt idx="9">
                <c:v>Apr</c:v>
              </c:pt>
              <c:pt idx="10">
                <c:v>May</c:v>
              </c:pt>
              <c:pt idx="11">
                <c:v>Jun</c:v>
              </c:pt>
            </c:strLit>
          </c:cat>
          <c:val>
            <c:numRef>
              <c:f>'Revenue Inputs'!$M$11:$X$11</c:f>
              <c:numCache>
                <c:formatCode>_(* #,##0_);_(* \(#,##0\);_(* "-"??_);_(@_)</c:formatCode>
                <c:ptCount val="12"/>
                <c:pt idx="0">
                  <c:v>3308</c:v>
                </c:pt>
                <c:pt idx="1">
                  <c:v>3354</c:v>
                </c:pt>
                <c:pt idx="2">
                  <c:v>3233</c:v>
                </c:pt>
                <c:pt idx="3">
                  <c:v>3230</c:v>
                </c:pt>
                <c:pt idx="4">
                  <c:v>3233.1326530612246</c:v>
                </c:pt>
                <c:pt idx="5">
                  <c:v>3237</c:v>
                </c:pt>
                <c:pt idx="6">
                  <c:v>3227</c:v>
                </c:pt>
                <c:pt idx="7">
                  <c:v>3226</c:v>
                </c:pt>
                <c:pt idx="8">
                  <c:v>3226</c:v>
                </c:pt>
                <c:pt idx="9">
                  <c:v>3226</c:v>
                </c:pt>
                <c:pt idx="10">
                  <c:v>3226</c:v>
                </c:pt>
                <c:pt idx="11">
                  <c:v>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0-49FF-9839-1E72C947B0A3}"/>
            </c:ext>
          </c:extLst>
        </c:ser>
        <c:ser>
          <c:idx val="2"/>
          <c:order val="2"/>
          <c:tx>
            <c:v>Budget ADA</c:v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strLit>
              <c:ptCount val="12"/>
              <c:pt idx="0">
                <c:v>Jul</c:v>
              </c:pt>
              <c:pt idx="1">
                <c:v>Aug</c:v>
              </c:pt>
              <c:pt idx="2">
                <c:v>Sep</c:v>
              </c:pt>
              <c:pt idx="3">
                <c:v>Oct</c:v>
              </c:pt>
              <c:pt idx="4">
                <c:v>Nov</c:v>
              </c:pt>
              <c:pt idx="5">
                <c:v>Dec</c:v>
              </c:pt>
              <c:pt idx="6">
                <c:v>Jan</c:v>
              </c:pt>
              <c:pt idx="7">
                <c:v>Feb</c:v>
              </c:pt>
              <c:pt idx="8">
                <c:v>Mar</c:v>
              </c:pt>
              <c:pt idx="9">
                <c:v>Apr</c:v>
              </c:pt>
              <c:pt idx="10">
                <c:v>May</c:v>
              </c:pt>
              <c:pt idx="11">
                <c:v>Jun</c:v>
              </c:pt>
            </c:strLit>
          </c:cat>
          <c:val>
            <c:numRef>
              <c:f>'Original Budget'!$E$190:$P$190</c:f>
              <c:numCache>
                <c:formatCode>_(* #,##0_);_(* \(#,##0\);_(* "-"_);_(@_)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0-49FF-9839-1E72C947B0A3}"/>
            </c:ext>
          </c:extLst>
        </c:ser>
        <c:ser>
          <c:idx val="0"/>
          <c:order val="3"/>
          <c:tx>
            <c:v>Actual ADA</c:v>
          </c:tx>
          <c:spPr>
            <a:ln w="25400" cmpd="sng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3-DCC0-49FF-9839-1E72C947B0A3}"/>
              </c:ext>
            </c:extLst>
          </c:dPt>
          <c:cat>
            <c:strLit>
              <c:ptCount val="12"/>
              <c:pt idx="0">
                <c:v>Jul</c:v>
              </c:pt>
              <c:pt idx="1">
                <c:v>Aug</c:v>
              </c:pt>
              <c:pt idx="2">
                <c:v>Sep</c:v>
              </c:pt>
              <c:pt idx="3">
                <c:v>Oct</c:v>
              </c:pt>
              <c:pt idx="4">
                <c:v>Nov</c:v>
              </c:pt>
              <c:pt idx="5">
                <c:v>Dec</c:v>
              </c:pt>
              <c:pt idx="6">
                <c:v>Jan</c:v>
              </c:pt>
              <c:pt idx="7">
                <c:v>Feb</c:v>
              </c:pt>
              <c:pt idx="8">
                <c:v>Mar</c:v>
              </c:pt>
              <c:pt idx="9">
                <c:v>Apr</c:v>
              </c:pt>
              <c:pt idx="10">
                <c:v>May</c:v>
              </c:pt>
              <c:pt idx="11">
                <c:v>Jun</c:v>
              </c:pt>
            </c:strLit>
          </c:cat>
          <c:val>
            <c:numRef>
              <c:f>'Revenue Inputs'!$M$18:$X$18</c:f>
              <c:numCache>
                <c:formatCode>_(* #,##0.00_);_(* \(#,##0.00\);_(* "-"??_);_(@_)</c:formatCode>
                <c:ptCount val="12"/>
                <c:pt idx="0">
                  <c:v>3241.8399999999997</c:v>
                </c:pt>
                <c:pt idx="1">
                  <c:v>3286.92</c:v>
                </c:pt>
                <c:pt idx="2">
                  <c:v>3168.3399999999997</c:v>
                </c:pt>
                <c:pt idx="3">
                  <c:v>3165.3999999999996</c:v>
                </c:pt>
                <c:pt idx="4">
                  <c:v>3168.4700000000003</c:v>
                </c:pt>
                <c:pt idx="5">
                  <c:v>3171.2799999999997</c:v>
                </c:pt>
                <c:pt idx="6">
                  <c:v>3161.4799999999996</c:v>
                </c:pt>
                <c:pt idx="7">
                  <c:v>3161.4799999999996</c:v>
                </c:pt>
                <c:pt idx="8">
                  <c:v>3181.96</c:v>
                </c:pt>
                <c:pt idx="9">
                  <c:v>3181.96</c:v>
                </c:pt>
                <c:pt idx="10">
                  <c:v>3181.96</c:v>
                </c:pt>
                <c:pt idx="11">
                  <c:v>3181.96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C0-49FF-9839-1E72C947B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00512"/>
        <c:axId val="164003256"/>
      </c:lineChart>
      <c:catAx>
        <c:axId val="164000512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70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/>
          </a:p>
        </c:txPr>
        <c:crossAx val="164003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003256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</c:majorGridlines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chemeClr val="tx1">
                <a:lumMod val="75000"/>
                <a:lumOff val="2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64000512"/>
        <c:crosses val="autoZero"/>
        <c:crossBetween val="between"/>
      </c:valAx>
      <c:spPr>
        <a:solidFill>
          <a:schemeClr val="bg1">
            <a:alpha val="75000"/>
          </a:schemeClr>
        </a:solidFill>
        <a:ln w="3175">
          <a:solidFill>
            <a:schemeClr val="accent3">
              <a:lumMod val="50000"/>
            </a:schemeClr>
          </a:solidFill>
        </a:ln>
      </c:spPr>
    </c:plotArea>
    <c:legend>
      <c:legendPos val="tr"/>
      <c:layout>
        <c:manualLayout>
          <c:xMode val="edge"/>
          <c:yMode val="edge"/>
          <c:x val="0.1268229375792731"/>
          <c:y val="0.85696114272792367"/>
          <c:w val="0.7715316435664642"/>
          <c:h val="0.11799854320685101"/>
        </c:manualLayout>
      </c:layout>
      <c:overlay val="0"/>
      <c:spPr>
        <a:solidFill>
          <a:srgbClr val="FFFFFF">
            <a:alpha val="75000"/>
          </a:srgbClr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>
              <a:solidFill>
                <a:schemeClr val="tx1">
                  <a:lumMod val="85000"/>
                  <a:lumOff val="1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3175" cap="sq" cmpd="sng">
      <a:solidFill>
        <a:schemeClr val="tx1"/>
      </a:solidFill>
      <a:prstDash val="solid"/>
      <a:bevel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615462</xdr:colOff>
      <xdr:row>0</xdr:row>
      <xdr:rowOff>23446</xdr:rowOff>
    </xdr:from>
    <xdr:to>
      <xdr:col>15</xdr:col>
      <xdr:colOff>726090</xdr:colOff>
      <xdr:row>1</xdr:row>
      <xdr:rowOff>54043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6277" y="23446"/>
          <a:ext cx="1055802" cy="29260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251012</xdr:colOff>
      <xdr:row>0</xdr:row>
      <xdr:rowOff>62753</xdr:rowOff>
    </xdr:from>
    <xdr:to>
      <xdr:col>21</xdr:col>
      <xdr:colOff>639616</xdr:colOff>
      <xdr:row>1</xdr:row>
      <xdr:rowOff>92135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3483" y="62753"/>
          <a:ext cx="1055802" cy="29260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106680</xdr:colOff>
      <xdr:row>0</xdr:row>
      <xdr:rowOff>45720</xdr:rowOff>
    </xdr:from>
    <xdr:to>
      <xdr:col>8</xdr:col>
      <xdr:colOff>1158672</xdr:colOff>
      <xdr:row>1</xdr:row>
      <xdr:rowOff>98298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7020" y="45720"/>
          <a:ext cx="1055802" cy="29260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815340</xdr:colOff>
      <xdr:row>0</xdr:row>
      <xdr:rowOff>38100</xdr:rowOff>
    </xdr:from>
    <xdr:to>
      <xdr:col>15</xdr:col>
      <xdr:colOff>821487</xdr:colOff>
      <xdr:row>1</xdr:row>
      <xdr:rowOff>18288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0" y="38100"/>
          <a:ext cx="1055802" cy="29260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901148</xdr:colOff>
      <xdr:row>0</xdr:row>
      <xdr:rowOff>19878</xdr:rowOff>
    </xdr:from>
    <xdr:to>
      <xdr:col>9</xdr:col>
      <xdr:colOff>2254</xdr:colOff>
      <xdr:row>1</xdr:row>
      <xdr:rowOff>47443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2626" y="19878"/>
          <a:ext cx="1055802" cy="2926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304800</xdr:colOff>
      <xdr:row>0</xdr:row>
      <xdr:rowOff>35859</xdr:rowOff>
    </xdr:from>
    <xdr:to>
      <xdr:col>18</xdr:col>
      <xdr:colOff>652391</xdr:colOff>
      <xdr:row>1</xdr:row>
      <xdr:rowOff>59526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165" y="35859"/>
          <a:ext cx="1055802" cy="292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436116</xdr:colOff>
      <xdr:row>41</xdr:row>
      <xdr:rowOff>24697</xdr:rowOff>
    </xdr:from>
    <xdr:to>
      <xdr:col>12</xdr:col>
      <xdr:colOff>264440</xdr:colOff>
      <xdr:row>49</xdr:row>
      <xdr:rowOff>99924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13</xdr:col>
      <xdr:colOff>468697</xdr:colOff>
      <xdr:row>25</xdr:row>
      <xdr:rowOff>160684</xdr:rowOff>
    </xdr:from>
    <xdr:to>
      <xdr:col>19</xdr:col>
      <xdr:colOff>447261</xdr:colOff>
      <xdr:row>37</xdr:row>
      <xdr:rowOff>11888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0.26325</cdr:x>
      <cdr:y>0.00772</cdr:y>
    </cdr:from>
    <cdr:to>
      <cdr:x>0.78239</cdr:x>
      <cdr:y>0.14336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9206" y="15013"/>
          <a:ext cx="3508665" cy="2636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lnSpc>
              <a:spcPts val="1500"/>
            </a:lnSpc>
            <a:defRPr sz="1000"/>
          </a:pPr>
          <a:r>
            <a:rPr lang="en-US" sz="12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</a:rPr>
            <a:t>Month-End Cash Balance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0.25237</cdr:x>
      <cdr:y>0.02521</cdr:y>
    </cdr:from>
    <cdr:to>
      <cdr:x>0.77727</cdr:x>
      <cdr:y>0.17949</cdr:y>
    </cdr:to>
    <cdr:sp macro="" textlink="">
      <cdr:nvSpPr>
        <cdr:cNvPr id="716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7525" y="44069"/>
          <a:ext cx="1658806" cy="2696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Attendance Metrics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248976</xdr:colOff>
      <xdr:row>0</xdr:row>
      <xdr:rowOff>44809</xdr:rowOff>
    </xdr:from>
    <xdr:to>
      <xdr:col>21</xdr:col>
      <xdr:colOff>586772</xdr:colOff>
      <xdr:row>1</xdr:row>
      <xdr:rowOff>54525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78857" y="44809"/>
          <a:ext cx="1101024" cy="2776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224118</xdr:colOff>
      <xdr:row>0</xdr:row>
      <xdr:rowOff>44824</xdr:rowOff>
    </xdr:from>
    <xdr:to>
      <xdr:col>21</xdr:col>
      <xdr:colOff>620342</xdr:colOff>
      <xdr:row>1</xdr:row>
      <xdr:rowOff>64681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6589" y="44824"/>
          <a:ext cx="1055802" cy="29260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251012</xdr:colOff>
      <xdr:row>0</xdr:row>
      <xdr:rowOff>53788</xdr:rowOff>
    </xdr:from>
    <xdr:to>
      <xdr:col>21</xdr:col>
      <xdr:colOff>639615</xdr:colOff>
      <xdr:row>1</xdr:row>
      <xdr:rowOff>77455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3483" y="53788"/>
          <a:ext cx="1055802" cy="29260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251012</xdr:colOff>
      <xdr:row>0</xdr:row>
      <xdr:rowOff>44823</xdr:rowOff>
    </xdr:from>
    <xdr:to>
      <xdr:col>21</xdr:col>
      <xdr:colOff>643426</xdr:colOff>
      <xdr:row>1</xdr:row>
      <xdr:rowOff>68490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3483" y="44823"/>
          <a:ext cx="1055802" cy="2926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de.ca.gov/DATA/CAAR/1-CATEGORICAL/State%20Fiscal%20Stabilization%20Fund%20SFSF/2008-09/Categorical%20Reductions/Master%20file/MASTER%20ABx3%2056%20Backfi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BACKUP%20Step3.%202008-09%20AMBG%20Ent%20Calc.,2nd%20App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Client.Folders/Inspire/19-20/Forecasts/12%20-%20June%20V2%20-%20Copy/FY20-Frcst-INS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SF Backfill ABx3 56 Entit"/>
      <sheetName val="Zero Backfill Removed"/>
      <sheetName val="Backfill ABx3 56 All LEAs"/>
      <sheetName val="108-MHHSC"/>
      <sheetName val="137-MRPD"/>
      <sheetName val="137-MRPD-EL"/>
      <sheetName val="232-CSR 9"/>
      <sheetName val="228-SSVPP"/>
      <sheetName val="244-TCBG "/>
      <sheetName val="265-AMBG"/>
      <sheetName val="Closed Char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"/>
      <sheetName val="1.Validated 2008 CBEDs"/>
      <sheetName val="2.Virtual Academy-Decl Removed"/>
      <sheetName val="3.Rvsd Ent Calc -School Level"/>
      <sheetName val="3a.Ent Calc-SchLev No DFCS"/>
      <sheetName val="3b.Ent Calc. DFCS Only"/>
      <sheetName val="4a. Rvsd LEA Ent -No DFCS"/>
      <sheetName val="4b.Rvsd LEA Ent w DFCS"/>
      <sheetName val="5.Tracking"/>
      <sheetName val="5a.1st Appt"/>
      <sheetName val="6.2nd Appt"/>
      <sheetName val="Reconciliation"/>
      <sheetName val="Import Da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Co_Code</v>
          </cell>
          <cell r="B1" t="str">
            <v>Dist_Code</v>
          </cell>
          <cell r="C1" t="str">
            <v>county</v>
          </cell>
          <cell r="D1" t="str">
            <v>district</v>
          </cell>
          <cell r="E1" t="str">
            <v>Sum Of 2008 CBEDS Total K-12 &amp; Adults</v>
          </cell>
          <cell r="F1" t="str">
            <v>Sum Of Total Entitlement (Sum of G + I + J)</v>
          </cell>
          <cell r="G1" t="str">
            <v>Count Of 2008-09, 2nd Appt Ent Calc-SchLev No DFCS</v>
          </cell>
        </row>
        <row r="2">
          <cell r="A2" t="str">
            <v>01</v>
          </cell>
          <cell r="B2" t="str">
            <v>10017</v>
          </cell>
          <cell r="C2" t="str">
            <v>Alameda</v>
          </cell>
          <cell r="D2" t="str">
            <v>Alameda County Office of Education</v>
          </cell>
          <cell r="E2">
            <v>597</v>
          </cell>
          <cell r="F2">
            <v>12755</v>
          </cell>
          <cell r="G2">
            <v>3</v>
          </cell>
        </row>
        <row r="3">
          <cell r="A3" t="str">
            <v>01</v>
          </cell>
          <cell r="B3" t="str">
            <v>31609</v>
          </cell>
          <cell r="C3" t="str">
            <v>Alameda</v>
          </cell>
          <cell r="D3" t="str">
            <v>California School for the Blind (State Special Schl)</v>
          </cell>
          <cell r="E3">
            <v>71</v>
          </cell>
          <cell r="F3">
            <v>3564</v>
          </cell>
          <cell r="G3">
            <v>1</v>
          </cell>
        </row>
        <row r="4">
          <cell r="A4" t="str">
            <v>01</v>
          </cell>
          <cell r="B4" t="str">
            <v>31617</v>
          </cell>
          <cell r="C4" t="str">
            <v>Alameda</v>
          </cell>
          <cell r="D4" t="str">
            <v>California School for the Deaf-Fremont (State Special Schl)</v>
          </cell>
          <cell r="E4">
            <v>411</v>
          </cell>
          <cell r="F4">
            <v>6987</v>
          </cell>
          <cell r="G4">
            <v>1</v>
          </cell>
        </row>
        <row r="5">
          <cell r="A5" t="str">
            <v>01</v>
          </cell>
          <cell r="B5" t="str">
            <v>61119</v>
          </cell>
          <cell r="C5" t="str">
            <v>Alameda</v>
          </cell>
          <cell r="D5" t="str">
            <v>Alameda City Unified</v>
          </cell>
          <cell r="E5">
            <v>10150</v>
          </cell>
          <cell r="F5">
            <v>174343</v>
          </cell>
          <cell r="G5">
            <v>18</v>
          </cell>
        </row>
        <row r="6">
          <cell r="A6" t="str">
            <v>01</v>
          </cell>
          <cell r="B6" t="str">
            <v>61127</v>
          </cell>
          <cell r="C6" t="str">
            <v>Alameda</v>
          </cell>
          <cell r="D6" t="str">
            <v>Albany City Unified</v>
          </cell>
          <cell r="E6">
            <v>3830</v>
          </cell>
          <cell r="F6">
            <v>67758</v>
          </cell>
          <cell r="G6">
            <v>6</v>
          </cell>
        </row>
        <row r="7">
          <cell r="A7" t="str">
            <v>01</v>
          </cell>
          <cell r="B7" t="str">
            <v>61143</v>
          </cell>
          <cell r="C7" t="str">
            <v>Alameda</v>
          </cell>
          <cell r="D7" t="str">
            <v>Berkeley Unified</v>
          </cell>
          <cell r="E7">
            <v>8922</v>
          </cell>
          <cell r="F7">
            <v>153218</v>
          </cell>
          <cell r="G7">
            <v>16</v>
          </cell>
        </row>
        <row r="8">
          <cell r="A8" t="str">
            <v>01</v>
          </cell>
          <cell r="B8" t="str">
            <v>61150</v>
          </cell>
          <cell r="C8" t="str">
            <v>Alameda</v>
          </cell>
          <cell r="D8" t="str">
            <v>Castro Valley Unified</v>
          </cell>
          <cell r="E8">
            <v>8896</v>
          </cell>
          <cell r="F8">
            <v>158053</v>
          </cell>
          <cell r="G8">
            <v>15</v>
          </cell>
        </row>
        <row r="9">
          <cell r="A9" t="str">
            <v>01</v>
          </cell>
          <cell r="B9" t="str">
            <v>61168</v>
          </cell>
          <cell r="C9" t="str">
            <v>Alameda</v>
          </cell>
          <cell r="D9" t="str">
            <v>Emery Unified</v>
          </cell>
          <cell r="E9">
            <v>783</v>
          </cell>
          <cell r="F9">
            <v>13311</v>
          </cell>
          <cell r="G9">
            <v>2</v>
          </cell>
        </row>
        <row r="10">
          <cell r="A10" t="str">
            <v>01</v>
          </cell>
          <cell r="B10" t="str">
            <v>61176</v>
          </cell>
          <cell r="C10" t="str">
            <v>Alameda</v>
          </cell>
          <cell r="D10" t="str">
            <v>Fremont Unified</v>
          </cell>
          <cell r="E10">
            <v>32083</v>
          </cell>
          <cell r="F10">
            <v>547716</v>
          </cell>
          <cell r="G10">
            <v>41</v>
          </cell>
        </row>
        <row r="11">
          <cell r="A11" t="str">
            <v>01</v>
          </cell>
          <cell r="B11" t="str">
            <v>61192</v>
          </cell>
          <cell r="C11" t="str">
            <v>Alameda</v>
          </cell>
          <cell r="D11" t="str">
            <v>Hayward Unified</v>
          </cell>
          <cell r="E11">
            <v>21396</v>
          </cell>
          <cell r="F11">
            <v>365271</v>
          </cell>
          <cell r="G11">
            <v>31</v>
          </cell>
        </row>
        <row r="12">
          <cell r="A12" t="str">
            <v>01</v>
          </cell>
          <cell r="B12" t="str">
            <v>61200</v>
          </cell>
          <cell r="C12" t="str">
            <v>Alameda</v>
          </cell>
          <cell r="D12" t="str">
            <v>Livermore Valley Joint Unified</v>
          </cell>
          <cell r="E12">
            <v>13089</v>
          </cell>
          <cell r="F12">
            <v>228058</v>
          </cell>
          <cell r="G12">
            <v>19</v>
          </cell>
        </row>
        <row r="13">
          <cell r="A13" t="str">
            <v>01</v>
          </cell>
          <cell r="B13" t="str">
            <v>61218</v>
          </cell>
          <cell r="C13" t="str">
            <v>Alameda</v>
          </cell>
          <cell r="D13" t="str">
            <v>Mountain House Elementary</v>
          </cell>
          <cell r="E13">
            <v>42</v>
          </cell>
          <cell r="F13">
            <v>3564</v>
          </cell>
          <cell r="G13">
            <v>1</v>
          </cell>
        </row>
        <row r="14">
          <cell r="A14" t="str">
            <v>01</v>
          </cell>
          <cell r="B14" t="str">
            <v>61234</v>
          </cell>
          <cell r="C14" t="str">
            <v>Alameda</v>
          </cell>
          <cell r="D14" t="str">
            <v>Newark Unified</v>
          </cell>
          <cell r="E14">
            <v>7170</v>
          </cell>
          <cell r="F14">
            <v>130416</v>
          </cell>
          <cell r="G14">
            <v>14</v>
          </cell>
        </row>
        <row r="15">
          <cell r="A15" t="str">
            <v>01</v>
          </cell>
          <cell r="B15" t="str">
            <v>61242</v>
          </cell>
          <cell r="C15" t="str">
            <v>Alameda</v>
          </cell>
          <cell r="D15" t="str">
            <v>New Haven Unified</v>
          </cell>
          <cell r="E15">
            <v>12900</v>
          </cell>
          <cell r="F15">
            <v>227725</v>
          </cell>
          <cell r="G15">
            <v>14</v>
          </cell>
        </row>
        <row r="16">
          <cell r="A16" t="str">
            <v>01</v>
          </cell>
          <cell r="B16" t="str">
            <v>61259</v>
          </cell>
          <cell r="C16" t="str">
            <v>Alameda</v>
          </cell>
          <cell r="D16" t="str">
            <v>Oakland Unified</v>
          </cell>
          <cell r="E16">
            <v>39529</v>
          </cell>
          <cell r="F16">
            <v>718541</v>
          </cell>
          <cell r="G16">
            <v>117</v>
          </cell>
        </row>
        <row r="17">
          <cell r="A17" t="str">
            <v>01</v>
          </cell>
          <cell r="B17" t="str">
            <v>61275</v>
          </cell>
          <cell r="C17" t="str">
            <v>Alameda</v>
          </cell>
          <cell r="D17" t="str">
            <v>Piedmont City Unified</v>
          </cell>
          <cell r="E17">
            <v>2526</v>
          </cell>
          <cell r="F17">
            <v>45147</v>
          </cell>
          <cell r="G17">
            <v>6</v>
          </cell>
        </row>
        <row r="18">
          <cell r="A18" t="str">
            <v>01</v>
          </cell>
          <cell r="B18" t="str">
            <v>61291</v>
          </cell>
          <cell r="C18" t="str">
            <v>Alameda</v>
          </cell>
          <cell r="D18" t="str">
            <v>San Leandro Unified</v>
          </cell>
          <cell r="E18">
            <v>8777</v>
          </cell>
          <cell r="F18">
            <v>151384</v>
          </cell>
          <cell r="G18">
            <v>12</v>
          </cell>
        </row>
        <row r="19">
          <cell r="A19" t="str">
            <v>01</v>
          </cell>
          <cell r="B19" t="str">
            <v>61309</v>
          </cell>
          <cell r="C19" t="str">
            <v>Alameda</v>
          </cell>
          <cell r="D19" t="str">
            <v>San Lorenzo Unified</v>
          </cell>
          <cell r="E19">
            <v>11392</v>
          </cell>
          <cell r="F19">
            <v>194903</v>
          </cell>
          <cell r="G19">
            <v>16</v>
          </cell>
        </row>
        <row r="20">
          <cell r="A20" t="str">
            <v>01</v>
          </cell>
          <cell r="B20" t="str">
            <v>75093</v>
          </cell>
          <cell r="C20" t="str">
            <v>Alameda</v>
          </cell>
          <cell r="D20" t="str">
            <v>Dublin Unified</v>
          </cell>
          <cell r="E20">
            <v>5739</v>
          </cell>
          <cell r="F20">
            <v>99786</v>
          </cell>
          <cell r="G20">
            <v>9</v>
          </cell>
        </row>
        <row r="21">
          <cell r="A21" t="str">
            <v>01</v>
          </cell>
          <cell r="B21" t="str">
            <v>75101</v>
          </cell>
          <cell r="C21" t="str">
            <v>Alameda</v>
          </cell>
          <cell r="D21" t="str">
            <v>Pleasanton Unified</v>
          </cell>
          <cell r="E21">
            <v>14795</v>
          </cell>
          <cell r="F21">
            <v>254910</v>
          </cell>
          <cell r="G21">
            <v>16</v>
          </cell>
        </row>
        <row r="22">
          <cell r="A22" t="str">
            <v>01</v>
          </cell>
          <cell r="B22" t="str">
            <v>75119</v>
          </cell>
          <cell r="C22" t="str">
            <v>Alameda</v>
          </cell>
          <cell r="D22" t="str">
            <v>Sunol Glen Unified</v>
          </cell>
          <cell r="E22">
            <v>232</v>
          </cell>
          <cell r="F22">
            <v>3944</v>
          </cell>
          <cell r="G22">
            <v>1</v>
          </cell>
        </row>
        <row r="23">
          <cell r="A23" t="str">
            <v>02</v>
          </cell>
          <cell r="B23" t="str">
            <v>61333</v>
          </cell>
          <cell r="C23" t="str">
            <v>Alpine</v>
          </cell>
          <cell r="D23" t="str">
            <v>Alpine County Unified</v>
          </cell>
          <cell r="E23">
            <v>129</v>
          </cell>
          <cell r="F23">
            <v>14704</v>
          </cell>
          <cell r="G23">
            <v>6</v>
          </cell>
        </row>
        <row r="24">
          <cell r="A24" t="str">
            <v>03</v>
          </cell>
          <cell r="B24" t="str">
            <v>10033</v>
          </cell>
          <cell r="C24" t="str">
            <v>Amador</v>
          </cell>
          <cell r="D24" t="str">
            <v>Amador County Office of Education</v>
          </cell>
          <cell r="E24">
            <v>203</v>
          </cell>
          <cell r="F24">
            <v>7128</v>
          </cell>
          <cell r="G24">
            <v>2</v>
          </cell>
        </row>
        <row r="25">
          <cell r="A25" t="str">
            <v>03</v>
          </cell>
          <cell r="B25" t="str">
            <v>73981</v>
          </cell>
          <cell r="C25" t="str">
            <v>Amador</v>
          </cell>
          <cell r="D25" t="str">
            <v>Amador County Unified</v>
          </cell>
          <cell r="E25">
            <v>4390</v>
          </cell>
          <cell r="F25">
            <v>79509</v>
          </cell>
          <cell r="G25">
            <v>12</v>
          </cell>
        </row>
        <row r="26">
          <cell r="A26" t="str">
            <v>04</v>
          </cell>
          <cell r="B26" t="str">
            <v>10041</v>
          </cell>
          <cell r="C26" t="str">
            <v>Butte</v>
          </cell>
          <cell r="D26" t="str">
            <v>Butte County Office of Education</v>
          </cell>
          <cell r="E26">
            <v>590</v>
          </cell>
          <cell r="F26">
            <v>14999</v>
          </cell>
          <cell r="G26">
            <v>3</v>
          </cell>
        </row>
        <row r="27">
          <cell r="A27" t="str">
            <v>04</v>
          </cell>
          <cell r="B27" t="str">
            <v>61382</v>
          </cell>
          <cell r="C27" t="str">
            <v>Butte</v>
          </cell>
          <cell r="D27" t="str">
            <v>Bangor Union Elementary</v>
          </cell>
          <cell r="E27">
            <v>125</v>
          </cell>
          <cell r="F27">
            <v>3564</v>
          </cell>
          <cell r="G27">
            <v>1</v>
          </cell>
        </row>
        <row r="28">
          <cell r="A28" t="str">
            <v>04</v>
          </cell>
          <cell r="B28" t="str">
            <v>61408</v>
          </cell>
          <cell r="C28" t="str">
            <v>Butte</v>
          </cell>
          <cell r="D28" t="str">
            <v>Biggs Unified</v>
          </cell>
          <cell r="E28">
            <v>551</v>
          </cell>
          <cell r="F28">
            <v>18820</v>
          </cell>
          <cell r="G28">
            <v>6</v>
          </cell>
        </row>
        <row r="29">
          <cell r="A29" t="str">
            <v>04</v>
          </cell>
          <cell r="B29" t="str">
            <v>61424</v>
          </cell>
          <cell r="C29" t="str">
            <v>Butte</v>
          </cell>
          <cell r="D29" t="str">
            <v>Chico Unified</v>
          </cell>
          <cell r="E29">
            <v>12845</v>
          </cell>
          <cell r="F29">
            <v>224300</v>
          </cell>
          <cell r="G29">
            <v>21</v>
          </cell>
        </row>
        <row r="30">
          <cell r="A30" t="str">
            <v>04</v>
          </cell>
          <cell r="B30" t="str">
            <v>61432</v>
          </cell>
          <cell r="C30" t="str">
            <v>Butte</v>
          </cell>
          <cell r="D30" t="str">
            <v>Durham Unified</v>
          </cell>
          <cell r="E30">
            <v>1097</v>
          </cell>
          <cell r="F30">
            <v>20792</v>
          </cell>
          <cell r="G30">
            <v>4</v>
          </cell>
        </row>
        <row r="31">
          <cell r="A31" t="str">
            <v>04</v>
          </cell>
          <cell r="B31" t="str">
            <v>61440</v>
          </cell>
          <cell r="C31" t="str">
            <v>Butte</v>
          </cell>
          <cell r="D31" t="str">
            <v>Feather Falls Union Elementary</v>
          </cell>
          <cell r="E31">
            <v>27</v>
          </cell>
          <cell r="F31">
            <v>3564</v>
          </cell>
          <cell r="G31">
            <v>1</v>
          </cell>
        </row>
        <row r="32">
          <cell r="A32" t="str">
            <v>04</v>
          </cell>
          <cell r="B32" t="str">
            <v>61457</v>
          </cell>
          <cell r="C32" t="str">
            <v>Butte</v>
          </cell>
          <cell r="D32" t="str">
            <v>Golden Feather Union Elementary</v>
          </cell>
          <cell r="E32">
            <v>133</v>
          </cell>
          <cell r="F32">
            <v>9356</v>
          </cell>
          <cell r="G32">
            <v>3</v>
          </cell>
        </row>
        <row r="33">
          <cell r="A33" t="str">
            <v>04</v>
          </cell>
          <cell r="B33" t="str">
            <v>61499</v>
          </cell>
          <cell r="C33" t="str">
            <v>Butte</v>
          </cell>
          <cell r="D33" t="str">
            <v>Manzanita Elementary</v>
          </cell>
          <cell r="E33">
            <v>262</v>
          </cell>
          <cell r="F33">
            <v>4454</v>
          </cell>
          <cell r="G33">
            <v>1</v>
          </cell>
        </row>
        <row r="34">
          <cell r="A34" t="str">
            <v>04</v>
          </cell>
          <cell r="B34" t="str">
            <v>61507</v>
          </cell>
          <cell r="C34" t="str">
            <v>Butte</v>
          </cell>
          <cell r="D34" t="str">
            <v>Oroville City Elementary</v>
          </cell>
          <cell r="E34">
            <v>2773</v>
          </cell>
          <cell r="F34">
            <v>48699</v>
          </cell>
          <cell r="G34">
            <v>7</v>
          </cell>
        </row>
        <row r="35">
          <cell r="A35" t="str">
            <v>04</v>
          </cell>
          <cell r="B35" t="str">
            <v>61515</v>
          </cell>
          <cell r="C35" t="str">
            <v>Butte</v>
          </cell>
          <cell r="D35" t="str">
            <v>Oroville Union High</v>
          </cell>
          <cell r="E35">
            <v>2870</v>
          </cell>
          <cell r="F35">
            <v>54044</v>
          </cell>
          <cell r="G35">
            <v>5</v>
          </cell>
        </row>
        <row r="36">
          <cell r="A36" t="str">
            <v>04</v>
          </cell>
          <cell r="B36" t="str">
            <v>61523</v>
          </cell>
          <cell r="C36" t="str">
            <v>Butte</v>
          </cell>
          <cell r="D36" t="str">
            <v>Palermo Union Elementary</v>
          </cell>
          <cell r="E36">
            <v>1341</v>
          </cell>
          <cell r="F36">
            <v>29124</v>
          </cell>
          <cell r="G36">
            <v>6</v>
          </cell>
        </row>
        <row r="37">
          <cell r="A37" t="str">
            <v>04</v>
          </cell>
          <cell r="B37" t="str">
            <v>61531</v>
          </cell>
          <cell r="C37" t="str">
            <v>Butte</v>
          </cell>
          <cell r="D37" t="str">
            <v>Paradise Unified</v>
          </cell>
          <cell r="E37">
            <v>4498</v>
          </cell>
          <cell r="F37">
            <v>85291</v>
          </cell>
          <cell r="G37">
            <v>12</v>
          </cell>
        </row>
        <row r="38">
          <cell r="A38" t="str">
            <v>04</v>
          </cell>
          <cell r="B38" t="str">
            <v>61549</v>
          </cell>
          <cell r="C38" t="str">
            <v>Butte</v>
          </cell>
          <cell r="D38" t="str">
            <v>Thermalito Union Elementary</v>
          </cell>
          <cell r="E38">
            <v>1416</v>
          </cell>
          <cell r="F38">
            <v>28341</v>
          </cell>
          <cell r="G38">
            <v>6</v>
          </cell>
        </row>
        <row r="39">
          <cell r="A39" t="str">
            <v>04</v>
          </cell>
          <cell r="B39" t="str">
            <v>73379</v>
          </cell>
          <cell r="C39" t="str">
            <v>Butte</v>
          </cell>
          <cell r="D39" t="str">
            <v>Pioneer Union Elementary</v>
          </cell>
          <cell r="E39">
            <v>98</v>
          </cell>
          <cell r="F39">
            <v>5792</v>
          </cell>
          <cell r="G39">
            <v>2</v>
          </cell>
        </row>
        <row r="40">
          <cell r="A40" t="str">
            <v>04</v>
          </cell>
          <cell r="B40" t="str">
            <v>75507</v>
          </cell>
          <cell r="C40" t="str">
            <v>Butte</v>
          </cell>
          <cell r="D40" t="str">
            <v>Gridley Unified</v>
          </cell>
          <cell r="E40">
            <v>2115</v>
          </cell>
          <cell r="F40">
            <v>42700</v>
          </cell>
          <cell r="G40">
            <v>7</v>
          </cell>
        </row>
        <row r="41">
          <cell r="A41" t="str">
            <v>05</v>
          </cell>
          <cell r="B41" t="str">
            <v>10058</v>
          </cell>
          <cell r="C41" t="str">
            <v>Calaveras</v>
          </cell>
          <cell r="D41" t="str">
            <v>Calaveras County Office of Education</v>
          </cell>
          <cell r="E41">
            <v>497</v>
          </cell>
          <cell r="F41">
            <v>18112</v>
          </cell>
          <cell r="G41">
            <v>5</v>
          </cell>
        </row>
        <row r="42">
          <cell r="A42" t="str">
            <v>05</v>
          </cell>
          <cell r="B42" t="str">
            <v>61556</v>
          </cell>
          <cell r="C42" t="str">
            <v>Calaveras</v>
          </cell>
          <cell r="D42" t="str">
            <v>Bret Harte Union High</v>
          </cell>
          <cell r="E42">
            <v>863</v>
          </cell>
          <cell r="F42">
            <v>20593</v>
          </cell>
          <cell r="G42">
            <v>3</v>
          </cell>
        </row>
        <row r="43">
          <cell r="A43" t="str">
            <v>05</v>
          </cell>
          <cell r="B43" t="str">
            <v>61564</v>
          </cell>
          <cell r="C43" t="str">
            <v>Calaveras</v>
          </cell>
          <cell r="D43" t="str">
            <v>Calaveras Unified</v>
          </cell>
          <cell r="E43">
            <v>3562</v>
          </cell>
          <cell r="F43">
            <v>76430</v>
          </cell>
          <cell r="G43">
            <v>13</v>
          </cell>
        </row>
        <row r="44">
          <cell r="A44" t="str">
            <v>05</v>
          </cell>
          <cell r="B44" t="str">
            <v>61572</v>
          </cell>
          <cell r="C44" t="str">
            <v>Calaveras</v>
          </cell>
          <cell r="D44" t="str">
            <v>Mark Twain Union Elementary</v>
          </cell>
          <cell r="E44">
            <v>791</v>
          </cell>
          <cell r="F44">
            <v>13447</v>
          </cell>
          <cell r="G44">
            <v>2</v>
          </cell>
        </row>
        <row r="45">
          <cell r="A45" t="str">
            <v>05</v>
          </cell>
          <cell r="B45" t="str">
            <v>61580</v>
          </cell>
          <cell r="C45" t="str">
            <v>Calaveras</v>
          </cell>
          <cell r="D45" t="str">
            <v>Vallecito Union</v>
          </cell>
          <cell r="E45">
            <v>795</v>
          </cell>
          <cell r="F45">
            <v>17801</v>
          </cell>
          <cell r="G45">
            <v>5</v>
          </cell>
        </row>
        <row r="46">
          <cell r="A46" t="str">
            <v>06</v>
          </cell>
          <cell r="B46" t="str">
            <v>10066</v>
          </cell>
          <cell r="C46" t="str">
            <v>Colusa</v>
          </cell>
          <cell r="D46" t="str">
            <v>Colusa County Office of Education</v>
          </cell>
          <cell r="E46">
            <v>177</v>
          </cell>
          <cell r="F46">
            <v>11584</v>
          </cell>
          <cell r="G46">
            <v>4</v>
          </cell>
        </row>
        <row r="47">
          <cell r="A47" t="str">
            <v>06</v>
          </cell>
          <cell r="B47" t="str">
            <v>61598</v>
          </cell>
          <cell r="C47" t="str">
            <v>Colusa</v>
          </cell>
          <cell r="D47" t="str">
            <v>Colusa Unified</v>
          </cell>
          <cell r="E47">
            <v>1394</v>
          </cell>
          <cell r="F47">
            <v>28939</v>
          </cell>
          <cell r="G47">
            <v>5</v>
          </cell>
        </row>
        <row r="48">
          <cell r="A48" t="str">
            <v>06</v>
          </cell>
          <cell r="B48" t="str">
            <v>61606</v>
          </cell>
          <cell r="C48" t="str">
            <v>Colusa</v>
          </cell>
          <cell r="D48" t="str">
            <v>Maxwell Unified</v>
          </cell>
          <cell r="E48">
            <v>422</v>
          </cell>
          <cell r="F48">
            <v>10382</v>
          </cell>
          <cell r="G48">
            <v>3</v>
          </cell>
        </row>
        <row r="49">
          <cell r="A49" t="str">
            <v>06</v>
          </cell>
          <cell r="B49" t="str">
            <v>61614</v>
          </cell>
          <cell r="C49" t="str">
            <v>Colusa</v>
          </cell>
          <cell r="D49" t="str">
            <v>Pierce Joint Unified</v>
          </cell>
          <cell r="E49">
            <v>1296</v>
          </cell>
          <cell r="F49">
            <v>26260</v>
          </cell>
          <cell r="G49">
            <v>5</v>
          </cell>
        </row>
        <row r="50">
          <cell r="A50" t="str">
            <v>06</v>
          </cell>
          <cell r="B50" t="str">
            <v>61622</v>
          </cell>
          <cell r="C50" t="str">
            <v>Colusa</v>
          </cell>
          <cell r="D50" t="str">
            <v>Williams Unified</v>
          </cell>
          <cell r="E50">
            <v>1218</v>
          </cell>
          <cell r="F50">
            <v>24604</v>
          </cell>
          <cell r="G50">
            <v>5</v>
          </cell>
        </row>
        <row r="51">
          <cell r="A51" t="str">
            <v>07</v>
          </cell>
          <cell r="B51" t="str">
            <v>10074</v>
          </cell>
          <cell r="C51" t="str">
            <v>Contra Costa</v>
          </cell>
          <cell r="D51" t="str">
            <v>Contra Costa County Office of Education</v>
          </cell>
          <cell r="E51">
            <v>958</v>
          </cell>
          <cell r="F51">
            <v>25719</v>
          </cell>
          <cell r="G51">
            <v>7</v>
          </cell>
        </row>
        <row r="52">
          <cell r="A52" t="str">
            <v>07</v>
          </cell>
          <cell r="B52" t="str">
            <v>61630</v>
          </cell>
          <cell r="C52" t="str">
            <v>Contra Costa</v>
          </cell>
          <cell r="D52" t="str">
            <v>Acalanes Union High</v>
          </cell>
          <cell r="E52">
            <v>5697</v>
          </cell>
          <cell r="F52">
            <v>101686</v>
          </cell>
          <cell r="G52">
            <v>6</v>
          </cell>
        </row>
        <row r="53">
          <cell r="A53" t="str">
            <v>07</v>
          </cell>
          <cell r="B53" t="str">
            <v>61648</v>
          </cell>
          <cell r="C53" t="str">
            <v>Contra Costa</v>
          </cell>
          <cell r="D53" t="str">
            <v>Antioch Unified</v>
          </cell>
          <cell r="E53">
            <v>19262</v>
          </cell>
          <cell r="F53">
            <v>333633</v>
          </cell>
          <cell r="G53">
            <v>26</v>
          </cell>
        </row>
        <row r="54">
          <cell r="A54" t="str">
            <v>07</v>
          </cell>
          <cell r="B54" t="str">
            <v>61655</v>
          </cell>
          <cell r="C54" t="str">
            <v>Contra Costa</v>
          </cell>
          <cell r="D54" t="str">
            <v>Brentwood Union Elementary</v>
          </cell>
          <cell r="E54">
            <v>8247</v>
          </cell>
          <cell r="F54">
            <v>140206</v>
          </cell>
          <cell r="G54">
            <v>10</v>
          </cell>
        </row>
        <row r="55">
          <cell r="A55" t="str">
            <v>07</v>
          </cell>
          <cell r="B55" t="str">
            <v>61663</v>
          </cell>
          <cell r="C55" t="str">
            <v>Contra Costa</v>
          </cell>
          <cell r="D55" t="str">
            <v>Byron Union Elementary</v>
          </cell>
          <cell r="E55">
            <v>1666</v>
          </cell>
          <cell r="F55">
            <v>28322</v>
          </cell>
          <cell r="G55">
            <v>3</v>
          </cell>
        </row>
        <row r="56">
          <cell r="A56" t="str">
            <v>07</v>
          </cell>
          <cell r="B56" t="str">
            <v>61671</v>
          </cell>
          <cell r="C56" t="str">
            <v>Contra Costa</v>
          </cell>
          <cell r="D56" t="str">
            <v>Canyon Elementary</v>
          </cell>
          <cell r="E56">
            <v>68</v>
          </cell>
          <cell r="F56">
            <v>3564</v>
          </cell>
          <cell r="G56">
            <v>1</v>
          </cell>
        </row>
        <row r="57">
          <cell r="A57" t="str">
            <v>07</v>
          </cell>
          <cell r="B57" t="str">
            <v>61697</v>
          </cell>
          <cell r="C57" t="str">
            <v>Contra Costa</v>
          </cell>
          <cell r="D57" t="str">
            <v>John Swett Unified</v>
          </cell>
          <cell r="E57">
            <v>1702</v>
          </cell>
          <cell r="F57">
            <v>31767</v>
          </cell>
          <cell r="G57">
            <v>4</v>
          </cell>
        </row>
        <row r="58">
          <cell r="A58" t="str">
            <v>07</v>
          </cell>
          <cell r="B58" t="str">
            <v>61705</v>
          </cell>
          <cell r="C58" t="str">
            <v>Contra Costa</v>
          </cell>
          <cell r="D58" t="str">
            <v>Knightsen Elementary</v>
          </cell>
          <cell r="E58">
            <v>500</v>
          </cell>
          <cell r="F58">
            <v>9939</v>
          </cell>
          <cell r="G58">
            <v>2</v>
          </cell>
        </row>
        <row r="59">
          <cell r="A59" t="str">
            <v>07</v>
          </cell>
          <cell r="B59" t="str">
            <v>61713</v>
          </cell>
          <cell r="C59" t="str">
            <v>Contra Costa</v>
          </cell>
          <cell r="D59" t="str">
            <v>Lafayette Elementary</v>
          </cell>
          <cell r="E59">
            <v>3205</v>
          </cell>
          <cell r="F59">
            <v>54486</v>
          </cell>
          <cell r="G59">
            <v>5</v>
          </cell>
        </row>
        <row r="60">
          <cell r="A60" t="str">
            <v>07</v>
          </cell>
          <cell r="B60" t="str">
            <v>61721</v>
          </cell>
          <cell r="C60" t="str">
            <v>Contra Costa</v>
          </cell>
          <cell r="D60" t="str">
            <v>Liberty Union High</v>
          </cell>
          <cell r="E60">
            <v>6980</v>
          </cell>
          <cell r="F60">
            <v>118664</v>
          </cell>
          <cell r="G60">
            <v>5</v>
          </cell>
        </row>
        <row r="61">
          <cell r="A61" t="str">
            <v>07</v>
          </cell>
          <cell r="B61" t="str">
            <v>61739</v>
          </cell>
          <cell r="C61" t="str">
            <v>Contra Costa</v>
          </cell>
          <cell r="D61" t="str">
            <v>Martinez Unified</v>
          </cell>
          <cell r="E61">
            <v>3975</v>
          </cell>
          <cell r="F61">
            <v>71509</v>
          </cell>
          <cell r="G61">
            <v>8</v>
          </cell>
        </row>
        <row r="62">
          <cell r="A62" t="str">
            <v>07</v>
          </cell>
          <cell r="B62" t="str">
            <v>61747</v>
          </cell>
          <cell r="C62" t="str">
            <v>Contra Costa</v>
          </cell>
          <cell r="D62" t="str">
            <v>Moraga Elementary</v>
          </cell>
          <cell r="E62">
            <v>1734</v>
          </cell>
          <cell r="F62">
            <v>29478</v>
          </cell>
          <cell r="G62">
            <v>4</v>
          </cell>
        </row>
        <row r="63">
          <cell r="A63" t="str">
            <v>07</v>
          </cell>
          <cell r="B63" t="str">
            <v>61754</v>
          </cell>
          <cell r="C63" t="str">
            <v>Contra Costa</v>
          </cell>
          <cell r="D63" t="str">
            <v>Mt. Diablo Unified</v>
          </cell>
          <cell r="E63">
            <v>34813</v>
          </cell>
          <cell r="F63">
            <v>612163</v>
          </cell>
          <cell r="G63">
            <v>55</v>
          </cell>
        </row>
        <row r="64">
          <cell r="A64" t="str">
            <v>07</v>
          </cell>
          <cell r="B64" t="str">
            <v>61762</v>
          </cell>
          <cell r="C64" t="str">
            <v>Contra Costa</v>
          </cell>
          <cell r="D64" t="str">
            <v>Oakley Union Elementary</v>
          </cell>
          <cell r="E64">
            <v>4601</v>
          </cell>
          <cell r="F64">
            <v>78218</v>
          </cell>
          <cell r="G64">
            <v>7</v>
          </cell>
        </row>
        <row r="65">
          <cell r="A65" t="str">
            <v>07</v>
          </cell>
          <cell r="B65" t="str">
            <v>61770</v>
          </cell>
          <cell r="C65" t="str">
            <v>Contra Costa</v>
          </cell>
          <cell r="D65" t="str">
            <v>Orinda Union Elementary</v>
          </cell>
          <cell r="E65">
            <v>2422</v>
          </cell>
          <cell r="F65">
            <v>41175</v>
          </cell>
          <cell r="G65">
            <v>5</v>
          </cell>
        </row>
        <row r="66">
          <cell r="A66" t="str">
            <v>07</v>
          </cell>
          <cell r="B66" t="str">
            <v>61788</v>
          </cell>
          <cell r="C66" t="str">
            <v>Contra Costa</v>
          </cell>
          <cell r="D66" t="str">
            <v>Pittsburg Unified</v>
          </cell>
          <cell r="E66">
            <v>9530</v>
          </cell>
          <cell r="F66">
            <v>162014</v>
          </cell>
          <cell r="G66">
            <v>12</v>
          </cell>
        </row>
        <row r="67">
          <cell r="A67" t="str">
            <v>07</v>
          </cell>
          <cell r="B67" t="str">
            <v>61796</v>
          </cell>
          <cell r="C67" t="str">
            <v>Contra Costa</v>
          </cell>
          <cell r="D67" t="str">
            <v>West Contra Costa Unified</v>
          </cell>
          <cell r="E67">
            <v>30109</v>
          </cell>
          <cell r="F67">
            <v>525402</v>
          </cell>
          <cell r="G67">
            <v>61</v>
          </cell>
        </row>
        <row r="68">
          <cell r="A68" t="str">
            <v>07</v>
          </cell>
          <cell r="B68" t="str">
            <v>61804</v>
          </cell>
          <cell r="C68" t="str">
            <v>Contra Costa</v>
          </cell>
          <cell r="D68" t="str">
            <v>San Ramon Valley Unified</v>
          </cell>
          <cell r="E68">
            <v>26939</v>
          </cell>
          <cell r="F68">
            <v>460198</v>
          </cell>
          <cell r="G68">
            <v>34</v>
          </cell>
        </row>
        <row r="69">
          <cell r="A69" t="str">
            <v>07</v>
          </cell>
          <cell r="B69" t="str">
            <v>61812</v>
          </cell>
          <cell r="C69" t="str">
            <v>Contra Costa</v>
          </cell>
          <cell r="D69" t="str">
            <v>Walnut Creek Elementary</v>
          </cell>
          <cell r="E69">
            <v>3235</v>
          </cell>
          <cell r="F69">
            <v>54996</v>
          </cell>
          <cell r="G69">
            <v>6</v>
          </cell>
        </row>
        <row r="70">
          <cell r="A70" t="str">
            <v>08</v>
          </cell>
          <cell r="B70" t="str">
            <v>10082</v>
          </cell>
          <cell r="C70" t="str">
            <v>Del Norte</v>
          </cell>
          <cell r="D70" t="str">
            <v>Del Norte County Office of Education</v>
          </cell>
          <cell r="E70">
            <v>533</v>
          </cell>
          <cell r="F70">
            <v>24907</v>
          </cell>
          <cell r="G70">
            <v>7</v>
          </cell>
        </row>
        <row r="71">
          <cell r="A71" t="str">
            <v>08</v>
          </cell>
          <cell r="B71" t="str">
            <v>61820</v>
          </cell>
          <cell r="C71" t="str">
            <v>Del Norte</v>
          </cell>
          <cell r="D71" t="str">
            <v>Del Norte County Unified</v>
          </cell>
          <cell r="E71">
            <v>3893</v>
          </cell>
          <cell r="F71">
            <v>73270</v>
          </cell>
          <cell r="G71">
            <v>11</v>
          </cell>
        </row>
        <row r="72">
          <cell r="A72" t="str">
            <v>09</v>
          </cell>
          <cell r="B72" t="str">
            <v>10090</v>
          </cell>
          <cell r="C72" t="str">
            <v>El Dorado</v>
          </cell>
          <cell r="D72" t="str">
            <v>El Dorado County Office of Education</v>
          </cell>
          <cell r="E72">
            <v>1043</v>
          </cell>
          <cell r="F72">
            <v>26470</v>
          </cell>
          <cell r="G72">
            <v>6</v>
          </cell>
        </row>
        <row r="73">
          <cell r="A73" t="str">
            <v>09</v>
          </cell>
          <cell r="B73" t="str">
            <v>61838</v>
          </cell>
          <cell r="C73" t="str">
            <v>El Dorado</v>
          </cell>
          <cell r="D73" t="str">
            <v>Buckeye Union Elementary</v>
          </cell>
          <cell r="E73">
            <v>4790</v>
          </cell>
          <cell r="F73">
            <v>83312</v>
          </cell>
          <cell r="G73">
            <v>8</v>
          </cell>
        </row>
        <row r="74">
          <cell r="A74" t="str">
            <v>09</v>
          </cell>
          <cell r="B74" t="str">
            <v>61846</v>
          </cell>
          <cell r="C74" t="str">
            <v>El Dorado</v>
          </cell>
          <cell r="D74" t="str">
            <v>Camino Union Elementary</v>
          </cell>
          <cell r="E74">
            <v>438</v>
          </cell>
          <cell r="F74">
            <v>7446</v>
          </cell>
          <cell r="G74">
            <v>1</v>
          </cell>
        </row>
        <row r="75">
          <cell r="A75" t="str">
            <v>09</v>
          </cell>
          <cell r="B75" t="str">
            <v>61853</v>
          </cell>
          <cell r="C75" t="str">
            <v>El Dorado</v>
          </cell>
          <cell r="D75" t="str">
            <v>El Dorado Union High</v>
          </cell>
          <cell r="E75">
            <v>7262</v>
          </cell>
          <cell r="F75">
            <v>135125</v>
          </cell>
          <cell r="G75">
            <v>10</v>
          </cell>
        </row>
        <row r="76">
          <cell r="A76" t="str">
            <v>09</v>
          </cell>
          <cell r="B76" t="str">
            <v>61879</v>
          </cell>
          <cell r="C76" t="str">
            <v>El Dorado</v>
          </cell>
          <cell r="D76" t="str">
            <v>Gold Oak Union Elementary</v>
          </cell>
          <cell r="E76">
            <v>631</v>
          </cell>
          <cell r="F76">
            <v>13809</v>
          </cell>
          <cell r="G76">
            <v>3</v>
          </cell>
        </row>
        <row r="77">
          <cell r="A77" t="str">
            <v>09</v>
          </cell>
          <cell r="B77" t="str">
            <v>61887</v>
          </cell>
          <cell r="C77" t="str">
            <v>El Dorado</v>
          </cell>
          <cell r="D77" t="str">
            <v>Gold Trail Union Elementary</v>
          </cell>
          <cell r="E77">
            <v>550</v>
          </cell>
          <cell r="F77">
            <v>9350</v>
          </cell>
          <cell r="G77">
            <v>2</v>
          </cell>
        </row>
        <row r="78">
          <cell r="A78" t="str">
            <v>09</v>
          </cell>
          <cell r="B78" t="str">
            <v>61895</v>
          </cell>
          <cell r="C78" t="str">
            <v>El Dorado</v>
          </cell>
          <cell r="D78" t="str">
            <v>Indian Diggings Elementary</v>
          </cell>
          <cell r="E78">
            <v>26</v>
          </cell>
          <cell r="F78">
            <v>3564</v>
          </cell>
          <cell r="G78">
            <v>1</v>
          </cell>
        </row>
        <row r="79">
          <cell r="A79" t="str">
            <v>09</v>
          </cell>
          <cell r="B79" t="str">
            <v>61903</v>
          </cell>
          <cell r="C79" t="str">
            <v>El Dorado</v>
          </cell>
          <cell r="D79" t="str">
            <v>Lake Tahoe Unified</v>
          </cell>
          <cell r="E79">
            <v>4079</v>
          </cell>
          <cell r="F79">
            <v>73515</v>
          </cell>
          <cell r="G79">
            <v>8</v>
          </cell>
        </row>
        <row r="80">
          <cell r="A80" t="str">
            <v>09</v>
          </cell>
          <cell r="B80" t="str">
            <v>61911</v>
          </cell>
          <cell r="C80" t="str">
            <v>El Dorado</v>
          </cell>
          <cell r="D80" t="str">
            <v>Latrobe</v>
          </cell>
          <cell r="E80">
            <v>181</v>
          </cell>
          <cell r="F80">
            <v>7128</v>
          </cell>
          <cell r="G80">
            <v>2</v>
          </cell>
        </row>
        <row r="81">
          <cell r="A81" t="str">
            <v>09</v>
          </cell>
          <cell r="B81" t="str">
            <v>61929</v>
          </cell>
          <cell r="C81" t="str">
            <v>El Dorado</v>
          </cell>
          <cell r="D81" t="str">
            <v>Mother Lode Union Elementary</v>
          </cell>
          <cell r="E81">
            <v>1378</v>
          </cell>
          <cell r="F81">
            <v>23426</v>
          </cell>
          <cell r="G81">
            <v>3</v>
          </cell>
        </row>
        <row r="82">
          <cell r="A82" t="str">
            <v>09</v>
          </cell>
          <cell r="B82" t="str">
            <v>61945</v>
          </cell>
          <cell r="C82" t="str">
            <v>El Dorado</v>
          </cell>
          <cell r="D82" t="str">
            <v>Pioneer Union Elementary</v>
          </cell>
          <cell r="E82">
            <v>427</v>
          </cell>
          <cell r="F82">
            <v>10970</v>
          </cell>
          <cell r="G82">
            <v>3</v>
          </cell>
        </row>
        <row r="83">
          <cell r="A83" t="str">
            <v>09</v>
          </cell>
          <cell r="B83" t="str">
            <v>61952</v>
          </cell>
          <cell r="C83" t="str">
            <v>El Dorado</v>
          </cell>
          <cell r="D83" t="str">
            <v>Placerville Union Elementary</v>
          </cell>
          <cell r="E83">
            <v>1164</v>
          </cell>
          <cell r="F83">
            <v>21931</v>
          </cell>
          <cell r="G83">
            <v>4</v>
          </cell>
        </row>
        <row r="84">
          <cell r="A84" t="str">
            <v>09</v>
          </cell>
          <cell r="B84" t="str">
            <v>61960</v>
          </cell>
          <cell r="C84" t="str">
            <v>El Dorado</v>
          </cell>
          <cell r="D84" t="str">
            <v>Pollock Pines Elementary</v>
          </cell>
          <cell r="E84">
            <v>745</v>
          </cell>
          <cell r="F84">
            <v>12665</v>
          </cell>
          <cell r="G84">
            <v>2</v>
          </cell>
        </row>
        <row r="85">
          <cell r="A85" t="str">
            <v>09</v>
          </cell>
          <cell r="B85" t="str">
            <v>61978</v>
          </cell>
          <cell r="C85" t="str">
            <v>El Dorado</v>
          </cell>
          <cell r="D85" t="str">
            <v>Rescue Union Elementary</v>
          </cell>
          <cell r="E85">
            <v>4105</v>
          </cell>
          <cell r="F85">
            <v>69785</v>
          </cell>
          <cell r="G85">
            <v>7</v>
          </cell>
        </row>
        <row r="86">
          <cell r="A86" t="str">
            <v>09</v>
          </cell>
          <cell r="B86" t="str">
            <v>61986</v>
          </cell>
          <cell r="C86" t="str">
            <v>El Dorado</v>
          </cell>
          <cell r="D86" t="str">
            <v>Silver Fork Elementary</v>
          </cell>
          <cell r="E86">
            <v>18</v>
          </cell>
          <cell r="F86">
            <v>2228</v>
          </cell>
          <cell r="G86">
            <v>1</v>
          </cell>
        </row>
        <row r="87">
          <cell r="A87" t="str">
            <v>09</v>
          </cell>
          <cell r="B87" t="str">
            <v>73783</v>
          </cell>
          <cell r="C87" t="str">
            <v>El Dorado</v>
          </cell>
          <cell r="D87" t="str">
            <v>Black Oak Mine Unified</v>
          </cell>
          <cell r="E87">
            <v>1737</v>
          </cell>
          <cell r="F87">
            <v>37763</v>
          </cell>
          <cell r="G87">
            <v>6</v>
          </cell>
        </row>
        <row r="88">
          <cell r="A88" t="str">
            <v>09</v>
          </cell>
          <cell r="B88" t="str">
            <v>76489</v>
          </cell>
          <cell r="C88" t="str">
            <v>El Dorado</v>
          </cell>
          <cell r="D88" t="str">
            <v>SBC - Aspire Public Schools</v>
          </cell>
          <cell r="E88">
            <v>434</v>
          </cell>
          <cell r="F88">
            <v>7712</v>
          </cell>
          <cell r="G88">
            <v>2</v>
          </cell>
        </row>
        <row r="89">
          <cell r="A89" t="str">
            <v>10</v>
          </cell>
          <cell r="B89" t="str">
            <v>10108</v>
          </cell>
          <cell r="C89" t="str">
            <v>Fresno</v>
          </cell>
          <cell r="D89" t="str">
            <v>Fresno County Office of Education</v>
          </cell>
          <cell r="E89">
            <v>1318</v>
          </cell>
          <cell r="F89">
            <v>25063</v>
          </cell>
          <cell r="G89">
            <v>4</v>
          </cell>
        </row>
        <row r="90">
          <cell r="A90" t="str">
            <v>10</v>
          </cell>
          <cell r="B90" t="str">
            <v>61994</v>
          </cell>
          <cell r="C90" t="str">
            <v>Fresno</v>
          </cell>
          <cell r="D90" t="str">
            <v>Alvina Elementary</v>
          </cell>
          <cell r="E90">
            <v>195</v>
          </cell>
          <cell r="F90">
            <v>3564</v>
          </cell>
          <cell r="G90">
            <v>1</v>
          </cell>
        </row>
        <row r="91">
          <cell r="A91" t="str">
            <v>10</v>
          </cell>
          <cell r="B91" t="str">
            <v>62000</v>
          </cell>
          <cell r="C91" t="str">
            <v>Fresno</v>
          </cell>
          <cell r="D91" t="str">
            <v>American Union Elementary</v>
          </cell>
          <cell r="E91">
            <v>336</v>
          </cell>
          <cell r="F91">
            <v>5712</v>
          </cell>
          <cell r="G91">
            <v>1</v>
          </cell>
        </row>
        <row r="92">
          <cell r="A92" t="str">
            <v>10</v>
          </cell>
          <cell r="B92" t="str">
            <v>62026</v>
          </cell>
          <cell r="C92" t="str">
            <v>Fresno</v>
          </cell>
          <cell r="D92" t="str">
            <v>Big Creek Elementary</v>
          </cell>
          <cell r="E92">
            <v>32</v>
          </cell>
          <cell r="F92">
            <v>3564</v>
          </cell>
          <cell r="G92">
            <v>1</v>
          </cell>
        </row>
        <row r="93">
          <cell r="A93" t="str">
            <v>10</v>
          </cell>
          <cell r="B93" t="str">
            <v>62042</v>
          </cell>
          <cell r="C93" t="str">
            <v>Fresno</v>
          </cell>
          <cell r="D93" t="str">
            <v>Burrel Union Elementary</v>
          </cell>
          <cell r="E93">
            <v>107</v>
          </cell>
          <cell r="F93">
            <v>3564</v>
          </cell>
          <cell r="G93">
            <v>1</v>
          </cell>
        </row>
        <row r="94">
          <cell r="A94" t="str">
            <v>10</v>
          </cell>
          <cell r="B94" t="str">
            <v>62109</v>
          </cell>
          <cell r="C94" t="str">
            <v>Fresno</v>
          </cell>
          <cell r="D94" t="str">
            <v>Clay Joint Elementary</v>
          </cell>
          <cell r="E94">
            <v>219</v>
          </cell>
          <cell r="F94">
            <v>3723</v>
          </cell>
          <cell r="G94">
            <v>1</v>
          </cell>
        </row>
        <row r="95">
          <cell r="A95" t="str">
            <v>10</v>
          </cell>
          <cell r="B95" t="str">
            <v>62117</v>
          </cell>
          <cell r="C95" t="str">
            <v>Fresno</v>
          </cell>
          <cell r="D95" t="str">
            <v>Clovis Unified</v>
          </cell>
          <cell r="E95">
            <v>37464</v>
          </cell>
          <cell r="F95">
            <v>643100</v>
          </cell>
          <cell r="G95">
            <v>45</v>
          </cell>
        </row>
        <row r="96">
          <cell r="A96" t="str">
            <v>10</v>
          </cell>
          <cell r="B96" t="str">
            <v>62125</v>
          </cell>
          <cell r="C96" t="str">
            <v>Fresno</v>
          </cell>
          <cell r="D96" t="str">
            <v>Coalinga-Huron Joint Unified</v>
          </cell>
          <cell r="E96">
            <v>4339</v>
          </cell>
          <cell r="F96">
            <v>82826</v>
          </cell>
          <cell r="G96">
            <v>11</v>
          </cell>
        </row>
        <row r="97">
          <cell r="A97" t="str">
            <v>10</v>
          </cell>
          <cell r="B97" t="str">
            <v>62158</v>
          </cell>
          <cell r="C97" t="str">
            <v>Fresno</v>
          </cell>
          <cell r="D97" t="str">
            <v>Fowler Unified</v>
          </cell>
          <cell r="E97">
            <v>2251</v>
          </cell>
          <cell r="F97">
            <v>43430</v>
          </cell>
          <cell r="G97">
            <v>7</v>
          </cell>
        </row>
        <row r="98">
          <cell r="A98" t="str">
            <v>10</v>
          </cell>
          <cell r="B98" t="str">
            <v>62166</v>
          </cell>
          <cell r="C98" t="str">
            <v>Fresno</v>
          </cell>
          <cell r="D98" t="str">
            <v>Fresno Unified</v>
          </cell>
          <cell r="E98">
            <v>73279</v>
          </cell>
          <cell r="F98">
            <v>1259008</v>
          </cell>
          <cell r="G98">
            <v>96</v>
          </cell>
        </row>
        <row r="99">
          <cell r="A99" t="str">
            <v>10</v>
          </cell>
          <cell r="B99" t="str">
            <v>62174</v>
          </cell>
          <cell r="C99" t="str">
            <v>Fresno</v>
          </cell>
          <cell r="D99" t="str">
            <v>West Fresno Elementary</v>
          </cell>
          <cell r="E99">
            <v>902</v>
          </cell>
          <cell r="F99">
            <v>15334</v>
          </cell>
          <cell r="G99">
            <v>2</v>
          </cell>
        </row>
        <row r="100">
          <cell r="A100" t="str">
            <v>10</v>
          </cell>
          <cell r="B100" t="str">
            <v>62240</v>
          </cell>
          <cell r="C100" t="str">
            <v>Fresno</v>
          </cell>
          <cell r="D100" t="str">
            <v>Kingsburg Elementary Charter</v>
          </cell>
          <cell r="E100">
            <v>2230</v>
          </cell>
          <cell r="F100">
            <v>40812</v>
          </cell>
          <cell r="G100">
            <v>7</v>
          </cell>
        </row>
        <row r="101">
          <cell r="A101" t="str">
            <v>10</v>
          </cell>
          <cell r="B101" t="str">
            <v>62257</v>
          </cell>
          <cell r="C101" t="str">
            <v>Fresno</v>
          </cell>
          <cell r="D101" t="str">
            <v>Kingsburg Joint Union High</v>
          </cell>
          <cell r="E101">
            <v>1177</v>
          </cell>
          <cell r="F101">
            <v>22775</v>
          </cell>
          <cell r="G101">
            <v>2</v>
          </cell>
        </row>
        <row r="102">
          <cell r="A102" t="str">
            <v>10</v>
          </cell>
          <cell r="B102" t="str">
            <v>62265</v>
          </cell>
          <cell r="C102" t="str">
            <v>Fresno</v>
          </cell>
          <cell r="D102" t="str">
            <v>Kings Canyon Joint Unified</v>
          </cell>
          <cell r="E102">
            <v>9835</v>
          </cell>
          <cell r="F102">
            <v>172403</v>
          </cell>
          <cell r="G102">
            <v>20</v>
          </cell>
        </row>
        <row r="103">
          <cell r="A103" t="str">
            <v>10</v>
          </cell>
          <cell r="B103" t="str">
            <v>62281</v>
          </cell>
          <cell r="C103" t="str">
            <v>Fresno</v>
          </cell>
          <cell r="D103" t="str">
            <v>Laton Joint Unified</v>
          </cell>
          <cell r="E103">
            <v>755</v>
          </cell>
          <cell r="F103">
            <v>15697</v>
          </cell>
          <cell r="G103">
            <v>4</v>
          </cell>
        </row>
        <row r="104">
          <cell r="A104" t="str">
            <v>10</v>
          </cell>
          <cell r="B104" t="str">
            <v>62323</v>
          </cell>
          <cell r="C104" t="str">
            <v>Fresno</v>
          </cell>
          <cell r="D104" t="str">
            <v>Monroe Elementary</v>
          </cell>
          <cell r="E104">
            <v>201</v>
          </cell>
          <cell r="F104">
            <v>3564</v>
          </cell>
          <cell r="G104">
            <v>1</v>
          </cell>
        </row>
        <row r="105">
          <cell r="A105" t="str">
            <v>10</v>
          </cell>
          <cell r="B105" t="str">
            <v>62331</v>
          </cell>
          <cell r="C105" t="str">
            <v>Fresno</v>
          </cell>
          <cell r="D105" t="str">
            <v>Orange Center</v>
          </cell>
          <cell r="E105">
            <v>327</v>
          </cell>
          <cell r="F105">
            <v>5559</v>
          </cell>
          <cell r="G105">
            <v>1</v>
          </cell>
        </row>
        <row r="106">
          <cell r="A106" t="str">
            <v>10</v>
          </cell>
          <cell r="B106" t="str">
            <v>62356</v>
          </cell>
          <cell r="C106" t="str">
            <v>Fresno</v>
          </cell>
          <cell r="D106" t="str">
            <v>Pacific Union Elementary</v>
          </cell>
          <cell r="E106">
            <v>371</v>
          </cell>
          <cell r="F106">
            <v>6307</v>
          </cell>
          <cell r="G106">
            <v>1</v>
          </cell>
        </row>
        <row r="107">
          <cell r="A107" t="str">
            <v>10</v>
          </cell>
          <cell r="B107" t="str">
            <v>62364</v>
          </cell>
          <cell r="C107" t="str">
            <v>Fresno</v>
          </cell>
          <cell r="D107" t="str">
            <v>Parlier Unified</v>
          </cell>
          <cell r="E107">
            <v>3327</v>
          </cell>
          <cell r="F107">
            <v>58900</v>
          </cell>
          <cell r="G107">
            <v>7</v>
          </cell>
        </row>
        <row r="108">
          <cell r="A108" t="str">
            <v>10</v>
          </cell>
          <cell r="B108" t="str">
            <v>62372</v>
          </cell>
          <cell r="C108" t="str">
            <v>Fresno</v>
          </cell>
          <cell r="D108" t="str">
            <v>Pine Ridge Elementary</v>
          </cell>
          <cell r="E108">
            <v>79</v>
          </cell>
          <cell r="F108">
            <v>3564</v>
          </cell>
          <cell r="G108">
            <v>1</v>
          </cell>
        </row>
        <row r="109">
          <cell r="A109" t="str">
            <v>10</v>
          </cell>
          <cell r="B109" t="str">
            <v>62380</v>
          </cell>
          <cell r="C109" t="str">
            <v>Fresno</v>
          </cell>
          <cell r="D109" t="str">
            <v>Raisin City Elementary</v>
          </cell>
          <cell r="E109">
            <v>304</v>
          </cell>
          <cell r="F109">
            <v>5168</v>
          </cell>
          <cell r="G109">
            <v>1</v>
          </cell>
        </row>
        <row r="110">
          <cell r="A110" t="str">
            <v>10</v>
          </cell>
          <cell r="B110" t="str">
            <v>62414</v>
          </cell>
          <cell r="C110" t="str">
            <v>Fresno</v>
          </cell>
          <cell r="D110" t="str">
            <v>Sanger Unified</v>
          </cell>
          <cell r="E110">
            <v>10368</v>
          </cell>
          <cell r="F110">
            <v>183619</v>
          </cell>
          <cell r="G110">
            <v>19</v>
          </cell>
        </row>
        <row r="111">
          <cell r="A111" t="str">
            <v>10</v>
          </cell>
          <cell r="B111" t="str">
            <v>62430</v>
          </cell>
          <cell r="C111" t="str">
            <v>Fresno</v>
          </cell>
          <cell r="D111" t="str">
            <v>Selma Unified</v>
          </cell>
          <cell r="E111">
            <v>6390</v>
          </cell>
          <cell r="F111">
            <v>112445</v>
          </cell>
          <cell r="G111">
            <v>12</v>
          </cell>
        </row>
        <row r="112">
          <cell r="A112" t="str">
            <v>10</v>
          </cell>
          <cell r="B112" t="str">
            <v>62513</v>
          </cell>
          <cell r="C112" t="str">
            <v>Fresno</v>
          </cell>
          <cell r="D112" t="str">
            <v>Washington Colony Elementary</v>
          </cell>
          <cell r="E112">
            <v>425</v>
          </cell>
          <cell r="F112">
            <v>7225</v>
          </cell>
          <cell r="G112">
            <v>1</v>
          </cell>
        </row>
        <row r="113">
          <cell r="A113" t="str">
            <v>10</v>
          </cell>
          <cell r="B113" t="str">
            <v>62521</v>
          </cell>
          <cell r="C113" t="str">
            <v>Fresno</v>
          </cell>
          <cell r="D113" t="str">
            <v>Washington Union High</v>
          </cell>
          <cell r="E113">
            <v>1173</v>
          </cell>
          <cell r="F113">
            <v>24075</v>
          </cell>
          <cell r="G113">
            <v>3</v>
          </cell>
        </row>
        <row r="114">
          <cell r="A114" t="str">
            <v>10</v>
          </cell>
          <cell r="B114" t="str">
            <v>62539</v>
          </cell>
          <cell r="C114" t="str">
            <v>Fresno</v>
          </cell>
          <cell r="D114" t="str">
            <v>West Park Elementary</v>
          </cell>
          <cell r="E114">
            <v>316</v>
          </cell>
          <cell r="F114">
            <v>5372</v>
          </cell>
          <cell r="G114">
            <v>1</v>
          </cell>
        </row>
        <row r="115">
          <cell r="A115" t="str">
            <v>10</v>
          </cell>
          <cell r="B115" t="str">
            <v>62547</v>
          </cell>
          <cell r="C115" t="str">
            <v>Fresno</v>
          </cell>
          <cell r="D115" t="str">
            <v>Westside Elementary</v>
          </cell>
          <cell r="E115">
            <v>254</v>
          </cell>
          <cell r="F115">
            <v>4318</v>
          </cell>
          <cell r="G115">
            <v>1</v>
          </cell>
        </row>
        <row r="116">
          <cell r="A116" t="str">
            <v>10</v>
          </cell>
          <cell r="B116" t="str">
            <v>73809</v>
          </cell>
          <cell r="C116" t="str">
            <v>Fresno</v>
          </cell>
          <cell r="D116" t="str">
            <v>Firebaugh-Las Deltas Joint Unified</v>
          </cell>
          <cell r="E116">
            <v>2286</v>
          </cell>
          <cell r="F116">
            <v>42035</v>
          </cell>
          <cell r="G116">
            <v>5</v>
          </cell>
        </row>
        <row r="117">
          <cell r="A117" t="str">
            <v>10</v>
          </cell>
          <cell r="B117" t="str">
            <v>73965</v>
          </cell>
          <cell r="C117" t="str">
            <v>Fresno</v>
          </cell>
          <cell r="D117" t="str">
            <v>Central Unified</v>
          </cell>
          <cell r="E117">
            <v>14241</v>
          </cell>
          <cell r="F117">
            <v>246301</v>
          </cell>
          <cell r="G117">
            <v>19</v>
          </cell>
        </row>
        <row r="118">
          <cell r="A118" t="str">
            <v>10</v>
          </cell>
          <cell r="B118" t="str">
            <v>73999</v>
          </cell>
          <cell r="C118" t="str">
            <v>Fresno</v>
          </cell>
          <cell r="D118" t="str">
            <v>Kerman Unified</v>
          </cell>
          <cell r="E118">
            <v>4398</v>
          </cell>
          <cell r="F118">
            <v>79643</v>
          </cell>
          <cell r="G118">
            <v>7</v>
          </cell>
        </row>
        <row r="119">
          <cell r="A119" t="str">
            <v>10</v>
          </cell>
          <cell r="B119" t="str">
            <v>75127</v>
          </cell>
          <cell r="C119" t="str">
            <v>Fresno</v>
          </cell>
          <cell r="D119" t="str">
            <v>Mendota Unified</v>
          </cell>
          <cell r="E119">
            <v>2670</v>
          </cell>
          <cell r="F119">
            <v>50503</v>
          </cell>
          <cell r="G119">
            <v>6</v>
          </cell>
        </row>
        <row r="120">
          <cell r="A120" t="str">
            <v>10</v>
          </cell>
          <cell r="B120" t="str">
            <v>75234</v>
          </cell>
          <cell r="C120" t="str">
            <v>Fresno</v>
          </cell>
          <cell r="D120" t="str">
            <v>Golden Plains Unified</v>
          </cell>
          <cell r="E120">
            <v>1893</v>
          </cell>
          <cell r="F120">
            <v>40356</v>
          </cell>
          <cell r="G120">
            <v>8</v>
          </cell>
        </row>
        <row r="121">
          <cell r="A121" t="str">
            <v>10</v>
          </cell>
          <cell r="B121" t="str">
            <v>75275</v>
          </cell>
          <cell r="C121" t="str">
            <v>Fresno</v>
          </cell>
          <cell r="D121" t="str">
            <v>Sierra Unified</v>
          </cell>
          <cell r="E121">
            <v>1705</v>
          </cell>
          <cell r="F121">
            <v>40424</v>
          </cell>
          <cell r="G121">
            <v>9</v>
          </cell>
        </row>
        <row r="122">
          <cell r="A122" t="str">
            <v>10</v>
          </cell>
          <cell r="B122" t="str">
            <v>75408</v>
          </cell>
          <cell r="C122" t="str">
            <v>Fresno</v>
          </cell>
          <cell r="D122" t="str">
            <v>Riverdale Joint Unified</v>
          </cell>
          <cell r="E122">
            <v>1572</v>
          </cell>
          <cell r="F122">
            <v>31989</v>
          </cell>
          <cell r="G122">
            <v>5</v>
          </cell>
        </row>
        <row r="123">
          <cell r="A123" t="str">
            <v>10</v>
          </cell>
          <cell r="B123" t="str">
            <v>75598</v>
          </cell>
          <cell r="C123" t="str">
            <v>Fresno</v>
          </cell>
          <cell r="D123" t="str">
            <v>Caruthers Unified</v>
          </cell>
          <cell r="E123">
            <v>1416</v>
          </cell>
          <cell r="F123">
            <v>29321</v>
          </cell>
          <cell r="G123">
            <v>4</v>
          </cell>
        </row>
        <row r="124">
          <cell r="A124" t="str">
            <v>11</v>
          </cell>
          <cell r="B124" t="str">
            <v>10116</v>
          </cell>
          <cell r="C124" t="str">
            <v>Glenn</v>
          </cell>
          <cell r="D124" t="str">
            <v>Glenn County Office of Education</v>
          </cell>
          <cell r="E124">
            <v>300</v>
          </cell>
          <cell r="F124">
            <v>12920</v>
          </cell>
          <cell r="G124">
            <v>4</v>
          </cell>
        </row>
        <row r="125">
          <cell r="A125" t="str">
            <v>11</v>
          </cell>
          <cell r="B125" t="str">
            <v>62554</v>
          </cell>
          <cell r="C125" t="str">
            <v>Glenn</v>
          </cell>
          <cell r="D125" t="str">
            <v>Capay Joint Union Elementary</v>
          </cell>
          <cell r="E125">
            <v>146</v>
          </cell>
          <cell r="F125">
            <v>3564</v>
          </cell>
          <cell r="G125">
            <v>1</v>
          </cell>
        </row>
        <row r="126">
          <cell r="A126" t="str">
            <v>11</v>
          </cell>
          <cell r="B126" t="str">
            <v>62570</v>
          </cell>
          <cell r="C126" t="str">
            <v>Glenn</v>
          </cell>
          <cell r="D126" t="str">
            <v>Hamilton Union Elementary</v>
          </cell>
          <cell r="E126">
            <v>472</v>
          </cell>
          <cell r="F126">
            <v>10167</v>
          </cell>
          <cell r="G126">
            <v>2</v>
          </cell>
        </row>
        <row r="127">
          <cell r="A127" t="str">
            <v>11</v>
          </cell>
          <cell r="B127" t="str">
            <v>62588</v>
          </cell>
          <cell r="C127" t="str">
            <v>Glenn</v>
          </cell>
          <cell r="D127" t="str">
            <v>Hamilton Union High</v>
          </cell>
          <cell r="E127">
            <v>327</v>
          </cell>
          <cell r="F127">
            <v>9709</v>
          </cell>
          <cell r="G127">
            <v>3</v>
          </cell>
        </row>
        <row r="128">
          <cell r="A128" t="str">
            <v>11</v>
          </cell>
          <cell r="B128" t="str">
            <v>62596</v>
          </cell>
          <cell r="C128" t="str">
            <v>Glenn</v>
          </cell>
          <cell r="D128" t="str">
            <v>Lake Elementary</v>
          </cell>
          <cell r="E128">
            <v>124</v>
          </cell>
          <cell r="F128">
            <v>3564</v>
          </cell>
          <cell r="G128">
            <v>1</v>
          </cell>
        </row>
        <row r="129">
          <cell r="A129" t="str">
            <v>11</v>
          </cell>
          <cell r="B129" t="str">
            <v>62638</v>
          </cell>
          <cell r="C129" t="str">
            <v>Glenn</v>
          </cell>
          <cell r="D129" t="str">
            <v>Plaza Elementary</v>
          </cell>
          <cell r="E129">
            <v>135</v>
          </cell>
          <cell r="F129">
            <v>3564</v>
          </cell>
          <cell r="G129">
            <v>1</v>
          </cell>
        </row>
        <row r="130">
          <cell r="A130" t="str">
            <v>11</v>
          </cell>
          <cell r="B130" t="str">
            <v>62646</v>
          </cell>
          <cell r="C130" t="str">
            <v>Glenn</v>
          </cell>
          <cell r="D130" t="str">
            <v>Princeton Joint Unified</v>
          </cell>
          <cell r="E130">
            <v>237</v>
          </cell>
          <cell r="F130">
            <v>11584</v>
          </cell>
          <cell r="G130">
            <v>4</v>
          </cell>
        </row>
        <row r="131">
          <cell r="A131" t="str">
            <v>11</v>
          </cell>
          <cell r="B131" t="str">
            <v>62653</v>
          </cell>
          <cell r="C131" t="str">
            <v>Glenn</v>
          </cell>
          <cell r="D131" t="str">
            <v>Stony Creek Joint Unified</v>
          </cell>
          <cell r="E131">
            <v>100</v>
          </cell>
          <cell r="F131">
            <v>16040</v>
          </cell>
          <cell r="G131">
            <v>6</v>
          </cell>
        </row>
        <row r="132">
          <cell r="A132" t="str">
            <v>11</v>
          </cell>
          <cell r="B132" t="str">
            <v>62661</v>
          </cell>
          <cell r="C132" t="str">
            <v>Glenn</v>
          </cell>
          <cell r="D132" t="str">
            <v>Willows Unified</v>
          </cell>
          <cell r="E132">
            <v>1710</v>
          </cell>
          <cell r="F132">
            <v>38519</v>
          </cell>
          <cell r="G132">
            <v>7</v>
          </cell>
        </row>
        <row r="133">
          <cell r="A133" t="str">
            <v>11</v>
          </cell>
          <cell r="B133" t="str">
            <v>75481</v>
          </cell>
          <cell r="C133" t="str">
            <v>Glenn</v>
          </cell>
          <cell r="D133" t="str">
            <v>Orland Joint Unified</v>
          </cell>
          <cell r="E133">
            <v>2246</v>
          </cell>
          <cell r="F133">
            <v>45420</v>
          </cell>
          <cell r="G133">
            <v>7</v>
          </cell>
        </row>
        <row r="134">
          <cell r="A134" t="str">
            <v>12</v>
          </cell>
          <cell r="B134" t="str">
            <v>10124</v>
          </cell>
          <cell r="C134" t="str">
            <v>Humboldt</v>
          </cell>
          <cell r="D134" t="str">
            <v>Humboldt County Office of Education</v>
          </cell>
          <cell r="E134">
            <v>410</v>
          </cell>
          <cell r="F134">
            <v>20940</v>
          </cell>
          <cell r="G134">
            <v>7</v>
          </cell>
        </row>
        <row r="135">
          <cell r="A135" t="str">
            <v>12</v>
          </cell>
          <cell r="B135" t="str">
            <v>62679</v>
          </cell>
          <cell r="C135" t="str">
            <v>Humboldt</v>
          </cell>
          <cell r="D135" t="str">
            <v>Arcata Elementary</v>
          </cell>
          <cell r="E135">
            <v>643</v>
          </cell>
          <cell r="F135">
            <v>12846</v>
          </cell>
          <cell r="G135">
            <v>3</v>
          </cell>
        </row>
        <row r="136">
          <cell r="A136" t="str">
            <v>12</v>
          </cell>
          <cell r="B136" t="str">
            <v>62687</v>
          </cell>
          <cell r="C136" t="str">
            <v>Humboldt</v>
          </cell>
          <cell r="D136" t="str">
            <v>Northern Humboldt Union High</v>
          </cell>
          <cell r="E136">
            <v>1734</v>
          </cell>
          <cell r="F136">
            <v>38744</v>
          </cell>
          <cell r="G136">
            <v>6</v>
          </cell>
        </row>
        <row r="137">
          <cell r="A137" t="str">
            <v>12</v>
          </cell>
          <cell r="B137" t="str">
            <v>62695</v>
          </cell>
          <cell r="C137" t="str">
            <v>Humboldt</v>
          </cell>
          <cell r="D137" t="str">
            <v>Big Lagoon Union Elementary</v>
          </cell>
          <cell r="E137">
            <v>38</v>
          </cell>
          <cell r="F137">
            <v>3564</v>
          </cell>
          <cell r="G137">
            <v>1</v>
          </cell>
        </row>
        <row r="138">
          <cell r="A138" t="str">
            <v>12</v>
          </cell>
          <cell r="B138" t="str">
            <v>62703</v>
          </cell>
          <cell r="C138" t="str">
            <v>Humboldt</v>
          </cell>
          <cell r="D138" t="str">
            <v>Blue Lake Union Elementary</v>
          </cell>
          <cell r="E138">
            <v>157</v>
          </cell>
          <cell r="F138">
            <v>3564</v>
          </cell>
          <cell r="G138">
            <v>1</v>
          </cell>
        </row>
        <row r="139">
          <cell r="A139" t="str">
            <v>12</v>
          </cell>
          <cell r="B139" t="str">
            <v>62729</v>
          </cell>
          <cell r="C139" t="str">
            <v>Humboldt</v>
          </cell>
          <cell r="D139" t="str">
            <v>Bridgeville Elementary</v>
          </cell>
          <cell r="E139">
            <v>38</v>
          </cell>
          <cell r="F139">
            <v>3564</v>
          </cell>
          <cell r="G139">
            <v>1</v>
          </cell>
        </row>
        <row r="140">
          <cell r="A140" t="str">
            <v>12</v>
          </cell>
          <cell r="B140" t="str">
            <v>62737</v>
          </cell>
          <cell r="C140" t="str">
            <v>Humboldt</v>
          </cell>
          <cell r="D140" t="str">
            <v>Cuddeback Union Elementary</v>
          </cell>
          <cell r="E140">
            <v>122</v>
          </cell>
          <cell r="F140">
            <v>3564</v>
          </cell>
          <cell r="G140">
            <v>1</v>
          </cell>
        </row>
        <row r="141">
          <cell r="A141" t="str">
            <v>12</v>
          </cell>
          <cell r="B141" t="str">
            <v>62745</v>
          </cell>
          <cell r="C141" t="str">
            <v>Humboldt</v>
          </cell>
          <cell r="D141" t="str">
            <v>Cutten Elementary</v>
          </cell>
          <cell r="E141">
            <v>552</v>
          </cell>
          <cell r="F141">
            <v>9384</v>
          </cell>
          <cell r="G141">
            <v>2</v>
          </cell>
        </row>
        <row r="142">
          <cell r="A142" t="str">
            <v>12</v>
          </cell>
          <cell r="B142" t="str">
            <v>62794</v>
          </cell>
          <cell r="C142" t="str">
            <v>Humboldt</v>
          </cell>
          <cell r="D142" t="str">
            <v>Fieldbrook Elementary</v>
          </cell>
          <cell r="E142">
            <v>113</v>
          </cell>
          <cell r="F142">
            <v>3564</v>
          </cell>
          <cell r="G142">
            <v>1</v>
          </cell>
        </row>
        <row r="143">
          <cell r="A143" t="str">
            <v>12</v>
          </cell>
          <cell r="B143" t="str">
            <v>62802</v>
          </cell>
          <cell r="C143" t="str">
            <v>Humboldt</v>
          </cell>
          <cell r="D143" t="str">
            <v>Fortuna Union Elementary</v>
          </cell>
          <cell r="E143">
            <v>722</v>
          </cell>
          <cell r="F143">
            <v>12274</v>
          </cell>
          <cell r="G143">
            <v>2</v>
          </cell>
        </row>
        <row r="144">
          <cell r="A144" t="str">
            <v>12</v>
          </cell>
          <cell r="B144" t="str">
            <v>62810</v>
          </cell>
          <cell r="C144" t="str">
            <v>Humboldt</v>
          </cell>
          <cell r="D144" t="str">
            <v>Fortuna Union High</v>
          </cell>
          <cell r="E144">
            <v>1175</v>
          </cell>
          <cell r="F144">
            <v>24266</v>
          </cell>
          <cell r="G144">
            <v>4</v>
          </cell>
        </row>
        <row r="145">
          <cell r="A145" t="str">
            <v>12</v>
          </cell>
          <cell r="B145" t="str">
            <v>62828</v>
          </cell>
          <cell r="C145" t="str">
            <v>Humboldt</v>
          </cell>
          <cell r="D145" t="str">
            <v>Freshwater Elementary</v>
          </cell>
          <cell r="E145">
            <v>329</v>
          </cell>
          <cell r="F145">
            <v>8273</v>
          </cell>
          <cell r="G145">
            <v>2</v>
          </cell>
        </row>
        <row r="146">
          <cell r="A146" t="str">
            <v>12</v>
          </cell>
          <cell r="B146" t="str">
            <v>62836</v>
          </cell>
          <cell r="C146" t="str">
            <v>Humboldt</v>
          </cell>
          <cell r="D146" t="str">
            <v>Garfield Elementary</v>
          </cell>
          <cell r="E146">
            <v>60</v>
          </cell>
          <cell r="F146">
            <v>3564</v>
          </cell>
          <cell r="G146">
            <v>1</v>
          </cell>
        </row>
        <row r="147">
          <cell r="A147" t="str">
            <v>12</v>
          </cell>
          <cell r="B147" t="str">
            <v>62851</v>
          </cell>
          <cell r="C147" t="str">
            <v>Humboldt</v>
          </cell>
          <cell r="D147" t="str">
            <v>Green Point Elementary</v>
          </cell>
          <cell r="E147">
            <v>17</v>
          </cell>
          <cell r="F147">
            <v>2228</v>
          </cell>
          <cell r="G147">
            <v>1</v>
          </cell>
        </row>
        <row r="148">
          <cell r="A148" t="str">
            <v>12</v>
          </cell>
          <cell r="B148" t="str">
            <v>62885</v>
          </cell>
          <cell r="C148" t="str">
            <v>Humboldt</v>
          </cell>
          <cell r="D148" t="str">
            <v>Hydesville Elementary</v>
          </cell>
          <cell r="E148">
            <v>152</v>
          </cell>
          <cell r="F148">
            <v>3564</v>
          </cell>
          <cell r="G148">
            <v>1</v>
          </cell>
        </row>
        <row r="149">
          <cell r="A149" t="str">
            <v>12</v>
          </cell>
          <cell r="B149" t="str">
            <v>62893</v>
          </cell>
          <cell r="C149" t="str">
            <v>Humboldt</v>
          </cell>
          <cell r="D149" t="str">
            <v>Jacoby Creek Elementary</v>
          </cell>
          <cell r="E149">
            <v>394</v>
          </cell>
          <cell r="F149">
            <v>6698</v>
          </cell>
          <cell r="G149">
            <v>1</v>
          </cell>
        </row>
        <row r="150">
          <cell r="A150" t="str">
            <v>12</v>
          </cell>
          <cell r="B150" t="str">
            <v>62901</v>
          </cell>
          <cell r="C150" t="str">
            <v>Humboldt</v>
          </cell>
          <cell r="D150" t="str">
            <v>Klamath-Trinity Joint Unified</v>
          </cell>
          <cell r="E150">
            <v>1054</v>
          </cell>
          <cell r="F150">
            <v>30652</v>
          </cell>
          <cell r="G150">
            <v>8</v>
          </cell>
        </row>
        <row r="151">
          <cell r="A151" t="str">
            <v>12</v>
          </cell>
          <cell r="B151" t="str">
            <v>62919</v>
          </cell>
          <cell r="C151" t="str">
            <v>Humboldt</v>
          </cell>
          <cell r="D151" t="str">
            <v>Kneeland Elementary</v>
          </cell>
          <cell r="E151">
            <v>25</v>
          </cell>
          <cell r="F151">
            <v>3564</v>
          </cell>
          <cell r="G151">
            <v>1</v>
          </cell>
        </row>
        <row r="152">
          <cell r="A152" t="str">
            <v>12</v>
          </cell>
          <cell r="B152" t="str">
            <v>62927</v>
          </cell>
          <cell r="C152" t="str">
            <v>Humboldt</v>
          </cell>
          <cell r="D152" t="str">
            <v>Loleta Union Elementary</v>
          </cell>
          <cell r="E152">
            <v>124</v>
          </cell>
          <cell r="F152">
            <v>3564</v>
          </cell>
          <cell r="G152">
            <v>1</v>
          </cell>
        </row>
        <row r="153">
          <cell r="A153" t="str">
            <v>12</v>
          </cell>
          <cell r="B153" t="str">
            <v>62935</v>
          </cell>
          <cell r="C153" t="str">
            <v>Humboldt</v>
          </cell>
          <cell r="D153" t="str">
            <v>Maple Creek Elementary</v>
          </cell>
          <cell r="E153">
            <v>11</v>
          </cell>
          <cell r="F153">
            <v>2228</v>
          </cell>
          <cell r="G153">
            <v>1</v>
          </cell>
        </row>
        <row r="154">
          <cell r="A154" t="str">
            <v>12</v>
          </cell>
          <cell r="B154" t="str">
            <v>62950</v>
          </cell>
          <cell r="C154" t="str">
            <v>Humboldt</v>
          </cell>
          <cell r="D154" t="str">
            <v>McKinleyville Union Elementary</v>
          </cell>
          <cell r="E154">
            <v>1165</v>
          </cell>
          <cell r="F154">
            <v>19805</v>
          </cell>
          <cell r="G154">
            <v>3</v>
          </cell>
        </row>
        <row r="155">
          <cell r="A155" t="str">
            <v>12</v>
          </cell>
          <cell r="B155" t="str">
            <v>62968</v>
          </cell>
          <cell r="C155" t="str">
            <v>Humboldt</v>
          </cell>
          <cell r="D155" t="str">
            <v>Orick Elementary</v>
          </cell>
          <cell r="E155">
            <v>24</v>
          </cell>
          <cell r="F155">
            <v>3564</v>
          </cell>
          <cell r="G155">
            <v>1</v>
          </cell>
        </row>
        <row r="156">
          <cell r="A156" t="str">
            <v>12</v>
          </cell>
          <cell r="B156" t="str">
            <v>62976</v>
          </cell>
          <cell r="C156" t="str">
            <v>Humboldt</v>
          </cell>
          <cell r="D156" t="str">
            <v>Pacific Union Elementary</v>
          </cell>
          <cell r="E156">
            <v>525</v>
          </cell>
          <cell r="F156">
            <v>11911</v>
          </cell>
          <cell r="G156">
            <v>2</v>
          </cell>
        </row>
        <row r="157">
          <cell r="A157" t="str">
            <v>12</v>
          </cell>
          <cell r="B157" t="str">
            <v>62984</v>
          </cell>
          <cell r="C157" t="str">
            <v>Humboldt</v>
          </cell>
          <cell r="D157" t="str">
            <v>Peninsula Union</v>
          </cell>
          <cell r="E157">
            <v>22</v>
          </cell>
          <cell r="F157">
            <v>3564</v>
          </cell>
          <cell r="G157">
            <v>1</v>
          </cell>
        </row>
        <row r="158">
          <cell r="A158" t="str">
            <v>12</v>
          </cell>
          <cell r="B158" t="str">
            <v>63008</v>
          </cell>
          <cell r="C158" t="str">
            <v>Humboldt</v>
          </cell>
          <cell r="D158" t="str">
            <v>Rio Dell Elementary</v>
          </cell>
          <cell r="E158">
            <v>287</v>
          </cell>
          <cell r="F158">
            <v>7128</v>
          </cell>
          <cell r="G158">
            <v>2</v>
          </cell>
        </row>
        <row r="159">
          <cell r="A159" t="str">
            <v>12</v>
          </cell>
          <cell r="B159" t="str">
            <v>63016</v>
          </cell>
          <cell r="C159" t="str">
            <v>Humboldt</v>
          </cell>
          <cell r="D159" t="str">
            <v>Rohnerville Elementary</v>
          </cell>
          <cell r="E159">
            <v>675</v>
          </cell>
          <cell r="F159">
            <v>11475</v>
          </cell>
          <cell r="G159">
            <v>2</v>
          </cell>
        </row>
        <row r="160">
          <cell r="A160" t="str">
            <v>12</v>
          </cell>
          <cell r="B160" t="str">
            <v>63024</v>
          </cell>
          <cell r="C160" t="str">
            <v>Humboldt</v>
          </cell>
          <cell r="D160" t="str">
            <v>Scotia Union Elementary</v>
          </cell>
          <cell r="E160">
            <v>201</v>
          </cell>
          <cell r="F160">
            <v>3564</v>
          </cell>
          <cell r="G160">
            <v>1</v>
          </cell>
        </row>
        <row r="161">
          <cell r="A161" t="str">
            <v>12</v>
          </cell>
          <cell r="B161" t="str">
            <v>63032</v>
          </cell>
          <cell r="C161" t="str">
            <v>Humboldt</v>
          </cell>
          <cell r="D161" t="str">
            <v>South Bay Union Elementary</v>
          </cell>
          <cell r="E161">
            <v>408</v>
          </cell>
          <cell r="F161">
            <v>7984</v>
          </cell>
          <cell r="G161">
            <v>2</v>
          </cell>
        </row>
        <row r="162">
          <cell r="A162" t="str">
            <v>12</v>
          </cell>
          <cell r="B162" t="str">
            <v>63040</v>
          </cell>
          <cell r="C162" t="str">
            <v>Humboldt</v>
          </cell>
          <cell r="D162" t="str">
            <v>Southern Humboldt Joint Unified</v>
          </cell>
          <cell r="E162">
            <v>802</v>
          </cell>
          <cell r="F162">
            <v>28419</v>
          </cell>
          <cell r="G162">
            <v>8</v>
          </cell>
        </row>
        <row r="163">
          <cell r="A163" t="str">
            <v>12</v>
          </cell>
          <cell r="B163" t="str">
            <v>63057</v>
          </cell>
          <cell r="C163" t="str">
            <v>Humboldt</v>
          </cell>
          <cell r="D163" t="str">
            <v>Trinidad Union Elementary</v>
          </cell>
          <cell r="E163">
            <v>153</v>
          </cell>
          <cell r="F163">
            <v>3564</v>
          </cell>
          <cell r="G163">
            <v>1</v>
          </cell>
        </row>
        <row r="164">
          <cell r="A164" t="str">
            <v>12</v>
          </cell>
          <cell r="B164" t="str">
            <v>75374</v>
          </cell>
          <cell r="C164" t="str">
            <v>Humboldt</v>
          </cell>
          <cell r="D164" t="str">
            <v>Ferndale Unified</v>
          </cell>
          <cell r="E164">
            <v>487</v>
          </cell>
          <cell r="F164">
            <v>9072</v>
          </cell>
          <cell r="G164">
            <v>2</v>
          </cell>
        </row>
        <row r="165">
          <cell r="A165" t="str">
            <v>12</v>
          </cell>
          <cell r="B165" t="str">
            <v>75382</v>
          </cell>
          <cell r="C165" t="str">
            <v>Humboldt</v>
          </cell>
          <cell r="D165" t="str">
            <v>Mattole Unified</v>
          </cell>
          <cell r="E165">
            <v>880</v>
          </cell>
          <cell r="F165">
            <v>22148</v>
          </cell>
          <cell r="G165">
            <v>4</v>
          </cell>
        </row>
        <row r="166">
          <cell r="A166" t="str">
            <v>12</v>
          </cell>
          <cell r="B166" t="str">
            <v>75515</v>
          </cell>
          <cell r="C166" t="str">
            <v>Humboldt</v>
          </cell>
          <cell r="D166" t="str">
            <v>Eureka City Unified</v>
          </cell>
          <cell r="E166">
            <v>4149</v>
          </cell>
          <cell r="F166">
            <v>75606</v>
          </cell>
          <cell r="G166">
            <v>9</v>
          </cell>
        </row>
        <row r="167">
          <cell r="A167" t="str">
            <v>13</v>
          </cell>
          <cell r="B167" t="str">
            <v>10132</v>
          </cell>
          <cell r="C167" t="str">
            <v>Imperial</v>
          </cell>
          <cell r="D167" t="str">
            <v>Imperial County Office of Education</v>
          </cell>
          <cell r="E167">
            <v>688</v>
          </cell>
          <cell r="F167">
            <v>11696</v>
          </cell>
          <cell r="G167">
            <v>2</v>
          </cell>
        </row>
        <row r="168">
          <cell r="A168" t="str">
            <v>13</v>
          </cell>
          <cell r="B168" t="str">
            <v>63073</v>
          </cell>
          <cell r="C168" t="str">
            <v>Imperial</v>
          </cell>
          <cell r="D168" t="str">
            <v>Brawley Elementary</v>
          </cell>
          <cell r="E168">
            <v>3680</v>
          </cell>
          <cell r="F168">
            <v>62562</v>
          </cell>
          <cell r="G168">
            <v>5</v>
          </cell>
        </row>
        <row r="169">
          <cell r="A169" t="str">
            <v>13</v>
          </cell>
          <cell r="B169" t="str">
            <v>63081</v>
          </cell>
          <cell r="C169" t="str">
            <v>Imperial</v>
          </cell>
          <cell r="D169" t="str">
            <v>Brawley Union High</v>
          </cell>
          <cell r="E169">
            <v>1952</v>
          </cell>
          <cell r="F169">
            <v>35526</v>
          </cell>
          <cell r="G169">
            <v>3</v>
          </cell>
        </row>
        <row r="170">
          <cell r="A170" t="str">
            <v>13</v>
          </cell>
          <cell r="B170" t="str">
            <v>63099</v>
          </cell>
          <cell r="C170" t="str">
            <v>Imperial</v>
          </cell>
          <cell r="D170" t="str">
            <v>Calexico Unified</v>
          </cell>
          <cell r="E170">
            <v>9255</v>
          </cell>
          <cell r="F170">
            <v>159397</v>
          </cell>
          <cell r="G170">
            <v>13</v>
          </cell>
        </row>
        <row r="171">
          <cell r="A171" t="str">
            <v>13</v>
          </cell>
          <cell r="B171" t="str">
            <v>63107</v>
          </cell>
          <cell r="C171" t="str">
            <v>Imperial</v>
          </cell>
          <cell r="D171" t="str">
            <v>Calipatria Unified</v>
          </cell>
          <cell r="E171">
            <v>1190</v>
          </cell>
          <cell r="F171">
            <v>21805</v>
          </cell>
          <cell r="G171">
            <v>4</v>
          </cell>
        </row>
        <row r="172">
          <cell r="A172" t="str">
            <v>13</v>
          </cell>
          <cell r="B172" t="str">
            <v>63115</v>
          </cell>
          <cell r="C172" t="str">
            <v>Imperial</v>
          </cell>
          <cell r="D172" t="str">
            <v>Central Union High</v>
          </cell>
          <cell r="E172">
            <v>4156</v>
          </cell>
          <cell r="F172">
            <v>71209</v>
          </cell>
          <cell r="G172">
            <v>3</v>
          </cell>
        </row>
        <row r="173">
          <cell r="A173" t="str">
            <v>13</v>
          </cell>
          <cell r="B173" t="str">
            <v>63123</v>
          </cell>
          <cell r="C173" t="str">
            <v>Imperial</v>
          </cell>
          <cell r="D173" t="str">
            <v>El Centro Elementary</v>
          </cell>
          <cell r="E173">
            <v>5644</v>
          </cell>
          <cell r="F173">
            <v>95949</v>
          </cell>
          <cell r="G173">
            <v>11</v>
          </cell>
        </row>
        <row r="174">
          <cell r="A174" t="str">
            <v>13</v>
          </cell>
          <cell r="B174" t="str">
            <v>63131</v>
          </cell>
          <cell r="C174" t="str">
            <v>Imperial</v>
          </cell>
          <cell r="D174" t="str">
            <v>Heber Elementary</v>
          </cell>
          <cell r="E174">
            <v>1037</v>
          </cell>
          <cell r="F174">
            <v>17630</v>
          </cell>
          <cell r="G174">
            <v>1</v>
          </cell>
        </row>
        <row r="175">
          <cell r="A175" t="str">
            <v>13</v>
          </cell>
          <cell r="B175" t="str">
            <v>63149</v>
          </cell>
          <cell r="C175" t="str">
            <v>Imperial</v>
          </cell>
          <cell r="D175" t="str">
            <v>Holtville Unified</v>
          </cell>
          <cell r="E175">
            <v>1701</v>
          </cell>
          <cell r="F175">
            <v>32543</v>
          </cell>
          <cell r="G175">
            <v>5</v>
          </cell>
        </row>
        <row r="176">
          <cell r="A176" t="str">
            <v>13</v>
          </cell>
          <cell r="B176" t="str">
            <v>63164</v>
          </cell>
          <cell r="C176" t="str">
            <v>Imperial</v>
          </cell>
          <cell r="D176" t="str">
            <v>Imperial Unified</v>
          </cell>
          <cell r="E176">
            <v>3602</v>
          </cell>
          <cell r="F176">
            <v>66291</v>
          </cell>
          <cell r="G176">
            <v>6</v>
          </cell>
        </row>
        <row r="177">
          <cell r="A177" t="str">
            <v>13</v>
          </cell>
          <cell r="B177" t="str">
            <v>63172</v>
          </cell>
          <cell r="C177" t="str">
            <v>Imperial</v>
          </cell>
          <cell r="D177" t="str">
            <v>Magnolia Union Elementary</v>
          </cell>
          <cell r="E177">
            <v>118</v>
          </cell>
          <cell r="F177">
            <v>3564</v>
          </cell>
          <cell r="G177">
            <v>1</v>
          </cell>
        </row>
        <row r="178">
          <cell r="A178" t="str">
            <v>13</v>
          </cell>
          <cell r="B178" t="str">
            <v>63180</v>
          </cell>
          <cell r="C178" t="str">
            <v>Imperial</v>
          </cell>
          <cell r="D178" t="str">
            <v>McCabe Union Elementary</v>
          </cell>
          <cell r="E178">
            <v>1126</v>
          </cell>
          <cell r="F178">
            <v>19143</v>
          </cell>
          <cell r="G178">
            <v>1</v>
          </cell>
        </row>
        <row r="179">
          <cell r="A179" t="str">
            <v>13</v>
          </cell>
          <cell r="B179" t="str">
            <v>63198</v>
          </cell>
          <cell r="C179" t="str">
            <v>Imperial</v>
          </cell>
          <cell r="D179" t="str">
            <v>Meadows Union Elementary</v>
          </cell>
          <cell r="E179">
            <v>483</v>
          </cell>
          <cell r="F179">
            <v>8211</v>
          </cell>
          <cell r="G179">
            <v>1</v>
          </cell>
        </row>
        <row r="180">
          <cell r="A180" t="str">
            <v>13</v>
          </cell>
          <cell r="B180" t="str">
            <v>63206</v>
          </cell>
          <cell r="C180" t="str">
            <v>Imperial</v>
          </cell>
          <cell r="D180" t="str">
            <v>Mulberry Elementary</v>
          </cell>
          <cell r="E180">
            <v>73</v>
          </cell>
          <cell r="F180">
            <v>3564</v>
          </cell>
          <cell r="G180">
            <v>1</v>
          </cell>
        </row>
        <row r="181">
          <cell r="A181" t="str">
            <v>13</v>
          </cell>
          <cell r="B181" t="str">
            <v>63214</v>
          </cell>
          <cell r="C181" t="str">
            <v>Imperial</v>
          </cell>
          <cell r="D181" t="str">
            <v>San Pasqual Valley Unified</v>
          </cell>
          <cell r="E181">
            <v>746</v>
          </cell>
          <cell r="F181">
            <v>16071</v>
          </cell>
          <cell r="G181">
            <v>4</v>
          </cell>
        </row>
        <row r="182">
          <cell r="A182" t="str">
            <v>13</v>
          </cell>
          <cell r="B182" t="str">
            <v>63222</v>
          </cell>
          <cell r="C182" t="str">
            <v>Imperial</v>
          </cell>
          <cell r="D182" t="str">
            <v>Seeley Union Elementary</v>
          </cell>
          <cell r="E182">
            <v>436</v>
          </cell>
          <cell r="F182">
            <v>7412</v>
          </cell>
          <cell r="G182">
            <v>1</v>
          </cell>
        </row>
        <row r="183">
          <cell r="A183" t="str">
            <v>13</v>
          </cell>
          <cell r="B183" t="str">
            <v>63230</v>
          </cell>
          <cell r="C183" t="str">
            <v>Imperial</v>
          </cell>
          <cell r="D183" t="str">
            <v>Westmorland Union Elementary</v>
          </cell>
          <cell r="E183">
            <v>364</v>
          </cell>
          <cell r="F183">
            <v>6188</v>
          </cell>
          <cell r="G183">
            <v>1</v>
          </cell>
        </row>
        <row r="184">
          <cell r="A184" t="str">
            <v>14</v>
          </cell>
          <cell r="B184" t="str">
            <v>10140</v>
          </cell>
          <cell r="C184" t="str">
            <v>Inyo</v>
          </cell>
          <cell r="D184" t="str">
            <v>Inyo County Office of Education</v>
          </cell>
          <cell r="E184">
            <v>264</v>
          </cell>
          <cell r="F184">
            <v>11743</v>
          </cell>
          <cell r="G184">
            <v>4</v>
          </cell>
        </row>
        <row r="185">
          <cell r="A185" t="str">
            <v>14</v>
          </cell>
          <cell r="B185" t="str">
            <v>63248</v>
          </cell>
          <cell r="C185" t="str">
            <v>Inyo</v>
          </cell>
          <cell r="D185" t="str">
            <v>Big Pine Unified</v>
          </cell>
          <cell r="E185">
            <v>195</v>
          </cell>
          <cell r="F185">
            <v>9356</v>
          </cell>
          <cell r="G185">
            <v>3</v>
          </cell>
        </row>
        <row r="186">
          <cell r="A186" t="str">
            <v>14</v>
          </cell>
          <cell r="B186" t="str">
            <v>63255</v>
          </cell>
          <cell r="C186" t="str">
            <v>Inyo</v>
          </cell>
          <cell r="D186" t="str">
            <v>Bishop Union Elementary</v>
          </cell>
          <cell r="E186">
            <v>1250</v>
          </cell>
          <cell r="F186">
            <v>25587</v>
          </cell>
          <cell r="G186">
            <v>5</v>
          </cell>
        </row>
        <row r="187">
          <cell r="A187" t="str">
            <v>14</v>
          </cell>
          <cell r="B187" t="str">
            <v>63263</v>
          </cell>
          <cell r="C187" t="str">
            <v>Inyo</v>
          </cell>
          <cell r="D187" t="str">
            <v>Bishop Joint Union High</v>
          </cell>
          <cell r="E187">
            <v>702</v>
          </cell>
          <cell r="F187">
            <v>14512</v>
          </cell>
          <cell r="G187">
            <v>2</v>
          </cell>
        </row>
        <row r="188">
          <cell r="A188" t="str">
            <v>14</v>
          </cell>
          <cell r="B188" t="str">
            <v>63271</v>
          </cell>
          <cell r="C188" t="str">
            <v>Inyo</v>
          </cell>
          <cell r="D188" t="str">
            <v>Death Valley Unified</v>
          </cell>
          <cell r="E188">
            <v>77</v>
          </cell>
          <cell r="F188">
            <v>13812</v>
          </cell>
          <cell r="G188">
            <v>5</v>
          </cell>
        </row>
        <row r="189">
          <cell r="A189" t="str">
            <v>14</v>
          </cell>
          <cell r="B189" t="str">
            <v>63289</v>
          </cell>
          <cell r="C189" t="str">
            <v>Inyo</v>
          </cell>
          <cell r="D189" t="str">
            <v>Lone Pine Unified</v>
          </cell>
          <cell r="E189">
            <v>396</v>
          </cell>
          <cell r="F189">
            <v>10093</v>
          </cell>
          <cell r="G189">
            <v>3</v>
          </cell>
        </row>
        <row r="190">
          <cell r="A190" t="str">
            <v>14</v>
          </cell>
          <cell r="B190" t="str">
            <v>63297</v>
          </cell>
          <cell r="C190" t="str">
            <v>Inyo</v>
          </cell>
          <cell r="D190" t="str">
            <v>Owens Valley Unified</v>
          </cell>
          <cell r="E190">
            <v>60</v>
          </cell>
          <cell r="F190">
            <v>9356</v>
          </cell>
          <cell r="G190">
            <v>3</v>
          </cell>
        </row>
        <row r="191">
          <cell r="A191" t="str">
            <v>14</v>
          </cell>
          <cell r="B191" t="str">
            <v>63305</v>
          </cell>
          <cell r="C191" t="str">
            <v>Inyo</v>
          </cell>
          <cell r="D191" t="str">
            <v>Round Valley Joint Elementary</v>
          </cell>
          <cell r="E191">
            <v>117</v>
          </cell>
          <cell r="F191">
            <v>3564</v>
          </cell>
          <cell r="G191">
            <v>1</v>
          </cell>
        </row>
        <row r="192">
          <cell r="A192" t="str">
            <v>15</v>
          </cell>
          <cell r="B192" t="str">
            <v>10157</v>
          </cell>
          <cell r="C192" t="str">
            <v>Kern</v>
          </cell>
          <cell r="D192" t="str">
            <v>Kern County Office of Education</v>
          </cell>
          <cell r="E192">
            <v>3570</v>
          </cell>
          <cell r="F192">
            <v>60692</v>
          </cell>
          <cell r="G192">
            <v>4</v>
          </cell>
        </row>
        <row r="193">
          <cell r="A193" t="str">
            <v>15</v>
          </cell>
          <cell r="B193" t="str">
            <v>63313</v>
          </cell>
          <cell r="C193" t="str">
            <v>Kern</v>
          </cell>
          <cell r="D193" t="str">
            <v>Arvin Union Elementary</v>
          </cell>
          <cell r="E193">
            <v>3362</v>
          </cell>
          <cell r="F193">
            <v>57157</v>
          </cell>
          <cell r="G193">
            <v>4</v>
          </cell>
        </row>
        <row r="194">
          <cell r="A194" t="str">
            <v>15</v>
          </cell>
          <cell r="B194" t="str">
            <v>63321</v>
          </cell>
          <cell r="C194" t="str">
            <v>Kern</v>
          </cell>
          <cell r="D194" t="str">
            <v>Bakersfield City</v>
          </cell>
          <cell r="E194">
            <v>27263</v>
          </cell>
          <cell r="F194">
            <v>466320</v>
          </cell>
          <cell r="G194">
            <v>41</v>
          </cell>
        </row>
        <row r="195">
          <cell r="A195" t="str">
            <v>15</v>
          </cell>
          <cell r="B195" t="str">
            <v>63339</v>
          </cell>
          <cell r="C195" t="str">
            <v>Kern</v>
          </cell>
          <cell r="D195" t="str">
            <v>Beardsley Elementary</v>
          </cell>
          <cell r="E195">
            <v>1738</v>
          </cell>
          <cell r="F195">
            <v>29546</v>
          </cell>
          <cell r="G195">
            <v>4</v>
          </cell>
        </row>
        <row r="196">
          <cell r="A196" t="str">
            <v>15</v>
          </cell>
          <cell r="B196" t="str">
            <v>63347</v>
          </cell>
          <cell r="C196" t="str">
            <v>Kern</v>
          </cell>
          <cell r="D196" t="str">
            <v>Belridge Elementary</v>
          </cell>
          <cell r="E196">
            <v>35</v>
          </cell>
          <cell r="F196">
            <v>3564</v>
          </cell>
          <cell r="G196">
            <v>1</v>
          </cell>
        </row>
        <row r="197">
          <cell r="A197" t="str">
            <v>15</v>
          </cell>
          <cell r="B197" t="str">
            <v>63354</v>
          </cell>
          <cell r="C197" t="str">
            <v>Kern</v>
          </cell>
          <cell r="D197" t="str">
            <v>Blake Elementary</v>
          </cell>
          <cell r="E197">
            <v>6</v>
          </cell>
          <cell r="F197">
            <v>2228</v>
          </cell>
          <cell r="G197">
            <v>1</v>
          </cell>
        </row>
        <row r="198">
          <cell r="A198" t="str">
            <v>15</v>
          </cell>
          <cell r="B198" t="str">
            <v>63362</v>
          </cell>
          <cell r="C198" t="str">
            <v>Kern</v>
          </cell>
          <cell r="D198" t="str">
            <v>Panama-Buena Vista Union</v>
          </cell>
          <cell r="E198">
            <v>16385</v>
          </cell>
          <cell r="F198">
            <v>278558</v>
          </cell>
          <cell r="G198">
            <v>22</v>
          </cell>
        </row>
        <row r="199">
          <cell r="A199" t="str">
            <v>15</v>
          </cell>
          <cell r="B199" t="str">
            <v>63370</v>
          </cell>
          <cell r="C199" t="str">
            <v>Kern</v>
          </cell>
          <cell r="D199" t="str">
            <v>Buttonwillow Union Elementary</v>
          </cell>
          <cell r="E199">
            <v>386</v>
          </cell>
          <cell r="F199">
            <v>6562</v>
          </cell>
          <cell r="G199">
            <v>1</v>
          </cell>
        </row>
        <row r="200">
          <cell r="A200" t="str">
            <v>15</v>
          </cell>
          <cell r="B200" t="str">
            <v>63388</v>
          </cell>
          <cell r="C200" t="str">
            <v>Kern</v>
          </cell>
          <cell r="D200" t="str">
            <v>Caliente Union Elementary</v>
          </cell>
          <cell r="E200">
            <v>103</v>
          </cell>
          <cell r="F200">
            <v>5792</v>
          </cell>
          <cell r="G200">
            <v>2</v>
          </cell>
        </row>
        <row r="201">
          <cell r="A201" t="str">
            <v>15</v>
          </cell>
          <cell r="B201" t="str">
            <v>63404</v>
          </cell>
          <cell r="C201" t="str">
            <v>Kern</v>
          </cell>
          <cell r="D201" t="str">
            <v>Delano Union Elementary</v>
          </cell>
          <cell r="E201">
            <v>7716</v>
          </cell>
          <cell r="F201">
            <v>131175</v>
          </cell>
          <cell r="G201">
            <v>11</v>
          </cell>
        </row>
        <row r="202">
          <cell r="A202" t="str">
            <v>15</v>
          </cell>
          <cell r="B202" t="str">
            <v>63412</v>
          </cell>
          <cell r="C202" t="str">
            <v>Kern</v>
          </cell>
          <cell r="D202" t="str">
            <v>Delano Joint Union High</v>
          </cell>
          <cell r="E202">
            <v>4634</v>
          </cell>
          <cell r="F202">
            <v>80338</v>
          </cell>
          <cell r="G202">
            <v>5</v>
          </cell>
        </row>
        <row r="203">
          <cell r="A203" t="str">
            <v>15</v>
          </cell>
          <cell r="B203" t="str">
            <v>63420</v>
          </cell>
          <cell r="C203" t="str">
            <v>Kern</v>
          </cell>
          <cell r="D203" t="str">
            <v>Di Giorgio Elementary</v>
          </cell>
          <cell r="E203">
            <v>210</v>
          </cell>
          <cell r="F203">
            <v>3570</v>
          </cell>
          <cell r="G203">
            <v>1</v>
          </cell>
        </row>
        <row r="204">
          <cell r="A204" t="str">
            <v>15</v>
          </cell>
          <cell r="B204" t="str">
            <v>63438</v>
          </cell>
          <cell r="C204" t="str">
            <v>Kern</v>
          </cell>
          <cell r="D204" t="str">
            <v>Edison Elementary</v>
          </cell>
          <cell r="E204">
            <v>1112</v>
          </cell>
          <cell r="F204">
            <v>18904</v>
          </cell>
          <cell r="G204">
            <v>2</v>
          </cell>
        </row>
        <row r="205">
          <cell r="A205" t="str">
            <v>15</v>
          </cell>
          <cell r="B205" t="str">
            <v>63446</v>
          </cell>
          <cell r="C205" t="str">
            <v>Kern</v>
          </cell>
          <cell r="D205" t="str">
            <v>Elk Hills Elementary</v>
          </cell>
          <cell r="E205">
            <v>72</v>
          </cell>
          <cell r="F205">
            <v>3564</v>
          </cell>
          <cell r="G205">
            <v>1</v>
          </cell>
        </row>
        <row r="206">
          <cell r="A206" t="str">
            <v>15</v>
          </cell>
          <cell r="B206" t="str">
            <v>63461</v>
          </cell>
          <cell r="C206" t="str">
            <v>Kern</v>
          </cell>
          <cell r="D206" t="str">
            <v>Fairfax Elementary</v>
          </cell>
          <cell r="E206">
            <v>2122</v>
          </cell>
          <cell r="F206">
            <v>36074</v>
          </cell>
          <cell r="G206">
            <v>3</v>
          </cell>
        </row>
        <row r="207">
          <cell r="A207" t="str">
            <v>15</v>
          </cell>
          <cell r="B207" t="str">
            <v>63479</v>
          </cell>
          <cell r="C207" t="str">
            <v>Kern</v>
          </cell>
          <cell r="D207" t="str">
            <v>Fruitvale Elementary</v>
          </cell>
          <cell r="E207">
            <v>3237</v>
          </cell>
          <cell r="F207">
            <v>55031</v>
          </cell>
          <cell r="G207">
            <v>5</v>
          </cell>
        </row>
        <row r="208">
          <cell r="A208" t="str">
            <v>15</v>
          </cell>
          <cell r="B208" t="str">
            <v>63487</v>
          </cell>
          <cell r="C208" t="str">
            <v>Kern</v>
          </cell>
          <cell r="D208" t="str">
            <v>General Shafter Elementary</v>
          </cell>
          <cell r="E208">
            <v>188</v>
          </cell>
          <cell r="F208">
            <v>3564</v>
          </cell>
          <cell r="G208">
            <v>1</v>
          </cell>
        </row>
        <row r="209">
          <cell r="A209" t="str">
            <v>15</v>
          </cell>
          <cell r="B209" t="str">
            <v>63503</v>
          </cell>
          <cell r="C209" t="str">
            <v>Kern</v>
          </cell>
          <cell r="D209" t="str">
            <v>Greenfield Union</v>
          </cell>
          <cell r="E209">
            <v>8411</v>
          </cell>
          <cell r="F209">
            <v>142993</v>
          </cell>
          <cell r="G209">
            <v>11</v>
          </cell>
        </row>
        <row r="210">
          <cell r="A210" t="str">
            <v>15</v>
          </cell>
          <cell r="B210" t="str">
            <v>63529</v>
          </cell>
          <cell r="C210" t="str">
            <v>Kern</v>
          </cell>
          <cell r="D210" t="str">
            <v>Kern Union High</v>
          </cell>
          <cell r="E210">
            <v>37783</v>
          </cell>
          <cell r="F210">
            <v>649729</v>
          </cell>
          <cell r="G210">
            <v>24</v>
          </cell>
        </row>
        <row r="211">
          <cell r="A211" t="str">
            <v>15</v>
          </cell>
          <cell r="B211" t="str">
            <v>63545</v>
          </cell>
          <cell r="C211" t="str">
            <v>Kern</v>
          </cell>
          <cell r="D211" t="str">
            <v>Kernville Union Elementary</v>
          </cell>
          <cell r="E211">
            <v>878</v>
          </cell>
          <cell r="F211">
            <v>17811</v>
          </cell>
          <cell r="G211">
            <v>3</v>
          </cell>
        </row>
        <row r="212">
          <cell r="A212" t="str">
            <v>15</v>
          </cell>
          <cell r="B212" t="str">
            <v>63552</v>
          </cell>
          <cell r="C212" t="str">
            <v>Kern</v>
          </cell>
          <cell r="D212" t="str">
            <v>Lakeside Union</v>
          </cell>
          <cell r="E212">
            <v>1345</v>
          </cell>
          <cell r="F212">
            <v>22866</v>
          </cell>
          <cell r="G212">
            <v>2</v>
          </cell>
        </row>
        <row r="213">
          <cell r="A213" t="str">
            <v>15</v>
          </cell>
          <cell r="B213" t="str">
            <v>63560</v>
          </cell>
          <cell r="C213" t="str">
            <v>Kern</v>
          </cell>
          <cell r="D213" t="str">
            <v>Lamont Elementary</v>
          </cell>
          <cell r="E213">
            <v>2626</v>
          </cell>
          <cell r="F213">
            <v>44643</v>
          </cell>
          <cell r="G213">
            <v>4</v>
          </cell>
        </row>
        <row r="214">
          <cell r="A214" t="str">
            <v>15</v>
          </cell>
          <cell r="B214" t="str">
            <v>63578</v>
          </cell>
          <cell r="C214" t="str">
            <v>Kern</v>
          </cell>
          <cell r="D214" t="str">
            <v>Richland Union Elementary</v>
          </cell>
          <cell r="E214">
            <v>3124</v>
          </cell>
          <cell r="F214">
            <v>53110</v>
          </cell>
          <cell r="G214">
            <v>4</v>
          </cell>
        </row>
        <row r="215">
          <cell r="A215" t="str">
            <v>15</v>
          </cell>
          <cell r="B215" t="str">
            <v>63586</v>
          </cell>
          <cell r="C215" t="str">
            <v>Kern</v>
          </cell>
          <cell r="D215" t="str">
            <v>Linns Valley-Poso Flat Union</v>
          </cell>
          <cell r="E215">
            <v>20</v>
          </cell>
          <cell r="F215">
            <v>2228</v>
          </cell>
          <cell r="G215">
            <v>1</v>
          </cell>
        </row>
        <row r="216">
          <cell r="A216" t="str">
            <v>15</v>
          </cell>
          <cell r="B216" t="str">
            <v>63594</v>
          </cell>
          <cell r="C216" t="str">
            <v>Kern</v>
          </cell>
          <cell r="D216" t="str">
            <v>Lost Hills Union Elementary</v>
          </cell>
          <cell r="E216">
            <v>598</v>
          </cell>
          <cell r="F216">
            <v>10721</v>
          </cell>
          <cell r="G216">
            <v>2</v>
          </cell>
        </row>
        <row r="217">
          <cell r="A217" t="str">
            <v>15</v>
          </cell>
          <cell r="B217" t="str">
            <v>63610</v>
          </cell>
          <cell r="C217" t="str">
            <v>Kern</v>
          </cell>
          <cell r="D217" t="str">
            <v>Maple Elementary</v>
          </cell>
          <cell r="E217">
            <v>274</v>
          </cell>
          <cell r="F217">
            <v>4658</v>
          </cell>
          <cell r="G217">
            <v>1</v>
          </cell>
        </row>
        <row r="218">
          <cell r="A218" t="str">
            <v>15</v>
          </cell>
          <cell r="B218" t="str">
            <v>63628</v>
          </cell>
          <cell r="C218" t="str">
            <v>Kern</v>
          </cell>
          <cell r="D218" t="str">
            <v>Maricopa Unified</v>
          </cell>
          <cell r="E218">
            <v>305</v>
          </cell>
          <cell r="F218">
            <v>7128</v>
          </cell>
          <cell r="G218">
            <v>2</v>
          </cell>
        </row>
        <row r="219">
          <cell r="A219" t="str">
            <v>15</v>
          </cell>
          <cell r="B219" t="str">
            <v>63651</v>
          </cell>
          <cell r="C219" t="str">
            <v>Kern</v>
          </cell>
          <cell r="D219" t="str">
            <v>McKittrick Elementary</v>
          </cell>
          <cell r="E219">
            <v>75</v>
          </cell>
          <cell r="F219">
            <v>3564</v>
          </cell>
          <cell r="G219">
            <v>1</v>
          </cell>
        </row>
        <row r="220">
          <cell r="A220" t="str">
            <v>15</v>
          </cell>
          <cell r="B220" t="str">
            <v>63669</v>
          </cell>
          <cell r="C220" t="str">
            <v>Kern</v>
          </cell>
          <cell r="D220" t="str">
            <v>Midway Elementary</v>
          </cell>
          <cell r="E220">
            <v>72</v>
          </cell>
          <cell r="F220">
            <v>3564</v>
          </cell>
          <cell r="G220">
            <v>1</v>
          </cell>
        </row>
        <row r="221">
          <cell r="A221" t="str">
            <v>15</v>
          </cell>
          <cell r="B221" t="str">
            <v>63677</v>
          </cell>
          <cell r="C221" t="str">
            <v>Kern</v>
          </cell>
          <cell r="D221" t="str">
            <v>Mojave Unified</v>
          </cell>
          <cell r="E221">
            <v>2920</v>
          </cell>
          <cell r="F221">
            <v>52813</v>
          </cell>
          <cell r="G221">
            <v>9</v>
          </cell>
        </row>
        <row r="222">
          <cell r="A222" t="str">
            <v>15</v>
          </cell>
          <cell r="B222" t="str">
            <v>63685</v>
          </cell>
          <cell r="C222" t="str">
            <v>Kern</v>
          </cell>
          <cell r="D222" t="str">
            <v>Muroc Joint Unified</v>
          </cell>
          <cell r="E222">
            <v>2043</v>
          </cell>
          <cell r="F222">
            <v>37769</v>
          </cell>
          <cell r="G222">
            <v>5</v>
          </cell>
        </row>
        <row r="223">
          <cell r="A223" t="str">
            <v>15</v>
          </cell>
          <cell r="B223" t="str">
            <v>63693</v>
          </cell>
          <cell r="C223" t="str">
            <v>Kern</v>
          </cell>
          <cell r="D223" t="str">
            <v>Norris Elementary</v>
          </cell>
          <cell r="E223">
            <v>3536</v>
          </cell>
          <cell r="F223">
            <v>60114</v>
          </cell>
          <cell r="G223">
            <v>5</v>
          </cell>
        </row>
        <row r="224">
          <cell r="A224" t="str">
            <v>15</v>
          </cell>
          <cell r="B224" t="str">
            <v>63719</v>
          </cell>
          <cell r="C224" t="str">
            <v>Kern</v>
          </cell>
          <cell r="D224" t="str">
            <v>Pond Union Elementary</v>
          </cell>
          <cell r="E224">
            <v>226</v>
          </cell>
          <cell r="F224">
            <v>3842</v>
          </cell>
          <cell r="G224">
            <v>1</v>
          </cell>
        </row>
        <row r="225">
          <cell r="A225" t="str">
            <v>15</v>
          </cell>
          <cell r="B225" t="str">
            <v>63750</v>
          </cell>
          <cell r="C225" t="str">
            <v>Kern</v>
          </cell>
          <cell r="D225" t="str">
            <v>Rosedale Union Elementary</v>
          </cell>
          <cell r="E225">
            <v>5325</v>
          </cell>
          <cell r="F225">
            <v>90526</v>
          </cell>
          <cell r="G225">
            <v>9</v>
          </cell>
        </row>
        <row r="226">
          <cell r="A226" t="str">
            <v>15</v>
          </cell>
          <cell r="B226" t="str">
            <v>63768</v>
          </cell>
          <cell r="C226" t="str">
            <v>Kern</v>
          </cell>
          <cell r="D226" t="str">
            <v>Semitropic Elementary</v>
          </cell>
          <cell r="E226">
            <v>234</v>
          </cell>
          <cell r="F226">
            <v>3978</v>
          </cell>
          <cell r="G226">
            <v>1</v>
          </cell>
        </row>
        <row r="227">
          <cell r="A227" t="str">
            <v>15</v>
          </cell>
          <cell r="B227" t="str">
            <v>63776</v>
          </cell>
          <cell r="C227" t="str">
            <v>Kern</v>
          </cell>
          <cell r="D227" t="str">
            <v>Southern Kern Unified</v>
          </cell>
          <cell r="E227">
            <v>3435</v>
          </cell>
          <cell r="F227">
            <v>62006</v>
          </cell>
          <cell r="G227">
            <v>6</v>
          </cell>
        </row>
        <row r="228">
          <cell r="A228" t="str">
            <v>15</v>
          </cell>
          <cell r="B228" t="str">
            <v>63784</v>
          </cell>
          <cell r="C228" t="str">
            <v>Kern</v>
          </cell>
          <cell r="D228" t="str">
            <v>South Fork Union</v>
          </cell>
          <cell r="E228">
            <v>303</v>
          </cell>
          <cell r="F228">
            <v>9356</v>
          </cell>
          <cell r="G228">
            <v>3</v>
          </cell>
        </row>
        <row r="229">
          <cell r="A229" t="str">
            <v>15</v>
          </cell>
          <cell r="B229" t="str">
            <v>63792</v>
          </cell>
          <cell r="C229" t="str">
            <v>Kern</v>
          </cell>
          <cell r="D229" t="str">
            <v>Standard Elementary</v>
          </cell>
          <cell r="E229">
            <v>2890</v>
          </cell>
          <cell r="F229">
            <v>49132</v>
          </cell>
          <cell r="G229">
            <v>4</v>
          </cell>
        </row>
        <row r="230">
          <cell r="A230" t="str">
            <v>15</v>
          </cell>
          <cell r="B230" t="str">
            <v>63800</v>
          </cell>
          <cell r="C230" t="str">
            <v>Kern</v>
          </cell>
          <cell r="D230" t="str">
            <v>Taft City</v>
          </cell>
          <cell r="E230">
            <v>2139</v>
          </cell>
          <cell r="F230">
            <v>39412</v>
          </cell>
          <cell r="G230">
            <v>7</v>
          </cell>
        </row>
        <row r="231">
          <cell r="A231" t="str">
            <v>15</v>
          </cell>
          <cell r="B231" t="str">
            <v>63818</v>
          </cell>
          <cell r="C231" t="str">
            <v>Kern</v>
          </cell>
          <cell r="D231" t="str">
            <v>Taft Union High</v>
          </cell>
          <cell r="E231">
            <v>1066</v>
          </cell>
          <cell r="F231">
            <v>23279</v>
          </cell>
          <cell r="G231">
            <v>3</v>
          </cell>
        </row>
        <row r="232">
          <cell r="A232" t="str">
            <v>15</v>
          </cell>
          <cell r="B232" t="str">
            <v>63826</v>
          </cell>
          <cell r="C232" t="str">
            <v>Kern</v>
          </cell>
          <cell r="D232" t="str">
            <v>Tehachapi Unified</v>
          </cell>
          <cell r="E232">
            <v>4866</v>
          </cell>
          <cell r="F232">
            <v>83364</v>
          </cell>
          <cell r="G232">
            <v>6</v>
          </cell>
        </row>
        <row r="233">
          <cell r="A233" t="str">
            <v>15</v>
          </cell>
          <cell r="B233" t="str">
            <v>63834</v>
          </cell>
          <cell r="C233" t="str">
            <v>Kern</v>
          </cell>
          <cell r="D233" t="str">
            <v>Vineland Elementary</v>
          </cell>
          <cell r="E233">
            <v>862</v>
          </cell>
          <cell r="F233">
            <v>14654</v>
          </cell>
          <cell r="G233">
            <v>2</v>
          </cell>
        </row>
        <row r="234">
          <cell r="A234" t="str">
            <v>15</v>
          </cell>
          <cell r="B234" t="str">
            <v>63842</v>
          </cell>
          <cell r="C234" t="str">
            <v>Kern</v>
          </cell>
          <cell r="D234" t="str">
            <v>Wasco Union Elementary</v>
          </cell>
          <cell r="E234">
            <v>3182</v>
          </cell>
          <cell r="F234">
            <v>54094</v>
          </cell>
          <cell r="G234">
            <v>5</v>
          </cell>
        </row>
        <row r="235">
          <cell r="A235" t="str">
            <v>15</v>
          </cell>
          <cell r="B235" t="str">
            <v>63859</v>
          </cell>
          <cell r="C235" t="str">
            <v>Kern</v>
          </cell>
          <cell r="D235" t="str">
            <v>Wasco Union High</v>
          </cell>
          <cell r="E235">
            <v>1795</v>
          </cell>
          <cell r="F235">
            <v>31530</v>
          </cell>
          <cell r="G235">
            <v>2</v>
          </cell>
        </row>
        <row r="236">
          <cell r="A236" t="str">
            <v>15</v>
          </cell>
          <cell r="B236" t="str">
            <v>73544</v>
          </cell>
          <cell r="C236" t="str">
            <v>Kern</v>
          </cell>
          <cell r="D236" t="str">
            <v>Rio Bravo-Greeley Union Elementary</v>
          </cell>
          <cell r="E236">
            <v>949</v>
          </cell>
          <cell r="F236">
            <v>16133</v>
          </cell>
          <cell r="G236">
            <v>2</v>
          </cell>
        </row>
        <row r="237">
          <cell r="A237" t="str">
            <v>15</v>
          </cell>
          <cell r="B237" t="str">
            <v>73742</v>
          </cell>
          <cell r="C237" t="str">
            <v>Kern</v>
          </cell>
          <cell r="D237" t="str">
            <v>Sierra Sands Unified</v>
          </cell>
          <cell r="E237">
            <v>5509</v>
          </cell>
          <cell r="F237">
            <v>99101</v>
          </cell>
          <cell r="G237">
            <v>12</v>
          </cell>
        </row>
        <row r="238">
          <cell r="A238" t="str">
            <v>15</v>
          </cell>
          <cell r="B238" t="str">
            <v>73908</v>
          </cell>
          <cell r="C238" t="str">
            <v>Kern</v>
          </cell>
          <cell r="D238" t="str">
            <v>McFarland Unified</v>
          </cell>
          <cell r="E238">
            <v>3269</v>
          </cell>
          <cell r="F238">
            <v>60680</v>
          </cell>
          <cell r="G238">
            <v>6</v>
          </cell>
        </row>
        <row r="239">
          <cell r="A239" t="str">
            <v>15</v>
          </cell>
          <cell r="B239" t="str">
            <v>75168</v>
          </cell>
          <cell r="C239" t="str">
            <v>Kern</v>
          </cell>
          <cell r="D239" t="str">
            <v>El Tejon Unified</v>
          </cell>
          <cell r="E239">
            <v>1301</v>
          </cell>
          <cell r="F239">
            <v>27307</v>
          </cell>
          <cell r="G239">
            <v>5</v>
          </cell>
        </row>
        <row r="240">
          <cell r="A240" t="str">
            <v>16</v>
          </cell>
          <cell r="B240" t="str">
            <v>10165</v>
          </cell>
          <cell r="C240" t="str">
            <v>Kings</v>
          </cell>
          <cell r="D240" t="str">
            <v>Kings County Office of Education</v>
          </cell>
          <cell r="E240">
            <v>516</v>
          </cell>
          <cell r="F240">
            <v>11922</v>
          </cell>
          <cell r="G240">
            <v>3</v>
          </cell>
        </row>
        <row r="241">
          <cell r="A241" t="str">
            <v>16</v>
          </cell>
          <cell r="B241" t="str">
            <v>63875</v>
          </cell>
          <cell r="C241" t="str">
            <v>Kings</v>
          </cell>
          <cell r="D241" t="str">
            <v>Armona Union Elementary</v>
          </cell>
          <cell r="E241">
            <v>1213</v>
          </cell>
          <cell r="F241">
            <v>20621</v>
          </cell>
          <cell r="G241">
            <v>3</v>
          </cell>
        </row>
        <row r="242">
          <cell r="A242" t="str">
            <v>16</v>
          </cell>
          <cell r="B242" t="str">
            <v>63883</v>
          </cell>
          <cell r="C242" t="str">
            <v>Kings</v>
          </cell>
          <cell r="D242" t="str">
            <v>Central Union Elementary</v>
          </cell>
          <cell r="E242">
            <v>1866</v>
          </cell>
          <cell r="F242">
            <v>31722</v>
          </cell>
          <cell r="G242">
            <v>4</v>
          </cell>
        </row>
        <row r="243">
          <cell r="A243" t="str">
            <v>16</v>
          </cell>
          <cell r="B243" t="str">
            <v>63891</v>
          </cell>
          <cell r="C243" t="str">
            <v>Kings</v>
          </cell>
          <cell r="D243" t="str">
            <v>Corcoran Joint Unified</v>
          </cell>
          <cell r="E243">
            <v>3257</v>
          </cell>
          <cell r="F243">
            <v>60585</v>
          </cell>
          <cell r="G243">
            <v>7</v>
          </cell>
        </row>
        <row r="244">
          <cell r="A244" t="str">
            <v>16</v>
          </cell>
          <cell r="B244" t="str">
            <v>63909</v>
          </cell>
          <cell r="C244" t="str">
            <v>Kings</v>
          </cell>
          <cell r="D244" t="str">
            <v>Delta View Joint Union Elementary</v>
          </cell>
          <cell r="E244">
            <v>75</v>
          </cell>
          <cell r="F244">
            <v>3564</v>
          </cell>
          <cell r="G244">
            <v>1</v>
          </cell>
        </row>
        <row r="245">
          <cell r="A245" t="str">
            <v>16</v>
          </cell>
          <cell r="B245" t="str">
            <v>63917</v>
          </cell>
          <cell r="C245" t="str">
            <v>Kings</v>
          </cell>
          <cell r="D245" t="str">
            <v>Hanford Elementary</v>
          </cell>
          <cell r="E245">
            <v>5514</v>
          </cell>
          <cell r="F245">
            <v>96843</v>
          </cell>
          <cell r="G245">
            <v>11</v>
          </cell>
        </row>
        <row r="246">
          <cell r="A246" t="str">
            <v>16</v>
          </cell>
          <cell r="B246" t="str">
            <v>63925</v>
          </cell>
          <cell r="C246" t="str">
            <v>Kings</v>
          </cell>
          <cell r="D246" t="str">
            <v>Hanford Joint Union High</v>
          </cell>
          <cell r="E246">
            <v>3926</v>
          </cell>
          <cell r="F246">
            <v>71476</v>
          </cell>
          <cell r="G246">
            <v>5</v>
          </cell>
        </row>
        <row r="247">
          <cell r="A247" t="str">
            <v>16</v>
          </cell>
          <cell r="B247" t="str">
            <v>63933</v>
          </cell>
          <cell r="C247" t="str">
            <v>Kings</v>
          </cell>
          <cell r="D247" t="str">
            <v>Island Union Elementary</v>
          </cell>
          <cell r="E247">
            <v>277</v>
          </cell>
          <cell r="F247">
            <v>4709</v>
          </cell>
          <cell r="G247">
            <v>1</v>
          </cell>
        </row>
        <row r="248">
          <cell r="A248" t="str">
            <v>16</v>
          </cell>
          <cell r="B248" t="str">
            <v>63941</v>
          </cell>
          <cell r="C248" t="str">
            <v>Kings</v>
          </cell>
          <cell r="D248" t="str">
            <v>Kings River-Hardwick Union Elementary</v>
          </cell>
          <cell r="E248">
            <v>655</v>
          </cell>
          <cell r="F248">
            <v>11135</v>
          </cell>
          <cell r="G248">
            <v>1</v>
          </cell>
        </row>
        <row r="249">
          <cell r="A249" t="str">
            <v>16</v>
          </cell>
          <cell r="B249" t="str">
            <v>63958</v>
          </cell>
          <cell r="C249" t="str">
            <v>Kings</v>
          </cell>
          <cell r="D249" t="str">
            <v>Kit Carson Union Elementary</v>
          </cell>
          <cell r="E249">
            <v>424</v>
          </cell>
          <cell r="F249">
            <v>9181</v>
          </cell>
          <cell r="G249">
            <v>2</v>
          </cell>
        </row>
        <row r="250">
          <cell r="A250" t="str">
            <v>16</v>
          </cell>
          <cell r="B250" t="str">
            <v>63966</v>
          </cell>
          <cell r="C250" t="str">
            <v>Kings</v>
          </cell>
          <cell r="D250" t="str">
            <v>Lakeside Union Elementary</v>
          </cell>
          <cell r="E250">
            <v>366</v>
          </cell>
          <cell r="F250">
            <v>10654</v>
          </cell>
          <cell r="G250">
            <v>3</v>
          </cell>
        </row>
        <row r="251">
          <cell r="A251" t="str">
            <v>16</v>
          </cell>
          <cell r="B251" t="str">
            <v>63974</v>
          </cell>
          <cell r="C251" t="str">
            <v>Kings</v>
          </cell>
          <cell r="D251" t="str">
            <v>Lemoore Union Elementary</v>
          </cell>
          <cell r="E251">
            <v>3350</v>
          </cell>
          <cell r="F251">
            <v>56950</v>
          </cell>
          <cell r="G251">
            <v>6</v>
          </cell>
        </row>
        <row r="252">
          <cell r="A252" t="str">
            <v>16</v>
          </cell>
          <cell r="B252" t="str">
            <v>63982</v>
          </cell>
          <cell r="C252" t="str">
            <v>Kings</v>
          </cell>
          <cell r="D252" t="str">
            <v>Lemoore Union High</v>
          </cell>
          <cell r="E252">
            <v>2208</v>
          </cell>
          <cell r="F252">
            <v>45177</v>
          </cell>
          <cell r="G252">
            <v>5</v>
          </cell>
        </row>
        <row r="253">
          <cell r="A253" t="str">
            <v>16</v>
          </cell>
          <cell r="B253" t="str">
            <v>63990</v>
          </cell>
          <cell r="C253" t="str">
            <v>Kings</v>
          </cell>
          <cell r="D253" t="str">
            <v>Pioneer Union Elementary</v>
          </cell>
          <cell r="E253">
            <v>1664</v>
          </cell>
          <cell r="F253">
            <v>28288</v>
          </cell>
          <cell r="G253">
            <v>3</v>
          </cell>
        </row>
        <row r="254">
          <cell r="A254" t="str">
            <v>16</v>
          </cell>
          <cell r="B254" t="str">
            <v>73932</v>
          </cell>
          <cell r="C254" t="str">
            <v>Kings</v>
          </cell>
          <cell r="D254" t="str">
            <v>Reef-Sunset Unified</v>
          </cell>
          <cell r="E254">
            <v>2516</v>
          </cell>
          <cell r="F254">
            <v>50987</v>
          </cell>
          <cell r="G254">
            <v>9</v>
          </cell>
        </row>
        <row r="255">
          <cell r="A255" t="str">
            <v>17</v>
          </cell>
          <cell r="B255" t="str">
            <v>10173</v>
          </cell>
          <cell r="C255" t="str">
            <v>Lake</v>
          </cell>
          <cell r="D255" t="str">
            <v>Lake County Office of Education</v>
          </cell>
          <cell r="E255">
            <v>81</v>
          </cell>
          <cell r="F255">
            <v>12476</v>
          </cell>
          <cell r="G255">
            <v>5</v>
          </cell>
        </row>
        <row r="256">
          <cell r="A256" t="str">
            <v>17</v>
          </cell>
          <cell r="B256" t="str">
            <v>64014</v>
          </cell>
          <cell r="C256" t="str">
            <v>Lake</v>
          </cell>
          <cell r="D256" t="str">
            <v>Kelseyville Unified</v>
          </cell>
          <cell r="E256">
            <v>1752</v>
          </cell>
          <cell r="F256">
            <v>35805</v>
          </cell>
          <cell r="G256">
            <v>7</v>
          </cell>
        </row>
        <row r="257">
          <cell r="A257" t="str">
            <v>17</v>
          </cell>
          <cell r="B257" t="str">
            <v>64022</v>
          </cell>
          <cell r="C257" t="str">
            <v>Lake</v>
          </cell>
          <cell r="D257" t="str">
            <v>Konocti Unified</v>
          </cell>
          <cell r="E257">
            <v>3108</v>
          </cell>
          <cell r="F257">
            <v>63636</v>
          </cell>
          <cell r="G257">
            <v>10</v>
          </cell>
        </row>
        <row r="258">
          <cell r="A258" t="str">
            <v>17</v>
          </cell>
          <cell r="B258" t="str">
            <v>64030</v>
          </cell>
          <cell r="C258" t="str">
            <v>Lake</v>
          </cell>
          <cell r="D258" t="str">
            <v>Lakeport Unified</v>
          </cell>
          <cell r="E258">
            <v>1650</v>
          </cell>
          <cell r="F258">
            <v>36131</v>
          </cell>
          <cell r="G258">
            <v>6</v>
          </cell>
        </row>
        <row r="259">
          <cell r="A259" t="str">
            <v>17</v>
          </cell>
          <cell r="B259" t="str">
            <v>64048</v>
          </cell>
          <cell r="C259" t="str">
            <v>Lake</v>
          </cell>
          <cell r="D259" t="str">
            <v>Lucerne Elementary</v>
          </cell>
          <cell r="E259">
            <v>258</v>
          </cell>
          <cell r="F259">
            <v>4386</v>
          </cell>
          <cell r="G259">
            <v>1</v>
          </cell>
        </row>
        <row r="260">
          <cell r="A260" t="str">
            <v>17</v>
          </cell>
          <cell r="B260" t="str">
            <v>64055</v>
          </cell>
          <cell r="C260" t="str">
            <v>Lake</v>
          </cell>
          <cell r="D260" t="str">
            <v>Middletown Unified</v>
          </cell>
          <cell r="E260">
            <v>1741</v>
          </cell>
          <cell r="F260">
            <v>38285</v>
          </cell>
          <cell r="G260">
            <v>8</v>
          </cell>
        </row>
        <row r="261">
          <cell r="A261" t="str">
            <v>17</v>
          </cell>
          <cell r="B261" t="str">
            <v>64063</v>
          </cell>
          <cell r="C261" t="str">
            <v>Lake</v>
          </cell>
          <cell r="D261" t="str">
            <v>Upper Lake Union Elementary</v>
          </cell>
          <cell r="E261">
            <v>549</v>
          </cell>
          <cell r="F261">
            <v>11742</v>
          </cell>
          <cell r="G261">
            <v>3</v>
          </cell>
        </row>
        <row r="262">
          <cell r="A262" t="str">
            <v>17</v>
          </cell>
          <cell r="B262" t="str">
            <v>64071</v>
          </cell>
          <cell r="C262" t="str">
            <v>Lake</v>
          </cell>
          <cell r="D262" t="str">
            <v>Upper Lake Union High</v>
          </cell>
          <cell r="E262">
            <v>419</v>
          </cell>
          <cell r="F262">
            <v>12116</v>
          </cell>
          <cell r="G262">
            <v>3</v>
          </cell>
        </row>
        <row r="263">
          <cell r="A263" t="str">
            <v>18</v>
          </cell>
          <cell r="B263" t="str">
            <v>10181</v>
          </cell>
          <cell r="C263" t="str">
            <v>Lassen</v>
          </cell>
          <cell r="D263" t="str">
            <v>Lassen County Office of Education</v>
          </cell>
          <cell r="E263">
            <v>136</v>
          </cell>
          <cell r="F263">
            <v>11584</v>
          </cell>
          <cell r="G263">
            <v>4</v>
          </cell>
        </row>
        <row r="264">
          <cell r="A264" t="str">
            <v>18</v>
          </cell>
          <cell r="B264" t="str">
            <v>64089</v>
          </cell>
          <cell r="C264" t="str">
            <v>Lassen</v>
          </cell>
          <cell r="D264" t="str">
            <v>Big Valley Joint Unified</v>
          </cell>
          <cell r="E264">
            <v>223</v>
          </cell>
          <cell r="F264">
            <v>12920</v>
          </cell>
          <cell r="G264">
            <v>4</v>
          </cell>
        </row>
        <row r="265">
          <cell r="A265" t="str">
            <v>18</v>
          </cell>
          <cell r="B265" t="str">
            <v>64105</v>
          </cell>
          <cell r="C265" t="str">
            <v>Lassen</v>
          </cell>
          <cell r="D265" t="str">
            <v>Janesville Union Elementary</v>
          </cell>
          <cell r="E265">
            <v>460</v>
          </cell>
          <cell r="F265">
            <v>7820</v>
          </cell>
          <cell r="G265">
            <v>1</v>
          </cell>
        </row>
        <row r="266">
          <cell r="A266" t="str">
            <v>18</v>
          </cell>
          <cell r="B266" t="str">
            <v>64113</v>
          </cell>
          <cell r="C266" t="str">
            <v>Lassen</v>
          </cell>
          <cell r="D266" t="str">
            <v>Johnstonville Elementary</v>
          </cell>
          <cell r="E266">
            <v>217</v>
          </cell>
          <cell r="F266">
            <v>3689</v>
          </cell>
          <cell r="G266">
            <v>1</v>
          </cell>
        </row>
        <row r="267">
          <cell r="A267" t="str">
            <v>18</v>
          </cell>
          <cell r="B267" t="str">
            <v>64139</v>
          </cell>
          <cell r="C267" t="str">
            <v>Lassen</v>
          </cell>
          <cell r="D267" t="str">
            <v>Lassen Union High</v>
          </cell>
          <cell r="E267">
            <v>1104</v>
          </cell>
          <cell r="F267">
            <v>28466</v>
          </cell>
          <cell r="G267">
            <v>5</v>
          </cell>
        </row>
        <row r="268">
          <cell r="A268" t="str">
            <v>18</v>
          </cell>
          <cell r="B268" t="str">
            <v>64162</v>
          </cell>
          <cell r="C268" t="str">
            <v>Lassen</v>
          </cell>
          <cell r="D268" t="str">
            <v>Ravendale-Termo Elementary</v>
          </cell>
          <cell r="E268">
            <v>9</v>
          </cell>
          <cell r="F268">
            <v>4456</v>
          </cell>
          <cell r="G268">
            <v>2</v>
          </cell>
        </row>
        <row r="269">
          <cell r="A269" t="str">
            <v>18</v>
          </cell>
          <cell r="B269" t="str">
            <v>64170</v>
          </cell>
          <cell r="C269" t="str">
            <v>Lassen</v>
          </cell>
          <cell r="D269" t="str">
            <v>Richmond Elementary</v>
          </cell>
          <cell r="E269">
            <v>219</v>
          </cell>
          <cell r="F269">
            <v>3723</v>
          </cell>
          <cell r="G269">
            <v>1</v>
          </cell>
        </row>
        <row r="270">
          <cell r="A270" t="str">
            <v>18</v>
          </cell>
          <cell r="B270" t="str">
            <v>64188</v>
          </cell>
          <cell r="C270" t="str">
            <v>Lassen</v>
          </cell>
          <cell r="D270" t="str">
            <v>Shaffer Union Elementary</v>
          </cell>
          <cell r="E270">
            <v>290</v>
          </cell>
          <cell r="F270">
            <v>4930</v>
          </cell>
          <cell r="G270">
            <v>1</v>
          </cell>
        </row>
        <row r="271">
          <cell r="A271" t="str">
            <v>18</v>
          </cell>
          <cell r="B271" t="str">
            <v>64196</v>
          </cell>
          <cell r="C271" t="str">
            <v>Lassen</v>
          </cell>
          <cell r="D271" t="str">
            <v>Susanville Elementary</v>
          </cell>
          <cell r="E271">
            <v>1228</v>
          </cell>
          <cell r="F271">
            <v>25230</v>
          </cell>
          <cell r="G271">
            <v>5</v>
          </cell>
        </row>
        <row r="272">
          <cell r="A272" t="str">
            <v>18</v>
          </cell>
          <cell r="B272" t="str">
            <v>64204</v>
          </cell>
          <cell r="C272" t="str">
            <v>Lassen</v>
          </cell>
          <cell r="D272" t="str">
            <v>Westwood Unified</v>
          </cell>
          <cell r="E272">
            <v>296</v>
          </cell>
          <cell r="F272">
            <v>9356</v>
          </cell>
          <cell r="G272">
            <v>3</v>
          </cell>
        </row>
        <row r="273">
          <cell r="A273" t="str">
            <v>18</v>
          </cell>
          <cell r="B273" t="str">
            <v>75036</v>
          </cell>
          <cell r="C273" t="str">
            <v>Lassen</v>
          </cell>
          <cell r="D273" t="str">
            <v>Fort Sage Unified</v>
          </cell>
          <cell r="E273">
            <v>192</v>
          </cell>
          <cell r="F273">
            <v>15148</v>
          </cell>
          <cell r="G273">
            <v>5</v>
          </cell>
        </row>
        <row r="274">
          <cell r="A274" t="str">
            <v>19</v>
          </cell>
          <cell r="B274" t="str">
            <v>10199</v>
          </cell>
          <cell r="C274" t="str">
            <v>Los Angeles</v>
          </cell>
          <cell r="D274" t="str">
            <v>Los Angeles County Office of Education</v>
          </cell>
          <cell r="E274">
            <v>10456</v>
          </cell>
          <cell r="F274">
            <v>178431</v>
          </cell>
          <cell r="G274">
            <v>11</v>
          </cell>
        </row>
        <row r="275">
          <cell r="A275" t="str">
            <v>19</v>
          </cell>
          <cell r="B275" t="str">
            <v>64212</v>
          </cell>
          <cell r="C275" t="str">
            <v>Los Angeles</v>
          </cell>
          <cell r="D275" t="str">
            <v>ABC Unified</v>
          </cell>
          <cell r="E275">
            <v>20787</v>
          </cell>
          <cell r="F275">
            <v>354533</v>
          </cell>
          <cell r="G275">
            <v>30</v>
          </cell>
        </row>
        <row r="276">
          <cell r="A276" t="str">
            <v>19</v>
          </cell>
          <cell r="B276" t="str">
            <v>64246</v>
          </cell>
          <cell r="C276" t="str">
            <v>Los Angeles</v>
          </cell>
          <cell r="D276" t="str">
            <v>Antelope Valley Union High</v>
          </cell>
          <cell r="E276">
            <v>23653</v>
          </cell>
          <cell r="F276">
            <v>402892</v>
          </cell>
          <cell r="G276">
            <v>12</v>
          </cell>
        </row>
        <row r="277">
          <cell r="A277" t="str">
            <v>19</v>
          </cell>
          <cell r="B277" t="str">
            <v>64261</v>
          </cell>
          <cell r="C277" t="str">
            <v>Los Angeles</v>
          </cell>
          <cell r="D277" t="str">
            <v>Arcadia Unified</v>
          </cell>
          <cell r="E277">
            <v>9813</v>
          </cell>
          <cell r="F277">
            <v>169421</v>
          </cell>
          <cell r="G277">
            <v>11</v>
          </cell>
        </row>
        <row r="278">
          <cell r="A278" t="str">
            <v>19</v>
          </cell>
          <cell r="B278" t="str">
            <v>64279</v>
          </cell>
          <cell r="C278" t="str">
            <v>Los Angeles</v>
          </cell>
          <cell r="D278" t="str">
            <v>Azusa Unified</v>
          </cell>
          <cell r="E278">
            <v>11172</v>
          </cell>
          <cell r="F278">
            <v>191022</v>
          </cell>
          <cell r="G278">
            <v>18</v>
          </cell>
        </row>
        <row r="279">
          <cell r="A279" t="str">
            <v>19</v>
          </cell>
          <cell r="B279" t="str">
            <v>64287</v>
          </cell>
          <cell r="C279" t="str">
            <v>Los Angeles</v>
          </cell>
          <cell r="D279" t="str">
            <v>Baldwin Park Unified</v>
          </cell>
          <cell r="E279">
            <v>16354</v>
          </cell>
          <cell r="F279">
            <v>280927</v>
          </cell>
          <cell r="G279">
            <v>21</v>
          </cell>
        </row>
        <row r="280">
          <cell r="A280" t="str">
            <v>19</v>
          </cell>
          <cell r="B280" t="str">
            <v>64295</v>
          </cell>
          <cell r="C280" t="str">
            <v>Los Angeles</v>
          </cell>
          <cell r="D280" t="str">
            <v>Bassett Unified</v>
          </cell>
          <cell r="E280">
            <v>5033</v>
          </cell>
          <cell r="F280">
            <v>87274</v>
          </cell>
          <cell r="G280">
            <v>7</v>
          </cell>
        </row>
        <row r="281">
          <cell r="A281" t="str">
            <v>19</v>
          </cell>
          <cell r="B281" t="str">
            <v>64303</v>
          </cell>
          <cell r="C281" t="str">
            <v>Los Angeles</v>
          </cell>
          <cell r="D281" t="str">
            <v>Bellflower Unified</v>
          </cell>
          <cell r="E281">
            <v>14624</v>
          </cell>
          <cell r="F281">
            <v>251261</v>
          </cell>
          <cell r="G281">
            <v>15</v>
          </cell>
        </row>
        <row r="282">
          <cell r="A282" t="str">
            <v>19</v>
          </cell>
          <cell r="B282" t="str">
            <v>64311</v>
          </cell>
          <cell r="C282" t="str">
            <v>Los Angeles</v>
          </cell>
          <cell r="D282" t="str">
            <v>Beverly Hills Unified</v>
          </cell>
          <cell r="E282">
            <v>5093</v>
          </cell>
          <cell r="F282">
            <v>88539</v>
          </cell>
          <cell r="G282">
            <v>6</v>
          </cell>
        </row>
        <row r="283">
          <cell r="A283" t="str">
            <v>19</v>
          </cell>
          <cell r="B283" t="str">
            <v>64329</v>
          </cell>
          <cell r="C283" t="str">
            <v>Los Angeles</v>
          </cell>
          <cell r="D283" t="str">
            <v>Bonita Unified</v>
          </cell>
          <cell r="E283">
            <v>9808</v>
          </cell>
          <cell r="F283">
            <v>170723</v>
          </cell>
          <cell r="G283">
            <v>14</v>
          </cell>
        </row>
        <row r="284">
          <cell r="A284" t="str">
            <v>19</v>
          </cell>
          <cell r="B284" t="str">
            <v>64337</v>
          </cell>
          <cell r="C284" t="str">
            <v>Los Angeles</v>
          </cell>
          <cell r="D284" t="str">
            <v>Burbank Unified</v>
          </cell>
          <cell r="E284">
            <v>15181</v>
          </cell>
          <cell r="F284">
            <v>265928</v>
          </cell>
          <cell r="G284">
            <v>20</v>
          </cell>
        </row>
        <row r="285">
          <cell r="A285" t="str">
            <v>19</v>
          </cell>
          <cell r="B285" t="str">
            <v>64345</v>
          </cell>
          <cell r="C285" t="str">
            <v>Los Angeles</v>
          </cell>
          <cell r="D285" t="str">
            <v>Castaic Union Elementary</v>
          </cell>
          <cell r="E285">
            <v>3303</v>
          </cell>
          <cell r="F285">
            <v>56152</v>
          </cell>
          <cell r="G285">
            <v>4</v>
          </cell>
        </row>
        <row r="286">
          <cell r="A286" t="str">
            <v>19</v>
          </cell>
          <cell r="B286" t="str">
            <v>64352</v>
          </cell>
          <cell r="C286" t="str">
            <v>Los Angeles</v>
          </cell>
          <cell r="D286" t="str">
            <v>Centinela Valley Union High</v>
          </cell>
          <cell r="E286">
            <v>7324</v>
          </cell>
          <cell r="F286">
            <v>126683</v>
          </cell>
          <cell r="G286">
            <v>5</v>
          </cell>
        </row>
        <row r="287">
          <cell r="A287" t="str">
            <v>19</v>
          </cell>
          <cell r="B287" t="str">
            <v>64378</v>
          </cell>
          <cell r="C287" t="str">
            <v>Los Angeles</v>
          </cell>
          <cell r="D287" t="str">
            <v>Charter Oak Unified</v>
          </cell>
          <cell r="E287">
            <v>6272</v>
          </cell>
          <cell r="F287">
            <v>110967</v>
          </cell>
          <cell r="G287">
            <v>10</v>
          </cell>
        </row>
        <row r="288">
          <cell r="A288" t="str">
            <v>19</v>
          </cell>
          <cell r="B288" t="str">
            <v>64394</v>
          </cell>
          <cell r="C288" t="str">
            <v>Los Angeles</v>
          </cell>
          <cell r="D288" t="str">
            <v>Claremont Unified</v>
          </cell>
          <cell r="E288">
            <v>6948</v>
          </cell>
          <cell r="F288">
            <v>125530</v>
          </cell>
          <cell r="G288">
            <v>12</v>
          </cell>
        </row>
        <row r="289">
          <cell r="A289" t="str">
            <v>19</v>
          </cell>
          <cell r="B289" t="str">
            <v>64436</v>
          </cell>
          <cell r="C289" t="str">
            <v>Los Angeles</v>
          </cell>
          <cell r="D289" t="str">
            <v>Covina-Valley Unified</v>
          </cell>
          <cell r="E289">
            <v>14385</v>
          </cell>
          <cell r="F289">
            <v>244551</v>
          </cell>
          <cell r="G289">
            <v>19</v>
          </cell>
        </row>
        <row r="290">
          <cell r="A290" t="str">
            <v>19</v>
          </cell>
          <cell r="B290" t="str">
            <v>64444</v>
          </cell>
          <cell r="C290" t="str">
            <v>Los Angeles</v>
          </cell>
          <cell r="D290" t="str">
            <v>Culver City Unified</v>
          </cell>
          <cell r="E290">
            <v>6636</v>
          </cell>
          <cell r="F290">
            <v>117818</v>
          </cell>
          <cell r="G290">
            <v>9</v>
          </cell>
        </row>
        <row r="291">
          <cell r="A291" t="str">
            <v>19</v>
          </cell>
          <cell r="B291" t="str">
            <v>64451</v>
          </cell>
          <cell r="C291" t="str">
            <v>Los Angeles</v>
          </cell>
          <cell r="D291" t="str">
            <v>Downey Unified</v>
          </cell>
          <cell r="E291">
            <v>22429</v>
          </cell>
          <cell r="F291">
            <v>381305</v>
          </cell>
          <cell r="G291">
            <v>20</v>
          </cell>
        </row>
        <row r="292">
          <cell r="A292" t="str">
            <v>19</v>
          </cell>
          <cell r="B292" t="str">
            <v>64469</v>
          </cell>
          <cell r="C292" t="str">
            <v>Los Angeles</v>
          </cell>
          <cell r="D292" t="str">
            <v>Duarte Unified</v>
          </cell>
          <cell r="E292">
            <v>4239</v>
          </cell>
          <cell r="F292">
            <v>73690</v>
          </cell>
          <cell r="G292">
            <v>8</v>
          </cell>
        </row>
        <row r="293">
          <cell r="A293" t="str">
            <v>19</v>
          </cell>
          <cell r="B293" t="str">
            <v>64477</v>
          </cell>
          <cell r="C293" t="str">
            <v>Los Angeles</v>
          </cell>
          <cell r="D293" t="str">
            <v>Eastside Union Elementary</v>
          </cell>
          <cell r="E293">
            <v>3217</v>
          </cell>
          <cell r="F293">
            <v>54692</v>
          </cell>
          <cell r="G293">
            <v>4</v>
          </cell>
        </row>
        <row r="294">
          <cell r="A294" t="str">
            <v>19</v>
          </cell>
          <cell r="B294" t="str">
            <v>64485</v>
          </cell>
          <cell r="C294" t="str">
            <v>Los Angeles</v>
          </cell>
          <cell r="D294" t="str">
            <v>East Whittier City Elementary</v>
          </cell>
          <cell r="E294">
            <v>8816</v>
          </cell>
          <cell r="F294">
            <v>149877</v>
          </cell>
          <cell r="G294">
            <v>13</v>
          </cell>
        </row>
        <row r="295">
          <cell r="A295" t="str">
            <v>19</v>
          </cell>
          <cell r="B295" t="str">
            <v>64501</v>
          </cell>
          <cell r="C295" t="str">
            <v>Los Angeles</v>
          </cell>
          <cell r="D295" t="str">
            <v>El Monte City Elementary</v>
          </cell>
          <cell r="E295">
            <v>10144</v>
          </cell>
          <cell r="F295">
            <v>174810</v>
          </cell>
          <cell r="G295">
            <v>17</v>
          </cell>
        </row>
        <row r="296">
          <cell r="A296" t="str">
            <v>19</v>
          </cell>
          <cell r="B296" t="str">
            <v>64519</v>
          </cell>
          <cell r="C296" t="str">
            <v>Los Angeles</v>
          </cell>
          <cell r="D296" t="str">
            <v>El Monte Union High</v>
          </cell>
          <cell r="E296">
            <v>10409</v>
          </cell>
          <cell r="F296">
            <v>179723</v>
          </cell>
          <cell r="G296">
            <v>7</v>
          </cell>
        </row>
        <row r="297">
          <cell r="A297" t="str">
            <v>19</v>
          </cell>
          <cell r="B297" t="str">
            <v>64527</v>
          </cell>
          <cell r="C297" t="str">
            <v>Los Angeles</v>
          </cell>
          <cell r="D297" t="str">
            <v>El Rancho Unified</v>
          </cell>
          <cell r="E297">
            <v>11022</v>
          </cell>
          <cell r="F297">
            <v>189317</v>
          </cell>
          <cell r="G297">
            <v>14</v>
          </cell>
        </row>
        <row r="298">
          <cell r="A298" t="str">
            <v>19</v>
          </cell>
          <cell r="B298" t="str">
            <v>64535</v>
          </cell>
          <cell r="C298" t="str">
            <v>Los Angeles</v>
          </cell>
          <cell r="D298" t="str">
            <v>El Segundo Unified</v>
          </cell>
          <cell r="E298">
            <v>3262</v>
          </cell>
          <cell r="F298">
            <v>58595</v>
          </cell>
          <cell r="G298">
            <v>5</v>
          </cell>
        </row>
        <row r="299">
          <cell r="A299" t="str">
            <v>19</v>
          </cell>
          <cell r="B299" t="str">
            <v>64550</v>
          </cell>
          <cell r="C299" t="str">
            <v>Los Angeles</v>
          </cell>
          <cell r="D299" t="str">
            <v>Garvey Elementary</v>
          </cell>
          <cell r="E299">
            <v>5770</v>
          </cell>
          <cell r="F299">
            <v>98091</v>
          </cell>
          <cell r="G299">
            <v>11</v>
          </cell>
        </row>
        <row r="300">
          <cell r="A300" t="str">
            <v>19</v>
          </cell>
          <cell r="B300" t="str">
            <v>64568</v>
          </cell>
          <cell r="C300" t="str">
            <v>Los Angeles</v>
          </cell>
          <cell r="D300" t="str">
            <v>Glendale Unified</v>
          </cell>
          <cell r="E300">
            <v>26702</v>
          </cell>
          <cell r="F300">
            <v>458406</v>
          </cell>
          <cell r="G300">
            <v>32</v>
          </cell>
        </row>
        <row r="301">
          <cell r="A301" t="str">
            <v>19</v>
          </cell>
          <cell r="B301" t="str">
            <v>64576</v>
          </cell>
          <cell r="C301" t="str">
            <v>Los Angeles</v>
          </cell>
          <cell r="D301" t="str">
            <v>Glendora Unified</v>
          </cell>
          <cell r="E301">
            <v>7189</v>
          </cell>
          <cell r="F301">
            <v>123860</v>
          </cell>
          <cell r="G301">
            <v>10</v>
          </cell>
        </row>
        <row r="302">
          <cell r="A302" t="str">
            <v>19</v>
          </cell>
          <cell r="B302" t="str">
            <v>64584</v>
          </cell>
          <cell r="C302" t="str">
            <v>Los Angeles</v>
          </cell>
          <cell r="D302" t="str">
            <v>Gorman Elementary</v>
          </cell>
          <cell r="E302">
            <v>44</v>
          </cell>
          <cell r="F302">
            <v>3564</v>
          </cell>
          <cell r="G302">
            <v>1</v>
          </cell>
        </row>
        <row r="303">
          <cell r="A303" t="str">
            <v>19</v>
          </cell>
          <cell r="B303" t="str">
            <v>64592</v>
          </cell>
          <cell r="C303" t="str">
            <v>Los Angeles</v>
          </cell>
          <cell r="D303" t="str">
            <v>Hawthorne</v>
          </cell>
          <cell r="E303">
            <v>9052</v>
          </cell>
          <cell r="F303">
            <v>153891</v>
          </cell>
          <cell r="G303">
            <v>11</v>
          </cell>
        </row>
        <row r="304">
          <cell r="A304" t="str">
            <v>19</v>
          </cell>
          <cell r="B304" t="str">
            <v>64600</v>
          </cell>
          <cell r="C304" t="str">
            <v>Los Angeles</v>
          </cell>
          <cell r="D304" t="str">
            <v>Hermosa Beach City Elementary</v>
          </cell>
          <cell r="E304">
            <v>1176</v>
          </cell>
          <cell r="F304">
            <v>19993</v>
          </cell>
          <cell r="G304">
            <v>2</v>
          </cell>
        </row>
        <row r="305">
          <cell r="A305" t="str">
            <v>19</v>
          </cell>
          <cell r="B305" t="str">
            <v>64626</v>
          </cell>
          <cell r="C305" t="str">
            <v>Los Angeles</v>
          </cell>
          <cell r="D305" t="str">
            <v>Hughes-Elizabeth Lakes Union Elementary</v>
          </cell>
          <cell r="E305">
            <v>353</v>
          </cell>
          <cell r="F305">
            <v>6001</v>
          </cell>
          <cell r="G305">
            <v>1</v>
          </cell>
        </row>
        <row r="306">
          <cell r="A306" t="str">
            <v>19</v>
          </cell>
          <cell r="B306" t="str">
            <v>64634</v>
          </cell>
          <cell r="C306" t="str">
            <v>Los Angeles</v>
          </cell>
          <cell r="D306" t="str">
            <v>Inglewood Unified</v>
          </cell>
          <cell r="E306">
            <v>14263</v>
          </cell>
          <cell r="F306">
            <v>242478</v>
          </cell>
          <cell r="G306">
            <v>19</v>
          </cell>
        </row>
        <row r="307">
          <cell r="A307" t="str">
            <v>19</v>
          </cell>
          <cell r="B307" t="str">
            <v>64642</v>
          </cell>
          <cell r="C307" t="str">
            <v>Los Angeles</v>
          </cell>
          <cell r="D307" t="str">
            <v>Keppel Union Elementary</v>
          </cell>
          <cell r="E307">
            <v>2890</v>
          </cell>
          <cell r="F307">
            <v>49130</v>
          </cell>
          <cell r="G307">
            <v>6</v>
          </cell>
        </row>
        <row r="308">
          <cell r="A308" t="str">
            <v>19</v>
          </cell>
          <cell r="B308" t="str">
            <v>64659</v>
          </cell>
          <cell r="C308" t="str">
            <v>Los Angeles</v>
          </cell>
          <cell r="D308" t="str">
            <v>La Canada Unified</v>
          </cell>
          <cell r="E308">
            <v>4001</v>
          </cell>
          <cell r="F308">
            <v>70025</v>
          </cell>
          <cell r="G308">
            <v>5</v>
          </cell>
        </row>
        <row r="309">
          <cell r="A309" t="str">
            <v>19</v>
          </cell>
          <cell r="B309" t="str">
            <v>64667</v>
          </cell>
          <cell r="C309" t="str">
            <v>Los Angeles</v>
          </cell>
          <cell r="D309" t="str">
            <v>Lancaster Elementary</v>
          </cell>
          <cell r="E309">
            <v>15085</v>
          </cell>
          <cell r="F309">
            <v>261785</v>
          </cell>
          <cell r="G309">
            <v>19</v>
          </cell>
        </row>
        <row r="310">
          <cell r="A310" t="str">
            <v>19</v>
          </cell>
          <cell r="B310" t="str">
            <v>64683</v>
          </cell>
          <cell r="C310" t="str">
            <v>Los Angeles</v>
          </cell>
          <cell r="D310" t="str">
            <v>Las Virgenes Unified</v>
          </cell>
          <cell r="E310">
            <v>11627</v>
          </cell>
          <cell r="F310">
            <v>202463</v>
          </cell>
          <cell r="G310">
            <v>15</v>
          </cell>
        </row>
        <row r="311">
          <cell r="A311" t="str">
            <v>19</v>
          </cell>
          <cell r="B311" t="str">
            <v>64691</v>
          </cell>
          <cell r="C311" t="str">
            <v>Los Angeles</v>
          </cell>
          <cell r="D311" t="str">
            <v>Lawndale Elementary</v>
          </cell>
          <cell r="E311">
            <v>5795</v>
          </cell>
          <cell r="F311">
            <v>98518</v>
          </cell>
          <cell r="G311">
            <v>8</v>
          </cell>
        </row>
        <row r="312">
          <cell r="A312" t="str">
            <v>19</v>
          </cell>
          <cell r="B312" t="str">
            <v>64709</v>
          </cell>
          <cell r="C312" t="str">
            <v>Los Angeles</v>
          </cell>
          <cell r="D312" t="str">
            <v>Lennox Elementary</v>
          </cell>
          <cell r="E312">
            <v>6253</v>
          </cell>
          <cell r="F312">
            <v>106304</v>
          </cell>
          <cell r="G312">
            <v>7</v>
          </cell>
        </row>
        <row r="313">
          <cell r="A313" t="str">
            <v>19</v>
          </cell>
          <cell r="B313" t="str">
            <v>64717</v>
          </cell>
          <cell r="C313" t="str">
            <v>Los Angeles</v>
          </cell>
          <cell r="D313" t="str">
            <v>Little Lake City Elementary</v>
          </cell>
          <cell r="E313">
            <v>4953</v>
          </cell>
          <cell r="F313">
            <v>84203</v>
          </cell>
          <cell r="G313">
            <v>9</v>
          </cell>
        </row>
        <row r="314">
          <cell r="A314" t="str">
            <v>19</v>
          </cell>
          <cell r="B314" t="str">
            <v>64725</v>
          </cell>
          <cell r="C314" t="str">
            <v>Los Angeles</v>
          </cell>
          <cell r="D314" t="str">
            <v>Long Beach Unified</v>
          </cell>
          <cell r="E314">
            <v>86563</v>
          </cell>
          <cell r="F314">
            <v>1478988</v>
          </cell>
          <cell r="G314">
            <v>87</v>
          </cell>
        </row>
        <row r="315">
          <cell r="A315" t="str">
            <v>19</v>
          </cell>
          <cell r="B315" t="str">
            <v>64733</v>
          </cell>
          <cell r="C315" t="str">
            <v>Los Angeles</v>
          </cell>
          <cell r="D315" t="str">
            <v>Los Angeles Unified</v>
          </cell>
          <cell r="E315">
            <v>633892</v>
          </cell>
          <cell r="F315">
            <v>10921927</v>
          </cell>
          <cell r="G315">
            <v>721</v>
          </cell>
        </row>
        <row r="316">
          <cell r="A316" t="str">
            <v>19</v>
          </cell>
          <cell r="B316" t="str">
            <v>64758</v>
          </cell>
          <cell r="C316" t="str">
            <v>Los Angeles</v>
          </cell>
          <cell r="D316" t="str">
            <v>Los Nietos</v>
          </cell>
          <cell r="E316">
            <v>2027</v>
          </cell>
          <cell r="F316">
            <v>34459</v>
          </cell>
          <cell r="G316">
            <v>4</v>
          </cell>
        </row>
        <row r="317">
          <cell r="A317" t="str">
            <v>19</v>
          </cell>
          <cell r="B317" t="str">
            <v>64766</v>
          </cell>
          <cell r="C317" t="str">
            <v>Los Angeles</v>
          </cell>
          <cell r="D317" t="str">
            <v>Lowell Joint</v>
          </cell>
          <cell r="E317">
            <v>3061</v>
          </cell>
          <cell r="F317">
            <v>52038</v>
          </cell>
          <cell r="G317">
            <v>6</v>
          </cell>
        </row>
        <row r="318">
          <cell r="A318" t="str">
            <v>19</v>
          </cell>
          <cell r="B318" t="str">
            <v>64774</v>
          </cell>
          <cell r="C318" t="str">
            <v>Los Angeles</v>
          </cell>
          <cell r="D318" t="str">
            <v>Lynwood Unified</v>
          </cell>
          <cell r="E318">
            <v>17021</v>
          </cell>
          <cell r="F318">
            <v>291502</v>
          </cell>
          <cell r="G318">
            <v>19</v>
          </cell>
        </row>
        <row r="319">
          <cell r="A319" t="str">
            <v>19</v>
          </cell>
          <cell r="B319" t="str">
            <v>64790</v>
          </cell>
          <cell r="C319" t="str">
            <v>Los Angeles</v>
          </cell>
          <cell r="D319" t="str">
            <v>Monrovia Unified</v>
          </cell>
          <cell r="E319">
            <v>6012</v>
          </cell>
          <cell r="F319">
            <v>105814</v>
          </cell>
          <cell r="G319">
            <v>10</v>
          </cell>
        </row>
        <row r="320">
          <cell r="A320" t="str">
            <v>19</v>
          </cell>
          <cell r="B320" t="str">
            <v>64808</v>
          </cell>
          <cell r="C320" t="str">
            <v>Los Angeles</v>
          </cell>
          <cell r="D320" t="str">
            <v>Montebello Unified</v>
          </cell>
          <cell r="E320">
            <v>33007</v>
          </cell>
          <cell r="F320">
            <v>561846</v>
          </cell>
          <cell r="G320">
            <v>29</v>
          </cell>
        </row>
        <row r="321">
          <cell r="A321" t="str">
            <v>19</v>
          </cell>
          <cell r="B321" t="str">
            <v>64816</v>
          </cell>
          <cell r="C321" t="str">
            <v>Los Angeles</v>
          </cell>
          <cell r="D321" t="str">
            <v>Mountain View Elementary</v>
          </cell>
          <cell r="E321">
            <v>8714</v>
          </cell>
          <cell r="F321">
            <v>148143</v>
          </cell>
          <cell r="G321">
            <v>12</v>
          </cell>
        </row>
        <row r="322">
          <cell r="A322" t="str">
            <v>19</v>
          </cell>
          <cell r="B322" t="str">
            <v>64832</v>
          </cell>
          <cell r="C322" t="str">
            <v>Los Angeles</v>
          </cell>
          <cell r="D322" t="str">
            <v>Newhall Elementary</v>
          </cell>
          <cell r="E322">
            <v>7032</v>
          </cell>
          <cell r="F322">
            <v>119547</v>
          </cell>
          <cell r="G322">
            <v>10</v>
          </cell>
        </row>
        <row r="323">
          <cell r="A323" t="str">
            <v>19</v>
          </cell>
          <cell r="B323" t="str">
            <v>64840</v>
          </cell>
          <cell r="C323" t="str">
            <v>Los Angeles</v>
          </cell>
          <cell r="D323" t="str">
            <v>Norwalk-La Mirada Unified</v>
          </cell>
          <cell r="E323">
            <v>21478</v>
          </cell>
          <cell r="F323">
            <v>365133</v>
          </cell>
          <cell r="G323">
            <v>27</v>
          </cell>
        </row>
        <row r="324">
          <cell r="A324" t="str">
            <v>19</v>
          </cell>
          <cell r="B324" t="str">
            <v>64857</v>
          </cell>
          <cell r="C324" t="str">
            <v>Los Angeles</v>
          </cell>
          <cell r="D324" t="str">
            <v>Palmdale Elementary</v>
          </cell>
          <cell r="E324">
            <v>21223</v>
          </cell>
          <cell r="F324">
            <v>365406</v>
          </cell>
          <cell r="G324">
            <v>27</v>
          </cell>
        </row>
        <row r="325">
          <cell r="A325" t="str">
            <v>19</v>
          </cell>
          <cell r="B325" t="str">
            <v>64865</v>
          </cell>
          <cell r="C325" t="str">
            <v>Los Angeles</v>
          </cell>
          <cell r="D325" t="str">
            <v>Palos Verdes Peninsula Unified</v>
          </cell>
          <cell r="E325">
            <v>12014</v>
          </cell>
          <cell r="F325">
            <v>209026</v>
          </cell>
          <cell r="G325">
            <v>17</v>
          </cell>
        </row>
        <row r="326">
          <cell r="A326" t="str">
            <v>19</v>
          </cell>
          <cell r="B326" t="str">
            <v>64873</v>
          </cell>
          <cell r="C326" t="str">
            <v>Los Angeles</v>
          </cell>
          <cell r="D326" t="str">
            <v>Paramount Unified</v>
          </cell>
          <cell r="E326">
            <v>15949</v>
          </cell>
          <cell r="F326">
            <v>274043</v>
          </cell>
          <cell r="G326">
            <v>19</v>
          </cell>
        </row>
        <row r="327">
          <cell r="A327" t="str">
            <v>19</v>
          </cell>
          <cell r="B327" t="str">
            <v>64881</v>
          </cell>
          <cell r="C327" t="str">
            <v>Los Angeles</v>
          </cell>
          <cell r="D327" t="str">
            <v>Pasadena Unified</v>
          </cell>
          <cell r="E327">
            <v>19691</v>
          </cell>
          <cell r="F327">
            <v>335071</v>
          </cell>
          <cell r="G327">
            <v>29</v>
          </cell>
        </row>
        <row r="328">
          <cell r="A328" t="str">
            <v>19</v>
          </cell>
          <cell r="B328" t="str">
            <v>64907</v>
          </cell>
          <cell r="C328" t="str">
            <v>Los Angeles</v>
          </cell>
          <cell r="D328" t="str">
            <v>Pomona Unified</v>
          </cell>
          <cell r="E328">
            <v>30032</v>
          </cell>
          <cell r="F328">
            <v>516004</v>
          </cell>
          <cell r="G328">
            <v>44</v>
          </cell>
        </row>
        <row r="329">
          <cell r="A329" t="str">
            <v>19</v>
          </cell>
          <cell r="B329" t="str">
            <v>64931</v>
          </cell>
          <cell r="C329" t="str">
            <v>Los Angeles</v>
          </cell>
          <cell r="D329" t="str">
            <v>Rosemead Elementary</v>
          </cell>
          <cell r="E329">
            <v>3052</v>
          </cell>
          <cell r="F329">
            <v>51884</v>
          </cell>
          <cell r="G329">
            <v>5</v>
          </cell>
        </row>
        <row r="330">
          <cell r="A330" t="str">
            <v>19</v>
          </cell>
          <cell r="B330" t="str">
            <v>64964</v>
          </cell>
          <cell r="C330" t="str">
            <v>Los Angeles</v>
          </cell>
          <cell r="D330" t="str">
            <v>San Marino Unified</v>
          </cell>
          <cell r="E330">
            <v>3195</v>
          </cell>
          <cell r="F330">
            <v>54317</v>
          </cell>
          <cell r="G330">
            <v>4</v>
          </cell>
        </row>
        <row r="331">
          <cell r="A331" t="str">
            <v>19</v>
          </cell>
          <cell r="B331" t="str">
            <v>64980</v>
          </cell>
          <cell r="C331" t="str">
            <v>Los Angeles</v>
          </cell>
          <cell r="D331" t="str">
            <v>Santa Monica-Malibu Unified</v>
          </cell>
          <cell r="E331">
            <v>11579</v>
          </cell>
          <cell r="F331">
            <v>198673</v>
          </cell>
          <cell r="G331">
            <v>16</v>
          </cell>
        </row>
        <row r="332">
          <cell r="A332" t="str">
            <v>19</v>
          </cell>
          <cell r="B332" t="str">
            <v>64998</v>
          </cell>
          <cell r="C332" t="str">
            <v>Los Angeles</v>
          </cell>
          <cell r="D332" t="str">
            <v>Saugus Union Elementary</v>
          </cell>
          <cell r="E332">
            <v>10404</v>
          </cell>
          <cell r="F332">
            <v>176873</v>
          </cell>
          <cell r="G332">
            <v>15</v>
          </cell>
        </row>
        <row r="333">
          <cell r="A333" t="str">
            <v>19</v>
          </cell>
          <cell r="B333" t="str">
            <v>65029</v>
          </cell>
          <cell r="C333" t="str">
            <v>Los Angeles</v>
          </cell>
          <cell r="D333" t="str">
            <v>South Pasadena Unified</v>
          </cell>
          <cell r="E333">
            <v>4247</v>
          </cell>
          <cell r="F333">
            <v>72201</v>
          </cell>
          <cell r="G333">
            <v>5</v>
          </cell>
        </row>
        <row r="334">
          <cell r="A334" t="str">
            <v>19</v>
          </cell>
          <cell r="B334" t="str">
            <v>65037</v>
          </cell>
          <cell r="C334" t="str">
            <v>Los Angeles</v>
          </cell>
          <cell r="D334" t="str">
            <v>South Whittier Elementary</v>
          </cell>
          <cell r="E334">
            <v>3906</v>
          </cell>
          <cell r="F334">
            <v>66403</v>
          </cell>
          <cell r="G334">
            <v>8</v>
          </cell>
        </row>
        <row r="335">
          <cell r="A335" t="str">
            <v>19</v>
          </cell>
          <cell r="B335" t="str">
            <v>65045</v>
          </cell>
          <cell r="C335" t="str">
            <v>Los Angeles</v>
          </cell>
          <cell r="D335" t="str">
            <v>Sulphur Springs Union Elementary</v>
          </cell>
          <cell r="E335">
            <v>5774</v>
          </cell>
          <cell r="F335">
            <v>98159</v>
          </cell>
          <cell r="G335">
            <v>9</v>
          </cell>
        </row>
        <row r="336">
          <cell r="A336" t="str">
            <v>19</v>
          </cell>
          <cell r="B336" t="str">
            <v>65052</v>
          </cell>
          <cell r="C336" t="str">
            <v>Los Angeles</v>
          </cell>
          <cell r="D336" t="str">
            <v>Temple City Unified</v>
          </cell>
          <cell r="E336">
            <v>5486</v>
          </cell>
          <cell r="F336">
            <v>98710</v>
          </cell>
          <cell r="G336">
            <v>8</v>
          </cell>
        </row>
        <row r="337">
          <cell r="A337" t="str">
            <v>19</v>
          </cell>
          <cell r="B337" t="str">
            <v>65060</v>
          </cell>
          <cell r="C337" t="str">
            <v>Los Angeles</v>
          </cell>
          <cell r="D337" t="str">
            <v>Torrance Unified</v>
          </cell>
          <cell r="E337">
            <v>24648</v>
          </cell>
          <cell r="F337">
            <v>422328</v>
          </cell>
          <cell r="G337">
            <v>31</v>
          </cell>
        </row>
        <row r="338">
          <cell r="A338" t="str">
            <v>19</v>
          </cell>
          <cell r="B338" t="str">
            <v>65078</v>
          </cell>
          <cell r="C338" t="str">
            <v>Los Angeles</v>
          </cell>
          <cell r="D338" t="str">
            <v>Valle Lindo Elementary</v>
          </cell>
          <cell r="E338">
            <v>1155</v>
          </cell>
          <cell r="F338">
            <v>19635</v>
          </cell>
          <cell r="G338">
            <v>2</v>
          </cell>
        </row>
        <row r="339">
          <cell r="A339" t="str">
            <v>19</v>
          </cell>
          <cell r="B339" t="str">
            <v>65094</v>
          </cell>
          <cell r="C339" t="str">
            <v>Los Angeles</v>
          </cell>
          <cell r="D339" t="str">
            <v>West Covina Unified</v>
          </cell>
          <cell r="E339">
            <v>10322</v>
          </cell>
          <cell r="F339">
            <v>175478</v>
          </cell>
          <cell r="G339">
            <v>14</v>
          </cell>
        </row>
        <row r="340">
          <cell r="A340" t="str">
            <v>19</v>
          </cell>
          <cell r="B340" t="str">
            <v>65102</v>
          </cell>
          <cell r="C340" t="str">
            <v>Los Angeles</v>
          </cell>
          <cell r="D340" t="str">
            <v>Westside Union Elementary</v>
          </cell>
          <cell r="E340">
            <v>8829</v>
          </cell>
          <cell r="F340">
            <v>151234</v>
          </cell>
          <cell r="G340">
            <v>11</v>
          </cell>
        </row>
        <row r="341">
          <cell r="A341" t="str">
            <v>19</v>
          </cell>
          <cell r="B341" t="str">
            <v>65110</v>
          </cell>
          <cell r="C341" t="str">
            <v>Los Angeles</v>
          </cell>
          <cell r="D341" t="str">
            <v>Whittier City Elementary</v>
          </cell>
          <cell r="E341">
            <v>6617</v>
          </cell>
          <cell r="F341">
            <v>112491</v>
          </cell>
          <cell r="G341">
            <v>11</v>
          </cell>
        </row>
        <row r="342">
          <cell r="A342" t="str">
            <v>19</v>
          </cell>
          <cell r="B342" t="str">
            <v>65128</v>
          </cell>
          <cell r="C342" t="str">
            <v>Los Angeles</v>
          </cell>
          <cell r="D342" t="str">
            <v>Whittier Union High</v>
          </cell>
          <cell r="E342">
            <v>13603</v>
          </cell>
          <cell r="F342">
            <v>231261</v>
          </cell>
          <cell r="G342">
            <v>7</v>
          </cell>
        </row>
        <row r="343">
          <cell r="A343" t="str">
            <v>19</v>
          </cell>
          <cell r="B343" t="str">
            <v>65136</v>
          </cell>
          <cell r="C343" t="str">
            <v>Los Angeles</v>
          </cell>
          <cell r="D343" t="str">
            <v>William S. Hart Union High</v>
          </cell>
          <cell r="E343">
            <v>23211</v>
          </cell>
          <cell r="F343">
            <v>400926</v>
          </cell>
          <cell r="G343">
            <v>17</v>
          </cell>
        </row>
        <row r="344">
          <cell r="A344" t="str">
            <v>19</v>
          </cell>
          <cell r="B344" t="str">
            <v>65151</v>
          </cell>
          <cell r="C344" t="str">
            <v>Los Angeles</v>
          </cell>
          <cell r="D344" t="str">
            <v>Wilsona Elementary</v>
          </cell>
          <cell r="E344">
            <v>1737</v>
          </cell>
          <cell r="F344">
            <v>32328</v>
          </cell>
          <cell r="G344">
            <v>4</v>
          </cell>
        </row>
        <row r="345">
          <cell r="A345" t="str">
            <v>19</v>
          </cell>
          <cell r="B345" t="str">
            <v>65169</v>
          </cell>
          <cell r="C345" t="str">
            <v>Los Angeles</v>
          </cell>
          <cell r="D345" t="str">
            <v>Wiseburn Elementary</v>
          </cell>
          <cell r="E345">
            <v>2273</v>
          </cell>
          <cell r="F345">
            <v>38642</v>
          </cell>
          <cell r="G345">
            <v>4</v>
          </cell>
        </row>
        <row r="346">
          <cell r="A346" t="str">
            <v>19</v>
          </cell>
          <cell r="B346" t="str">
            <v>73437</v>
          </cell>
          <cell r="C346" t="str">
            <v>Los Angeles</v>
          </cell>
          <cell r="D346" t="str">
            <v>Compton Unified</v>
          </cell>
          <cell r="E346">
            <v>27369</v>
          </cell>
          <cell r="F346">
            <v>474038</v>
          </cell>
          <cell r="G346">
            <v>40</v>
          </cell>
        </row>
        <row r="347">
          <cell r="A347" t="str">
            <v>19</v>
          </cell>
          <cell r="B347" t="str">
            <v>73445</v>
          </cell>
          <cell r="C347" t="str">
            <v>Los Angeles</v>
          </cell>
          <cell r="D347" t="str">
            <v>Hacienda la Puente Unified</v>
          </cell>
          <cell r="E347">
            <v>21950</v>
          </cell>
          <cell r="F347">
            <v>381299</v>
          </cell>
          <cell r="G347">
            <v>37</v>
          </cell>
        </row>
        <row r="348">
          <cell r="A348" t="str">
            <v>19</v>
          </cell>
          <cell r="B348" t="str">
            <v>73452</v>
          </cell>
          <cell r="C348" t="str">
            <v>Los Angeles</v>
          </cell>
          <cell r="D348" t="str">
            <v>Rowland Unified</v>
          </cell>
          <cell r="E348">
            <v>16505</v>
          </cell>
          <cell r="F348">
            <v>286122</v>
          </cell>
          <cell r="G348">
            <v>23</v>
          </cell>
        </row>
        <row r="349">
          <cell r="A349" t="str">
            <v>19</v>
          </cell>
          <cell r="B349" t="str">
            <v>73460</v>
          </cell>
          <cell r="C349" t="str">
            <v>Los Angeles</v>
          </cell>
          <cell r="D349" t="str">
            <v>Walnut Valley Unified</v>
          </cell>
          <cell r="E349">
            <v>14984</v>
          </cell>
          <cell r="F349">
            <v>256395</v>
          </cell>
          <cell r="G349">
            <v>15</v>
          </cell>
        </row>
        <row r="350">
          <cell r="A350" t="str">
            <v>19</v>
          </cell>
          <cell r="B350" t="str">
            <v>75291</v>
          </cell>
          <cell r="C350" t="str">
            <v>Los Angeles</v>
          </cell>
          <cell r="D350" t="str">
            <v>San Gabriel Unified</v>
          </cell>
          <cell r="E350">
            <v>5439</v>
          </cell>
          <cell r="F350">
            <v>94856</v>
          </cell>
          <cell r="G350">
            <v>8</v>
          </cell>
        </row>
        <row r="351">
          <cell r="A351" t="str">
            <v>19</v>
          </cell>
          <cell r="B351" t="str">
            <v>75309</v>
          </cell>
          <cell r="C351" t="str">
            <v>Los Angeles</v>
          </cell>
          <cell r="D351" t="str">
            <v>Acton-Agua Dulce Unified</v>
          </cell>
          <cell r="E351">
            <v>1807</v>
          </cell>
          <cell r="F351">
            <v>30719</v>
          </cell>
          <cell r="G351">
            <v>4</v>
          </cell>
        </row>
        <row r="352">
          <cell r="A352" t="str">
            <v>19</v>
          </cell>
          <cell r="B352" t="str">
            <v>75333</v>
          </cell>
          <cell r="C352" t="str">
            <v>Los Angeles</v>
          </cell>
          <cell r="D352" t="str">
            <v>Manhattan Beach Unified</v>
          </cell>
          <cell r="E352">
            <v>6451</v>
          </cell>
          <cell r="F352">
            <v>109670</v>
          </cell>
          <cell r="G352">
            <v>7</v>
          </cell>
        </row>
        <row r="353">
          <cell r="A353" t="str">
            <v>19</v>
          </cell>
          <cell r="B353" t="str">
            <v>75341</v>
          </cell>
          <cell r="C353" t="str">
            <v>Los Angeles</v>
          </cell>
          <cell r="D353" t="str">
            <v>Redondo Beach Unified</v>
          </cell>
          <cell r="E353">
            <v>8251</v>
          </cell>
          <cell r="F353">
            <v>144312</v>
          </cell>
          <cell r="G353">
            <v>13</v>
          </cell>
        </row>
        <row r="354">
          <cell r="A354" t="str">
            <v>19</v>
          </cell>
          <cell r="B354" t="str">
            <v>75713</v>
          </cell>
          <cell r="C354" t="str">
            <v>Los Angeles</v>
          </cell>
          <cell r="D354" t="str">
            <v>Alhambra Unified</v>
          </cell>
          <cell r="E354">
            <v>18680</v>
          </cell>
          <cell r="F354">
            <v>318994</v>
          </cell>
          <cell r="G354">
            <v>18</v>
          </cell>
        </row>
        <row r="355">
          <cell r="A355" t="str">
            <v>20</v>
          </cell>
          <cell r="B355" t="str">
            <v>10207</v>
          </cell>
          <cell r="C355" t="str">
            <v>Madera</v>
          </cell>
          <cell r="D355" t="str">
            <v>Madera County Office of Education</v>
          </cell>
          <cell r="E355">
            <v>666</v>
          </cell>
          <cell r="F355">
            <v>28166</v>
          </cell>
          <cell r="G355">
            <v>9</v>
          </cell>
        </row>
        <row r="356">
          <cell r="A356" t="str">
            <v>20</v>
          </cell>
          <cell r="B356" t="str">
            <v>65177</v>
          </cell>
          <cell r="C356" t="str">
            <v>Madera</v>
          </cell>
          <cell r="D356" t="str">
            <v>Alview-Dairyland Union Elementary</v>
          </cell>
          <cell r="E356">
            <v>370</v>
          </cell>
          <cell r="F356">
            <v>7219</v>
          </cell>
          <cell r="G356">
            <v>2</v>
          </cell>
        </row>
        <row r="357">
          <cell r="A357" t="str">
            <v>20</v>
          </cell>
          <cell r="B357" t="str">
            <v>65185</v>
          </cell>
          <cell r="C357" t="str">
            <v>Madera</v>
          </cell>
          <cell r="D357" t="str">
            <v>Bass Lake Joint Union Elementary</v>
          </cell>
          <cell r="E357">
            <v>1104</v>
          </cell>
          <cell r="F357">
            <v>26102</v>
          </cell>
          <cell r="G357">
            <v>7</v>
          </cell>
        </row>
        <row r="358">
          <cell r="A358" t="str">
            <v>20</v>
          </cell>
          <cell r="B358" t="str">
            <v>65193</v>
          </cell>
          <cell r="C358" t="str">
            <v>Madera</v>
          </cell>
          <cell r="D358" t="str">
            <v>Chowchilla Elementary</v>
          </cell>
          <cell r="E358">
            <v>1924</v>
          </cell>
          <cell r="F358">
            <v>32708</v>
          </cell>
          <cell r="G358">
            <v>5</v>
          </cell>
        </row>
        <row r="359">
          <cell r="A359" t="str">
            <v>20</v>
          </cell>
          <cell r="B359" t="str">
            <v>65201</v>
          </cell>
          <cell r="C359" t="str">
            <v>Madera</v>
          </cell>
          <cell r="D359" t="str">
            <v>Chowchilla Union High</v>
          </cell>
          <cell r="E359">
            <v>996</v>
          </cell>
          <cell r="F359">
            <v>20123</v>
          </cell>
          <cell r="G359">
            <v>2</v>
          </cell>
        </row>
        <row r="360">
          <cell r="A360" t="str">
            <v>20</v>
          </cell>
          <cell r="B360" t="str">
            <v>65243</v>
          </cell>
          <cell r="C360" t="str">
            <v>Madera</v>
          </cell>
          <cell r="D360" t="str">
            <v>Madera Unified</v>
          </cell>
          <cell r="E360">
            <v>18675</v>
          </cell>
          <cell r="F360">
            <v>318761</v>
          </cell>
          <cell r="G360">
            <v>24</v>
          </cell>
        </row>
        <row r="361">
          <cell r="A361" t="str">
            <v>20</v>
          </cell>
          <cell r="B361" t="str">
            <v>65276</v>
          </cell>
          <cell r="C361" t="str">
            <v>Madera</v>
          </cell>
          <cell r="D361" t="str">
            <v>Raymond-Knowles Union Elementary</v>
          </cell>
          <cell r="E361">
            <v>80</v>
          </cell>
          <cell r="F361">
            <v>5792</v>
          </cell>
          <cell r="G361">
            <v>2</v>
          </cell>
        </row>
        <row r="362">
          <cell r="A362" t="str">
            <v>20</v>
          </cell>
          <cell r="B362" t="str">
            <v>75580</v>
          </cell>
          <cell r="C362" t="str">
            <v>Madera</v>
          </cell>
          <cell r="D362" t="str">
            <v>Golden Valley Unified</v>
          </cell>
          <cell r="E362">
            <v>1941</v>
          </cell>
          <cell r="F362">
            <v>43034</v>
          </cell>
          <cell r="G362">
            <v>8</v>
          </cell>
        </row>
        <row r="363">
          <cell r="A363" t="str">
            <v>20</v>
          </cell>
          <cell r="B363" t="str">
            <v>75606</v>
          </cell>
          <cell r="C363" t="str">
            <v>Madera</v>
          </cell>
          <cell r="D363" t="str">
            <v>Chawanakee Unified</v>
          </cell>
          <cell r="E363">
            <v>754</v>
          </cell>
          <cell r="F363">
            <v>25127</v>
          </cell>
          <cell r="G363">
            <v>7</v>
          </cell>
        </row>
        <row r="364">
          <cell r="A364" t="str">
            <v>20</v>
          </cell>
          <cell r="B364" t="str">
            <v>76414</v>
          </cell>
          <cell r="C364" t="str">
            <v>Madera</v>
          </cell>
          <cell r="D364" t="str">
            <v>Yosemite Unified</v>
          </cell>
          <cell r="E364">
            <v>2419</v>
          </cell>
          <cell r="F364">
            <v>62510</v>
          </cell>
          <cell r="G364">
            <v>11</v>
          </cell>
        </row>
        <row r="365">
          <cell r="A365" t="str">
            <v>21</v>
          </cell>
          <cell r="B365" t="str">
            <v>10215</v>
          </cell>
          <cell r="C365" t="str">
            <v>Marin</v>
          </cell>
          <cell r="D365" t="str">
            <v>Marin County Office of Education</v>
          </cell>
          <cell r="E365">
            <v>475</v>
          </cell>
          <cell r="F365">
            <v>13776</v>
          </cell>
          <cell r="G365">
            <v>4</v>
          </cell>
        </row>
        <row r="366">
          <cell r="A366" t="str">
            <v>21</v>
          </cell>
          <cell r="B366" t="str">
            <v>65300</v>
          </cell>
          <cell r="C366" t="str">
            <v>Marin</v>
          </cell>
          <cell r="D366" t="str">
            <v>Bolinas-Stinson Union</v>
          </cell>
          <cell r="E366">
            <v>101</v>
          </cell>
          <cell r="F366">
            <v>3564</v>
          </cell>
          <cell r="G366">
            <v>1</v>
          </cell>
        </row>
        <row r="367">
          <cell r="A367" t="str">
            <v>21</v>
          </cell>
          <cell r="B367" t="str">
            <v>65318</v>
          </cell>
          <cell r="C367" t="str">
            <v>Marin</v>
          </cell>
          <cell r="D367" t="str">
            <v>Dixie Elementary</v>
          </cell>
          <cell r="E367">
            <v>1783</v>
          </cell>
          <cell r="F367">
            <v>30311</v>
          </cell>
          <cell r="G367">
            <v>4</v>
          </cell>
        </row>
        <row r="368">
          <cell r="A368" t="str">
            <v>21</v>
          </cell>
          <cell r="B368" t="str">
            <v>65334</v>
          </cell>
          <cell r="C368" t="str">
            <v>Marin</v>
          </cell>
          <cell r="D368" t="str">
            <v>Kentfield Elementary</v>
          </cell>
          <cell r="E368">
            <v>1007</v>
          </cell>
          <cell r="F368">
            <v>17119</v>
          </cell>
          <cell r="G368">
            <v>2</v>
          </cell>
        </row>
        <row r="369">
          <cell r="A369" t="str">
            <v>21</v>
          </cell>
          <cell r="B369" t="str">
            <v>65342</v>
          </cell>
          <cell r="C369" t="str">
            <v>Marin</v>
          </cell>
          <cell r="D369" t="str">
            <v>Laguna Joint Elementary</v>
          </cell>
          <cell r="E369">
            <v>35</v>
          </cell>
          <cell r="F369">
            <v>3564</v>
          </cell>
          <cell r="G369">
            <v>1</v>
          </cell>
        </row>
        <row r="370">
          <cell r="A370" t="str">
            <v>21</v>
          </cell>
          <cell r="B370" t="str">
            <v>65359</v>
          </cell>
          <cell r="C370" t="str">
            <v>Marin</v>
          </cell>
          <cell r="D370" t="str">
            <v>Lagunitas Elementary</v>
          </cell>
          <cell r="E370">
            <v>287</v>
          </cell>
          <cell r="F370">
            <v>7128</v>
          </cell>
          <cell r="G370">
            <v>2</v>
          </cell>
        </row>
        <row r="371">
          <cell r="A371" t="str">
            <v>21</v>
          </cell>
          <cell r="B371" t="str">
            <v>65367</v>
          </cell>
          <cell r="C371" t="str">
            <v>Marin</v>
          </cell>
          <cell r="D371" t="str">
            <v>Larkspur</v>
          </cell>
          <cell r="E371">
            <v>1257</v>
          </cell>
          <cell r="F371">
            <v>21369</v>
          </cell>
          <cell r="G371">
            <v>2</v>
          </cell>
        </row>
        <row r="372">
          <cell r="A372" t="str">
            <v>21</v>
          </cell>
          <cell r="B372" t="str">
            <v>65375</v>
          </cell>
          <cell r="C372" t="str">
            <v>Marin</v>
          </cell>
          <cell r="D372" t="str">
            <v>Lincoln Elementary</v>
          </cell>
          <cell r="E372">
            <v>13</v>
          </cell>
          <cell r="F372">
            <v>2228</v>
          </cell>
          <cell r="G372">
            <v>1</v>
          </cell>
        </row>
        <row r="373">
          <cell r="A373" t="str">
            <v>21</v>
          </cell>
          <cell r="B373" t="str">
            <v>65391</v>
          </cell>
          <cell r="C373" t="str">
            <v>Marin</v>
          </cell>
          <cell r="D373" t="str">
            <v>Mill Valley Elementary</v>
          </cell>
          <cell r="E373">
            <v>2490</v>
          </cell>
          <cell r="F373">
            <v>42330</v>
          </cell>
          <cell r="G373">
            <v>6</v>
          </cell>
        </row>
        <row r="374">
          <cell r="A374" t="str">
            <v>21</v>
          </cell>
          <cell r="B374" t="str">
            <v>65409</v>
          </cell>
          <cell r="C374" t="str">
            <v>Marin</v>
          </cell>
          <cell r="D374" t="str">
            <v>Nicasio</v>
          </cell>
          <cell r="E374">
            <v>59</v>
          </cell>
          <cell r="F374">
            <v>3564</v>
          </cell>
          <cell r="G374">
            <v>1</v>
          </cell>
        </row>
        <row r="375">
          <cell r="A375" t="str">
            <v>21</v>
          </cell>
          <cell r="B375" t="str">
            <v>65417</v>
          </cell>
          <cell r="C375" t="str">
            <v>Marin</v>
          </cell>
          <cell r="D375" t="str">
            <v>Novato Unified</v>
          </cell>
          <cell r="E375">
            <v>7686</v>
          </cell>
          <cell r="F375">
            <v>135055</v>
          </cell>
          <cell r="G375">
            <v>15</v>
          </cell>
        </row>
        <row r="376">
          <cell r="A376" t="str">
            <v>21</v>
          </cell>
          <cell r="B376" t="str">
            <v>65425</v>
          </cell>
          <cell r="C376" t="str">
            <v>Marin</v>
          </cell>
          <cell r="D376" t="str">
            <v>Reed Union Elementary</v>
          </cell>
          <cell r="E376">
            <v>1163</v>
          </cell>
          <cell r="F376">
            <v>19771</v>
          </cell>
          <cell r="G376">
            <v>3</v>
          </cell>
        </row>
        <row r="377">
          <cell r="A377" t="str">
            <v>21</v>
          </cell>
          <cell r="B377" t="str">
            <v>65433</v>
          </cell>
          <cell r="C377" t="str">
            <v>Marin</v>
          </cell>
          <cell r="D377" t="str">
            <v>Ross Elementary</v>
          </cell>
          <cell r="E377">
            <v>378</v>
          </cell>
          <cell r="F377">
            <v>6426</v>
          </cell>
          <cell r="G377">
            <v>1</v>
          </cell>
        </row>
        <row r="378">
          <cell r="A378" t="str">
            <v>21</v>
          </cell>
          <cell r="B378" t="str">
            <v>65458</v>
          </cell>
          <cell r="C378" t="str">
            <v>Marin</v>
          </cell>
          <cell r="D378" t="str">
            <v>San Rafael City Elementary</v>
          </cell>
          <cell r="E378">
            <v>3750</v>
          </cell>
          <cell r="F378">
            <v>64255</v>
          </cell>
          <cell r="G378">
            <v>8</v>
          </cell>
        </row>
        <row r="379">
          <cell r="A379" t="str">
            <v>21</v>
          </cell>
          <cell r="B379" t="str">
            <v>65466</v>
          </cell>
          <cell r="C379" t="str">
            <v>Marin</v>
          </cell>
          <cell r="D379" t="str">
            <v>San Rafael City High</v>
          </cell>
          <cell r="E379">
            <v>2133</v>
          </cell>
          <cell r="F379">
            <v>38875</v>
          </cell>
          <cell r="G379">
            <v>3</v>
          </cell>
        </row>
        <row r="380">
          <cell r="A380" t="str">
            <v>21</v>
          </cell>
          <cell r="B380" t="str">
            <v>65474</v>
          </cell>
          <cell r="C380" t="str">
            <v>Marin</v>
          </cell>
          <cell r="D380" t="str">
            <v>Sausalito Marin City</v>
          </cell>
          <cell r="E380">
            <v>177</v>
          </cell>
          <cell r="F380">
            <v>7128</v>
          </cell>
          <cell r="G380">
            <v>2</v>
          </cell>
        </row>
        <row r="381">
          <cell r="A381" t="str">
            <v>21</v>
          </cell>
          <cell r="B381" t="str">
            <v>65482</v>
          </cell>
          <cell r="C381" t="str">
            <v>Marin</v>
          </cell>
          <cell r="D381" t="str">
            <v>Tamalpais Union High</v>
          </cell>
          <cell r="E381">
            <v>3811</v>
          </cell>
          <cell r="F381">
            <v>68025</v>
          </cell>
          <cell r="G381">
            <v>5</v>
          </cell>
        </row>
        <row r="382">
          <cell r="A382" t="str">
            <v>21</v>
          </cell>
          <cell r="B382" t="str">
            <v>65516</v>
          </cell>
          <cell r="C382" t="str">
            <v>Marin</v>
          </cell>
          <cell r="D382" t="str">
            <v>Union Joint Elementary</v>
          </cell>
          <cell r="E382">
            <v>14</v>
          </cell>
          <cell r="F382">
            <v>2228</v>
          </cell>
          <cell r="G382">
            <v>1</v>
          </cell>
        </row>
        <row r="383">
          <cell r="A383" t="str">
            <v>21</v>
          </cell>
          <cell r="B383" t="str">
            <v>73361</v>
          </cell>
          <cell r="C383" t="str">
            <v>Marin</v>
          </cell>
          <cell r="D383" t="str">
            <v>Shoreline Unified</v>
          </cell>
          <cell r="E383">
            <v>567</v>
          </cell>
          <cell r="F383">
            <v>17820</v>
          </cell>
          <cell r="G383">
            <v>5</v>
          </cell>
        </row>
        <row r="384">
          <cell r="A384" t="str">
            <v>21</v>
          </cell>
          <cell r="B384" t="str">
            <v>75002</v>
          </cell>
          <cell r="C384" t="str">
            <v>Marin</v>
          </cell>
          <cell r="D384" t="str">
            <v>Ross Valley Elementary</v>
          </cell>
          <cell r="E384">
            <v>1935</v>
          </cell>
          <cell r="F384">
            <v>32895</v>
          </cell>
          <cell r="G384">
            <v>4</v>
          </cell>
        </row>
        <row r="385">
          <cell r="A385" t="str">
            <v>22</v>
          </cell>
          <cell r="B385" t="str">
            <v>10223</v>
          </cell>
          <cell r="C385" t="str">
            <v>Mariposa</v>
          </cell>
          <cell r="D385" t="str">
            <v>Mariposa County Office of Education</v>
          </cell>
          <cell r="E385">
            <v>54</v>
          </cell>
          <cell r="F385">
            <v>8020</v>
          </cell>
          <cell r="G385">
            <v>3</v>
          </cell>
        </row>
        <row r="386">
          <cell r="A386" t="str">
            <v>22</v>
          </cell>
          <cell r="B386" t="str">
            <v>65532</v>
          </cell>
          <cell r="C386" t="str">
            <v>Mariposa</v>
          </cell>
          <cell r="D386" t="str">
            <v>Mariposa County Unified</v>
          </cell>
          <cell r="E386">
            <v>2201</v>
          </cell>
          <cell r="F386">
            <v>57145</v>
          </cell>
          <cell r="G386">
            <v>14</v>
          </cell>
        </row>
        <row r="387">
          <cell r="A387" t="str">
            <v>23</v>
          </cell>
          <cell r="B387" t="str">
            <v>10231</v>
          </cell>
          <cell r="C387" t="str">
            <v>Mendocino</v>
          </cell>
          <cell r="D387" t="str">
            <v>Mendocino County Office of Education</v>
          </cell>
          <cell r="E387">
            <v>221</v>
          </cell>
          <cell r="F387">
            <v>11584</v>
          </cell>
          <cell r="G387">
            <v>4</v>
          </cell>
        </row>
        <row r="388">
          <cell r="A388" t="str">
            <v>23</v>
          </cell>
          <cell r="B388" t="str">
            <v>65540</v>
          </cell>
          <cell r="C388" t="str">
            <v>Mendocino</v>
          </cell>
          <cell r="D388" t="str">
            <v>Anderson Valley Unified</v>
          </cell>
          <cell r="E388">
            <v>543</v>
          </cell>
          <cell r="F388">
            <v>11323</v>
          </cell>
          <cell r="G388">
            <v>3</v>
          </cell>
        </row>
        <row r="389">
          <cell r="A389" t="str">
            <v>23</v>
          </cell>
          <cell r="B389" t="str">
            <v>65557</v>
          </cell>
          <cell r="C389" t="str">
            <v>Mendocino</v>
          </cell>
          <cell r="D389" t="str">
            <v>Arena Union Elementary</v>
          </cell>
          <cell r="E389">
            <v>209</v>
          </cell>
          <cell r="F389">
            <v>3564</v>
          </cell>
          <cell r="G389">
            <v>1</v>
          </cell>
        </row>
        <row r="390">
          <cell r="A390" t="str">
            <v>23</v>
          </cell>
          <cell r="B390" t="str">
            <v>65565</v>
          </cell>
          <cell r="C390" t="str">
            <v>Mendocino</v>
          </cell>
          <cell r="D390" t="str">
            <v>Fort Bragg Unified</v>
          </cell>
          <cell r="E390">
            <v>1907</v>
          </cell>
          <cell r="F390">
            <v>40413</v>
          </cell>
          <cell r="G390">
            <v>8</v>
          </cell>
        </row>
        <row r="391">
          <cell r="A391" t="str">
            <v>23</v>
          </cell>
          <cell r="B391" t="str">
            <v>65573</v>
          </cell>
          <cell r="C391" t="str">
            <v>Mendocino</v>
          </cell>
          <cell r="D391" t="str">
            <v>Manchester Union Elementary</v>
          </cell>
          <cell r="E391">
            <v>67</v>
          </cell>
          <cell r="F391">
            <v>3564</v>
          </cell>
          <cell r="G391">
            <v>1</v>
          </cell>
        </row>
        <row r="392">
          <cell r="A392" t="str">
            <v>23</v>
          </cell>
          <cell r="B392" t="str">
            <v>65581</v>
          </cell>
          <cell r="C392" t="str">
            <v>Mendocino</v>
          </cell>
          <cell r="D392" t="str">
            <v>Mendocino Unified</v>
          </cell>
          <cell r="E392">
            <v>548</v>
          </cell>
          <cell r="F392">
            <v>21983</v>
          </cell>
          <cell r="G392">
            <v>7</v>
          </cell>
        </row>
        <row r="393">
          <cell r="A393" t="str">
            <v>23</v>
          </cell>
          <cell r="B393" t="str">
            <v>65599</v>
          </cell>
          <cell r="C393" t="str">
            <v>Mendocino</v>
          </cell>
          <cell r="D393" t="str">
            <v>Point Arena Joint Union High</v>
          </cell>
          <cell r="E393">
            <v>185</v>
          </cell>
          <cell r="F393">
            <v>5792</v>
          </cell>
          <cell r="G393">
            <v>2</v>
          </cell>
        </row>
        <row r="394">
          <cell r="A394" t="str">
            <v>23</v>
          </cell>
          <cell r="B394" t="str">
            <v>65607</v>
          </cell>
          <cell r="C394" t="str">
            <v>Mendocino</v>
          </cell>
          <cell r="D394" t="str">
            <v>Round Valley Unified</v>
          </cell>
          <cell r="E394">
            <v>331</v>
          </cell>
          <cell r="F394">
            <v>13971</v>
          </cell>
          <cell r="G394">
            <v>5</v>
          </cell>
        </row>
        <row r="395">
          <cell r="A395" t="str">
            <v>23</v>
          </cell>
          <cell r="B395" t="str">
            <v>65615</v>
          </cell>
          <cell r="C395" t="str">
            <v>Mendocino</v>
          </cell>
          <cell r="D395" t="str">
            <v>Ukiah Unified</v>
          </cell>
          <cell r="E395">
            <v>5736</v>
          </cell>
          <cell r="F395">
            <v>99898</v>
          </cell>
          <cell r="G395">
            <v>12</v>
          </cell>
        </row>
        <row r="396">
          <cell r="A396" t="str">
            <v>23</v>
          </cell>
          <cell r="B396" t="str">
            <v>65623</v>
          </cell>
          <cell r="C396" t="str">
            <v>Mendocino</v>
          </cell>
          <cell r="D396" t="str">
            <v>Willits Unified</v>
          </cell>
          <cell r="E396">
            <v>1824</v>
          </cell>
          <cell r="F396">
            <v>43572</v>
          </cell>
          <cell r="G396">
            <v>9</v>
          </cell>
        </row>
        <row r="397">
          <cell r="A397" t="str">
            <v>23</v>
          </cell>
          <cell r="B397" t="str">
            <v>73866</v>
          </cell>
          <cell r="C397" t="str">
            <v>Mendocino</v>
          </cell>
          <cell r="D397" t="str">
            <v>Potter Valley Community Unified</v>
          </cell>
          <cell r="E397">
            <v>261</v>
          </cell>
          <cell r="F397">
            <v>15148</v>
          </cell>
          <cell r="G397">
            <v>5</v>
          </cell>
        </row>
        <row r="398">
          <cell r="A398" t="str">
            <v>23</v>
          </cell>
          <cell r="B398" t="str">
            <v>73916</v>
          </cell>
          <cell r="C398" t="str">
            <v>Mendocino</v>
          </cell>
          <cell r="D398" t="str">
            <v>Laytonville Unified</v>
          </cell>
          <cell r="E398">
            <v>386</v>
          </cell>
          <cell r="F398">
            <v>16182</v>
          </cell>
          <cell r="G398">
            <v>6</v>
          </cell>
        </row>
        <row r="399">
          <cell r="A399" t="str">
            <v>23</v>
          </cell>
          <cell r="B399" t="str">
            <v>75218</v>
          </cell>
          <cell r="C399" t="str">
            <v>Mendocino</v>
          </cell>
          <cell r="D399" t="str">
            <v>Leggett Valley Unified</v>
          </cell>
          <cell r="E399">
            <v>149</v>
          </cell>
          <cell r="F399">
            <v>15148</v>
          </cell>
          <cell r="G399">
            <v>5</v>
          </cell>
        </row>
        <row r="400">
          <cell r="A400" t="str">
            <v>24</v>
          </cell>
          <cell r="B400" t="str">
            <v>10249</v>
          </cell>
          <cell r="C400" t="str">
            <v>Merced</v>
          </cell>
          <cell r="D400" t="str">
            <v>Merced County Office of Education</v>
          </cell>
          <cell r="E400">
            <v>1865</v>
          </cell>
          <cell r="F400">
            <v>41383</v>
          </cell>
          <cell r="G400">
            <v>7</v>
          </cell>
        </row>
        <row r="401">
          <cell r="A401" t="str">
            <v>24</v>
          </cell>
          <cell r="B401" t="str">
            <v>65631</v>
          </cell>
          <cell r="C401" t="str">
            <v>Merced</v>
          </cell>
          <cell r="D401" t="str">
            <v>Atwater Elementary</v>
          </cell>
          <cell r="E401">
            <v>4612</v>
          </cell>
          <cell r="F401">
            <v>80446</v>
          </cell>
          <cell r="G401">
            <v>9</v>
          </cell>
        </row>
        <row r="402">
          <cell r="A402" t="str">
            <v>24</v>
          </cell>
          <cell r="B402" t="str">
            <v>65649</v>
          </cell>
          <cell r="C402" t="str">
            <v>Merced</v>
          </cell>
          <cell r="D402" t="str">
            <v>Ballico-Cressey Elementary</v>
          </cell>
          <cell r="E402">
            <v>311</v>
          </cell>
          <cell r="F402">
            <v>7128</v>
          </cell>
          <cell r="G402">
            <v>2</v>
          </cell>
        </row>
        <row r="403">
          <cell r="A403" t="str">
            <v>24</v>
          </cell>
          <cell r="B403" t="str">
            <v>65680</v>
          </cell>
          <cell r="C403" t="str">
            <v>Merced</v>
          </cell>
          <cell r="D403" t="str">
            <v>El Nido Elementary</v>
          </cell>
          <cell r="E403">
            <v>181</v>
          </cell>
          <cell r="F403">
            <v>3564</v>
          </cell>
          <cell r="G403">
            <v>1</v>
          </cell>
        </row>
        <row r="404">
          <cell r="A404" t="str">
            <v>24</v>
          </cell>
          <cell r="B404" t="str">
            <v>65698</v>
          </cell>
          <cell r="C404" t="str">
            <v>Merced</v>
          </cell>
          <cell r="D404" t="str">
            <v>Hilmar Unified</v>
          </cell>
          <cell r="E404">
            <v>2362</v>
          </cell>
          <cell r="F404">
            <v>45584</v>
          </cell>
          <cell r="G404">
            <v>6</v>
          </cell>
        </row>
        <row r="405">
          <cell r="A405" t="str">
            <v>24</v>
          </cell>
          <cell r="B405" t="str">
            <v>65722</v>
          </cell>
          <cell r="C405" t="str">
            <v>Merced</v>
          </cell>
          <cell r="D405" t="str">
            <v>Le Grand Union Elementary</v>
          </cell>
          <cell r="E405">
            <v>403</v>
          </cell>
          <cell r="F405">
            <v>6851</v>
          </cell>
          <cell r="G405">
            <v>1</v>
          </cell>
        </row>
        <row r="406">
          <cell r="A406" t="str">
            <v>24</v>
          </cell>
          <cell r="B406" t="str">
            <v>65730</v>
          </cell>
          <cell r="C406" t="str">
            <v>Merced</v>
          </cell>
          <cell r="D406" t="str">
            <v>Le Grand Union High</v>
          </cell>
          <cell r="E406">
            <v>572</v>
          </cell>
          <cell r="F406">
            <v>12149</v>
          </cell>
          <cell r="G406">
            <v>2</v>
          </cell>
        </row>
        <row r="407">
          <cell r="A407" t="str">
            <v>24</v>
          </cell>
          <cell r="B407" t="str">
            <v>65748</v>
          </cell>
          <cell r="C407" t="str">
            <v>Merced</v>
          </cell>
          <cell r="D407" t="str">
            <v>Livingston Union</v>
          </cell>
          <cell r="E407">
            <v>2521</v>
          </cell>
          <cell r="F407">
            <v>42858</v>
          </cell>
          <cell r="G407">
            <v>4</v>
          </cell>
        </row>
        <row r="408">
          <cell r="A408" t="str">
            <v>24</v>
          </cell>
          <cell r="B408" t="str">
            <v>65755</v>
          </cell>
          <cell r="C408" t="str">
            <v>Merced</v>
          </cell>
          <cell r="D408" t="str">
            <v>Los Banos Unified</v>
          </cell>
          <cell r="E408">
            <v>8748</v>
          </cell>
          <cell r="F408">
            <v>151319</v>
          </cell>
          <cell r="G408">
            <v>11</v>
          </cell>
        </row>
        <row r="409">
          <cell r="A409" t="str">
            <v>24</v>
          </cell>
          <cell r="B409" t="str">
            <v>65763</v>
          </cell>
          <cell r="C409" t="str">
            <v>Merced</v>
          </cell>
          <cell r="D409" t="str">
            <v>McSwain Union Elementary</v>
          </cell>
          <cell r="E409">
            <v>782</v>
          </cell>
          <cell r="F409">
            <v>13295</v>
          </cell>
          <cell r="G409">
            <v>1</v>
          </cell>
        </row>
        <row r="410">
          <cell r="A410" t="str">
            <v>24</v>
          </cell>
          <cell r="B410" t="str">
            <v>65771</v>
          </cell>
          <cell r="C410" t="str">
            <v>Merced</v>
          </cell>
          <cell r="D410" t="str">
            <v>Merced City Elementary</v>
          </cell>
          <cell r="E410">
            <v>10876</v>
          </cell>
          <cell r="F410">
            <v>188086</v>
          </cell>
          <cell r="G410">
            <v>18</v>
          </cell>
        </row>
        <row r="411">
          <cell r="A411" t="str">
            <v>24</v>
          </cell>
          <cell r="B411" t="str">
            <v>65789</v>
          </cell>
          <cell r="C411" t="str">
            <v>Merced</v>
          </cell>
          <cell r="D411" t="str">
            <v>Merced Union High</v>
          </cell>
          <cell r="E411">
            <v>10591</v>
          </cell>
          <cell r="F411">
            <v>182343</v>
          </cell>
          <cell r="G411">
            <v>8</v>
          </cell>
        </row>
        <row r="412">
          <cell r="A412" t="str">
            <v>24</v>
          </cell>
          <cell r="B412" t="str">
            <v>65813</v>
          </cell>
          <cell r="C412" t="str">
            <v>Merced</v>
          </cell>
          <cell r="D412" t="str">
            <v>Plainsburg Union Elementary</v>
          </cell>
          <cell r="E412">
            <v>114</v>
          </cell>
          <cell r="F412">
            <v>3564</v>
          </cell>
          <cell r="G412">
            <v>1</v>
          </cell>
        </row>
        <row r="413">
          <cell r="A413" t="str">
            <v>24</v>
          </cell>
          <cell r="B413" t="str">
            <v>65821</v>
          </cell>
          <cell r="C413" t="str">
            <v>Merced</v>
          </cell>
          <cell r="D413" t="str">
            <v>Planada Elementary</v>
          </cell>
          <cell r="E413">
            <v>794</v>
          </cell>
          <cell r="F413">
            <v>13498</v>
          </cell>
          <cell r="G413">
            <v>2</v>
          </cell>
        </row>
        <row r="414">
          <cell r="A414" t="str">
            <v>24</v>
          </cell>
          <cell r="B414" t="str">
            <v>65839</v>
          </cell>
          <cell r="C414" t="str">
            <v>Merced</v>
          </cell>
          <cell r="D414" t="str">
            <v>Snelling-Merced Falls Union Elementary</v>
          </cell>
          <cell r="E414">
            <v>86</v>
          </cell>
          <cell r="F414">
            <v>3564</v>
          </cell>
          <cell r="G414">
            <v>1</v>
          </cell>
        </row>
        <row r="415">
          <cell r="A415" t="str">
            <v>24</v>
          </cell>
          <cell r="B415" t="str">
            <v>65862</v>
          </cell>
          <cell r="C415" t="str">
            <v>Merced</v>
          </cell>
          <cell r="D415" t="str">
            <v>Weaver Union</v>
          </cell>
          <cell r="E415">
            <v>2371</v>
          </cell>
          <cell r="F415">
            <v>40309</v>
          </cell>
          <cell r="G415">
            <v>3</v>
          </cell>
        </row>
        <row r="416">
          <cell r="A416" t="str">
            <v>24</v>
          </cell>
          <cell r="B416" t="str">
            <v>65870</v>
          </cell>
          <cell r="C416" t="str">
            <v>Merced</v>
          </cell>
          <cell r="D416" t="str">
            <v>Winton Elementary</v>
          </cell>
          <cell r="E416">
            <v>1794</v>
          </cell>
          <cell r="F416">
            <v>30498</v>
          </cell>
          <cell r="G416">
            <v>4</v>
          </cell>
        </row>
        <row r="417">
          <cell r="A417" t="str">
            <v>24</v>
          </cell>
          <cell r="B417" t="str">
            <v>73619</v>
          </cell>
          <cell r="C417" t="str">
            <v>Merced</v>
          </cell>
          <cell r="D417" t="str">
            <v>Gustine Unified</v>
          </cell>
          <cell r="E417">
            <v>1812</v>
          </cell>
          <cell r="F417">
            <v>36137</v>
          </cell>
          <cell r="G417">
            <v>6</v>
          </cell>
        </row>
        <row r="418">
          <cell r="A418" t="str">
            <v>24</v>
          </cell>
          <cell r="B418" t="str">
            <v>73726</v>
          </cell>
          <cell r="C418" t="str">
            <v>Merced</v>
          </cell>
          <cell r="D418" t="str">
            <v>Merced River Union Elementary</v>
          </cell>
          <cell r="E418">
            <v>187</v>
          </cell>
          <cell r="F418">
            <v>7128</v>
          </cell>
          <cell r="G418">
            <v>2</v>
          </cell>
        </row>
        <row r="419">
          <cell r="A419" t="str">
            <v>24</v>
          </cell>
          <cell r="B419" t="str">
            <v>75317</v>
          </cell>
          <cell r="C419" t="str">
            <v>Merced</v>
          </cell>
          <cell r="D419" t="str">
            <v>Dos Palos Oro Loma Joint Unified</v>
          </cell>
          <cell r="E419">
            <v>2570</v>
          </cell>
          <cell r="F419">
            <v>47011</v>
          </cell>
          <cell r="G419">
            <v>6</v>
          </cell>
        </row>
        <row r="420">
          <cell r="A420" t="str">
            <v>24</v>
          </cell>
          <cell r="B420" t="str">
            <v>75366</v>
          </cell>
          <cell r="C420" t="str">
            <v>Merced</v>
          </cell>
          <cell r="D420" t="str">
            <v>Delhi Unified</v>
          </cell>
          <cell r="E420">
            <v>2644</v>
          </cell>
          <cell r="F420">
            <v>52410</v>
          </cell>
          <cell r="G420">
            <v>7</v>
          </cell>
        </row>
        <row r="421">
          <cell r="A421" t="str">
            <v>25</v>
          </cell>
          <cell r="B421" t="str">
            <v>10256</v>
          </cell>
          <cell r="C421" t="str">
            <v>Modoc</v>
          </cell>
          <cell r="D421" t="str">
            <v>Modoc County Office of Education</v>
          </cell>
          <cell r="E421">
            <v>65</v>
          </cell>
          <cell r="F421">
            <v>11584</v>
          </cell>
          <cell r="G421">
            <v>4</v>
          </cell>
        </row>
        <row r="422">
          <cell r="A422" t="str">
            <v>25</v>
          </cell>
          <cell r="B422" t="str">
            <v>65896</v>
          </cell>
          <cell r="C422" t="str">
            <v>Modoc</v>
          </cell>
          <cell r="D422" t="str">
            <v>Surprise Valley Joint Unified</v>
          </cell>
          <cell r="E422">
            <v>163</v>
          </cell>
          <cell r="F422">
            <v>11584</v>
          </cell>
          <cell r="G422">
            <v>4</v>
          </cell>
        </row>
        <row r="423">
          <cell r="A423" t="str">
            <v>25</v>
          </cell>
          <cell r="B423" t="str">
            <v>73585</v>
          </cell>
          <cell r="C423" t="str">
            <v>Modoc</v>
          </cell>
          <cell r="D423" t="str">
            <v>Modoc Joint Unified</v>
          </cell>
          <cell r="E423">
            <v>914</v>
          </cell>
          <cell r="F423">
            <v>30178</v>
          </cell>
          <cell r="G423">
            <v>9</v>
          </cell>
        </row>
        <row r="424">
          <cell r="A424" t="str">
            <v>25</v>
          </cell>
          <cell r="B424" t="str">
            <v>73593</v>
          </cell>
          <cell r="C424" t="str">
            <v>Modoc</v>
          </cell>
          <cell r="D424" t="str">
            <v>Tulelake Basin Joint Unified</v>
          </cell>
          <cell r="E424">
            <v>535</v>
          </cell>
          <cell r="F424">
            <v>15596</v>
          </cell>
          <cell r="G424">
            <v>5</v>
          </cell>
        </row>
        <row r="425">
          <cell r="A425" t="str">
            <v>26</v>
          </cell>
          <cell r="B425" t="str">
            <v>10264</v>
          </cell>
          <cell r="C425" t="str">
            <v>Mono</v>
          </cell>
          <cell r="D425" t="str">
            <v>Mono County Office of Education</v>
          </cell>
          <cell r="E425">
            <v>41</v>
          </cell>
          <cell r="F425">
            <v>8912</v>
          </cell>
          <cell r="G425">
            <v>4</v>
          </cell>
        </row>
        <row r="426">
          <cell r="A426" t="str">
            <v>26</v>
          </cell>
          <cell r="B426" t="str">
            <v>73668</v>
          </cell>
          <cell r="C426" t="str">
            <v>Mono</v>
          </cell>
          <cell r="D426" t="str">
            <v>Eastern Sierra Unified</v>
          </cell>
          <cell r="E426">
            <v>490</v>
          </cell>
          <cell r="F426">
            <v>33860</v>
          </cell>
          <cell r="G426">
            <v>11</v>
          </cell>
        </row>
        <row r="427">
          <cell r="A427" t="str">
            <v>26</v>
          </cell>
          <cell r="B427" t="str">
            <v>73692</v>
          </cell>
          <cell r="C427" t="str">
            <v>Mono</v>
          </cell>
          <cell r="D427" t="str">
            <v>Mammoth Unified</v>
          </cell>
          <cell r="E427">
            <v>1178</v>
          </cell>
          <cell r="F427">
            <v>26423</v>
          </cell>
          <cell r="G427">
            <v>5</v>
          </cell>
        </row>
        <row r="428">
          <cell r="A428" t="str">
            <v>27</v>
          </cell>
          <cell r="B428" t="str">
            <v>10272</v>
          </cell>
          <cell r="C428" t="str">
            <v>Monterey</v>
          </cell>
          <cell r="D428" t="str">
            <v>Monterey County Office of Education</v>
          </cell>
          <cell r="E428">
            <v>1196</v>
          </cell>
          <cell r="F428">
            <v>23370</v>
          </cell>
          <cell r="G428">
            <v>4</v>
          </cell>
        </row>
        <row r="429">
          <cell r="A429" t="str">
            <v>27</v>
          </cell>
          <cell r="B429" t="str">
            <v>65961</v>
          </cell>
          <cell r="C429" t="str">
            <v>Monterey</v>
          </cell>
          <cell r="D429" t="str">
            <v>Alisal Union</v>
          </cell>
          <cell r="E429">
            <v>7463</v>
          </cell>
          <cell r="F429">
            <v>126874</v>
          </cell>
          <cell r="G429">
            <v>11</v>
          </cell>
        </row>
        <row r="430">
          <cell r="A430" t="str">
            <v>27</v>
          </cell>
          <cell r="B430" t="str">
            <v>65979</v>
          </cell>
          <cell r="C430" t="str">
            <v>Monterey</v>
          </cell>
          <cell r="D430" t="str">
            <v>Bradley Union Elementary</v>
          </cell>
          <cell r="E430">
            <v>42</v>
          </cell>
          <cell r="F430">
            <v>3564</v>
          </cell>
          <cell r="G430">
            <v>1</v>
          </cell>
        </row>
        <row r="431">
          <cell r="A431" t="str">
            <v>27</v>
          </cell>
          <cell r="B431" t="str">
            <v>65987</v>
          </cell>
          <cell r="C431" t="str">
            <v>Monterey</v>
          </cell>
          <cell r="D431" t="str">
            <v>Carmel Unified</v>
          </cell>
          <cell r="E431">
            <v>2152</v>
          </cell>
          <cell r="F431">
            <v>42250</v>
          </cell>
          <cell r="G431">
            <v>6</v>
          </cell>
        </row>
        <row r="432">
          <cell r="A432" t="str">
            <v>27</v>
          </cell>
          <cell r="B432" t="str">
            <v>65995</v>
          </cell>
          <cell r="C432" t="str">
            <v>Monterey</v>
          </cell>
          <cell r="D432" t="str">
            <v>Chualar Union Elementary</v>
          </cell>
          <cell r="E432">
            <v>364</v>
          </cell>
          <cell r="F432">
            <v>6188</v>
          </cell>
          <cell r="G432">
            <v>1</v>
          </cell>
        </row>
        <row r="433">
          <cell r="A433" t="str">
            <v>27</v>
          </cell>
          <cell r="B433" t="str">
            <v>66027</v>
          </cell>
          <cell r="C433" t="str">
            <v>Monterey</v>
          </cell>
          <cell r="D433" t="str">
            <v>Graves Elementary</v>
          </cell>
          <cell r="E433">
            <v>33</v>
          </cell>
          <cell r="F433">
            <v>3564</v>
          </cell>
          <cell r="G433">
            <v>1</v>
          </cell>
        </row>
        <row r="434">
          <cell r="A434" t="str">
            <v>27</v>
          </cell>
          <cell r="B434" t="str">
            <v>66035</v>
          </cell>
          <cell r="C434" t="str">
            <v>Monterey</v>
          </cell>
          <cell r="D434" t="str">
            <v>Greenfield Union Elementary</v>
          </cell>
          <cell r="E434">
            <v>2635</v>
          </cell>
          <cell r="F434">
            <v>44796</v>
          </cell>
          <cell r="G434">
            <v>4</v>
          </cell>
        </row>
        <row r="435">
          <cell r="A435" t="str">
            <v>27</v>
          </cell>
          <cell r="B435" t="str">
            <v>66050</v>
          </cell>
          <cell r="C435" t="str">
            <v>Monterey</v>
          </cell>
          <cell r="D435" t="str">
            <v>King City Union</v>
          </cell>
          <cell r="E435">
            <v>2431</v>
          </cell>
          <cell r="F435">
            <v>41594</v>
          </cell>
          <cell r="G435">
            <v>4</v>
          </cell>
        </row>
        <row r="436">
          <cell r="A436" t="str">
            <v>27</v>
          </cell>
          <cell r="B436" t="str">
            <v>66068</v>
          </cell>
          <cell r="C436" t="str">
            <v>Monterey</v>
          </cell>
          <cell r="D436" t="str">
            <v>King City Joint Union High</v>
          </cell>
          <cell r="E436">
            <v>2134</v>
          </cell>
          <cell r="F436">
            <v>41436</v>
          </cell>
          <cell r="G436">
            <v>4</v>
          </cell>
        </row>
        <row r="437">
          <cell r="A437" t="str">
            <v>27</v>
          </cell>
          <cell r="B437" t="str">
            <v>66076</v>
          </cell>
          <cell r="C437" t="str">
            <v>Monterey</v>
          </cell>
          <cell r="D437" t="str">
            <v>Lagunita Elementary</v>
          </cell>
          <cell r="E437">
            <v>93</v>
          </cell>
          <cell r="F437">
            <v>3564</v>
          </cell>
          <cell r="G437">
            <v>1</v>
          </cell>
        </row>
        <row r="438">
          <cell r="A438" t="str">
            <v>27</v>
          </cell>
          <cell r="B438" t="str">
            <v>66084</v>
          </cell>
          <cell r="C438" t="str">
            <v>Monterey</v>
          </cell>
          <cell r="D438" t="str">
            <v>Mission Union Elementary</v>
          </cell>
          <cell r="E438">
            <v>99</v>
          </cell>
          <cell r="F438">
            <v>3564</v>
          </cell>
          <cell r="G438">
            <v>1</v>
          </cell>
        </row>
        <row r="439">
          <cell r="A439" t="str">
            <v>27</v>
          </cell>
          <cell r="B439" t="str">
            <v>66092</v>
          </cell>
          <cell r="C439" t="str">
            <v>Monterey</v>
          </cell>
          <cell r="D439" t="str">
            <v>Monterey Peninsula Unified</v>
          </cell>
          <cell r="E439">
            <v>11192</v>
          </cell>
          <cell r="F439">
            <v>195329</v>
          </cell>
          <cell r="G439">
            <v>21</v>
          </cell>
        </row>
        <row r="440">
          <cell r="A440" t="str">
            <v>27</v>
          </cell>
          <cell r="B440" t="str">
            <v>66134</v>
          </cell>
          <cell r="C440" t="str">
            <v>Monterey</v>
          </cell>
          <cell r="D440" t="str">
            <v>Pacific Grove Unified</v>
          </cell>
          <cell r="E440">
            <v>1692</v>
          </cell>
          <cell r="F440">
            <v>30720</v>
          </cell>
          <cell r="G440">
            <v>5</v>
          </cell>
        </row>
        <row r="441">
          <cell r="A441" t="str">
            <v>27</v>
          </cell>
          <cell r="B441" t="str">
            <v>66142</v>
          </cell>
          <cell r="C441" t="str">
            <v>Monterey</v>
          </cell>
          <cell r="D441" t="str">
            <v>Salinas City Elementary</v>
          </cell>
          <cell r="E441">
            <v>7866</v>
          </cell>
          <cell r="F441">
            <v>136387</v>
          </cell>
          <cell r="G441">
            <v>13</v>
          </cell>
        </row>
        <row r="442">
          <cell r="A442" t="str">
            <v>27</v>
          </cell>
          <cell r="B442" t="str">
            <v>66159</v>
          </cell>
          <cell r="C442" t="str">
            <v>Monterey</v>
          </cell>
          <cell r="D442" t="str">
            <v>Salinas Union High</v>
          </cell>
          <cell r="E442">
            <v>13455</v>
          </cell>
          <cell r="F442">
            <v>230736</v>
          </cell>
          <cell r="G442">
            <v>10</v>
          </cell>
        </row>
        <row r="443">
          <cell r="A443" t="str">
            <v>27</v>
          </cell>
          <cell r="B443" t="str">
            <v>66167</v>
          </cell>
          <cell r="C443" t="str">
            <v>Monterey</v>
          </cell>
          <cell r="D443" t="str">
            <v>San Antonio Union Elementary</v>
          </cell>
          <cell r="E443">
            <v>190</v>
          </cell>
          <cell r="F443">
            <v>3564</v>
          </cell>
          <cell r="G443">
            <v>1</v>
          </cell>
        </row>
        <row r="444">
          <cell r="A444" t="str">
            <v>27</v>
          </cell>
          <cell r="B444" t="str">
            <v>66175</v>
          </cell>
          <cell r="C444" t="str">
            <v>Monterey</v>
          </cell>
          <cell r="D444" t="str">
            <v>San Ardo Union Elementary</v>
          </cell>
          <cell r="E444">
            <v>119</v>
          </cell>
          <cell r="F444">
            <v>3564</v>
          </cell>
          <cell r="G444">
            <v>1</v>
          </cell>
        </row>
        <row r="445">
          <cell r="A445" t="str">
            <v>27</v>
          </cell>
          <cell r="B445" t="str">
            <v>66183</v>
          </cell>
          <cell r="C445" t="str">
            <v>Monterey</v>
          </cell>
          <cell r="D445" t="str">
            <v>San Lucas Union Elementary</v>
          </cell>
          <cell r="E445">
            <v>64</v>
          </cell>
          <cell r="F445">
            <v>3564</v>
          </cell>
          <cell r="G445">
            <v>1</v>
          </cell>
        </row>
        <row r="446">
          <cell r="A446" t="str">
            <v>27</v>
          </cell>
          <cell r="B446" t="str">
            <v>66191</v>
          </cell>
          <cell r="C446" t="str">
            <v>Monterey</v>
          </cell>
          <cell r="D446" t="str">
            <v>Santa Rita Union Elementary</v>
          </cell>
          <cell r="E446">
            <v>3094</v>
          </cell>
          <cell r="F446">
            <v>52599</v>
          </cell>
          <cell r="G446">
            <v>5</v>
          </cell>
        </row>
        <row r="447">
          <cell r="A447" t="str">
            <v>27</v>
          </cell>
          <cell r="B447" t="str">
            <v>66225</v>
          </cell>
          <cell r="C447" t="str">
            <v>Monterey</v>
          </cell>
          <cell r="D447" t="str">
            <v>Spreckels Union Elementary</v>
          </cell>
          <cell r="E447">
            <v>903</v>
          </cell>
          <cell r="F447">
            <v>15351</v>
          </cell>
          <cell r="G447">
            <v>2</v>
          </cell>
        </row>
        <row r="448">
          <cell r="A448" t="str">
            <v>27</v>
          </cell>
          <cell r="B448" t="str">
            <v>66233</v>
          </cell>
          <cell r="C448" t="str">
            <v>Monterey</v>
          </cell>
          <cell r="D448" t="str">
            <v>Washington Union Elementary</v>
          </cell>
          <cell r="E448">
            <v>949</v>
          </cell>
          <cell r="F448">
            <v>16133</v>
          </cell>
          <cell r="G448">
            <v>3</v>
          </cell>
        </row>
        <row r="449">
          <cell r="A449" t="str">
            <v>27</v>
          </cell>
          <cell r="B449" t="str">
            <v>73825</v>
          </cell>
          <cell r="C449" t="str">
            <v>Monterey</v>
          </cell>
          <cell r="D449" t="str">
            <v>North Monterey County Unified</v>
          </cell>
          <cell r="E449">
            <v>4632</v>
          </cell>
          <cell r="F449">
            <v>81555</v>
          </cell>
          <cell r="G449">
            <v>8</v>
          </cell>
        </row>
        <row r="450">
          <cell r="A450" t="str">
            <v>27</v>
          </cell>
          <cell r="B450" t="str">
            <v>75150</v>
          </cell>
          <cell r="C450" t="str">
            <v>Monterey</v>
          </cell>
          <cell r="D450" t="str">
            <v>Pacific Unified</v>
          </cell>
          <cell r="E450">
            <v>15</v>
          </cell>
          <cell r="F450">
            <v>2228</v>
          </cell>
          <cell r="G450">
            <v>1</v>
          </cell>
        </row>
        <row r="451">
          <cell r="A451" t="str">
            <v>27</v>
          </cell>
          <cell r="B451" t="str">
            <v>75440</v>
          </cell>
          <cell r="C451" t="str">
            <v>Monterey</v>
          </cell>
          <cell r="D451" t="str">
            <v>Soledad Unified</v>
          </cell>
          <cell r="E451">
            <v>4259</v>
          </cell>
          <cell r="F451">
            <v>77016</v>
          </cell>
          <cell r="G451">
            <v>9</v>
          </cell>
        </row>
        <row r="452">
          <cell r="A452" t="str">
            <v>27</v>
          </cell>
          <cell r="B452" t="str">
            <v>75473</v>
          </cell>
          <cell r="C452" t="str">
            <v>Monterey</v>
          </cell>
          <cell r="D452" t="str">
            <v>Gonzales Unified</v>
          </cell>
          <cell r="E452">
            <v>2296</v>
          </cell>
          <cell r="F452">
            <v>41985</v>
          </cell>
          <cell r="G452">
            <v>4</v>
          </cell>
        </row>
        <row r="453">
          <cell r="A453" t="str">
            <v>28</v>
          </cell>
          <cell r="B453" t="str">
            <v>10280</v>
          </cell>
          <cell r="C453" t="str">
            <v>Napa</v>
          </cell>
          <cell r="D453" t="str">
            <v>Napa County Office of Education</v>
          </cell>
          <cell r="E453">
            <v>201</v>
          </cell>
          <cell r="F453">
            <v>11584</v>
          </cell>
          <cell r="G453">
            <v>4</v>
          </cell>
        </row>
        <row r="454">
          <cell r="A454" t="str">
            <v>28</v>
          </cell>
          <cell r="B454" t="str">
            <v>66241</v>
          </cell>
          <cell r="C454" t="str">
            <v>Napa</v>
          </cell>
          <cell r="D454" t="str">
            <v>Calistoga Joint Unified</v>
          </cell>
          <cell r="E454">
            <v>868</v>
          </cell>
          <cell r="F454">
            <v>16814</v>
          </cell>
          <cell r="G454">
            <v>3</v>
          </cell>
        </row>
        <row r="455">
          <cell r="A455" t="str">
            <v>28</v>
          </cell>
          <cell r="B455" t="str">
            <v>66258</v>
          </cell>
          <cell r="C455" t="str">
            <v>Napa</v>
          </cell>
          <cell r="D455" t="str">
            <v>Howell Mountain Elementary</v>
          </cell>
          <cell r="E455">
            <v>109</v>
          </cell>
          <cell r="F455">
            <v>3564</v>
          </cell>
          <cell r="G455">
            <v>1</v>
          </cell>
        </row>
        <row r="456">
          <cell r="A456" t="str">
            <v>28</v>
          </cell>
          <cell r="B456" t="str">
            <v>66266</v>
          </cell>
          <cell r="C456" t="str">
            <v>Napa</v>
          </cell>
          <cell r="D456" t="str">
            <v>Napa Valley Unified</v>
          </cell>
          <cell r="E456">
            <v>17498</v>
          </cell>
          <cell r="F456">
            <v>312695</v>
          </cell>
          <cell r="G456">
            <v>36</v>
          </cell>
        </row>
        <row r="457">
          <cell r="A457" t="str">
            <v>28</v>
          </cell>
          <cell r="B457" t="str">
            <v>66282</v>
          </cell>
          <cell r="C457" t="str">
            <v>Napa</v>
          </cell>
          <cell r="D457" t="str">
            <v>Pope Valley Union Elementary</v>
          </cell>
          <cell r="E457">
            <v>65</v>
          </cell>
          <cell r="F457">
            <v>3564</v>
          </cell>
          <cell r="G457">
            <v>1</v>
          </cell>
        </row>
        <row r="458">
          <cell r="A458" t="str">
            <v>28</v>
          </cell>
          <cell r="B458" t="str">
            <v>66290</v>
          </cell>
          <cell r="C458" t="str">
            <v>Napa</v>
          </cell>
          <cell r="D458" t="str">
            <v>Saint Helena Unified</v>
          </cell>
          <cell r="E458">
            <v>1351</v>
          </cell>
          <cell r="F458">
            <v>22967</v>
          </cell>
          <cell r="G458">
            <v>4</v>
          </cell>
        </row>
        <row r="459">
          <cell r="A459" t="str">
            <v>29</v>
          </cell>
          <cell r="B459" t="str">
            <v>10298</v>
          </cell>
          <cell r="C459" t="str">
            <v>Nevada</v>
          </cell>
          <cell r="D459" t="str">
            <v>Nevada County Office of Education</v>
          </cell>
          <cell r="E459">
            <v>1458</v>
          </cell>
          <cell r="F459">
            <v>39470</v>
          </cell>
          <cell r="G459">
            <v>10</v>
          </cell>
        </row>
        <row r="460">
          <cell r="A460" t="str">
            <v>29</v>
          </cell>
          <cell r="B460" t="str">
            <v>66316</v>
          </cell>
          <cell r="C460" t="str">
            <v>Nevada</v>
          </cell>
          <cell r="D460" t="str">
            <v>Chicago Park Elementary</v>
          </cell>
          <cell r="E460">
            <v>148</v>
          </cell>
          <cell r="F460">
            <v>3564</v>
          </cell>
          <cell r="G460">
            <v>1</v>
          </cell>
        </row>
        <row r="461">
          <cell r="A461" t="str">
            <v>29</v>
          </cell>
          <cell r="B461" t="str">
            <v>66324</v>
          </cell>
          <cell r="C461" t="str">
            <v>Nevada</v>
          </cell>
          <cell r="D461" t="str">
            <v>Clear Creek Elementary</v>
          </cell>
          <cell r="E461">
            <v>130</v>
          </cell>
          <cell r="F461">
            <v>3564</v>
          </cell>
          <cell r="G461">
            <v>1</v>
          </cell>
        </row>
        <row r="462">
          <cell r="A462" t="str">
            <v>29</v>
          </cell>
          <cell r="B462" t="str">
            <v>66332</v>
          </cell>
          <cell r="C462" t="str">
            <v>Nevada</v>
          </cell>
          <cell r="D462" t="str">
            <v>Grass Valley Elementary</v>
          </cell>
          <cell r="E462">
            <v>1676</v>
          </cell>
          <cell r="F462">
            <v>32761</v>
          </cell>
          <cell r="G462">
            <v>6</v>
          </cell>
        </row>
        <row r="463">
          <cell r="A463" t="str">
            <v>29</v>
          </cell>
          <cell r="B463" t="str">
            <v>66340</v>
          </cell>
          <cell r="C463" t="str">
            <v>Nevada</v>
          </cell>
          <cell r="D463" t="str">
            <v>Nevada City Elementary</v>
          </cell>
          <cell r="E463">
            <v>1237</v>
          </cell>
          <cell r="F463">
            <v>27234</v>
          </cell>
          <cell r="G463">
            <v>6</v>
          </cell>
        </row>
        <row r="464">
          <cell r="A464" t="str">
            <v>29</v>
          </cell>
          <cell r="B464" t="str">
            <v>66357</v>
          </cell>
          <cell r="C464" t="str">
            <v>Nevada</v>
          </cell>
          <cell r="D464" t="str">
            <v>Nevada Joint Union High</v>
          </cell>
          <cell r="E464">
            <v>3853</v>
          </cell>
          <cell r="F464">
            <v>76940</v>
          </cell>
          <cell r="G464">
            <v>8</v>
          </cell>
        </row>
        <row r="465">
          <cell r="A465" t="str">
            <v>29</v>
          </cell>
          <cell r="B465" t="str">
            <v>66373</v>
          </cell>
          <cell r="C465" t="str">
            <v>Nevada</v>
          </cell>
          <cell r="D465" t="str">
            <v>Pleasant Ridge Union Elementary</v>
          </cell>
          <cell r="E465">
            <v>1676</v>
          </cell>
          <cell r="F465">
            <v>30652</v>
          </cell>
          <cell r="G465">
            <v>5</v>
          </cell>
        </row>
        <row r="466">
          <cell r="A466" t="str">
            <v>29</v>
          </cell>
          <cell r="B466" t="str">
            <v>66381</v>
          </cell>
          <cell r="C466" t="str">
            <v>Nevada</v>
          </cell>
          <cell r="D466" t="str">
            <v>Pleasant Valley Elementary</v>
          </cell>
          <cell r="E466">
            <v>552</v>
          </cell>
          <cell r="F466">
            <v>11561</v>
          </cell>
          <cell r="G466">
            <v>3</v>
          </cell>
        </row>
        <row r="467">
          <cell r="A467" t="str">
            <v>29</v>
          </cell>
          <cell r="B467" t="str">
            <v>66399</v>
          </cell>
          <cell r="C467" t="str">
            <v>Nevada</v>
          </cell>
          <cell r="D467" t="str">
            <v>Ready Springs Union Elementary</v>
          </cell>
          <cell r="E467">
            <v>299</v>
          </cell>
          <cell r="F467">
            <v>7525</v>
          </cell>
          <cell r="G467">
            <v>2</v>
          </cell>
        </row>
        <row r="468">
          <cell r="A468" t="str">
            <v>29</v>
          </cell>
          <cell r="B468" t="str">
            <v>66407</v>
          </cell>
          <cell r="C468" t="str">
            <v>Nevada</v>
          </cell>
          <cell r="D468" t="str">
            <v>Union Hill Elementary</v>
          </cell>
          <cell r="E468">
            <v>773</v>
          </cell>
          <cell r="F468">
            <v>17845</v>
          </cell>
          <cell r="G468">
            <v>3</v>
          </cell>
        </row>
        <row r="469">
          <cell r="A469" t="str">
            <v>29</v>
          </cell>
          <cell r="B469" t="str">
            <v>66415</v>
          </cell>
          <cell r="C469" t="str">
            <v>Nevada</v>
          </cell>
          <cell r="D469" t="str">
            <v>Twin Ridges Elementary</v>
          </cell>
          <cell r="E469">
            <v>97</v>
          </cell>
          <cell r="F469">
            <v>8020</v>
          </cell>
          <cell r="G469">
            <v>3</v>
          </cell>
        </row>
        <row r="470">
          <cell r="A470" t="str">
            <v>30</v>
          </cell>
          <cell r="B470" t="str">
            <v>10306</v>
          </cell>
          <cell r="C470" t="str">
            <v>Orange</v>
          </cell>
          <cell r="D470" t="str">
            <v>Orange County Department of Education</v>
          </cell>
          <cell r="E470">
            <v>8204</v>
          </cell>
          <cell r="F470">
            <v>139473</v>
          </cell>
          <cell r="G470">
            <v>4</v>
          </cell>
        </row>
        <row r="471">
          <cell r="A471" t="str">
            <v>30</v>
          </cell>
          <cell r="B471" t="str">
            <v>66423</v>
          </cell>
          <cell r="C471" t="str">
            <v>Orange</v>
          </cell>
          <cell r="D471" t="str">
            <v>Anaheim City</v>
          </cell>
          <cell r="E471">
            <v>19263</v>
          </cell>
          <cell r="F471">
            <v>327484</v>
          </cell>
          <cell r="G471">
            <v>24</v>
          </cell>
        </row>
        <row r="472">
          <cell r="A472" t="str">
            <v>30</v>
          </cell>
          <cell r="B472" t="str">
            <v>66431</v>
          </cell>
          <cell r="C472" t="str">
            <v>Orange</v>
          </cell>
          <cell r="D472" t="str">
            <v>Anaheim Union High</v>
          </cell>
          <cell r="E472">
            <v>32926</v>
          </cell>
          <cell r="F472">
            <v>564532</v>
          </cell>
          <cell r="G472">
            <v>22</v>
          </cell>
        </row>
        <row r="473">
          <cell r="A473" t="str">
            <v>30</v>
          </cell>
          <cell r="B473" t="str">
            <v>66449</v>
          </cell>
          <cell r="C473" t="str">
            <v>Orange</v>
          </cell>
          <cell r="D473" t="str">
            <v>Brea-Olinda Unified</v>
          </cell>
          <cell r="E473">
            <v>5936</v>
          </cell>
          <cell r="F473">
            <v>103152</v>
          </cell>
          <cell r="G473">
            <v>9</v>
          </cell>
        </row>
        <row r="474">
          <cell r="A474" t="str">
            <v>30</v>
          </cell>
          <cell r="B474" t="str">
            <v>66456</v>
          </cell>
          <cell r="C474" t="str">
            <v>Orange</v>
          </cell>
          <cell r="D474" t="str">
            <v>Buena Park Elementary</v>
          </cell>
          <cell r="E474">
            <v>5564</v>
          </cell>
          <cell r="F474">
            <v>94590</v>
          </cell>
          <cell r="G474">
            <v>7</v>
          </cell>
        </row>
        <row r="475">
          <cell r="A475" t="str">
            <v>30</v>
          </cell>
          <cell r="B475" t="str">
            <v>66464</v>
          </cell>
          <cell r="C475" t="str">
            <v>Orange</v>
          </cell>
          <cell r="D475" t="str">
            <v>Capistrano Unified</v>
          </cell>
          <cell r="E475">
            <v>51683</v>
          </cell>
          <cell r="F475">
            <v>886442</v>
          </cell>
          <cell r="G475">
            <v>58</v>
          </cell>
        </row>
        <row r="476">
          <cell r="A476" t="str">
            <v>30</v>
          </cell>
          <cell r="B476" t="str">
            <v>66472</v>
          </cell>
          <cell r="C476" t="str">
            <v>Orange</v>
          </cell>
          <cell r="D476" t="str">
            <v>Centralia Elementary</v>
          </cell>
          <cell r="E476">
            <v>4745</v>
          </cell>
          <cell r="F476">
            <v>80665</v>
          </cell>
          <cell r="G476">
            <v>9</v>
          </cell>
        </row>
        <row r="477">
          <cell r="A477" t="str">
            <v>30</v>
          </cell>
          <cell r="B477" t="str">
            <v>66480</v>
          </cell>
          <cell r="C477" t="str">
            <v>Orange</v>
          </cell>
          <cell r="D477" t="str">
            <v>Cypress Elementary</v>
          </cell>
          <cell r="E477">
            <v>4077</v>
          </cell>
          <cell r="F477">
            <v>69309</v>
          </cell>
          <cell r="G477">
            <v>9</v>
          </cell>
        </row>
        <row r="478">
          <cell r="A478" t="str">
            <v>30</v>
          </cell>
          <cell r="B478" t="str">
            <v>66498</v>
          </cell>
          <cell r="C478" t="str">
            <v>Orange</v>
          </cell>
          <cell r="D478" t="str">
            <v>Fountain Valley Elementary</v>
          </cell>
          <cell r="E478">
            <v>6142</v>
          </cell>
          <cell r="F478">
            <v>104416</v>
          </cell>
          <cell r="G478">
            <v>11</v>
          </cell>
        </row>
        <row r="479">
          <cell r="A479" t="str">
            <v>30</v>
          </cell>
          <cell r="B479" t="str">
            <v>66506</v>
          </cell>
          <cell r="C479" t="str">
            <v>Orange</v>
          </cell>
          <cell r="D479" t="str">
            <v>Fullerton Elementary</v>
          </cell>
          <cell r="E479">
            <v>13445</v>
          </cell>
          <cell r="F479">
            <v>228572</v>
          </cell>
          <cell r="G479">
            <v>20</v>
          </cell>
        </row>
        <row r="480">
          <cell r="A480" t="str">
            <v>30</v>
          </cell>
          <cell r="B480" t="str">
            <v>66514</v>
          </cell>
          <cell r="C480" t="str">
            <v>Orange</v>
          </cell>
          <cell r="D480" t="str">
            <v>Fullerton Joint Union High</v>
          </cell>
          <cell r="E480">
            <v>16304</v>
          </cell>
          <cell r="F480">
            <v>277177</v>
          </cell>
          <cell r="G480">
            <v>8</v>
          </cell>
        </row>
        <row r="481">
          <cell r="A481" t="str">
            <v>30</v>
          </cell>
          <cell r="B481" t="str">
            <v>66522</v>
          </cell>
          <cell r="C481" t="str">
            <v>Orange</v>
          </cell>
          <cell r="D481" t="str">
            <v>Garden Grove Unified</v>
          </cell>
          <cell r="E481">
            <v>48420</v>
          </cell>
          <cell r="F481">
            <v>830820</v>
          </cell>
          <cell r="G481">
            <v>67</v>
          </cell>
        </row>
        <row r="482">
          <cell r="A482" t="str">
            <v>30</v>
          </cell>
          <cell r="B482" t="str">
            <v>66530</v>
          </cell>
          <cell r="C482" t="str">
            <v>Orange</v>
          </cell>
          <cell r="D482" t="str">
            <v>Huntington Beach City Elementary</v>
          </cell>
          <cell r="E482">
            <v>6674</v>
          </cell>
          <cell r="F482">
            <v>113461</v>
          </cell>
          <cell r="G482">
            <v>9</v>
          </cell>
        </row>
        <row r="483">
          <cell r="A483" t="str">
            <v>30</v>
          </cell>
          <cell r="B483" t="str">
            <v>66548</v>
          </cell>
          <cell r="C483" t="str">
            <v>Orange</v>
          </cell>
          <cell r="D483" t="str">
            <v>Huntington Beach Union High</v>
          </cell>
          <cell r="E483">
            <v>16097</v>
          </cell>
          <cell r="F483">
            <v>276476</v>
          </cell>
          <cell r="G483">
            <v>9</v>
          </cell>
        </row>
        <row r="484">
          <cell r="A484" t="str">
            <v>30</v>
          </cell>
          <cell r="B484" t="str">
            <v>66555</v>
          </cell>
          <cell r="C484" t="str">
            <v>Orange</v>
          </cell>
          <cell r="D484" t="str">
            <v>Laguna Beach Unified</v>
          </cell>
          <cell r="E484">
            <v>2941</v>
          </cell>
          <cell r="F484">
            <v>49998</v>
          </cell>
          <cell r="G484">
            <v>4</v>
          </cell>
        </row>
        <row r="485">
          <cell r="A485" t="str">
            <v>30</v>
          </cell>
          <cell r="B485" t="str">
            <v>66563</v>
          </cell>
          <cell r="C485" t="str">
            <v>Orange</v>
          </cell>
          <cell r="D485" t="str">
            <v>La Habra City Elementary</v>
          </cell>
          <cell r="E485">
            <v>5625</v>
          </cell>
          <cell r="F485">
            <v>95627</v>
          </cell>
          <cell r="G485">
            <v>9</v>
          </cell>
        </row>
        <row r="486">
          <cell r="A486" t="str">
            <v>30</v>
          </cell>
          <cell r="B486" t="str">
            <v>66589</v>
          </cell>
          <cell r="C486" t="str">
            <v>Orange</v>
          </cell>
          <cell r="D486" t="str">
            <v>Magnolia Elementary</v>
          </cell>
          <cell r="E486">
            <v>6313</v>
          </cell>
          <cell r="F486">
            <v>107324</v>
          </cell>
          <cell r="G486">
            <v>9</v>
          </cell>
        </row>
        <row r="487">
          <cell r="A487" t="str">
            <v>30</v>
          </cell>
          <cell r="B487" t="str">
            <v>66597</v>
          </cell>
          <cell r="C487" t="str">
            <v>Orange</v>
          </cell>
          <cell r="D487" t="str">
            <v>Newport-Mesa Unified</v>
          </cell>
          <cell r="E487">
            <v>21488</v>
          </cell>
          <cell r="F487">
            <v>370180</v>
          </cell>
          <cell r="G487">
            <v>32</v>
          </cell>
        </row>
        <row r="488">
          <cell r="A488" t="str">
            <v>30</v>
          </cell>
          <cell r="B488" t="str">
            <v>66613</v>
          </cell>
          <cell r="C488" t="str">
            <v>Orange</v>
          </cell>
          <cell r="D488" t="str">
            <v>Ocean View</v>
          </cell>
          <cell r="E488">
            <v>9503</v>
          </cell>
          <cell r="F488">
            <v>161556</v>
          </cell>
          <cell r="G488">
            <v>15</v>
          </cell>
        </row>
        <row r="489">
          <cell r="A489" t="str">
            <v>30</v>
          </cell>
          <cell r="B489" t="str">
            <v>66621</v>
          </cell>
          <cell r="C489" t="str">
            <v>Orange</v>
          </cell>
          <cell r="D489" t="str">
            <v>Orange Unified</v>
          </cell>
          <cell r="E489">
            <v>29103</v>
          </cell>
          <cell r="F489">
            <v>504490</v>
          </cell>
          <cell r="G489">
            <v>43</v>
          </cell>
        </row>
        <row r="490">
          <cell r="A490" t="str">
            <v>30</v>
          </cell>
          <cell r="B490" t="str">
            <v>66647</v>
          </cell>
          <cell r="C490" t="str">
            <v>Orange</v>
          </cell>
          <cell r="D490" t="str">
            <v>Placentia-Yorba Linda Unified</v>
          </cell>
          <cell r="E490">
            <v>26100</v>
          </cell>
          <cell r="F490">
            <v>448308</v>
          </cell>
          <cell r="G490">
            <v>33</v>
          </cell>
        </row>
        <row r="491">
          <cell r="A491" t="str">
            <v>30</v>
          </cell>
          <cell r="B491" t="str">
            <v>66670</v>
          </cell>
          <cell r="C491" t="str">
            <v>Orange</v>
          </cell>
          <cell r="D491" t="str">
            <v>Santa Ana Unified</v>
          </cell>
          <cell r="E491">
            <v>54584</v>
          </cell>
          <cell r="F491">
            <v>929591</v>
          </cell>
          <cell r="G491">
            <v>55</v>
          </cell>
        </row>
        <row r="492">
          <cell r="A492" t="str">
            <v>30</v>
          </cell>
          <cell r="B492" t="str">
            <v>66696</v>
          </cell>
          <cell r="C492" t="str">
            <v>Orange</v>
          </cell>
          <cell r="D492" t="str">
            <v>Savanna Elementary</v>
          </cell>
          <cell r="E492">
            <v>2468</v>
          </cell>
          <cell r="F492">
            <v>41956</v>
          </cell>
          <cell r="G492">
            <v>4</v>
          </cell>
        </row>
        <row r="493">
          <cell r="A493" t="str">
            <v>30</v>
          </cell>
          <cell r="B493" t="str">
            <v>66746</v>
          </cell>
          <cell r="C493" t="str">
            <v>Orange</v>
          </cell>
          <cell r="D493" t="str">
            <v>Westminster Elementary</v>
          </cell>
          <cell r="E493">
            <v>9875</v>
          </cell>
          <cell r="F493">
            <v>167879</v>
          </cell>
          <cell r="G493">
            <v>15</v>
          </cell>
        </row>
        <row r="494">
          <cell r="A494" t="str">
            <v>30</v>
          </cell>
          <cell r="B494" t="str">
            <v>73635</v>
          </cell>
          <cell r="C494" t="str">
            <v>Orange</v>
          </cell>
          <cell r="D494" t="str">
            <v>Saddleback Valley Unified</v>
          </cell>
          <cell r="E494">
            <v>32903</v>
          </cell>
          <cell r="F494">
            <v>565873</v>
          </cell>
          <cell r="G494">
            <v>37</v>
          </cell>
        </row>
        <row r="495">
          <cell r="A495" t="str">
            <v>30</v>
          </cell>
          <cell r="B495" t="str">
            <v>73643</v>
          </cell>
          <cell r="C495" t="str">
            <v>Orange</v>
          </cell>
          <cell r="D495" t="str">
            <v>Tustin Unified</v>
          </cell>
          <cell r="E495">
            <v>21668</v>
          </cell>
          <cell r="F495">
            <v>370961</v>
          </cell>
          <cell r="G495">
            <v>28</v>
          </cell>
        </row>
        <row r="496">
          <cell r="A496" t="str">
            <v>30</v>
          </cell>
          <cell r="B496" t="str">
            <v>73650</v>
          </cell>
          <cell r="C496" t="str">
            <v>Orange</v>
          </cell>
          <cell r="D496" t="str">
            <v>Irvine Unified</v>
          </cell>
          <cell r="E496">
            <v>26534</v>
          </cell>
          <cell r="F496">
            <v>457280</v>
          </cell>
          <cell r="G496">
            <v>35</v>
          </cell>
        </row>
        <row r="497">
          <cell r="A497" t="str">
            <v>30</v>
          </cell>
          <cell r="B497" t="str">
            <v>73924</v>
          </cell>
          <cell r="C497" t="str">
            <v>Orange</v>
          </cell>
          <cell r="D497" t="str">
            <v>Los Alamitos Unified</v>
          </cell>
          <cell r="E497">
            <v>9461</v>
          </cell>
          <cell r="F497">
            <v>162416</v>
          </cell>
          <cell r="G497">
            <v>10</v>
          </cell>
        </row>
        <row r="498">
          <cell r="A498" t="str">
            <v>31</v>
          </cell>
          <cell r="B498" t="str">
            <v>10314</v>
          </cell>
          <cell r="C498" t="str">
            <v>Placer</v>
          </cell>
          <cell r="D498" t="str">
            <v>Placer County Office of Education</v>
          </cell>
          <cell r="E498">
            <v>644</v>
          </cell>
          <cell r="F498">
            <v>19016</v>
          </cell>
          <cell r="G498">
            <v>5</v>
          </cell>
        </row>
        <row r="499">
          <cell r="A499" t="str">
            <v>31</v>
          </cell>
          <cell r="B499" t="str">
            <v>66761</v>
          </cell>
          <cell r="C499" t="str">
            <v>Placer</v>
          </cell>
          <cell r="D499" t="str">
            <v>Ackerman Elementary</v>
          </cell>
          <cell r="E499">
            <v>508</v>
          </cell>
          <cell r="F499">
            <v>8636</v>
          </cell>
          <cell r="G499">
            <v>1</v>
          </cell>
        </row>
        <row r="500">
          <cell r="A500" t="str">
            <v>31</v>
          </cell>
          <cell r="B500" t="str">
            <v>66779</v>
          </cell>
          <cell r="C500" t="str">
            <v>Placer</v>
          </cell>
          <cell r="D500" t="str">
            <v>Alta-Dutch Flat Union Elementary</v>
          </cell>
          <cell r="E500">
            <v>118</v>
          </cell>
          <cell r="F500">
            <v>5792</v>
          </cell>
          <cell r="G500">
            <v>2</v>
          </cell>
        </row>
        <row r="501">
          <cell r="A501" t="str">
            <v>31</v>
          </cell>
          <cell r="B501" t="str">
            <v>66787</v>
          </cell>
          <cell r="C501" t="str">
            <v>Placer</v>
          </cell>
          <cell r="D501" t="str">
            <v>Auburn Union Elementary</v>
          </cell>
          <cell r="E501">
            <v>2134</v>
          </cell>
          <cell r="F501">
            <v>36278</v>
          </cell>
          <cell r="G501">
            <v>4</v>
          </cell>
        </row>
        <row r="502">
          <cell r="A502" t="str">
            <v>31</v>
          </cell>
          <cell r="B502" t="str">
            <v>66795</v>
          </cell>
          <cell r="C502" t="str">
            <v>Placer</v>
          </cell>
          <cell r="D502" t="str">
            <v>Colfax Elementary</v>
          </cell>
          <cell r="E502">
            <v>388</v>
          </cell>
          <cell r="F502">
            <v>8790</v>
          </cell>
          <cell r="G502">
            <v>2</v>
          </cell>
        </row>
        <row r="503">
          <cell r="A503" t="str">
            <v>31</v>
          </cell>
          <cell r="B503" t="str">
            <v>66803</v>
          </cell>
          <cell r="C503" t="str">
            <v>Placer</v>
          </cell>
          <cell r="D503" t="str">
            <v>Dry Creek Joint Elementary</v>
          </cell>
          <cell r="E503">
            <v>7276</v>
          </cell>
          <cell r="F503">
            <v>123696</v>
          </cell>
          <cell r="G503">
            <v>10</v>
          </cell>
        </row>
        <row r="504">
          <cell r="A504" t="str">
            <v>31</v>
          </cell>
          <cell r="B504" t="str">
            <v>66829</v>
          </cell>
          <cell r="C504" t="str">
            <v>Placer</v>
          </cell>
          <cell r="D504" t="str">
            <v>Eureka Union</v>
          </cell>
          <cell r="E504">
            <v>3700</v>
          </cell>
          <cell r="F504">
            <v>62900</v>
          </cell>
          <cell r="G504">
            <v>8</v>
          </cell>
        </row>
        <row r="505">
          <cell r="A505" t="str">
            <v>31</v>
          </cell>
          <cell r="B505" t="str">
            <v>66837</v>
          </cell>
          <cell r="C505" t="str">
            <v>Placer</v>
          </cell>
          <cell r="D505" t="str">
            <v>Foresthill Union Elementary</v>
          </cell>
          <cell r="E505">
            <v>522</v>
          </cell>
          <cell r="F505">
            <v>8874</v>
          </cell>
          <cell r="G505">
            <v>2</v>
          </cell>
        </row>
        <row r="506">
          <cell r="A506" t="str">
            <v>31</v>
          </cell>
          <cell r="B506" t="str">
            <v>66845</v>
          </cell>
          <cell r="C506" t="str">
            <v>Placer</v>
          </cell>
          <cell r="D506" t="str">
            <v>Loomis Union Elementary</v>
          </cell>
          <cell r="E506">
            <v>2432</v>
          </cell>
          <cell r="F506">
            <v>42199</v>
          </cell>
          <cell r="G506">
            <v>7</v>
          </cell>
        </row>
        <row r="507">
          <cell r="A507" t="str">
            <v>31</v>
          </cell>
          <cell r="B507" t="str">
            <v>66852</v>
          </cell>
          <cell r="C507" t="str">
            <v>Placer</v>
          </cell>
          <cell r="D507" t="str">
            <v>Newcastle Elementary</v>
          </cell>
          <cell r="E507">
            <v>361</v>
          </cell>
          <cell r="F507">
            <v>7128</v>
          </cell>
          <cell r="G507">
            <v>2</v>
          </cell>
        </row>
        <row r="508">
          <cell r="A508" t="str">
            <v>31</v>
          </cell>
          <cell r="B508" t="str">
            <v>66886</v>
          </cell>
          <cell r="C508" t="str">
            <v>Placer</v>
          </cell>
          <cell r="D508" t="str">
            <v>Placer Hills Union Elementary</v>
          </cell>
          <cell r="E508">
            <v>1133</v>
          </cell>
          <cell r="F508">
            <v>19261</v>
          </cell>
          <cell r="G508">
            <v>2</v>
          </cell>
        </row>
        <row r="509">
          <cell r="A509" t="str">
            <v>31</v>
          </cell>
          <cell r="B509" t="str">
            <v>66894</v>
          </cell>
          <cell r="C509" t="str">
            <v>Placer</v>
          </cell>
          <cell r="D509" t="str">
            <v>Placer Union High</v>
          </cell>
          <cell r="E509">
            <v>4527</v>
          </cell>
          <cell r="F509">
            <v>78514</v>
          </cell>
          <cell r="G509">
            <v>6</v>
          </cell>
        </row>
        <row r="510">
          <cell r="A510" t="str">
            <v>31</v>
          </cell>
          <cell r="B510" t="str">
            <v>66910</v>
          </cell>
          <cell r="C510" t="str">
            <v>Placer</v>
          </cell>
          <cell r="D510" t="str">
            <v>Roseville City Elementary</v>
          </cell>
          <cell r="E510">
            <v>9265</v>
          </cell>
          <cell r="F510">
            <v>157507</v>
          </cell>
          <cell r="G510">
            <v>17</v>
          </cell>
        </row>
        <row r="511">
          <cell r="A511" t="str">
            <v>31</v>
          </cell>
          <cell r="B511" t="str">
            <v>66928</v>
          </cell>
          <cell r="C511" t="str">
            <v>Placer</v>
          </cell>
          <cell r="D511" t="str">
            <v>Roseville Joint Union High</v>
          </cell>
          <cell r="E511">
            <v>9472</v>
          </cell>
          <cell r="F511">
            <v>161244</v>
          </cell>
          <cell r="G511">
            <v>7</v>
          </cell>
        </row>
        <row r="512">
          <cell r="A512" t="str">
            <v>31</v>
          </cell>
          <cell r="B512" t="str">
            <v>66944</v>
          </cell>
          <cell r="C512" t="str">
            <v>Placer</v>
          </cell>
          <cell r="D512" t="str">
            <v>Tahoe-Truckee Joint Unified</v>
          </cell>
          <cell r="E512">
            <v>4114</v>
          </cell>
          <cell r="F512">
            <v>77945</v>
          </cell>
          <cell r="G512">
            <v>11</v>
          </cell>
        </row>
        <row r="513">
          <cell r="A513" t="str">
            <v>31</v>
          </cell>
          <cell r="B513" t="str">
            <v>66951</v>
          </cell>
          <cell r="C513" t="str">
            <v>Placer</v>
          </cell>
          <cell r="D513" t="str">
            <v>Western Placer Unified</v>
          </cell>
          <cell r="E513">
            <v>6383</v>
          </cell>
          <cell r="F513">
            <v>112802</v>
          </cell>
          <cell r="G513">
            <v>11</v>
          </cell>
        </row>
        <row r="514">
          <cell r="A514" t="str">
            <v>31</v>
          </cell>
          <cell r="B514" t="str">
            <v>75085</v>
          </cell>
          <cell r="C514" t="str">
            <v>Placer</v>
          </cell>
          <cell r="D514" t="str">
            <v>Rocklin Unified</v>
          </cell>
          <cell r="E514">
            <v>10356</v>
          </cell>
          <cell r="F514">
            <v>179903</v>
          </cell>
          <cell r="G514">
            <v>16</v>
          </cell>
        </row>
        <row r="515">
          <cell r="A515" t="str">
            <v>32</v>
          </cell>
          <cell r="B515" t="str">
            <v>10322</v>
          </cell>
          <cell r="C515" t="str">
            <v>Plumas</v>
          </cell>
          <cell r="D515" t="str">
            <v>Plumas County Office of Education</v>
          </cell>
          <cell r="E515">
            <v>31</v>
          </cell>
          <cell r="F515">
            <v>6684</v>
          </cell>
          <cell r="G515">
            <v>3</v>
          </cell>
        </row>
        <row r="516">
          <cell r="A516" t="str">
            <v>32</v>
          </cell>
          <cell r="B516" t="str">
            <v>66969</v>
          </cell>
          <cell r="C516" t="str">
            <v>Plumas</v>
          </cell>
          <cell r="D516" t="str">
            <v>Plumas Unified</v>
          </cell>
          <cell r="E516">
            <v>2326</v>
          </cell>
          <cell r="F516">
            <v>49029</v>
          </cell>
          <cell r="G516">
            <v>11</v>
          </cell>
        </row>
        <row r="517">
          <cell r="A517" t="str">
            <v>33</v>
          </cell>
          <cell r="B517" t="str">
            <v>10330</v>
          </cell>
          <cell r="C517" t="str">
            <v>Riverside</v>
          </cell>
          <cell r="D517" t="str">
            <v>Riverside County Office of Education</v>
          </cell>
          <cell r="E517">
            <v>2961</v>
          </cell>
          <cell r="F517">
            <v>50339</v>
          </cell>
          <cell r="G517">
            <v>4</v>
          </cell>
        </row>
        <row r="518">
          <cell r="A518" t="str">
            <v>33</v>
          </cell>
          <cell r="B518" t="str">
            <v>31625</v>
          </cell>
          <cell r="C518" t="str">
            <v>Riverside</v>
          </cell>
          <cell r="D518" t="str">
            <v>California School for the Deaf-Riverside (State Special Schl)</v>
          </cell>
          <cell r="E518">
            <v>413</v>
          </cell>
          <cell r="F518">
            <v>7021</v>
          </cell>
          <cell r="G518">
            <v>1</v>
          </cell>
        </row>
        <row r="519">
          <cell r="A519" t="str">
            <v>33</v>
          </cell>
          <cell r="B519" t="str">
            <v>66977</v>
          </cell>
          <cell r="C519" t="str">
            <v>Riverside</v>
          </cell>
          <cell r="D519" t="str">
            <v>Alvord Unified</v>
          </cell>
          <cell r="E519">
            <v>20010</v>
          </cell>
          <cell r="F519">
            <v>342412</v>
          </cell>
          <cell r="G519">
            <v>22</v>
          </cell>
        </row>
        <row r="520">
          <cell r="A520" t="str">
            <v>33</v>
          </cell>
          <cell r="B520" t="str">
            <v>66985</v>
          </cell>
          <cell r="C520" t="str">
            <v>Riverside</v>
          </cell>
          <cell r="D520" t="str">
            <v>Banning Unified</v>
          </cell>
          <cell r="E520">
            <v>4804</v>
          </cell>
          <cell r="F520">
            <v>85465</v>
          </cell>
          <cell r="G520">
            <v>9</v>
          </cell>
        </row>
        <row r="521">
          <cell r="A521" t="str">
            <v>33</v>
          </cell>
          <cell r="B521" t="str">
            <v>66993</v>
          </cell>
          <cell r="C521" t="str">
            <v>Riverside</v>
          </cell>
          <cell r="D521" t="str">
            <v>Beaumont Unified</v>
          </cell>
          <cell r="E521">
            <v>8047</v>
          </cell>
          <cell r="F521">
            <v>138700</v>
          </cell>
          <cell r="G521">
            <v>10</v>
          </cell>
        </row>
        <row r="522">
          <cell r="A522" t="str">
            <v>33</v>
          </cell>
          <cell r="B522" t="str">
            <v>67033</v>
          </cell>
          <cell r="C522" t="str">
            <v>Riverside</v>
          </cell>
          <cell r="D522" t="str">
            <v>Corona-Norco Unified</v>
          </cell>
          <cell r="E522">
            <v>52095</v>
          </cell>
          <cell r="F522">
            <v>896698</v>
          </cell>
          <cell r="G522">
            <v>50</v>
          </cell>
        </row>
        <row r="523">
          <cell r="A523" t="str">
            <v>33</v>
          </cell>
          <cell r="B523" t="str">
            <v>67041</v>
          </cell>
          <cell r="C523" t="str">
            <v>Riverside</v>
          </cell>
          <cell r="D523" t="str">
            <v>Desert Center Unified</v>
          </cell>
          <cell r="E523">
            <v>14</v>
          </cell>
          <cell r="F523">
            <v>2228</v>
          </cell>
          <cell r="G523">
            <v>1</v>
          </cell>
        </row>
        <row r="524">
          <cell r="A524" t="str">
            <v>33</v>
          </cell>
          <cell r="B524" t="str">
            <v>67058</v>
          </cell>
          <cell r="C524" t="str">
            <v>Riverside</v>
          </cell>
          <cell r="D524" t="str">
            <v>Desert Sands Unified</v>
          </cell>
          <cell r="E524">
            <v>28966</v>
          </cell>
          <cell r="F524">
            <v>492435</v>
          </cell>
          <cell r="G524">
            <v>33</v>
          </cell>
        </row>
        <row r="525">
          <cell r="A525" t="str">
            <v>33</v>
          </cell>
          <cell r="B525" t="str">
            <v>67082</v>
          </cell>
          <cell r="C525" t="str">
            <v>Riverside</v>
          </cell>
          <cell r="D525" t="str">
            <v>Hemet Unified</v>
          </cell>
          <cell r="E525">
            <v>22907</v>
          </cell>
          <cell r="F525">
            <v>392900</v>
          </cell>
          <cell r="G525">
            <v>28</v>
          </cell>
        </row>
        <row r="526">
          <cell r="A526" t="str">
            <v>33</v>
          </cell>
          <cell r="B526" t="str">
            <v>67090</v>
          </cell>
          <cell r="C526" t="str">
            <v>Riverside</v>
          </cell>
          <cell r="D526" t="str">
            <v>Jurupa Unified</v>
          </cell>
          <cell r="E526">
            <v>20430</v>
          </cell>
          <cell r="F526">
            <v>353002</v>
          </cell>
          <cell r="G526">
            <v>25</v>
          </cell>
        </row>
        <row r="527">
          <cell r="A527" t="str">
            <v>33</v>
          </cell>
          <cell r="B527" t="str">
            <v>67116</v>
          </cell>
          <cell r="C527" t="str">
            <v>Riverside</v>
          </cell>
          <cell r="D527" t="str">
            <v>Menifee Union Elementary</v>
          </cell>
          <cell r="E527">
            <v>8698</v>
          </cell>
          <cell r="F527">
            <v>147871</v>
          </cell>
          <cell r="G527">
            <v>10</v>
          </cell>
        </row>
        <row r="528">
          <cell r="A528" t="str">
            <v>33</v>
          </cell>
          <cell r="B528" t="str">
            <v>67124</v>
          </cell>
          <cell r="C528" t="str">
            <v>Riverside</v>
          </cell>
          <cell r="D528" t="str">
            <v>Moreno Valley Unified</v>
          </cell>
          <cell r="E528">
            <v>35992</v>
          </cell>
          <cell r="F528">
            <v>618117</v>
          </cell>
          <cell r="G528">
            <v>38</v>
          </cell>
        </row>
        <row r="529">
          <cell r="A529" t="str">
            <v>33</v>
          </cell>
          <cell r="B529" t="str">
            <v>67157</v>
          </cell>
          <cell r="C529" t="str">
            <v>Riverside</v>
          </cell>
          <cell r="D529" t="str">
            <v>Nuview Union</v>
          </cell>
          <cell r="E529">
            <v>1916</v>
          </cell>
          <cell r="F529">
            <v>32572</v>
          </cell>
          <cell r="G529">
            <v>4</v>
          </cell>
        </row>
        <row r="530">
          <cell r="A530" t="str">
            <v>33</v>
          </cell>
          <cell r="B530" t="str">
            <v>67173</v>
          </cell>
          <cell r="C530" t="str">
            <v>Riverside</v>
          </cell>
          <cell r="D530" t="str">
            <v>Palm Springs Unified</v>
          </cell>
          <cell r="E530">
            <v>24360</v>
          </cell>
          <cell r="F530">
            <v>417990</v>
          </cell>
          <cell r="G530">
            <v>25</v>
          </cell>
        </row>
        <row r="531">
          <cell r="A531" t="str">
            <v>33</v>
          </cell>
          <cell r="B531" t="str">
            <v>67181</v>
          </cell>
          <cell r="C531" t="str">
            <v>Riverside</v>
          </cell>
          <cell r="D531" t="str">
            <v>Palo Verde Unified</v>
          </cell>
          <cell r="E531">
            <v>3610</v>
          </cell>
          <cell r="F531">
            <v>65583</v>
          </cell>
          <cell r="G531">
            <v>7</v>
          </cell>
        </row>
        <row r="532">
          <cell r="A532" t="str">
            <v>33</v>
          </cell>
          <cell r="B532" t="str">
            <v>67199</v>
          </cell>
          <cell r="C532" t="str">
            <v>Riverside</v>
          </cell>
          <cell r="D532" t="str">
            <v>Perris Elementary</v>
          </cell>
          <cell r="E532">
            <v>5700</v>
          </cell>
          <cell r="F532">
            <v>96904</v>
          </cell>
          <cell r="G532">
            <v>8</v>
          </cell>
        </row>
        <row r="533">
          <cell r="A533" t="str">
            <v>33</v>
          </cell>
          <cell r="B533" t="str">
            <v>67207</v>
          </cell>
          <cell r="C533" t="str">
            <v>Riverside</v>
          </cell>
          <cell r="D533" t="str">
            <v>Perris Union High</v>
          </cell>
          <cell r="E533">
            <v>10088</v>
          </cell>
          <cell r="F533">
            <v>172312</v>
          </cell>
          <cell r="G533">
            <v>8</v>
          </cell>
        </row>
        <row r="534">
          <cell r="A534" t="str">
            <v>33</v>
          </cell>
          <cell r="B534" t="str">
            <v>67215</v>
          </cell>
          <cell r="C534" t="str">
            <v>Riverside</v>
          </cell>
          <cell r="D534" t="str">
            <v>Riverside Unified</v>
          </cell>
          <cell r="E534">
            <v>43007</v>
          </cell>
          <cell r="F534">
            <v>736304</v>
          </cell>
          <cell r="G534">
            <v>47</v>
          </cell>
        </row>
        <row r="535">
          <cell r="A535" t="str">
            <v>33</v>
          </cell>
          <cell r="B535" t="str">
            <v>67231</v>
          </cell>
          <cell r="C535" t="str">
            <v>Riverside</v>
          </cell>
          <cell r="D535" t="str">
            <v>Romoland Elementary</v>
          </cell>
          <cell r="E535">
            <v>2754</v>
          </cell>
          <cell r="F535">
            <v>46820</v>
          </cell>
          <cell r="G535">
            <v>4</v>
          </cell>
        </row>
        <row r="536">
          <cell r="A536" t="str">
            <v>33</v>
          </cell>
          <cell r="B536" t="str">
            <v>67249</v>
          </cell>
          <cell r="C536" t="str">
            <v>Riverside</v>
          </cell>
          <cell r="D536" t="str">
            <v>San Jacinto Unified</v>
          </cell>
          <cell r="E536">
            <v>8816</v>
          </cell>
          <cell r="F536">
            <v>152416</v>
          </cell>
          <cell r="G536">
            <v>11</v>
          </cell>
        </row>
        <row r="537">
          <cell r="A537" t="str">
            <v>33</v>
          </cell>
          <cell r="B537" t="str">
            <v>73676</v>
          </cell>
          <cell r="C537" t="str">
            <v>Riverside</v>
          </cell>
          <cell r="D537" t="str">
            <v>Coachella Valley Unified</v>
          </cell>
          <cell r="E537">
            <v>18256</v>
          </cell>
          <cell r="F537">
            <v>311599</v>
          </cell>
          <cell r="G537">
            <v>21</v>
          </cell>
        </row>
        <row r="538">
          <cell r="A538" t="str">
            <v>33</v>
          </cell>
          <cell r="B538" t="str">
            <v>75176</v>
          </cell>
          <cell r="C538" t="str">
            <v>Riverside</v>
          </cell>
          <cell r="D538" t="str">
            <v>Lake Elsinore Unified</v>
          </cell>
          <cell r="E538">
            <v>21726</v>
          </cell>
          <cell r="F538">
            <v>375467</v>
          </cell>
          <cell r="G538">
            <v>26</v>
          </cell>
        </row>
        <row r="539">
          <cell r="A539" t="str">
            <v>33</v>
          </cell>
          <cell r="B539" t="str">
            <v>75192</v>
          </cell>
          <cell r="C539" t="str">
            <v>Riverside</v>
          </cell>
          <cell r="D539" t="str">
            <v>Temecula Valley Unified</v>
          </cell>
          <cell r="E539">
            <v>28488</v>
          </cell>
          <cell r="F539">
            <v>485016</v>
          </cell>
          <cell r="G539">
            <v>29</v>
          </cell>
        </row>
        <row r="540">
          <cell r="A540" t="str">
            <v>33</v>
          </cell>
          <cell r="B540" t="str">
            <v>75200</v>
          </cell>
          <cell r="C540" t="str">
            <v>Riverside</v>
          </cell>
          <cell r="D540" t="str">
            <v>Murrieta Valley Unified</v>
          </cell>
          <cell r="E540">
            <v>21403</v>
          </cell>
          <cell r="F540">
            <v>366137</v>
          </cell>
          <cell r="G540">
            <v>18</v>
          </cell>
        </row>
        <row r="541">
          <cell r="A541" t="str">
            <v>33</v>
          </cell>
          <cell r="B541" t="str">
            <v>75242</v>
          </cell>
          <cell r="C541" t="str">
            <v>Riverside</v>
          </cell>
          <cell r="D541" t="str">
            <v>Val Verde Unified</v>
          </cell>
          <cell r="E541">
            <v>19188</v>
          </cell>
          <cell r="F541">
            <v>326204</v>
          </cell>
          <cell r="G541">
            <v>22</v>
          </cell>
        </row>
        <row r="542">
          <cell r="A542" t="str">
            <v>34</v>
          </cell>
          <cell r="B542" t="str">
            <v>10348</v>
          </cell>
          <cell r="C542" t="str">
            <v>Sacramento</v>
          </cell>
          <cell r="D542" t="str">
            <v>Sacramento County Office of Education</v>
          </cell>
          <cell r="E542">
            <v>1090</v>
          </cell>
          <cell r="F542">
            <v>36536</v>
          </cell>
          <cell r="G542">
            <v>10</v>
          </cell>
        </row>
        <row r="543">
          <cell r="A543" t="str">
            <v>34</v>
          </cell>
          <cell r="B543" t="str">
            <v>67280</v>
          </cell>
          <cell r="C543" t="str">
            <v>Sacramento</v>
          </cell>
          <cell r="D543" t="str">
            <v>Arcohe Union Elementary</v>
          </cell>
          <cell r="E543">
            <v>478</v>
          </cell>
          <cell r="F543">
            <v>8126</v>
          </cell>
          <cell r="G543">
            <v>1</v>
          </cell>
        </row>
        <row r="544">
          <cell r="A544" t="str">
            <v>34</v>
          </cell>
          <cell r="B544" t="str">
            <v>67314</v>
          </cell>
          <cell r="C544" t="str">
            <v>Sacramento</v>
          </cell>
          <cell r="D544" t="str">
            <v>Elk Grove Unified</v>
          </cell>
          <cell r="E544">
            <v>61579</v>
          </cell>
          <cell r="F544">
            <v>1051595</v>
          </cell>
          <cell r="G544">
            <v>65</v>
          </cell>
        </row>
        <row r="545">
          <cell r="A545" t="str">
            <v>34</v>
          </cell>
          <cell r="B545" t="str">
            <v>67322</v>
          </cell>
          <cell r="C545" t="str">
            <v>Sacramento</v>
          </cell>
          <cell r="D545" t="str">
            <v>Elverta Joint Elementary</v>
          </cell>
          <cell r="E545">
            <v>291</v>
          </cell>
          <cell r="F545">
            <v>7128</v>
          </cell>
          <cell r="G545">
            <v>2</v>
          </cell>
        </row>
        <row r="546">
          <cell r="A546" t="str">
            <v>34</v>
          </cell>
          <cell r="B546" t="str">
            <v>67330</v>
          </cell>
          <cell r="C546" t="str">
            <v>Sacramento</v>
          </cell>
          <cell r="D546" t="str">
            <v>Folsom-Cordova Unified</v>
          </cell>
          <cell r="E546">
            <v>19066</v>
          </cell>
          <cell r="F546">
            <v>332368</v>
          </cell>
          <cell r="G546">
            <v>34</v>
          </cell>
        </row>
        <row r="547">
          <cell r="A547" t="str">
            <v>34</v>
          </cell>
          <cell r="B547" t="str">
            <v>67348</v>
          </cell>
          <cell r="C547" t="str">
            <v>Sacramento</v>
          </cell>
          <cell r="D547" t="str">
            <v>Galt Joint Union Elementary</v>
          </cell>
          <cell r="E547">
            <v>4186</v>
          </cell>
          <cell r="F547">
            <v>71163</v>
          </cell>
          <cell r="G547">
            <v>6</v>
          </cell>
        </row>
        <row r="548">
          <cell r="A548" t="str">
            <v>34</v>
          </cell>
          <cell r="B548" t="str">
            <v>67355</v>
          </cell>
          <cell r="C548" t="str">
            <v>Sacramento</v>
          </cell>
          <cell r="D548" t="str">
            <v>Galt Joint Union High</v>
          </cell>
          <cell r="E548">
            <v>2399</v>
          </cell>
          <cell r="F548">
            <v>40863</v>
          </cell>
          <cell r="G548">
            <v>2</v>
          </cell>
        </row>
        <row r="549">
          <cell r="A549" t="str">
            <v>34</v>
          </cell>
          <cell r="B549" t="str">
            <v>67413</v>
          </cell>
          <cell r="C549" t="str">
            <v>Sacramento</v>
          </cell>
          <cell r="D549" t="str">
            <v>River Delta Joint Unified</v>
          </cell>
          <cell r="E549">
            <v>2098</v>
          </cell>
          <cell r="F549">
            <v>44716</v>
          </cell>
          <cell r="G549">
            <v>11</v>
          </cell>
        </row>
        <row r="550">
          <cell r="A550" t="str">
            <v>34</v>
          </cell>
          <cell r="B550" t="str">
            <v>67421</v>
          </cell>
          <cell r="C550" t="str">
            <v>Sacramento</v>
          </cell>
          <cell r="D550" t="str">
            <v>Robla Elementary</v>
          </cell>
          <cell r="E550">
            <v>1944</v>
          </cell>
          <cell r="F550">
            <v>33048</v>
          </cell>
          <cell r="G550">
            <v>5</v>
          </cell>
        </row>
        <row r="551">
          <cell r="A551" t="str">
            <v>34</v>
          </cell>
          <cell r="B551" t="str">
            <v>67439</v>
          </cell>
          <cell r="C551" t="str">
            <v>Sacramento</v>
          </cell>
          <cell r="D551" t="str">
            <v>Sacramento City Unified</v>
          </cell>
          <cell r="E551">
            <v>45620</v>
          </cell>
          <cell r="F551">
            <v>779239</v>
          </cell>
          <cell r="G551">
            <v>82</v>
          </cell>
        </row>
        <row r="552">
          <cell r="A552" t="str">
            <v>34</v>
          </cell>
          <cell r="B552" t="str">
            <v>67447</v>
          </cell>
          <cell r="C552" t="str">
            <v>Sacramento</v>
          </cell>
          <cell r="D552" t="str">
            <v>San Juan Unified</v>
          </cell>
          <cell r="E552">
            <v>44994</v>
          </cell>
          <cell r="F552">
            <v>781011</v>
          </cell>
          <cell r="G552">
            <v>73</v>
          </cell>
        </row>
        <row r="553">
          <cell r="A553" t="str">
            <v>34</v>
          </cell>
          <cell r="B553" t="str">
            <v>73973</v>
          </cell>
          <cell r="C553" t="str">
            <v>Sacramento</v>
          </cell>
          <cell r="D553" t="str">
            <v>Center Joint Unified</v>
          </cell>
          <cell r="E553">
            <v>5320</v>
          </cell>
          <cell r="F553">
            <v>95201</v>
          </cell>
          <cell r="G553">
            <v>9</v>
          </cell>
        </row>
        <row r="554">
          <cell r="A554" t="str">
            <v>34</v>
          </cell>
          <cell r="B554" t="str">
            <v>75283</v>
          </cell>
          <cell r="C554" t="str">
            <v>Sacramento</v>
          </cell>
          <cell r="D554" t="str">
            <v>Natomas Unified</v>
          </cell>
          <cell r="E554">
            <v>12162</v>
          </cell>
          <cell r="F554">
            <v>207963</v>
          </cell>
          <cell r="G554">
            <v>16</v>
          </cell>
        </row>
        <row r="555">
          <cell r="A555" t="str">
            <v>34</v>
          </cell>
          <cell r="B555" t="str">
            <v>76505</v>
          </cell>
          <cell r="C555" t="str">
            <v>Sacramento</v>
          </cell>
          <cell r="D555" t="str">
            <v>Twin Rivers Unified</v>
          </cell>
          <cell r="E555">
            <v>27345</v>
          </cell>
          <cell r="F555">
            <v>478069</v>
          </cell>
          <cell r="G555">
            <v>52</v>
          </cell>
        </row>
        <row r="556">
          <cell r="A556" t="str">
            <v>35</v>
          </cell>
          <cell r="B556" t="str">
            <v>10355</v>
          </cell>
          <cell r="C556" t="str">
            <v>San Benito</v>
          </cell>
          <cell r="D556" t="str">
            <v>San Benito County Office of Education</v>
          </cell>
          <cell r="E556">
            <v>119</v>
          </cell>
          <cell r="F556">
            <v>7128</v>
          </cell>
          <cell r="G556">
            <v>2</v>
          </cell>
        </row>
        <row r="557">
          <cell r="A557" t="str">
            <v>35</v>
          </cell>
          <cell r="B557" t="str">
            <v>67454</v>
          </cell>
          <cell r="C557" t="str">
            <v>San Benito</v>
          </cell>
          <cell r="D557" t="str">
            <v>Bitterwater-Tully Union Elementary</v>
          </cell>
          <cell r="E557">
            <v>29</v>
          </cell>
          <cell r="F557">
            <v>3564</v>
          </cell>
          <cell r="G557">
            <v>1</v>
          </cell>
        </row>
        <row r="558">
          <cell r="A558" t="str">
            <v>35</v>
          </cell>
          <cell r="B558" t="str">
            <v>67462</v>
          </cell>
          <cell r="C558" t="str">
            <v>San Benito</v>
          </cell>
          <cell r="D558" t="str">
            <v>Cienega Union Elementary</v>
          </cell>
          <cell r="E558">
            <v>27</v>
          </cell>
          <cell r="F558">
            <v>3564</v>
          </cell>
          <cell r="G558">
            <v>1</v>
          </cell>
        </row>
        <row r="559">
          <cell r="A559" t="str">
            <v>35</v>
          </cell>
          <cell r="B559" t="str">
            <v>67470</v>
          </cell>
          <cell r="C559" t="str">
            <v>San Benito</v>
          </cell>
          <cell r="D559" t="str">
            <v>Hollister</v>
          </cell>
          <cell r="E559">
            <v>5740</v>
          </cell>
          <cell r="F559">
            <v>99106</v>
          </cell>
          <cell r="G559">
            <v>9</v>
          </cell>
        </row>
        <row r="560">
          <cell r="A560" t="str">
            <v>35</v>
          </cell>
          <cell r="B560" t="str">
            <v>67488</v>
          </cell>
          <cell r="C560" t="str">
            <v>San Benito</v>
          </cell>
          <cell r="D560" t="str">
            <v>Jefferson Elementary</v>
          </cell>
          <cell r="E560">
            <v>22</v>
          </cell>
          <cell r="F560">
            <v>3564</v>
          </cell>
          <cell r="G560">
            <v>1</v>
          </cell>
        </row>
        <row r="561">
          <cell r="A561" t="str">
            <v>35</v>
          </cell>
          <cell r="B561" t="str">
            <v>67504</v>
          </cell>
          <cell r="C561" t="str">
            <v>San Benito</v>
          </cell>
          <cell r="D561" t="str">
            <v>North County Joint Union Elementary</v>
          </cell>
          <cell r="E561">
            <v>674</v>
          </cell>
          <cell r="F561">
            <v>11458</v>
          </cell>
          <cell r="G561">
            <v>1</v>
          </cell>
        </row>
        <row r="562">
          <cell r="A562" t="str">
            <v>35</v>
          </cell>
          <cell r="B562" t="str">
            <v>67520</v>
          </cell>
          <cell r="C562" t="str">
            <v>San Benito</v>
          </cell>
          <cell r="D562" t="str">
            <v>Panoche Elementary</v>
          </cell>
          <cell r="E562">
            <v>10</v>
          </cell>
          <cell r="F562">
            <v>2228</v>
          </cell>
          <cell r="G562">
            <v>1</v>
          </cell>
        </row>
        <row r="563">
          <cell r="A563" t="str">
            <v>35</v>
          </cell>
          <cell r="B563" t="str">
            <v>67538</v>
          </cell>
          <cell r="C563" t="str">
            <v>San Benito</v>
          </cell>
          <cell r="D563" t="str">
            <v>San Benito High</v>
          </cell>
          <cell r="E563">
            <v>3098</v>
          </cell>
          <cell r="F563">
            <v>53206</v>
          </cell>
          <cell r="G563">
            <v>2</v>
          </cell>
        </row>
        <row r="564">
          <cell r="A564" t="str">
            <v>35</v>
          </cell>
          <cell r="B564" t="str">
            <v>67553</v>
          </cell>
          <cell r="C564" t="str">
            <v>San Benito</v>
          </cell>
          <cell r="D564" t="str">
            <v>Southside Elementary</v>
          </cell>
          <cell r="E564">
            <v>249</v>
          </cell>
          <cell r="F564">
            <v>4233</v>
          </cell>
          <cell r="G564">
            <v>1</v>
          </cell>
        </row>
        <row r="565">
          <cell r="A565" t="str">
            <v>35</v>
          </cell>
          <cell r="B565" t="str">
            <v>67561</v>
          </cell>
          <cell r="C565" t="str">
            <v>San Benito</v>
          </cell>
          <cell r="D565" t="str">
            <v>Tres Pinos Union Elementary</v>
          </cell>
          <cell r="E565">
            <v>136</v>
          </cell>
          <cell r="F565">
            <v>3564</v>
          </cell>
          <cell r="G565">
            <v>1</v>
          </cell>
        </row>
        <row r="566">
          <cell r="A566" t="str">
            <v>35</v>
          </cell>
          <cell r="B566" t="str">
            <v>67579</v>
          </cell>
          <cell r="C566" t="str">
            <v>San Benito</v>
          </cell>
          <cell r="D566" t="str">
            <v>Willow Grove Union Elementary</v>
          </cell>
          <cell r="E566">
            <v>24</v>
          </cell>
          <cell r="F566">
            <v>3564</v>
          </cell>
          <cell r="G566">
            <v>1</v>
          </cell>
        </row>
        <row r="567">
          <cell r="A567" t="str">
            <v>35</v>
          </cell>
          <cell r="B567" t="str">
            <v>75259</v>
          </cell>
          <cell r="C567" t="str">
            <v>San Benito</v>
          </cell>
          <cell r="D567" t="str">
            <v>Aromas/San Juan Unified</v>
          </cell>
          <cell r="E567">
            <v>1255</v>
          </cell>
          <cell r="F567">
            <v>21335</v>
          </cell>
          <cell r="G567">
            <v>3</v>
          </cell>
        </row>
        <row r="568">
          <cell r="A568" t="str">
            <v>36</v>
          </cell>
          <cell r="B568" t="str">
            <v>10363</v>
          </cell>
          <cell r="C568" t="str">
            <v>San Bernardino</v>
          </cell>
          <cell r="D568" t="str">
            <v>San Bernardino County Office of Education</v>
          </cell>
          <cell r="E568">
            <v>3736</v>
          </cell>
          <cell r="F568">
            <v>63524</v>
          </cell>
          <cell r="G568">
            <v>6</v>
          </cell>
        </row>
        <row r="569">
          <cell r="A569" t="str">
            <v>36</v>
          </cell>
          <cell r="B569" t="str">
            <v>67587</v>
          </cell>
          <cell r="C569" t="str">
            <v>San Bernardino</v>
          </cell>
          <cell r="D569" t="str">
            <v>Adelanto Elementary</v>
          </cell>
          <cell r="E569">
            <v>8227</v>
          </cell>
          <cell r="F569">
            <v>139861</v>
          </cell>
          <cell r="G569">
            <v>12</v>
          </cell>
        </row>
        <row r="570">
          <cell r="A570" t="str">
            <v>36</v>
          </cell>
          <cell r="B570" t="str">
            <v>67595</v>
          </cell>
          <cell r="C570" t="str">
            <v>San Bernardino</v>
          </cell>
          <cell r="D570" t="str">
            <v>Alta Loma Elementary</v>
          </cell>
          <cell r="E570">
            <v>6557</v>
          </cell>
          <cell r="F570">
            <v>111472</v>
          </cell>
          <cell r="G570">
            <v>10</v>
          </cell>
        </row>
        <row r="571">
          <cell r="A571" t="str">
            <v>36</v>
          </cell>
          <cell r="B571" t="str">
            <v>67611</v>
          </cell>
          <cell r="C571" t="str">
            <v>San Bernardino</v>
          </cell>
          <cell r="D571" t="str">
            <v>Barstow Unified</v>
          </cell>
          <cell r="E571">
            <v>6777</v>
          </cell>
          <cell r="F571">
            <v>117389</v>
          </cell>
          <cell r="G571">
            <v>13</v>
          </cell>
        </row>
        <row r="572">
          <cell r="A572" t="str">
            <v>36</v>
          </cell>
          <cell r="B572" t="str">
            <v>67637</v>
          </cell>
          <cell r="C572" t="str">
            <v>San Bernardino</v>
          </cell>
          <cell r="D572" t="str">
            <v>Bear Valley Unified</v>
          </cell>
          <cell r="E572">
            <v>3090</v>
          </cell>
          <cell r="F572">
            <v>57245</v>
          </cell>
          <cell r="G572">
            <v>7</v>
          </cell>
        </row>
        <row r="573">
          <cell r="A573" t="str">
            <v>36</v>
          </cell>
          <cell r="B573" t="str">
            <v>67645</v>
          </cell>
          <cell r="C573" t="str">
            <v>San Bernardino</v>
          </cell>
          <cell r="D573" t="str">
            <v>Central Elementary</v>
          </cell>
          <cell r="E573">
            <v>4812</v>
          </cell>
          <cell r="F573">
            <v>81806</v>
          </cell>
          <cell r="G573">
            <v>7</v>
          </cell>
        </row>
        <row r="574">
          <cell r="A574" t="str">
            <v>36</v>
          </cell>
          <cell r="B574" t="str">
            <v>67652</v>
          </cell>
          <cell r="C574" t="str">
            <v>San Bernardino</v>
          </cell>
          <cell r="D574" t="str">
            <v>Chaffey Joint Union High</v>
          </cell>
          <cell r="E574">
            <v>25330</v>
          </cell>
          <cell r="F574">
            <v>433545</v>
          </cell>
          <cell r="G574">
            <v>11</v>
          </cell>
        </row>
        <row r="575">
          <cell r="A575" t="str">
            <v>36</v>
          </cell>
          <cell r="B575" t="str">
            <v>67678</v>
          </cell>
          <cell r="C575" t="str">
            <v>San Bernardino</v>
          </cell>
          <cell r="D575" t="str">
            <v>Chino Valley Unified</v>
          </cell>
          <cell r="E575">
            <v>32430</v>
          </cell>
          <cell r="F575">
            <v>554214</v>
          </cell>
          <cell r="G575">
            <v>36</v>
          </cell>
        </row>
        <row r="576">
          <cell r="A576" t="str">
            <v>36</v>
          </cell>
          <cell r="B576" t="str">
            <v>67686</v>
          </cell>
          <cell r="C576" t="str">
            <v>San Bernardino</v>
          </cell>
          <cell r="D576" t="str">
            <v>Colton Joint Unified</v>
          </cell>
          <cell r="E576">
            <v>24239</v>
          </cell>
          <cell r="F576">
            <v>414136</v>
          </cell>
          <cell r="G576">
            <v>27</v>
          </cell>
        </row>
        <row r="577">
          <cell r="A577" t="str">
            <v>36</v>
          </cell>
          <cell r="B577" t="str">
            <v>67694</v>
          </cell>
          <cell r="C577" t="str">
            <v>San Bernardino</v>
          </cell>
          <cell r="D577" t="str">
            <v>Cucamonga Elementary</v>
          </cell>
          <cell r="E577">
            <v>2785</v>
          </cell>
          <cell r="F577">
            <v>47346</v>
          </cell>
          <cell r="G577">
            <v>4</v>
          </cell>
        </row>
        <row r="578">
          <cell r="A578" t="str">
            <v>36</v>
          </cell>
          <cell r="B578" t="str">
            <v>67702</v>
          </cell>
          <cell r="C578" t="str">
            <v>San Bernardino</v>
          </cell>
          <cell r="D578" t="str">
            <v>Etiwanda Elementary</v>
          </cell>
          <cell r="E578">
            <v>12476</v>
          </cell>
          <cell r="F578">
            <v>214208</v>
          </cell>
          <cell r="G578">
            <v>17</v>
          </cell>
        </row>
        <row r="579">
          <cell r="A579" t="str">
            <v>36</v>
          </cell>
          <cell r="B579" t="str">
            <v>67710</v>
          </cell>
          <cell r="C579" t="str">
            <v>San Bernardino</v>
          </cell>
          <cell r="D579" t="str">
            <v>Fontana Unified</v>
          </cell>
          <cell r="E579">
            <v>41073</v>
          </cell>
          <cell r="F579">
            <v>701694</v>
          </cell>
          <cell r="G579">
            <v>44</v>
          </cell>
        </row>
        <row r="580">
          <cell r="A580" t="str">
            <v>36</v>
          </cell>
          <cell r="B580" t="str">
            <v>67736</v>
          </cell>
          <cell r="C580" t="str">
            <v>San Bernardino</v>
          </cell>
          <cell r="D580" t="str">
            <v>Helendale Elementary</v>
          </cell>
          <cell r="E580">
            <v>639</v>
          </cell>
          <cell r="F580">
            <v>13010</v>
          </cell>
          <cell r="G580">
            <v>3</v>
          </cell>
        </row>
        <row r="581">
          <cell r="A581" t="str">
            <v>36</v>
          </cell>
          <cell r="B581" t="str">
            <v>67777</v>
          </cell>
          <cell r="C581" t="str">
            <v>San Bernardino</v>
          </cell>
          <cell r="D581" t="str">
            <v>Morongo Unified</v>
          </cell>
          <cell r="E581">
            <v>9705</v>
          </cell>
          <cell r="F581">
            <v>168319</v>
          </cell>
          <cell r="G581">
            <v>17</v>
          </cell>
        </row>
        <row r="582">
          <cell r="A582" t="str">
            <v>36</v>
          </cell>
          <cell r="B582" t="str">
            <v>67785</v>
          </cell>
          <cell r="C582" t="str">
            <v>San Bernardino</v>
          </cell>
          <cell r="D582" t="str">
            <v>Mountain View Elementary</v>
          </cell>
          <cell r="E582">
            <v>2931</v>
          </cell>
          <cell r="F582">
            <v>49828</v>
          </cell>
          <cell r="G582">
            <v>4</v>
          </cell>
        </row>
        <row r="583">
          <cell r="A583" t="str">
            <v>36</v>
          </cell>
          <cell r="B583" t="str">
            <v>67793</v>
          </cell>
          <cell r="C583" t="str">
            <v>San Bernardino</v>
          </cell>
          <cell r="D583" t="str">
            <v>Mt. Baldy Joint Elementary</v>
          </cell>
          <cell r="E583">
            <v>105</v>
          </cell>
          <cell r="F583">
            <v>3564</v>
          </cell>
          <cell r="G583">
            <v>1</v>
          </cell>
        </row>
        <row r="584">
          <cell r="A584" t="str">
            <v>36</v>
          </cell>
          <cell r="B584" t="str">
            <v>67801</v>
          </cell>
          <cell r="C584" t="str">
            <v>San Bernardino</v>
          </cell>
          <cell r="D584" t="str">
            <v>Needles Unified</v>
          </cell>
          <cell r="E584">
            <v>1026</v>
          </cell>
          <cell r="F584">
            <v>25415</v>
          </cell>
          <cell r="G584">
            <v>7</v>
          </cell>
        </row>
        <row r="585">
          <cell r="A585" t="str">
            <v>36</v>
          </cell>
          <cell r="B585" t="str">
            <v>67819</v>
          </cell>
          <cell r="C585" t="str">
            <v>San Bernardino</v>
          </cell>
          <cell r="D585" t="str">
            <v>Ontario-Montclair Elementary</v>
          </cell>
          <cell r="E585">
            <v>22919</v>
          </cell>
          <cell r="F585">
            <v>391691</v>
          </cell>
          <cell r="G585">
            <v>33</v>
          </cell>
        </row>
        <row r="586">
          <cell r="A586" t="str">
            <v>36</v>
          </cell>
          <cell r="B586" t="str">
            <v>67827</v>
          </cell>
          <cell r="C586" t="str">
            <v>San Bernardino</v>
          </cell>
          <cell r="D586" t="str">
            <v>Oro Grande Elementary</v>
          </cell>
          <cell r="E586">
            <v>1549</v>
          </cell>
          <cell r="F586">
            <v>27858</v>
          </cell>
          <cell r="G586">
            <v>4</v>
          </cell>
        </row>
        <row r="587">
          <cell r="A587" t="str">
            <v>36</v>
          </cell>
          <cell r="B587" t="str">
            <v>67843</v>
          </cell>
          <cell r="C587" t="str">
            <v>San Bernardino</v>
          </cell>
          <cell r="D587" t="str">
            <v>Redlands Unified</v>
          </cell>
          <cell r="E587">
            <v>21183</v>
          </cell>
          <cell r="F587">
            <v>360120</v>
          </cell>
          <cell r="G587">
            <v>22</v>
          </cell>
        </row>
        <row r="588">
          <cell r="A588" t="str">
            <v>36</v>
          </cell>
          <cell r="B588" t="str">
            <v>67850</v>
          </cell>
          <cell r="C588" t="str">
            <v>San Bernardino</v>
          </cell>
          <cell r="D588" t="str">
            <v>Rialto Unified</v>
          </cell>
          <cell r="E588">
            <v>27490</v>
          </cell>
          <cell r="F588">
            <v>469519</v>
          </cell>
          <cell r="G588">
            <v>29</v>
          </cell>
        </row>
        <row r="589">
          <cell r="A589" t="str">
            <v>36</v>
          </cell>
          <cell r="B589" t="str">
            <v>67868</v>
          </cell>
          <cell r="C589" t="str">
            <v>San Bernardino</v>
          </cell>
          <cell r="D589" t="str">
            <v>Rim of the World Unified</v>
          </cell>
          <cell r="E589">
            <v>4886</v>
          </cell>
          <cell r="F589">
            <v>86894</v>
          </cell>
          <cell r="G589">
            <v>9</v>
          </cell>
        </row>
        <row r="590">
          <cell r="A590" t="str">
            <v>36</v>
          </cell>
          <cell r="B590" t="str">
            <v>67876</v>
          </cell>
          <cell r="C590" t="str">
            <v>San Bernardino</v>
          </cell>
          <cell r="D590" t="str">
            <v>San Bernardino City Unified</v>
          </cell>
          <cell r="E590">
            <v>53309</v>
          </cell>
          <cell r="F590">
            <v>918890</v>
          </cell>
          <cell r="G590">
            <v>68</v>
          </cell>
        </row>
        <row r="591">
          <cell r="A591" t="str">
            <v>36</v>
          </cell>
          <cell r="B591" t="str">
            <v>67892</v>
          </cell>
          <cell r="C591" t="str">
            <v>San Bernardino</v>
          </cell>
          <cell r="D591" t="str">
            <v>Trona Joint Unified</v>
          </cell>
          <cell r="E591">
            <v>340</v>
          </cell>
          <cell r="F591">
            <v>9356</v>
          </cell>
          <cell r="G591">
            <v>3</v>
          </cell>
        </row>
        <row r="592">
          <cell r="A592" t="str">
            <v>36</v>
          </cell>
          <cell r="B592" t="str">
            <v>67918</v>
          </cell>
          <cell r="C592" t="str">
            <v>San Bernardino</v>
          </cell>
          <cell r="D592" t="str">
            <v>Victor Elementary</v>
          </cell>
          <cell r="E592">
            <v>11522</v>
          </cell>
          <cell r="F592">
            <v>197806</v>
          </cell>
          <cell r="G592">
            <v>18</v>
          </cell>
        </row>
        <row r="593">
          <cell r="A593" t="str">
            <v>36</v>
          </cell>
          <cell r="B593" t="str">
            <v>67934</v>
          </cell>
          <cell r="C593" t="str">
            <v>San Bernardino</v>
          </cell>
          <cell r="D593" t="str">
            <v>Victor Valley Union High</v>
          </cell>
          <cell r="E593">
            <v>10625</v>
          </cell>
          <cell r="F593">
            <v>182258</v>
          </cell>
          <cell r="G593">
            <v>9</v>
          </cell>
        </row>
        <row r="594">
          <cell r="A594" t="str">
            <v>36</v>
          </cell>
          <cell r="B594" t="str">
            <v>67959</v>
          </cell>
          <cell r="C594" t="str">
            <v>San Bernardino</v>
          </cell>
          <cell r="D594" t="str">
            <v>Yucaipa-Calimesa Joint Unified</v>
          </cell>
          <cell r="E594">
            <v>9607</v>
          </cell>
          <cell r="F594">
            <v>168591</v>
          </cell>
          <cell r="G594">
            <v>15</v>
          </cell>
        </row>
        <row r="595">
          <cell r="A595" t="str">
            <v>36</v>
          </cell>
          <cell r="B595" t="str">
            <v>73858</v>
          </cell>
          <cell r="C595" t="str">
            <v>San Bernardino</v>
          </cell>
          <cell r="D595" t="str">
            <v>Baker Valley Unified</v>
          </cell>
          <cell r="E595">
            <v>203</v>
          </cell>
          <cell r="F595">
            <v>10692</v>
          </cell>
          <cell r="G595">
            <v>3</v>
          </cell>
        </row>
        <row r="596">
          <cell r="A596" t="str">
            <v>36</v>
          </cell>
          <cell r="B596" t="str">
            <v>73890</v>
          </cell>
          <cell r="C596" t="str">
            <v>San Bernardino</v>
          </cell>
          <cell r="D596" t="str">
            <v>Silver Valley Unified</v>
          </cell>
          <cell r="E596">
            <v>2605</v>
          </cell>
          <cell r="F596">
            <v>52836</v>
          </cell>
          <cell r="G596">
            <v>9</v>
          </cell>
        </row>
        <row r="597">
          <cell r="A597" t="str">
            <v>36</v>
          </cell>
          <cell r="B597" t="str">
            <v>73957</v>
          </cell>
          <cell r="C597" t="str">
            <v>San Bernardino</v>
          </cell>
          <cell r="D597" t="str">
            <v>Snowline Joint Unified</v>
          </cell>
          <cell r="E597">
            <v>8774</v>
          </cell>
          <cell r="F597">
            <v>153759</v>
          </cell>
          <cell r="G597">
            <v>12</v>
          </cell>
        </row>
        <row r="598">
          <cell r="A598" t="str">
            <v>36</v>
          </cell>
          <cell r="B598" t="str">
            <v>75044</v>
          </cell>
          <cell r="C598" t="str">
            <v>San Bernardino</v>
          </cell>
          <cell r="D598" t="str">
            <v>Hesperia Unified</v>
          </cell>
          <cell r="E598">
            <v>21217</v>
          </cell>
          <cell r="F598">
            <v>365565</v>
          </cell>
          <cell r="G598">
            <v>25</v>
          </cell>
        </row>
        <row r="599">
          <cell r="A599" t="str">
            <v>36</v>
          </cell>
          <cell r="B599" t="str">
            <v>75051</v>
          </cell>
          <cell r="C599" t="str">
            <v>San Bernardino</v>
          </cell>
          <cell r="D599" t="str">
            <v>Lucerne Valley Unified</v>
          </cell>
          <cell r="E599">
            <v>1062</v>
          </cell>
          <cell r="F599">
            <v>24834</v>
          </cell>
          <cell r="G599">
            <v>6</v>
          </cell>
        </row>
        <row r="600">
          <cell r="A600" t="str">
            <v>36</v>
          </cell>
          <cell r="B600" t="str">
            <v>75069</v>
          </cell>
          <cell r="C600" t="str">
            <v>San Bernardino</v>
          </cell>
          <cell r="D600" t="str">
            <v>Upland Unified</v>
          </cell>
          <cell r="E600">
            <v>12121</v>
          </cell>
          <cell r="F600">
            <v>206062</v>
          </cell>
          <cell r="G600">
            <v>14</v>
          </cell>
        </row>
        <row r="601">
          <cell r="A601" t="str">
            <v>36</v>
          </cell>
          <cell r="B601" t="str">
            <v>75077</v>
          </cell>
          <cell r="C601" t="str">
            <v>San Bernardino</v>
          </cell>
          <cell r="D601" t="str">
            <v>Apple Valley Unified</v>
          </cell>
          <cell r="E601">
            <v>14118</v>
          </cell>
          <cell r="F601">
            <v>241417</v>
          </cell>
          <cell r="G601">
            <v>17</v>
          </cell>
        </row>
        <row r="602">
          <cell r="A602" t="str">
            <v>37</v>
          </cell>
          <cell r="B602" t="str">
            <v>10371</v>
          </cell>
          <cell r="C602" t="str">
            <v>San Diego</v>
          </cell>
          <cell r="D602" t="str">
            <v>San Diego County Office of Education</v>
          </cell>
          <cell r="E602">
            <v>2833</v>
          </cell>
          <cell r="F602">
            <v>77312</v>
          </cell>
          <cell r="G602">
            <v>18</v>
          </cell>
        </row>
        <row r="603">
          <cell r="A603" t="str">
            <v>37</v>
          </cell>
          <cell r="B603" t="str">
            <v>67967</v>
          </cell>
          <cell r="C603" t="str">
            <v>San Diego</v>
          </cell>
          <cell r="D603" t="str">
            <v>Alpine Union Elementary</v>
          </cell>
          <cell r="E603">
            <v>2045</v>
          </cell>
          <cell r="F603">
            <v>40263</v>
          </cell>
          <cell r="G603">
            <v>7</v>
          </cell>
        </row>
        <row r="604">
          <cell r="A604" t="str">
            <v>37</v>
          </cell>
          <cell r="B604" t="str">
            <v>67975</v>
          </cell>
          <cell r="C604" t="str">
            <v>San Diego</v>
          </cell>
          <cell r="D604" t="str">
            <v>Bonsall Union Elementary</v>
          </cell>
          <cell r="E604">
            <v>1881</v>
          </cell>
          <cell r="F604">
            <v>33502</v>
          </cell>
          <cell r="G604">
            <v>4</v>
          </cell>
        </row>
        <row r="605">
          <cell r="A605" t="str">
            <v>37</v>
          </cell>
          <cell r="B605" t="str">
            <v>67983</v>
          </cell>
          <cell r="C605" t="str">
            <v>San Diego</v>
          </cell>
          <cell r="D605" t="str">
            <v>Borrego Springs Unified</v>
          </cell>
          <cell r="E605">
            <v>452</v>
          </cell>
          <cell r="F605">
            <v>15148</v>
          </cell>
          <cell r="G605">
            <v>5</v>
          </cell>
        </row>
        <row r="606">
          <cell r="A606" t="str">
            <v>37</v>
          </cell>
          <cell r="B606" t="str">
            <v>67991</v>
          </cell>
          <cell r="C606" t="str">
            <v>San Diego</v>
          </cell>
          <cell r="D606" t="str">
            <v>Cajon Valley Union Elementary</v>
          </cell>
          <cell r="E606">
            <v>15767</v>
          </cell>
          <cell r="F606">
            <v>275753</v>
          </cell>
          <cell r="G606">
            <v>29</v>
          </cell>
        </row>
        <row r="607">
          <cell r="A607" t="str">
            <v>37</v>
          </cell>
          <cell r="B607" t="str">
            <v>68007</v>
          </cell>
          <cell r="C607" t="str">
            <v>San Diego</v>
          </cell>
          <cell r="D607" t="str">
            <v>Cardiff Elementary</v>
          </cell>
          <cell r="E607">
            <v>739</v>
          </cell>
          <cell r="F607">
            <v>12563</v>
          </cell>
          <cell r="G607">
            <v>2</v>
          </cell>
        </row>
        <row r="608">
          <cell r="A608" t="str">
            <v>37</v>
          </cell>
          <cell r="B608" t="str">
            <v>68023</v>
          </cell>
          <cell r="C608" t="str">
            <v>San Diego</v>
          </cell>
          <cell r="D608" t="str">
            <v>Chula Vista Elementary</v>
          </cell>
          <cell r="E608">
            <v>22402</v>
          </cell>
          <cell r="F608">
            <v>380839</v>
          </cell>
          <cell r="G608">
            <v>38</v>
          </cell>
        </row>
        <row r="609">
          <cell r="A609" t="str">
            <v>37</v>
          </cell>
          <cell r="B609" t="str">
            <v>68031</v>
          </cell>
          <cell r="C609" t="str">
            <v>San Diego</v>
          </cell>
          <cell r="D609" t="str">
            <v>Coronado Unified</v>
          </cell>
          <cell r="E609">
            <v>3035</v>
          </cell>
          <cell r="F609">
            <v>53689</v>
          </cell>
          <cell r="G609">
            <v>5</v>
          </cell>
        </row>
        <row r="610">
          <cell r="A610" t="str">
            <v>37</v>
          </cell>
          <cell r="B610" t="str">
            <v>68049</v>
          </cell>
          <cell r="C610" t="str">
            <v>San Diego</v>
          </cell>
          <cell r="D610" t="str">
            <v>Dehesa Elementary</v>
          </cell>
          <cell r="E610">
            <v>159</v>
          </cell>
          <cell r="F610">
            <v>3564</v>
          </cell>
          <cell r="G610">
            <v>1</v>
          </cell>
        </row>
        <row r="611">
          <cell r="A611" t="str">
            <v>37</v>
          </cell>
          <cell r="B611" t="str">
            <v>68056</v>
          </cell>
          <cell r="C611" t="str">
            <v>San Diego</v>
          </cell>
          <cell r="D611" t="str">
            <v>Del Mar Union Elementary</v>
          </cell>
          <cell r="E611">
            <v>4169</v>
          </cell>
          <cell r="F611">
            <v>70873</v>
          </cell>
          <cell r="G611">
            <v>8</v>
          </cell>
        </row>
        <row r="612">
          <cell r="A612" t="str">
            <v>37</v>
          </cell>
          <cell r="B612" t="str">
            <v>68080</v>
          </cell>
          <cell r="C612" t="str">
            <v>San Diego</v>
          </cell>
          <cell r="D612" t="str">
            <v>Encinitas Union Elementary</v>
          </cell>
          <cell r="E612">
            <v>5561</v>
          </cell>
          <cell r="F612">
            <v>94538</v>
          </cell>
          <cell r="G612">
            <v>9</v>
          </cell>
        </row>
        <row r="613">
          <cell r="A613" t="str">
            <v>37</v>
          </cell>
          <cell r="B613" t="str">
            <v>68098</v>
          </cell>
          <cell r="C613" t="str">
            <v>San Diego</v>
          </cell>
          <cell r="D613" t="str">
            <v>Escondido Union</v>
          </cell>
          <cell r="E613">
            <v>18050</v>
          </cell>
          <cell r="F613">
            <v>309694</v>
          </cell>
          <cell r="G613">
            <v>23</v>
          </cell>
        </row>
        <row r="614">
          <cell r="A614" t="str">
            <v>37</v>
          </cell>
          <cell r="B614" t="str">
            <v>68106</v>
          </cell>
          <cell r="C614" t="str">
            <v>San Diego</v>
          </cell>
          <cell r="D614" t="str">
            <v>Escondido Union High</v>
          </cell>
          <cell r="E614">
            <v>8251</v>
          </cell>
          <cell r="F614">
            <v>141406</v>
          </cell>
          <cell r="G614">
            <v>5</v>
          </cell>
        </row>
        <row r="615">
          <cell r="A615" t="str">
            <v>37</v>
          </cell>
          <cell r="B615" t="str">
            <v>68114</v>
          </cell>
          <cell r="C615" t="str">
            <v>San Diego</v>
          </cell>
          <cell r="D615" t="str">
            <v>Fallbrook Union Elementary</v>
          </cell>
          <cell r="E615">
            <v>5617</v>
          </cell>
          <cell r="F615">
            <v>97567</v>
          </cell>
          <cell r="G615">
            <v>10</v>
          </cell>
        </row>
        <row r="616">
          <cell r="A616" t="str">
            <v>37</v>
          </cell>
          <cell r="B616" t="str">
            <v>68122</v>
          </cell>
          <cell r="C616" t="str">
            <v>San Diego</v>
          </cell>
          <cell r="D616" t="str">
            <v>Fallbrook Union High</v>
          </cell>
          <cell r="E616">
            <v>3114</v>
          </cell>
          <cell r="F616">
            <v>57127</v>
          </cell>
          <cell r="G616">
            <v>3</v>
          </cell>
        </row>
        <row r="617">
          <cell r="A617" t="str">
            <v>37</v>
          </cell>
          <cell r="B617" t="str">
            <v>68130</v>
          </cell>
          <cell r="C617" t="str">
            <v>San Diego</v>
          </cell>
          <cell r="D617" t="str">
            <v>Grossmont Union High</v>
          </cell>
          <cell r="E617">
            <v>20153</v>
          </cell>
          <cell r="F617">
            <v>357247</v>
          </cell>
          <cell r="G617">
            <v>17</v>
          </cell>
        </row>
        <row r="618">
          <cell r="A618" t="str">
            <v>37</v>
          </cell>
          <cell r="B618" t="str">
            <v>68155</v>
          </cell>
          <cell r="C618" t="str">
            <v>San Diego</v>
          </cell>
          <cell r="D618" t="str">
            <v>Jamul-Dulzura Union Elementary</v>
          </cell>
          <cell r="E618">
            <v>919</v>
          </cell>
          <cell r="F618">
            <v>15702</v>
          </cell>
          <cell r="G618">
            <v>3</v>
          </cell>
        </row>
        <row r="619">
          <cell r="A619" t="str">
            <v>37</v>
          </cell>
          <cell r="B619" t="str">
            <v>68163</v>
          </cell>
          <cell r="C619" t="str">
            <v>San Diego</v>
          </cell>
          <cell r="D619" t="str">
            <v>Julian Union Elementary</v>
          </cell>
          <cell r="E619">
            <v>361</v>
          </cell>
          <cell r="F619">
            <v>8256</v>
          </cell>
          <cell r="G619">
            <v>2</v>
          </cell>
        </row>
        <row r="620">
          <cell r="A620" t="str">
            <v>37</v>
          </cell>
          <cell r="B620" t="str">
            <v>68171</v>
          </cell>
          <cell r="C620" t="str">
            <v>San Diego</v>
          </cell>
          <cell r="D620" t="str">
            <v>Julian Union High</v>
          </cell>
          <cell r="E620">
            <v>182</v>
          </cell>
          <cell r="F620">
            <v>5792</v>
          </cell>
          <cell r="G620">
            <v>2</v>
          </cell>
        </row>
        <row r="621">
          <cell r="A621" t="str">
            <v>37</v>
          </cell>
          <cell r="B621" t="str">
            <v>68189</v>
          </cell>
          <cell r="C621" t="str">
            <v>San Diego</v>
          </cell>
          <cell r="D621" t="str">
            <v>Lakeside Union Elementary</v>
          </cell>
          <cell r="E621">
            <v>4230</v>
          </cell>
          <cell r="F621">
            <v>75666</v>
          </cell>
          <cell r="G621">
            <v>10</v>
          </cell>
        </row>
        <row r="622">
          <cell r="A622" t="str">
            <v>37</v>
          </cell>
          <cell r="B622" t="str">
            <v>68197</v>
          </cell>
          <cell r="C622" t="str">
            <v>San Diego</v>
          </cell>
          <cell r="D622" t="str">
            <v>La Mesa-Spring Valley</v>
          </cell>
          <cell r="E622">
            <v>12740</v>
          </cell>
          <cell r="F622">
            <v>218591</v>
          </cell>
          <cell r="G622">
            <v>22</v>
          </cell>
        </row>
        <row r="623">
          <cell r="A623" t="str">
            <v>37</v>
          </cell>
          <cell r="B623" t="str">
            <v>68205</v>
          </cell>
          <cell r="C623" t="str">
            <v>San Diego</v>
          </cell>
          <cell r="D623" t="str">
            <v>Lemon Grove</v>
          </cell>
          <cell r="E623">
            <v>3901</v>
          </cell>
          <cell r="F623">
            <v>66317</v>
          </cell>
          <cell r="G623">
            <v>8</v>
          </cell>
        </row>
        <row r="624">
          <cell r="A624" t="str">
            <v>37</v>
          </cell>
          <cell r="B624" t="str">
            <v>68213</v>
          </cell>
          <cell r="C624" t="str">
            <v>San Diego</v>
          </cell>
          <cell r="D624" t="str">
            <v>Mountain Empire Unified</v>
          </cell>
          <cell r="E624">
            <v>1637</v>
          </cell>
          <cell r="F624">
            <v>47118</v>
          </cell>
          <cell r="G624">
            <v>12</v>
          </cell>
        </row>
        <row r="625">
          <cell r="A625" t="str">
            <v>37</v>
          </cell>
          <cell r="B625" t="str">
            <v>68221</v>
          </cell>
          <cell r="C625" t="str">
            <v>San Diego</v>
          </cell>
          <cell r="D625" t="str">
            <v>National Elementary</v>
          </cell>
          <cell r="E625">
            <v>5613</v>
          </cell>
          <cell r="F625">
            <v>95421</v>
          </cell>
          <cell r="G625">
            <v>10</v>
          </cell>
        </row>
        <row r="626">
          <cell r="A626" t="str">
            <v>37</v>
          </cell>
          <cell r="B626" t="str">
            <v>68296</v>
          </cell>
          <cell r="C626" t="str">
            <v>San Diego</v>
          </cell>
          <cell r="D626" t="str">
            <v>Poway Unified</v>
          </cell>
          <cell r="E626">
            <v>33305</v>
          </cell>
          <cell r="F626">
            <v>566656</v>
          </cell>
          <cell r="G626">
            <v>36</v>
          </cell>
        </row>
        <row r="627">
          <cell r="A627" t="str">
            <v>37</v>
          </cell>
          <cell r="B627" t="str">
            <v>68304</v>
          </cell>
          <cell r="C627" t="str">
            <v>San Diego</v>
          </cell>
          <cell r="D627" t="str">
            <v>Ramona City Unified</v>
          </cell>
          <cell r="E627">
            <v>6575</v>
          </cell>
          <cell r="F627">
            <v>114978</v>
          </cell>
          <cell r="G627">
            <v>10</v>
          </cell>
        </row>
        <row r="628">
          <cell r="A628" t="str">
            <v>37</v>
          </cell>
          <cell r="B628" t="str">
            <v>68312</v>
          </cell>
          <cell r="C628" t="str">
            <v>San Diego</v>
          </cell>
          <cell r="D628" t="str">
            <v>Rancho Santa Fe Elementary</v>
          </cell>
          <cell r="E628">
            <v>753</v>
          </cell>
          <cell r="F628">
            <v>13271</v>
          </cell>
          <cell r="G628">
            <v>2</v>
          </cell>
        </row>
        <row r="629">
          <cell r="A629" t="str">
            <v>37</v>
          </cell>
          <cell r="B629" t="str">
            <v>68338</v>
          </cell>
          <cell r="C629" t="str">
            <v>San Diego</v>
          </cell>
          <cell r="D629" t="str">
            <v>San Diego Unified</v>
          </cell>
          <cell r="E629">
            <v>117644</v>
          </cell>
          <cell r="F629">
            <v>2010388</v>
          </cell>
          <cell r="G629">
            <v>181</v>
          </cell>
        </row>
        <row r="630">
          <cell r="A630" t="str">
            <v>37</v>
          </cell>
          <cell r="B630" t="str">
            <v>68346</v>
          </cell>
          <cell r="C630" t="str">
            <v>San Diego</v>
          </cell>
          <cell r="D630" t="str">
            <v>San Dieguito Union High</v>
          </cell>
          <cell r="E630">
            <v>12575</v>
          </cell>
          <cell r="F630">
            <v>217410</v>
          </cell>
          <cell r="G630">
            <v>10</v>
          </cell>
        </row>
        <row r="631">
          <cell r="A631" t="str">
            <v>37</v>
          </cell>
          <cell r="B631" t="str">
            <v>68353</v>
          </cell>
          <cell r="C631" t="str">
            <v>San Diego</v>
          </cell>
          <cell r="D631" t="str">
            <v>San Pasqual Union Elementary</v>
          </cell>
          <cell r="E631">
            <v>559</v>
          </cell>
          <cell r="F631">
            <v>9503</v>
          </cell>
          <cell r="G631">
            <v>1</v>
          </cell>
        </row>
        <row r="632">
          <cell r="A632" t="str">
            <v>37</v>
          </cell>
          <cell r="B632" t="str">
            <v>68361</v>
          </cell>
          <cell r="C632" t="str">
            <v>San Diego</v>
          </cell>
          <cell r="D632" t="str">
            <v>Santee Elementary</v>
          </cell>
          <cell r="E632">
            <v>6277</v>
          </cell>
          <cell r="F632">
            <v>111706</v>
          </cell>
          <cell r="G632">
            <v>11</v>
          </cell>
        </row>
        <row r="633">
          <cell r="A633" t="str">
            <v>37</v>
          </cell>
          <cell r="B633" t="str">
            <v>68379</v>
          </cell>
          <cell r="C633" t="str">
            <v>San Diego</v>
          </cell>
          <cell r="D633" t="str">
            <v>San Ysidro Elementary</v>
          </cell>
          <cell r="E633">
            <v>4851</v>
          </cell>
          <cell r="F633">
            <v>84444</v>
          </cell>
          <cell r="G633">
            <v>7</v>
          </cell>
        </row>
        <row r="634">
          <cell r="A634" t="str">
            <v>37</v>
          </cell>
          <cell r="B634" t="str">
            <v>68387</v>
          </cell>
          <cell r="C634" t="str">
            <v>San Diego</v>
          </cell>
          <cell r="D634" t="str">
            <v>Solana Beach Elementary</v>
          </cell>
          <cell r="E634">
            <v>2770</v>
          </cell>
          <cell r="F634">
            <v>47090</v>
          </cell>
          <cell r="G634">
            <v>6</v>
          </cell>
        </row>
        <row r="635">
          <cell r="A635" t="str">
            <v>37</v>
          </cell>
          <cell r="B635" t="str">
            <v>68395</v>
          </cell>
          <cell r="C635" t="str">
            <v>San Diego</v>
          </cell>
          <cell r="D635" t="str">
            <v>South Bay Union Elementary</v>
          </cell>
          <cell r="E635">
            <v>8005</v>
          </cell>
          <cell r="F635">
            <v>136088</v>
          </cell>
          <cell r="G635">
            <v>12</v>
          </cell>
        </row>
        <row r="636">
          <cell r="A636" t="str">
            <v>37</v>
          </cell>
          <cell r="B636" t="str">
            <v>68403</v>
          </cell>
          <cell r="C636" t="str">
            <v>San Diego</v>
          </cell>
          <cell r="D636" t="str">
            <v>Spencer Valley Elementary</v>
          </cell>
          <cell r="E636">
            <v>36</v>
          </cell>
          <cell r="F636">
            <v>3564</v>
          </cell>
          <cell r="G636">
            <v>1</v>
          </cell>
        </row>
        <row r="637">
          <cell r="A637" t="str">
            <v>37</v>
          </cell>
          <cell r="B637" t="str">
            <v>68411</v>
          </cell>
          <cell r="C637" t="str">
            <v>San Diego</v>
          </cell>
          <cell r="D637" t="str">
            <v>Sweetwater Union High</v>
          </cell>
          <cell r="E637">
            <v>42768</v>
          </cell>
          <cell r="F637">
            <v>737865</v>
          </cell>
          <cell r="G637">
            <v>31</v>
          </cell>
        </row>
        <row r="638">
          <cell r="A638" t="str">
            <v>37</v>
          </cell>
          <cell r="B638" t="str">
            <v>68437</v>
          </cell>
          <cell r="C638" t="str">
            <v>San Diego</v>
          </cell>
          <cell r="D638" t="str">
            <v>Vallecitos Elementary</v>
          </cell>
          <cell r="E638">
            <v>219</v>
          </cell>
          <cell r="F638">
            <v>3723</v>
          </cell>
          <cell r="G638">
            <v>1</v>
          </cell>
        </row>
        <row r="639">
          <cell r="A639" t="str">
            <v>37</v>
          </cell>
          <cell r="B639" t="str">
            <v>68452</v>
          </cell>
          <cell r="C639" t="str">
            <v>San Diego</v>
          </cell>
          <cell r="D639" t="str">
            <v>Vista Unified</v>
          </cell>
          <cell r="E639">
            <v>23092</v>
          </cell>
          <cell r="F639">
            <v>403509</v>
          </cell>
          <cell r="G639">
            <v>31</v>
          </cell>
        </row>
        <row r="640">
          <cell r="A640" t="str">
            <v>37</v>
          </cell>
          <cell r="B640" t="str">
            <v>73551</v>
          </cell>
          <cell r="C640" t="str">
            <v>San Diego</v>
          </cell>
          <cell r="D640" t="str">
            <v>Carlsbad Unified</v>
          </cell>
          <cell r="E640">
            <v>10678</v>
          </cell>
          <cell r="F640">
            <v>184631</v>
          </cell>
          <cell r="G640">
            <v>15</v>
          </cell>
        </row>
        <row r="641">
          <cell r="A641" t="str">
            <v>37</v>
          </cell>
          <cell r="B641" t="str">
            <v>73569</v>
          </cell>
          <cell r="C641" t="str">
            <v>San Diego</v>
          </cell>
          <cell r="D641" t="str">
            <v>Oceanside Unified</v>
          </cell>
          <cell r="E641">
            <v>20533</v>
          </cell>
          <cell r="F641">
            <v>351264</v>
          </cell>
          <cell r="G641">
            <v>24</v>
          </cell>
        </row>
        <row r="642">
          <cell r="A642" t="str">
            <v>37</v>
          </cell>
          <cell r="B642" t="str">
            <v>73791</v>
          </cell>
          <cell r="C642" t="str">
            <v>San Diego</v>
          </cell>
          <cell r="D642" t="str">
            <v>San Marcos Unified</v>
          </cell>
          <cell r="E642">
            <v>17654</v>
          </cell>
          <cell r="F642">
            <v>302058</v>
          </cell>
          <cell r="G642">
            <v>18</v>
          </cell>
        </row>
        <row r="643">
          <cell r="A643" t="str">
            <v>37</v>
          </cell>
          <cell r="B643" t="str">
            <v>75416</v>
          </cell>
          <cell r="C643" t="str">
            <v>San Diego</v>
          </cell>
          <cell r="D643" t="str">
            <v>Warner Unified</v>
          </cell>
          <cell r="E643">
            <v>214</v>
          </cell>
          <cell r="F643">
            <v>9356</v>
          </cell>
          <cell r="G643">
            <v>3</v>
          </cell>
        </row>
        <row r="644">
          <cell r="A644" t="str">
            <v>37</v>
          </cell>
          <cell r="B644" t="str">
            <v>75614</v>
          </cell>
          <cell r="C644" t="str">
            <v>San Diego</v>
          </cell>
          <cell r="D644" t="str">
            <v>Valley Center-Pauma Unified</v>
          </cell>
          <cell r="E644">
            <v>4364</v>
          </cell>
          <cell r="F644">
            <v>79329</v>
          </cell>
          <cell r="G644">
            <v>8</v>
          </cell>
        </row>
        <row r="645">
          <cell r="A645" t="str">
            <v>37</v>
          </cell>
          <cell r="B645" t="str">
            <v>76471</v>
          </cell>
          <cell r="C645" t="str">
            <v>San Diego</v>
          </cell>
          <cell r="D645" t="str">
            <v>SBC - High Tech High</v>
          </cell>
          <cell r="E645">
            <v>580</v>
          </cell>
          <cell r="F645">
            <v>9860</v>
          </cell>
          <cell r="G645">
            <v>2</v>
          </cell>
        </row>
        <row r="646">
          <cell r="A646" t="str">
            <v>38</v>
          </cell>
          <cell r="B646" t="str">
            <v>10389</v>
          </cell>
          <cell r="C646" t="str">
            <v>San Francisco</v>
          </cell>
          <cell r="D646" t="str">
            <v>San Francisco County Office of Education</v>
          </cell>
          <cell r="E646">
            <v>611</v>
          </cell>
          <cell r="F646">
            <v>14738</v>
          </cell>
          <cell r="G646">
            <v>4</v>
          </cell>
        </row>
        <row r="647">
          <cell r="A647" t="str">
            <v>38</v>
          </cell>
          <cell r="B647" t="str">
            <v>68478</v>
          </cell>
          <cell r="C647" t="str">
            <v>San Francisco</v>
          </cell>
          <cell r="D647" t="str">
            <v>San Francisco Unified</v>
          </cell>
          <cell r="E647">
            <v>52568</v>
          </cell>
          <cell r="F647">
            <v>903694</v>
          </cell>
          <cell r="G647">
            <v>102</v>
          </cell>
        </row>
        <row r="648">
          <cell r="A648" t="str">
            <v>39</v>
          </cell>
          <cell r="B648" t="str">
            <v>10397</v>
          </cell>
          <cell r="C648" t="str">
            <v>San Joaquin</v>
          </cell>
          <cell r="D648" t="str">
            <v>San Joaquin County Office of Education</v>
          </cell>
          <cell r="E648">
            <v>1857</v>
          </cell>
          <cell r="F648">
            <v>31570</v>
          </cell>
          <cell r="G648">
            <v>3</v>
          </cell>
        </row>
        <row r="649">
          <cell r="A649" t="str">
            <v>39</v>
          </cell>
          <cell r="B649" t="str">
            <v>68486</v>
          </cell>
          <cell r="C649" t="str">
            <v>San Joaquin</v>
          </cell>
          <cell r="D649" t="str">
            <v>Banta Elementary</v>
          </cell>
          <cell r="E649">
            <v>297</v>
          </cell>
          <cell r="F649">
            <v>5049</v>
          </cell>
          <cell r="G649">
            <v>1</v>
          </cell>
        </row>
        <row r="650">
          <cell r="A650" t="str">
            <v>39</v>
          </cell>
          <cell r="B650" t="str">
            <v>68502</v>
          </cell>
          <cell r="C650" t="str">
            <v>San Joaquin</v>
          </cell>
          <cell r="D650" t="str">
            <v>Escalon Unified</v>
          </cell>
          <cell r="E650">
            <v>3057</v>
          </cell>
          <cell r="F650">
            <v>57778</v>
          </cell>
          <cell r="G650">
            <v>7</v>
          </cell>
        </row>
        <row r="651">
          <cell r="A651" t="str">
            <v>39</v>
          </cell>
          <cell r="B651" t="str">
            <v>68544</v>
          </cell>
          <cell r="C651" t="str">
            <v>San Joaquin</v>
          </cell>
          <cell r="D651" t="str">
            <v>Jefferson Elementary</v>
          </cell>
          <cell r="E651">
            <v>2416</v>
          </cell>
          <cell r="F651">
            <v>41074</v>
          </cell>
          <cell r="G651">
            <v>4</v>
          </cell>
        </row>
        <row r="652">
          <cell r="A652" t="str">
            <v>39</v>
          </cell>
          <cell r="B652" t="str">
            <v>68551</v>
          </cell>
          <cell r="C652" t="str">
            <v>San Joaquin</v>
          </cell>
          <cell r="D652" t="str">
            <v>Lammersville Elementary</v>
          </cell>
          <cell r="E652">
            <v>1741</v>
          </cell>
          <cell r="F652">
            <v>29598</v>
          </cell>
          <cell r="G652">
            <v>3</v>
          </cell>
        </row>
        <row r="653">
          <cell r="A653" t="str">
            <v>39</v>
          </cell>
          <cell r="B653" t="str">
            <v>68569</v>
          </cell>
          <cell r="C653" t="str">
            <v>San Joaquin</v>
          </cell>
          <cell r="D653" t="str">
            <v>Lincoln Unified</v>
          </cell>
          <cell r="E653">
            <v>8605</v>
          </cell>
          <cell r="F653">
            <v>146469</v>
          </cell>
          <cell r="G653">
            <v>11</v>
          </cell>
        </row>
        <row r="654">
          <cell r="A654" t="str">
            <v>39</v>
          </cell>
          <cell r="B654" t="str">
            <v>68577</v>
          </cell>
          <cell r="C654" t="str">
            <v>San Joaquin</v>
          </cell>
          <cell r="D654" t="str">
            <v>Linden Unified</v>
          </cell>
          <cell r="E654">
            <v>2502</v>
          </cell>
          <cell r="F654">
            <v>49127</v>
          </cell>
          <cell r="G654">
            <v>8</v>
          </cell>
        </row>
        <row r="655">
          <cell r="A655" t="str">
            <v>39</v>
          </cell>
          <cell r="B655" t="str">
            <v>68585</v>
          </cell>
          <cell r="C655" t="str">
            <v>San Joaquin</v>
          </cell>
          <cell r="D655" t="str">
            <v>Lodi Unified</v>
          </cell>
          <cell r="E655">
            <v>29938</v>
          </cell>
          <cell r="F655">
            <v>523493</v>
          </cell>
          <cell r="G655">
            <v>52</v>
          </cell>
        </row>
        <row r="656">
          <cell r="A656" t="str">
            <v>39</v>
          </cell>
          <cell r="B656" t="str">
            <v>68593</v>
          </cell>
          <cell r="C656" t="str">
            <v>San Joaquin</v>
          </cell>
          <cell r="D656" t="str">
            <v>Manteca Unified</v>
          </cell>
          <cell r="E656">
            <v>23077</v>
          </cell>
          <cell r="F656">
            <v>397618</v>
          </cell>
          <cell r="G656">
            <v>29</v>
          </cell>
        </row>
        <row r="657">
          <cell r="A657" t="str">
            <v>39</v>
          </cell>
          <cell r="B657" t="str">
            <v>68619</v>
          </cell>
          <cell r="C657" t="str">
            <v>San Joaquin</v>
          </cell>
          <cell r="D657" t="str">
            <v>New Hope Elementary</v>
          </cell>
          <cell r="E657">
            <v>203</v>
          </cell>
          <cell r="F657">
            <v>3564</v>
          </cell>
          <cell r="G657">
            <v>1</v>
          </cell>
        </row>
        <row r="658">
          <cell r="A658" t="str">
            <v>39</v>
          </cell>
          <cell r="B658" t="str">
            <v>68627</v>
          </cell>
          <cell r="C658" t="str">
            <v>San Joaquin</v>
          </cell>
          <cell r="D658" t="str">
            <v>New Jerusalem Elementary</v>
          </cell>
          <cell r="E658">
            <v>28</v>
          </cell>
          <cell r="F658">
            <v>3564</v>
          </cell>
          <cell r="G658">
            <v>1</v>
          </cell>
        </row>
        <row r="659">
          <cell r="A659" t="str">
            <v>39</v>
          </cell>
          <cell r="B659" t="str">
            <v>68635</v>
          </cell>
          <cell r="C659" t="str">
            <v>San Joaquin</v>
          </cell>
          <cell r="D659" t="str">
            <v>Oak View Union Elementary</v>
          </cell>
          <cell r="E659">
            <v>394</v>
          </cell>
          <cell r="F659">
            <v>6698</v>
          </cell>
          <cell r="G659">
            <v>1</v>
          </cell>
        </row>
        <row r="660">
          <cell r="A660" t="str">
            <v>39</v>
          </cell>
          <cell r="B660" t="str">
            <v>68650</v>
          </cell>
          <cell r="C660" t="str">
            <v>San Joaquin</v>
          </cell>
          <cell r="D660" t="str">
            <v>Ripon Unified</v>
          </cell>
          <cell r="E660">
            <v>3051</v>
          </cell>
          <cell r="F660">
            <v>51868</v>
          </cell>
          <cell r="G660">
            <v>6</v>
          </cell>
        </row>
        <row r="661">
          <cell r="A661" t="str">
            <v>39</v>
          </cell>
          <cell r="B661" t="str">
            <v>68676</v>
          </cell>
          <cell r="C661" t="str">
            <v>San Joaquin</v>
          </cell>
          <cell r="D661" t="str">
            <v>Stockton Unified</v>
          </cell>
          <cell r="E661">
            <v>36784</v>
          </cell>
          <cell r="F661">
            <v>635271</v>
          </cell>
          <cell r="G661">
            <v>53</v>
          </cell>
        </row>
        <row r="662">
          <cell r="A662" t="str">
            <v>39</v>
          </cell>
          <cell r="B662" t="str">
            <v>75499</v>
          </cell>
          <cell r="C662" t="str">
            <v>San Joaquin</v>
          </cell>
          <cell r="D662" t="str">
            <v>Tracy Joint Unified</v>
          </cell>
          <cell r="E662">
            <v>16305</v>
          </cell>
          <cell r="F662">
            <v>288987</v>
          </cell>
          <cell r="G662">
            <v>21</v>
          </cell>
        </row>
        <row r="663">
          <cell r="A663" t="str">
            <v>40</v>
          </cell>
          <cell r="B663" t="str">
            <v>10405</v>
          </cell>
          <cell r="C663" t="str">
            <v>San Luis Obispo</v>
          </cell>
          <cell r="D663" t="str">
            <v>San Luis Obispo County Office of Education</v>
          </cell>
          <cell r="E663">
            <v>697</v>
          </cell>
          <cell r="F663">
            <v>15407</v>
          </cell>
          <cell r="G663">
            <v>4</v>
          </cell>
        </row>
        <row r="664">
          <cell r="A664" t="str">
            <v>40</v>
          </cell>
          <cell r="B664" t="str">
            <v>68700</v>
          </cell>
          <cell r="C664" t="str">
            <v>San Luis Obispo</v>
          </cell>
          <cell r="D664" t="str">
            <v>Atascadero Unified</v>
          </cell>
          <cell r="E664">
            <v>4945</v>
          </cell>
          <cell r="F664">
            <v>93018</v>
          </cell>
          <cell r="G664">
            <v>12</v>
          </cell>
        </row>
        <row r="665">
          <cell r="A665" t="str">
            <v>40</v>
          </cell>
          <cell r="B665" t="str">
            <v>68726</v>
          </cell>
          <cell r="C665" t="str">
            <v>San Luis Obispo</v>
          </cell>
          <cell r="D665" t="str">
            <v>Cayucos Elementary</v>
          </cell>
          <cell r="E665">
            <v>187</v>
          </cell>
          <cell r="F665">
            <v>3564</v>
          </cell>
          <cell r="G665">
            <v>1</v>
          </cell>
        </row>
        <row r="666">
          <cell r="A666" t="str">
            <v>40</v>
          </cell>
          <cell r="B666" t="str">
            <v>68759</v>
          </cell>
          <cell r="C666" t="str">
            <v>San Luis Obispo</v>
          </cell>
          <cell r="D666" t="str">
            <v>Lucia Mar Unified</v>
          </cell>
          <cell r="E666">
            <v>10772</v>
          </cell>
          <cell r="F666">
            <v>184225</v>
          </cell>
          <cell r="G666">
            <v>17</v>
          </cell>
        </row>
        <row r="667">
          <cell r="A667" t="str">
            <v>40</v>
          </cell>
          <cell r="B667" t="str">
            <v>68791</v>
          </cell>
          <cell r="C667" t="str">
            <v>San Luis Obispo</v>
          </cell>
          <cell r="D667" t="str">
            <v>Pleasant Valley Joint Union Elementary</v>
          </cell>
          <cell r="E667">
            <v>134</v>
          </cell>
          <cell r="F667">
            <v>3564</v>
          </cell>
          <cell r="G667">
            <v>1</v>
          </cell>
        </row>
        <row r="668">
          <cell r="A668" t="str">
            <v>40</v>
          </cell>
          <cell r="B668" t="str">
            <v>68809</v>
          </cell>
          <cell r="C668" t="str">
            <v>San Luis Obispo</v>
          </cell>
          <cell r="D668" t="str">
            <v>San Luis Coastal Unified</v>
          </cell>
          <cell r="E668">
            <v>6989</v>
          </cell>
          <cell r="F668">
            <v>123699</v>
          </cell>
          <cell r="G668">
            <v>15</v>
          </cell>
        </row>
        <row r="669">
          <cell r="A669" t="str">
            <v>40</v>
          </cell>
          <cell r="B669" t="str">
            <v>68825</v>
          </cell>
          <cell r="C669" t="str">
            <v>San Luis Obispo</v>
          </cell>
          <cell r="D669" t="str">
            <v>San Miguel Joint Union</v>
          </cell>
          <cell r="E669">
            <v>553</v>
          </cell>
          <cell r="F669">
            <v>12915</v>
          </cell>
          <cell r="G669">
            <v>3</v>
          </cell>
        </row>
        <row r="670">
          <cell r="A670" t="str">
            <v>40</v>
          </cell>
          <cell r="B670" t="str">
            <v>68833</v>
          </cell>
          <cell r="C670" t="str">
            <v>San Luis Obispo</v>
          </cell>
          <cell r="D670" t="str">
            <v>Shandon Joint Unified</v>
          </cell>
          <cell r="E670">
            <v>322</v>
          </cell>
          <cell r="F670">
            <v>11584</v>
          </cell>
          <cell r="G670">
            <v>4</v>
          </cell>
        </row>
        <row r="671">
          <cell r="A671" t="str">
            <v>40</v>
          </cell>
          <cell r="B671" t="str">
            <v>68841</v>
          </cell>
          <cell r="C671" t="str">
            <v>San Luis Obispo</v>
          </cell>
          <cell r="D671" t="str">
            <v>Templeton Unified</v>
          </cell>
          <cell r="E671">
            <v>2371</v>
          </cell>
          <cell r="F671">
            <v>46553</v>
          </cell>
          <cell r="G671">
            <v>7</v>
          </cell>
        </row>
        <row r="672">
          <cell r="A672" t="str">
            <v>40</v>
          </cell>
          <cell r="B672" t="str">
            <v>75457</v>
          </cell>
          <cell r="C672" t="str">
            <v>San Luis Obispo</v>
          </cell>
          <cell r="D672" t="str">
            <v>Paso Robles Joint Unified</v>
          </cell>
          <cell r="E672">
            <v>6875</v>
          </cell>
          <cell r="F672">
            <v>121183</v>
          </cell>
          <cell r="G672">
            <v>12</v>
          </cell>
        </row>
        <row r="673">
          <cell r="A673" t="str">
            <v>40</v>
          </cell>
          <cell r="B673" t="str">
            <v>75465</v>
          </cell>
          <cell r="C673" t="str">
            <v>San Luis Obispo</v>
          </cell>
          <cell r="D673" t="str">
            <v>Coast Unified</v>
          </cell>
          <cell r="E673">
            <v>763</v>
          </cell>
          <cell r="F673">
            <v>19080</v>
          </cell>
          <cell r="G673">
            <v>5</v>
          </cell>
        </row>
        <row r="674">
          <cell r="A674" t="str">
            <v>41</v>
          </cell>
          <cell r="B674" t="str">
            <v>10413</v>
          </cell>
          <cell r="C674" t="str">
            <v>San Mateo</v>
          </cell>
          <cell r="D674" t="str">
            <v>San Mateo County Office of Education</v>
          </cell>
          <cell r="E674">
            <v>581</v>
          </cell>
          <cell r="F674">
            <v>35897</v>
          </cell>
          <cell r="G674">
            <v>12</v>
          </cell>
        </row>
        <row r="675">
          <cell r="A675" t="str">
            <v>41</v>
          </cell>
          <cell r="B675" t="str">
            <v>68858</v>
          </cell>
          <cell r="C675" t="str">
            <v>San Mateo</v>
          </cell>
          <cell r="D675" t="str">
            <v>Bayshore Elementary</v>
          </cell>
          <cell r="E675">
            <v>429</v>
          </cell>
          <cell r="F675">
            <v>7542</v>
          </cell>
          <cell r="G675">
            <v>2</v>
          </cell>
        </row>
        <row r="676">
          <cell r="A676" t="str">
            <v>41</v>
          </cell>
          <cell r="B676" t="str">
            <v>68866</v>
          </cell>
          <cell r="C676" t="str">
            <v>San Mateo</v>
          </cell>
          <cell r="D676" t="str">
            <v>Belmont-Redwood Shores Elementary</v>
          </cell>
          <cell r="E676">
            <v>2749</v>
          </cell>
          <cell r="F676">
            <v>46734</v>
          </cell>
          <cell r="G676">
            <v>6</v>
          </cell>
        </row>
        <row r="677">
          <cell r="A677" t="str">
            <v>41</v>
          </cell>
          <cell r="B677" t="str">
            <v>68874</v>
          </cell>
          <cell r="C677" t="str">
            <v>San Mateo</v>
          </cell>
          <cell r="D677" t="str">
            <v>Brisbane Elementary</v>
          </cell>
          <cell r="E677">
            <v>589</v>
          </cell>
          <cell r="F677">
            <v>10766</v>
          </cell>
          <cell r="G677">
            <v>3</v>
          </cell>
        </row>
        <row r="678">
          <cell r="A678" t="str">
            <v>41</v>
          </cell>
          <cell r="B678" t="str">
            <v>68882</v>
          </cell>
          <cell r="C678" t="str">
            <v>San Mateo</v>
          </cell>
          <cell r="D678" t="str">
            <v>Burlingame Elementary</v>
          </cell>
          <cell r="E678">
            <v>2529</v>
          </cell>
          <cell r="F678">
            <v>42994</v>
          </cell>
          <cell r="G678">
            <v>6</v>
          </cell>
        </row>
        <row r="679">
          <cell r="A679" t="str">
            <v>41</v>
          </cell>
          <cell r="B679" t="str">
            <v>68890</v>
          </cell>
          <cell r="C679" t="str">
            <v>San Mateo</v>
          </cell>
          <cell r="D679" t="str">
            <v>Cabrillo Unified</v>
          </cell>
          <cell r="E679">
            <v>3386</v>
          </cell>
          <cell r="F679">
            <v>62634</v>
          </cell>
          <cell r="G679">
            <v>7</v>
          </cell>
        </row>
        <row r="680">
          <cell r="A680" t="str">
            <v>41</v>
          </cell>
          <cell r="B680" t="str">
            <v>68908</v>
          </cell>
          <cell r="C680" t="str">
            <v>San Mateo</v>
          </cell>
          <cell r="D680" t="str">
            <v>Hillsborough City Elementary</v>
          </cell>
          <cell r="E680">
            <v>1462</v>
          </cell>
          <cell r="F680">
            <v>24854</v>
          </cell>
          <cell r="G680">
            <v>4</v>
          </cell>
        </row>
        <row r="681">
          <cell r="A681" t="str">
            <v>41</v>
          </cell>
          <cell r="B681" t="str">
            <v>68916</v>
          </cell>
          <cell r="C681" t="str">
            <v>San Mateo</v>
          </cell>
          <cell r="D681" t="str">
            <v>Jefferson Elementary</v>
          </cell>
          <cell r="E681">
            <v>5993</v>
          </cell>
          <cell r="F681">
            <v>101881</v>
          </cell>
          <cell r="G681">
            <v>14</v>
          </cell>
        </row>
        <row r="682">
          <cell r="A682" t="str">
            <v>41</v>
          </cell>
          <cell r="B682" t="str">
            <v>68924</v>
          </cell>
          <cell r="C682" t="str">
            <v>San Mateo</v>
          </cell>
          <cell r="D682" t="str">
            <v>Jefferson Union High</v>
          </cell>
          <cell r="E682">
            <v>5150</v>
          </cell>
          <cell r="F682">
            <v>87938</v>
          </cell>
          <cell r="G682">
            <v>5</v>
          </cell>
        </row>
        <row r="683">
          <cell r="A683" t="str">
            <v>41</v>
          </cell>
          <cell r="B683" t="str">
            <v>68932</v>
          </cell>
          <cell r="C683" t="str">
            <v>San Mateo</v>
          </cell>
          <cell r="D683" t="str">
            <v>Pacifica</v>
          </cell>
          <cell r="E683">
            <v>3103</v>
          </cell>
          <cell r="F683">
            <v>55652</v>
          </cell>
          <cell r="G683">
            <v>7</v>
          </cell>
        </row>
        <row r="684">
          <cell r="A684" t="str">
            <v>41</v>
          </cell>
          <cell r="B684" t="str">
            <v>68940</v>
          </cell>
          <cell r="C684" t="str">
            <v>San Mateo</v>
          </cell>
          <cell r="D684" t="str">
            <v>La Honda-Pescadero Unified</v>
          </cell>
          <cell r="E684">
            <v>371</v>
          </cell>
          <cell r="F684">
            <v>10692</v>
          </cell>
          <cell r="G684">
            <v>3</v>
          </cell>
        </row>
        <row r="685">
          <cell r="A685" t="str">
            <v>41</v>
          </cell>
          <cell r="B685" t="str">
            <v>68957</v>
          </cell>
          <cell r="C685" t="str">
            <v>San Mateo</v>
          </cell>
          <cell r="D685" t="str">
            <v>Las Lomitas Elementary</v>
          </cell>
          <cell r="E685">
            <v>1191</v>
          </cell>
          <cell r="F685">
            <v>20247</v>
          </cell>
          <cell r="G685">
            <v>2</v>
          </cell>
        </row>
        <row r="686">
          <cell r="A686" t="str">
            <v>41</v>
          </cell>
          <cell r="B686" t="str">
            <v>68965</v>
          </cell>
          <cell r="C686" t="str">
            <v>San Mateo</v>
          </cell>
          <cell r="D686" t="str">
            <v>Menlo Park City Elementary</v>
          </cell>
          <cell r="E686">
            <v>2407</v>
          </cell>
          <cell r="F686">
            <v>40919</v>
          </cell>
          <cell r="G686">
            <v>4</v>
          </cell>
        </row>
        <row r="687">
          <cell r="A687" t="str">
            <v>41</v>
          </cell>
          <cell r="B687" t="str">
            <v>68973</v>
          </cell>
          <cell r="C687" t="str">
            <v>San Mateo</v>
          </cell>
          <cell r="D687" t="str">
            <v>Millbrae Elementary</v>
          </cell>
          <cell r="E687">
            <v>2135</v>
          </cell>
          <cell r="F687">
            <v>36296</v>
          </cell>
          <cell r="G687">
            <v>5</v>
          </cell>
        </row>
        <row r="688">
          <cell r="A688" t="str">
            <v>41</v>
          </cell>
          <cell r="B688" t="str">
            <v>68981</v>
          </cell>
          <cell r="C688" t="str">
            <v>San Mateo</v>
          </cell>
          <cell r="D688" t="str">
            <v>Portola Valley Elementary</v>
          </cell>
          <cell r="E688">
            <v>737</v>
          </cell>
          <cell r="F688">
            <v>12529</v>
          </cell>
          <cell r="G688">
            <v>2</v>
          </cell>
        </row>
        <row r="689">
          <cell r="A689" t="str">
            <v>41</v>
          </cell>
          <cell r="B689" t="str">
            <v>68999</v>
          </cell>
          <cell r="C689" t="str">
            <v>San Mateo</v>
          </cell>
          <cell r="D689" t="str">
            <v>Ravenswood City Elementary</v>
          </cell>
          <cell r="E689">
            <v>3594</v>
          </cell>
          <cell r="F689">
            <v>61098</v>
          </cell>
          <cell r="G689">
            <v>8</v>
          </cell>
        </row>
        <row r="690">
          <cell r="A690" t="str">
            <v>41</v>
          </cell>
          <cell r="B690" t="str">
            <v>69005</v>
          </cell>
          <cell r="C690" t="str">
            <v>San Mateo</v>
          </cell>
          <cell r="D690" t="str">
            <v>Redwood City Elementary</v>
          </cell>
          <cell r="E690">
            <v>8180</v>
          </cell>
          <cell r="F690">
            <v>141618</v>
          </cell>
          <cell r="G690">
            <v>16</v>
          </cell>
        </row>
        <row r="691">
          <cell r="A691" t="str">
            <v>41</v>
          </cell>
          <cell r="B691" t="str">
            <v>69013</v>
          </cell>
          <cell r="C691" t="str">
            <v>San Mateo</v>
          </cell>
          <cell r="D691" t="str">
            <v>San Bruno Park Elementary</v>
          </cell>
          <cell r="E691">
            <v>2619</v>
          </cell>
          <cell r="F691">
            <v>44523</v>
          </cell>
          <cell r="G691">
            <v>8</v>
          </cell>
        </row>
        <row r="692">
          <cell r="A692" t="str">
            <v>41</v>
          </cell>
          <cell r="B692" t="str">
            <v>69021</v>
          </cell>
          <cell r="C692" t="str">
            <v>San Mateo</v>
          </cell>
          <cell r="D692" t="str">
            <v>San Carlos Elementary</v>
          </cell>
          <cell r="E692">
            <v>2686</v>
          </cell>
          <cell r="F692">
            <v>45662</v>
          </cell>
          <cell r="G692">
            <v>6</v>
          </cell>
        </row>
        <row r="693">
          <cell r="A693" t="str">
            <v>41</v>
          </cell>
          <cell r="B693" t="str">
            <v>69039</v>
          </cell>
          <cell r="C693" t="str">
            <v>San Mateo</v>
          </cell>
          <cell r="D693" t="str">
            <v>San Mateo-Foster City Elementary</v>
          </cell>
          <cell r="E693">
            <v>10329</v>
          </cell>
          <cell r="F693">
            <v>175596</v>
          </cell>
          <cell r="G693">
            <v>20</v>
          </cell>
        </row>
        <row r="694">
          <cell r="A694" t="str">
            <v>41</v>
          </cell>
          <cell r="B694" t="str">
            <v>69047</v>
          </cell>
          <cell r="C694" t="str">
            <v>San Mateo</v>
          </cell>
          <cell r="D694" t="str">
            <v>San Mateo Union High</v>
          </cell>
          <cell r="E694">
            <v>8549</v>
          </cell>
          <cell r="F694">
            <v>145339</v>
          </cell>
          <cell r="G694">
            <v>7</v>
          </cell>
        </row>
        <row r="695">
          <cell r="A695" t="str">
            <v>41</v>
          </cell>
          <cell r="B695" t="str">
            <v>69062</v>
          </cell>
          <cell r="C695" t="str">
            <v>San Mateo</v>
          </cell>
          <cell r="D695" t="str">
            <v>Sequoia Union High</v>
          </cell>
          <cell r="E695">
            <v>8252</v>
          </cell>
          <cell r="F695">
            <v>140288</v>
          </cell>
          <cell r="G695">
            <v>5</v>
          </cell>
        </row>
        <row r="696">
          <cell r="A696" t="str">
            <v>41</v>
          </cell>
          <cell r="B696" t="str">
            <v>69070</v>
          </cell>
          <cell r="C696" t="str">
            <v>San Mateo</v>
          </cell>
          <cell r="D696" t="str">
            <v>South San Francisco Unified</v>
          </cell>
          <cell r="E696">
            <v>9349</v>
          </cell>
          <cell r="F696">
            <v>160290</v>
          </cell>
          <cell r="G696">
            <v>15</v>
          </cell>
        </row>
        <row r="697">
          <cell r="A697" t="str">
            <v>41</v>
          </cell>
          <cell r="B697" t="str">
            <v>69088</v>
          </cell>
          <cell r="C697" t="str">
            <v>San Mateo</v>
          </cell>
          <cell r="D697" t="str">
            <v>Woodside Elementary</v>
          </cell>
          <cell r="E697">
            <v>458</v>
          </cell>
          <cell r="F697">
            <v>7786</v>
          </cell>
          <cell r="G697">
            <v>1</v>
          </cell>
        </row>
        <row r="698">
          <cell r="A698" t="str">
            <v>42</v>
          </cell>
          <cell r="B698" t="str">
            <v>10421</v>
          </cell>
          <cell r="C698" t="str">
            <v>Santa Barbara</v>
          </cell>
          <cell r="D698" t="str">
            <v>Santa Barbara County Office of Education</v>
          </cell>
          <cell r="E698">
            <v>837</v>
          </cell>
          <cell r="F698">
            <v>18866</v>
          </cell>
          <cell r="G698">
            <v>5</v>
          </cell>
        </row>
        <row r="699">
          <cell r="A699" t="str">
            <v>42</v>
          </cell>
          <cell r="B699" t="str">
            <v>69104</v>
          </cell>
          <cell r="C699" t="str">
            <v>Santa Barbara</v>
          </cell>
          <cell r="D699" t="str">
            <v>Ballard Elementary</v>
          </cell>
          <cell r="E699">
            <v>108</v>
          </cell>
          <cell r="F699">
            <v>3564</v>
          </cell>
          <cell r="G699">
            <v>1</v>
          </cell>
        </row>
        <row r="700">
          <cell r="A700" t="str">
            <v>42</v>
          </cell>
          <cell r="B700" t="str">
            <v>69112</v>
          </cell>
          <cell r="C700" t="str">
            <v>Santa Barbara</v>
          </cell>
          <cell r="D700" t="str">
            <v>Blochman Union Elementary</v>
          </cell>
          <cell r="E700">
            <v>475</v>
          </cell>
          <cell r="F700">
            <v>10075</v>
          </cell>
          <cell r="G700">
            <v>2</v>
          </cell>
        </row>
        <row r="701">
          <cell r="A701" t="str">
            <v>42</v>
          </cell>
          <cell r="B701" t="str">
            <v>69120</v>
          </cell>
          <cell r="C701" t="str">
            <v>Santa Barbara</v>
          </cell>
          <cell r="D701" t="str">
            <v>Santa Maria-Bonita</v>
          </cell>
          <cell r="E701">
            <v>13226</v>
          </cell>
          <cell r="F701">
            <v>224850</v>
          </cell>
          <cell r="G701">
            <v>19</v>
          </cell>
        </row>
        <row r="702">
          <cell r="A702" t="str">
            <v>42</v>
          </cell>
          <cell r="B702" t="str">
            <v>69138</v>
          </cell>
          <cell r="C702" t="str">
            <v>Santa Barbara</v>
          </cell>
          <cell r="D702" t="str">
            <v>Buellton Union Elementary</v>
          </cell>
          <cell r="E702">
            <v>693</v>
          </cell>
          <cell r="F702">
            <v>11781</v>
          </cell>
          <cell r="G702">
            <v>2</v>
          </cell>
        </row>
        <row r="703">
          <cell r="A703" t="str">
            <v>42</v>
          </cell>
          <cell r="B703" t="str">
            <v>69146</v>
          </cell>
          <cell r="C703" t="str">
            <v>Santa Barbara</v>
          </cell>
          <cell r="D703" t="str">
            <v>Carpinteria Unified</v>
          </cell>
          <cell r="E703">
            <v>2463</v>
          </cell>
          <cell r="F703">
            <v>52524</v>
          </cell>
          <cell r="G703">
            <v>8</v>
          </cell>
        </row>
        <row r="704">
          <cell r="A704" t="str">
            <v>42</v>
          </cell>
          <cell r="B704" t="str">
            <v>69161</v>
          </cell>
          <cell r="C704" t="str">
            <v>Santa Barbara</v>
          </cell>
          <cell r="D704" t="str">
            <v>Cold Spring Elementary</v>
          </cell>
          <cell r="E704">
            <v>198</v>
          </cell>
          <cell r="F704">
            <v>3564</v>
          </cell>
          <cell r="G704">
            <v>1</v>
          </cell>
        </row>
        <row r="705">
          <cell r="A705" t="str">
            <v>42</v>
          </cell>
          <cell r="B705" t="str">
            <v>69179</v>
          </cell>
          <cell r="C705" t="str">
            <v>Santa Barbara</v>
          </cell>
          <cell r="D705" t="str">
            <v>College Elementary</v>
          </cell>
          <cell r="E705">
            <v>208</v>
          </cell>
          <cell r="F705">
            <v>7128</v>
          </cell>
          <cell r="G705">
            <v>2</v>
          </cell>
        </row>
        <row r="706">
          <cell r="A706" t="str">
            <v>42</v>
          </cell>
          <cell r="B706" t="str">
            <v>69195</v>
          </cell>
          <cell r="C706" t="str">
            <v>Santa Barbara</v>
          </cell>
          <cell r="D706" t="str">
            <v>Goleta Union Elementary</v>
          </cell>
          <cell r="E706">
            <v>3608</v>
          </cell>
          <cell r="F706">
            <v>61336</v>
          </cell>
          <cell r="G706">
            <v>9</v>
          </cell>
        </row>
        <row r="707">
          <cell r="A707" t="str">
            <v>42</v>
          </cell>
          <cell r="B707" t="str">
            <v>69203</v>
          </cell>
          <cell r="C707" t="str">
            <v>Santa Barbara</v>
          </cell>
          <cell r="D707" t="str">
            <v>Guadalupe Union Elementary</v>
          </cell>
          <cell r="E707">
            <v>1127</v>
          </cell>
          <cell r="F707">
            <v>19160</v>
          </cell>
          <cell r="G707">
            <v>2</v>
          </cell>
        </row>
        <row r="708">
          <cell r="A708" t="str">
            <v>42</v>
          </cell>
          <cell r="B708" t="str">
            <v>69211</v>
          </cell>
          <cell r="C708" t="str">
            <v>Santa Barbara</v>
          </cell>
          <cell r="D708" t="str">
            <v>Hope Elementary</v>
          </cell>
          <cell r="E708">
            <v>980</v>
          </cell>
          <cell r="F708">
            <v>16660</v>
          </cell>
          <cell r="G708">
            <v>3</v>
          </cell>
        </row>
        <row r="709">
          <cell r="A709" t="str">
            <v>42</v>
          </cell>
          <cell r="B709" t="str">
            <v>69229</v>
          </cell>
          <cell r="C709" t="str">
            <v>Santa Barbara</v>
          </cell>
          <cell r="D709" t="str">
            <v>Lompoc Unified</v>
          </cell>
          <cell r="E709">
            <v>10083</v>
          </cell>
          <cell r="F709">
            <v>177943</v>
          </cell>
          <cell r="G709">
            <v>16</v>
          </cell>
        </row>
        <row r="710">
          <cell r="A710" t="str">
            <v>42</v>
          </cell>
          <cell r="B710" t="str">
            <v>69237</v>
          </cell>
          <cell r="C710" t="str">
            <v>Santa Barbara</v>
          </cell>
          <cell r="D710" t="str">
            <v>Los Alamos Elementary</v>
          </cell>
          <cell r="E710">
            <v>221</v>
          </cell>
          <cell r="F710">
            <v>3757</v>
          </cell>
          <cell r="G710">
            <v>1</v>
          </cell>
        </row>
        <row r="711">
          <cell r="A711" t="str">
            <v>42</v>
          </cell>
          <cell r="B711" t="str">
            <v>69245</v>
          </cell>
          <cell r="C711" t="str">
            <v>Santa Barbara</v>
          </cell>
          <cell r="D711" t="str">
            <v>Los Olivos Elementary</v>
          </cell>
          <cell r="E711">
            <v>670</v>
          </cell>
          <cell r="F711">
            <v>11390</v>
          </cell>
          <cell r="G711">
            <v>2</v>
          </cell>
        </row>
        <row r="712">
          <cell r="A712" t="str">
            <v>42</v>
          </cell>
          <cell r="B712" t="str">
            <v>69252</v>
          </cell>
          <cell r="C712" t="str">
            <v>Santa Barbara</v>
          </cell>
          <cell r="D712" t="str">
            <v>Montecito Union Elementary</v>
          </cell>
          <cell r="E712">
            <v>399</v>
          </cell>
          <cell r="F712">
            <v>6783</v>
          </cell>
          <cell r="G712">
            <v>1</v>
          </cell>
        </row>
        <row r="713">
          <cell r="A713" t="str">
            <v>42</v>
          </cell>
          <cell r="B713" t="str">
            <v>69260</v>
          </cell>
          <cell r="C713" t="str">
            <v>Santa Barbara</v>
          </cell>
          <cell r="D713" t="str">
            <v>Orcutt Union Elementary</v>
          </cell>
          <cell r="E713">
            <v>4655</v>
          </cell>
          <cell r="F713">
            <v>79135</v>
          </cell>
          <cell r="G713">
            <v>9</v>
          </cell>
        </row>
        <row r="714">
          <cell r="A714" t="str">
            <v>42</v>
          </cell>
          <cell r="B714" t="str">
            <v>69278</v>
          </cell>
          <cell r="C714" t="str">
            <v>Santa Barbara</v>
          </cell>
          <cell r="D714" t="str">
            <v>Santa Barbara Elementary</v>
          </cell>
          <cell r="E714">
            <v>5045</v>
          </cell>
          <cell r="F714">
            <v>88643</v>
          </cell>
          <cell r="G714">
            <v>13</v>
          </cell>
        </row>
        <row r="715">
          <cell r="A715" t="str">
            <v>42</v>
          </cell>
          <cell r="B715" t="str">
            <v>69286</v>
          </cell>
          <cell r="C715" t="str">
            <v>Santa Barbara</v>
          </cell>
          <cell r="D715" t="str">
            <v>Santa Barbara High</v>
          </cell>
          <cell r="E715">
            <v>9905</v>
          </cell>
          <cell r="F715">
            <v>183434</v>
          </cell>
          <cell r="G715">
            <v>13</v>
          </cell>
        </row>
        <row r="716">
          <cell r="A716" t="str">
            <v>42</v>
          </cell>
          <cell r="B716" t="str">
            <v>69310</v>
          </cell>
          <cell r="C716" t="str">
            <v>Santa Barbara</v>
          </cell>
          <cell r="D716" t="str">
            <v>Santa Maria Joint Union High</v>
          </cell>
          <cell r="E716">
            <v>7752</v>
          </cell>
          <cell r="F716">
            <v>131790</v>
          </cell>
          <cell r="G716">
            <v>4</v>
          </cell>
        </row>
        <row r="717">
          <cell r="A717" t="str">
            <v>42</v>
          </cell>
          <cell r="B717" t="str">
            <v>69328</v>
          </cell>
          <cell r="C717" t="str">
            <v>Santa Barbara</v>
          </cell>
          <cell r="D717" t="str">
            <v>Santa Ynez Valley Union High</v>
          </cell>
          <cell r="E717">
            <v>1162</v>
          </cell>
          <cell r="F717">
            <v>22605</v>
          </cell>
          <cell r="G717">
            <v>2</v>
          </cell>
        </row>
        <row r="718">
          <cell r="A718" t="str">
            <v>42</v>
          </cell>
          <cell r="B718" t="str">
            <v>69336</v>
          </cell>
          <cell r="C718" t="str">
            <v>Santa Barbara</v>
          </cell>
          <cell r="D718" t="str">
            <v>Solvang Elementary</v>
          </cell>
          <cell r="E718">
            <v>597</v>
          </cell>
          <cell r="F718">
            <v>10149</v>
          </cell>
          <cell r="G718">
            <v>1</v>
          </cell>
        </row>
        <row r="719">
          <cell r="A719" t="str">
            <v>42</v>
          </cell>
          <cell r="B719" t="str">
            <v>69344</v>
          </cell>
          <cell r="C719" t="str">
            <v>Santa Barbara</v>
          </cell>
          <cell r="D719" t="str">
            <v>Vista del Mar Union</v>
          </cell>
          <cell r="E719">
            <v>89</v>
          </cell>
          <cell r="F719">
            <v>3564</v>
          </cell>
          <cell r="G719">
            <v>1</v>
          </cell>
        </row>
        <row r="720">
          <cell r="A720" t="str">
            <v>42</v>
          </cell>
          <cell r="B720" t="str">
            <v>75010</v>
          </cell>
          <cell r="C720" t="str">
            <v>Santa Barbara</v>
          </cell>
          <cell r="D720" t="str">
            <v>Cuyama Joint Unified</v>
          </cell>
          <cell r="E720">
            <v>275</v>
          </cell>
          <cell r="F720">
            <v>9356</v>
          </cell>
          <cell r="G720">
            <v>3</v>
          </cell>
        </row>
        <row r="721">
          <cell r="A721" t="str">
            <v>43</v>
          </cell>
          <cell r="B721" t="str">
            <v>10439</v>
          </cell>
          <cell r="C721" t="str">
            <v>Santa Clara</v>
          </cell>
          <cell r="D721" t="str">
            <v>Santa Clara County Office of Education</v>
          </cell>
          <cell r="E721">
            <v>2252</v>
          </cell>
          <cell r="F721">
            <v>46529</v>
          </cell>
          <cell r="G721">
            <v>6</v>
          </cell>
        </row>
        <row r="722">
          <cell r="A722" t="str">
            <v>43</v>
          </cell>
          <cell r="B722" t="str">
            <v>69369</v>
          </cell>
          <cell r="C722" t="str">
            <v>Santa Clara</v>
          </cell>
          <cell r="D722" t="str">
            <v>Alum Rock Union Elementary</v>
          </cell>
          <cell r="E722">
            <v>13454</v>
          </cell>
          <cell r="F722">
            <v>228718</v>
          </cell>
          <cell r="G722">
            <v>27</v>
          </cell>
        </row>
        <row r="723">
          <cell r="A723" t="str">
            <v>43</v>
          </cell>
          <cell r="B723" t="str">
            <v>69377</v>
          </cell>
          <cell r="C723" t="str">
            <v>Santa Clara</v>
          </cell>
          <cell r="D723" t="str">
            <v>Berryessa Union Elementary</v>
          </cell>
          <cell r="E723">
            <v>8342</v>
          </cell>
          <cell r="F723">
            <v>143943</v>
          </cell>
          <cell r="G723">
            <v>14</v>
          </cell>
        </row>
        <row r="724">
          <cell r="A724" t="str">
            <v>43</v>
          </cell>
          <cell r="B724" t="str">
            <v>69385</v>
          </cell>
          <cell r="C724" t="str">
            <v>Santa Clara</v>
          </cell>
          <cell r="D724" t="str">
            <v>Cambrian</v>
          </cell>
          <cell r="E724">
            <v>3139</v>
          </cell>
          <cell r="F724">
            <v>55388</v>
          </cell>
          <cell r="G724">
            <v>6</v>
          </cell>
        </row>
        <row r="725">
          <cell r="A725" t="str">
            <v>43</v>
          </cell>
          <cell r="B725" t="str">
            <v>69393</v>
          </cell>
          <cell r="C725" t="str">
            <v>Santa Clara</v>
          </cell>
          <cell r="D725" t="str">
            <v>Campbell Union Elementary</v>
          </cell>
          <cell r="E725">
            <v>7269</v>
          </cell>
          <cell r="F725">
            <v>125701</v>
          </cell>
          <cell r="G725">
            <v>13</v>
          </cell>
        </row>
        <row r="726">
          <cell r="A726" t="str">
            <v>43</v>
          </cell>
          <cell r="B726" t="str">
            <v>69401</v>
          </cell>
          <cell r="C726" t="str">
            <v>Santa Clara</v>
          </cell>
          <cell r="D726" t="str">
            <v>Campbell Union High</v>
          </cell>
          <cell r="E726">
            <v>7763</v>
          </cell>
          <cell r="F726">
            <v>134928</v>
          </cell>
          <cell r="G726">
            <v>7</v>
          </cell>
        </row>
        <row r="727">
          <cell r="A727" t="str">
            <v>43</v>
          </cell>
          <cell r="B727" t="str">
            <v>69419</v>
          </cell>
          <cell r="C727" t="str">
            <v>Santa Clara</v>
          </cell>
          <cell r="D727" t="str">
            <v>Cupertino Union</v>
          </cell>
          <cell r="E727">
            <v>17574</v>
          </cell>
          <cell r="F727">
            <v>298764</v>
          </cell>
          <cell r="G727">
            <v>25</v>
          </cell>
        </row>
        <row r="728">
          <cell r="A728" t="str">
            <v>43</v>
          </cell>
          <cell r="B728" t="str">
            <v>69427</v>
          </cell>
          <cell r="C728" t="str">
            <v>Santa Clara</v>
          </cell>
          <cell r="D728" t="str">
            <v>East Side Union High</v>
          </cell>
          <cell r="E728">
            <v>25052</v>
          </cell>
          <cell r="F728">
            <v>435022</v>
          </cell>
          <cell r="G728">
            <v>16</v>
          </cell>
        </row>
        <row r="729">
          <cell r="A729" t="str">
            <v>43</v>
          </cell>
          <cell r="B729" t="str">
            <v>69435</v>
          </cell>
          <cell r="C729" t="str">
            <v>Santa Clara</v>
          </cell>
          <cell r="D729" t="str">
            <v>Evergreen Elementary</v>
          </cell>
          <cell r="E729">
            <v>13375</v>
          </cell>
          <cell r="F729">
            <v>227383</v>
          </cell>
          <cell r="G729">
            <v>18</v>
          </cell>
        </row>
        <row r="730">
          <cell r="A730" t="str">
            <v>43</v>
          </cell>
          <cell r="B730" t="str">
            <v>69450</v>
          </cell>
          <cell r="C730" t="str">
            <v>Santa Clara</v>
          </cell>
          <cell r="D730" t="str">
            <v>Franklin-McKinley Elementary</v>
          </cell>
          <cell r="E730">
            <v>9899</v>
          </cell>
          <cell r="F730">
            <v>168285</v>
          </cell>
          <cell r="G730">
            <v>16</v>
          </cell>
        </row>
        <row r="731">
          <cell r="A731" t="str">
            <v>43</v>
          </cell>
          <cell r="B731" t="str">
            <v>69468</v>
          </cell>
          <cell r="C731" t="str">
            <v>Santa Clara</v>
          </cell>
          <cell r="D731" t="str">
            <v>Fremont Union High</v>
          </cell>
          <cell r="E731">
            <v>10318</v>
          </cell>
          <cell r="F731">
            <v>177453</v>
          </cell>
          <cell r="G731">
            <v>6</v>
          </cell>
        </row>
        <row r="732">
          <cell r="A732" t="str">
            <v>43</v>
          </cell>
          <cell r="B732" t="str">
            <v>69484</v>
          </cell>
          <cell r="C732" t="str">
            <v>Santa Clara</v>
          </cell>
          <cell r="D732" t="str">
            <v>Gilroy Unified</v>
          </cell>
          <cell r="E732">
            <v>10564</v>
          </cell>
          <cell r="F732">
            <v>182947</v>
          </cell>
          <cell r="G732">
            <v>15</v>
          </cell>
        </row>
        <row r="733">
          <cell r="A733" t="str">
            <v>43</v>
          </cell>
          <cell r="B733" t="str">
            <v>69492</v>
          </cell>
          <cell r="C733" t="str">
            <v>Santa Clara</v>
          </cell>
          <cell r="D733" t="str">
            <v>Lakeside Joint</v>
          </cell>
          <cell r="E733">
            <v>82</v>
          </cell>
          <cell r="F733">
            <v>3564</v>
          </cell>
          <cell r="G733">
            <v>1</v>
          </cell>
        </row>
        <row r="734">
          <cell r="A734" t="str">
            <v>43</v>
          </cell>
          <cell r="B734" t="str">
            <v>69500</v>
          </cell>
          <cell r="C734" t="str">
            <v>Santa Clara</v>
          </cell>
          <cell r="D734" t="str">
            <v>Loma Prieta Joint Union Elementary</v>
          </cell>
          <cell r="E734">
            <v>405</v>
          </cell>
          <cell r="F734">
            <v>7848</v>
          </cell>
          <cell r="G734">
            <v>2</v>
          </cell>
        </row>
        <row r="735">
          <cell r="A735" t="str">
            <v>43</v>
          </cell>
          <cell r="B735" t="str">
            <v>69518</v>
          </cell>
          <cell r="C735" t="str">
            <v>Santa Clara</v>
          </cell>
          <cell r="D735" t="str">
            <v>Los Altos Elementary</v>
          </cell>
          <cell r="E735">
            <v>4245</v>
          </cell>
          <cell r="F735">
            <v>72295</v>
          </cell>
          <cell r="G735">
            <v>9</v>
          </cell>
        </row>
        <row r="736">
          <cell r="A736" t="str">
            <v>43</v>
          </cell>
          <cell r="B736" t="str">
            <v>69526</v>
          </cell>
          <cell r="C736" t="str">
            <v>Santa Clara</v>
          </cell>
          <cell r="D736" t="str">
            <v>Los Gatos Union Elementary</v>
          </cell>
          <cell r="E736">
            <v>2822</v>
          </cell>
          <cell r="F736">
            <v>48683</v>
          </cell>
          <cell r="G736">
            <v>5</v>
          </cell>
        </row>
        <row r="737">
          <cell r="A737" t="str">
            <v>43</v>
          </cell>
          <cell r="B737" t="str">
            <v>69534</v>
          </cell>
          <cell r="C737" t="str">
            <v>Santa Clara</v>
          </cell>
          <cell r="D737" t="str">
            <v>Los Gatos-Saratoga Joint Union High</v>
          </cell>
          <cell r="E737">
            <v>3182</v>
          </cell>
          <cell r="F737">
            <v>54096</v>
          </cell>
          <cell r="G737">
            <v>2</v>
          </cell>
        </row>
        <row r="738">
          <cell r="A738" t="str">
            <v>43</v>
          </cell>
          <cell r="B738" t="str">
            <v>69542</v>
          </cell>
          <cell r="C738" t="str">
            <v>Santa Clara</v>
          </cell>
          <cell r="D738" t="str">
            <v>Luther Burbank</v>
          </cell>
          <cell r="E738">
            <v>576</v>
          </cell>
          <cell r="F738">
            <v>9792</v>
          </cell>
          <cell r="G738">
            <v>1</v>
          </cell>
        </row>
        <row r="739">
          <cell r="A739" t="str">
            <v>43</v>
          </cell>
          <cell r="B739" t="str">
            <v>69567</v>
          </cell>
          <cell r="C739" t="str">
            <v>Santa Clara</v>
          </cell>
          <cell r="D739" t="str">
            <v>Montebello Elementary</v>
          </cell>
          <cell r="E739">
            <v>10</v>
          </cell>
          <cell r="F739">
            <v>2228</v>
          </cell>
          <cell r="G739">
            <v>1</v>
          </cell>
        </row>
        <row r="740">
          <cell r="A740" t="str">
            <v>43</v>
          </cell>
          <cell r="B740" t="str">
            <v>69575</v>
          </cell>
          <cell r="C740" t="str">
            <v>Santa Clara</v>
          </cell>
          <cell r="D740" t="str">
            <v>Moreland Elementary</v>
          </cell>
          <cell r="E740">
            <v>4001</v>
          </cell>
          <cell r="F740">
            <v>68018</v>
          </cell>
          <cell r="G740">
            <v>6</v>
          </cell>
        </row>
        <row r="741">
          <cell r="A741" t="str">
            <v>43</v>
          </cell>
          <cell r="B741" t="str">
            <v>69583</v>
          </cell>
          <cell r="C741" t="str">
            <v>Santa Clara</v>
          </cell>
          <cell r="D741" t="str">
            <v>Morgan Hill Unified</v>
          </cell>
          <cell r="E741">
            <v>9198</v>
          </cell>
          <cell r="F741">
            <v>157195</v>
          </cell>
          <cell r="G741">
            <v>14</v>
          </cell>
        </row>
        <row r="742">
          <cell r="A742" t="str">
            <v>43</v>
          </cell>
          <cell r="B742" t="str">
            <v>69591</v>
          </cell>
          <cell r="C742" t="str">
            <v>Santa Clara</v>
          </cell>
          <cell r="D742" t="str">
            <v>Mountain View Whisman</v>
          </cell>
          <cell r="E742">
            <v>4458</v>
          </cell>
          <cell r="F742">
            <v>75786</v>
          </cell>
          <cell r="G742">
            <v>8</v>
          </cell>
        </row>
        <row r="743">
          <cell r="A743" t="str">
            <v>43</v>
          </cell>
          <cell r="B743" t="str">
            <v>69609</v>
          </cell>
          <cell r="C743" t="str">
            <v>Santa Clara</v>
          </cell>
          <cell r="D743" t="str">
            <v>Mountain View-Los Altos Union High</v>
          </cell>
          <cell r="E743">
            <v>3656</v>
          </cell>
          <cell r="F743">
            <v>63049</v>
          </cell>
          <cell r="G743">
            <v>3</v>
          </cell>
        </row>
        <row r="744">
          <cell r="A744" t="str">
            <v>43</v>
          </cell>
          <cell r="B744" t="str">
            <v>69617</v>
          </cell>
          <cell r="C744" t="str">
            <v>Santa Clara</v>
          </cell>
          <cell r="D744" t="str">
            <v>Mt. Pleasant Elementary</v>
          </cell>
          <cell r="E744">
            <v>2963</v>
          </cell>
          <cell r="F744">
            <v>50372</v>
          </cell>
          <cell r="G744">
            <v>5</v>
          </cell>
        </row>
        <row r="745">
          <cell r="A745" t="str">
            <v>43</v>
          </cell>
          <cell r="B745" t="str">
            <v>69625</v>
          </cell>
          <cell r="C745" t="str">
            <v>Santa Clara</v>
          </cell>
          <cell r="D745" t="str">
            <v>Oak Grove Elementary</v>
          </cell>
          <cell r="E745">
            <v>11748</v>
          </cell>
          <cell r="F745">
            <v>201692</v>
          </cell>
          <cell r="G745">
            <v>20</v>
          </cell>
        </row>
        <row r="746">
          <cell r="A746" t="str">
            <v>43</v>
          </cell>
          <cell r="B746" t="str">
            <v>69633</v>
          </cell>
          <cell r="C746" t="str">
            <v>Santa Clara</v>
          </cell>
          <cell r="D746" t="str">
            <v>Orchard Elementary</v>
          </cell>
          <cell r="E746">
            <v>832</v>
          </cell>
          <cell r="F746">
            <v>14145</v>
          </cell>
          <cell r="G746">
            <v>1</v>
          </cell>
        </row>
        <row r="747">
          <cell r="A747" t="str">
            <v>43</v>
          </cell>
          <cell r="B747" t="str">
            <v>69641</v>
          </cell>
          <cell r="C747" t="str">
            <v>Santa Clara</v>
          </cell>
          <cell r="D747" t="str">
            <v>Palo Alto Unified</v>
          </cell>
          <cell r="E747">
            <v>11382</v>
          </cell>
          <cell r="F747">
            <v>199385</v>
          </cell>
          <cell r="G747">
            <v>19</v>
          </cell>
        </row>
        <row r="748">
          <cell r="A748" t="str">
            <v>43</v>
          </cell>
          <cell r="B748" t="str">
            <v>69666</v>
          </cell>
          <cell r="C748" t="str">
            <v>Santa Clara</v>
          </cell>
          <cell r="D748" t="str">
            <v>San Jose Unified</v>
          </cell>
          <cell r="E748">
            <v>31459</v>
          </cell>
          <cell r="F748">
            <v>562238</v>
          </cell>
          <cell r="G748">
            <v>51</v>
          </cell>
        </row>
        <row r="749">
          <cell r="A749" t="str">
            <v>43</v>
          </cell>
          <cell r="B749" t="str">
            <v>69674</v>
          </cell>
          <cell r="C749" t="str">
            <v>Santa Clara</v>
          </cell>
          <cell r="D749" t="str">
            <v>Santa Clara Unified</v>
          </cell>
          <cell r="E749">
            <v>14637</v>
          </cell>
          <cell r="F749">
            <v>249729</v>
          </cell>
          <cell r="G749">
            <v>24</v>
          </cell>
        </row>
        <row r="750">
          <cell r="A750" t="str">
            <v>43</v>
          </cell>
          <cell r="B750" t="str">
            <v>69682</v>
          </cell>
          <cell r="C750" t="str">
            <v>Santa Clara</v>
          </cell>
          <cell r="D750" t="str">
            <v>Saratoga Union Elementary</v>
          </cell>
          <cell r="E750">
            <v>2261</v>
          </cell>
          <cell r="F750">
            <v>38438</v>
          </cell>
          <cell r="G750">
            <v>4</v>
          </cell>
        </row>
        <row r="751">
          <cell r="A751" t="str">
            <v>43</v>
          </cell>
          <cell r="B751" t="str">
            <v>69690</v>
          </cell>
          <cell r="C751" t="str">
            <v>Santa Clara</v>
          </cell>
          <cell r="D751" t="str">
            <v>Sunnyvale</v>
          </cell>
          <cell r="E751">
            <v>6170</v>
          </cell>
          <cell r="F751">
            <v>107035</v>
          </cell>
          <cell r="G751">
            <v>11</v>
          </cell>
        </row>
        <row r="752">
          <cell r="A752" t="str">
            <v>43</v>
          </cell>
          <cell r="B752" t="str">
            <v>69708</v>
          </cell>
          <cell r="C752" t="str">
            <v>Santa Clara</v>
          </cell>
          <cell r="D752" t="str">
            <v>Union Elementary</v>
          </cell>
          <cell r="E752">
            <v>4564</v>
          </cell>
          <cell r="F752">
            <v>77590</v>
          </cell>
          <cell r="G752">
            <v>8</v>
          </cell>
        </row>
        <row r="753">
          <cell r="A753" t="str">
            <v>43</v>
          </cell>
          <cell r="B753" t="str">
            <v>73387</v>
          </cell>
          <cell r="C753" t="str">
            <v>Santa Clara</v>
          </cell>
          <cell r="D753" t="str">
            <v>Milpitas Unified</v>
          </cell>
          <cell r="E753">
            <v>9649</v>
          </cell>
          <cell r="F753">
            <v>167662</v>
          </cell>
          <cell r="G753">
            <v>14</v>
          </cell>
        </row>
        <row r="754">
          <cell r="A754" t="str">
            <v>44</v>
          </cell>
          <cell r="B754" t="str">
            <v>10447</v>
          </cell>
          <cell r="C754" t="str">
            <v>Santa Cruz</v>
          </cell>
          <cell r="D754" t="str">
            <v>Santa Cruz County Office of Education</v>
          </cell>
          <cell r="E754">
            <v>810</v>
          </cell>
          <cell r="F754">
            <v>17158</v>
          </cell>
          <cell r="G754">
            <v>3</v>
          </cell>
        </row>
        <row r="755">
          <cell r="A755" t="str">
            <v>44</v>
          </cell>
          <cell r="B755" t="str">
            <v>69732</v>
          </cell>
          <cell r="C755" t="str">
            <v>Santa Cruz</v>
          </cell>
          <cell r="D755" t="str">
            <v>Bonny Doon Union Elementary</v>
          </cell>
          <cell r="E755">
            <v>125</v>
          </cell>
          <cell r="F755">
            <v>3564</v>
          </cell>
          <cell r="G755">
            <v>1</v>
          </cell>
        </row>
        <row r="756">
          <cell r="A756" t="str">
            <v>44</v>
          </cell>
          <cell r="B756" t="str">
            <v>69757</v>
          </cell>
          <cell r="C756" t="str">
            <v>Santa Cruz</v>
          </cell>
          <cell r="D756" t="str">
            <v>Happy Valley Elementary</v>
          </cell>
          <cell r="E756">
            <v>129</v>
          </cell>
          <cell r="F756">
            <v>3564</v>
          </cell>
          <cell r="G756">
            <v>1</v>
          </cell>
        </row>
        <row r="757">
          <cell r="A757" t="str">
            <v>44</v>
          </cell>
          <cell r="B757" t="str">
            <v>69765</v>
          </cell>
          <cell r="C757" t="str">
            <v>Santa Cruz</v>
          </cell>
          <cell r="D757" t="str">
            <v>Live Oak Elementary</v>
          </cell>
          <cell r="E757">
            <v>2161</v>
          </cell>
          <cell r="F757">
            <v>41717</v>
          </cell>
          <cell r="G757">
            <v>7</v>
          </cell>
        </row>
        <row r="758">
          <cell r="A758" t="str">
            <v>44</v>
          </cell>
          <cell r="B758" t="str">
            <v>69773</v>
          </cell>
          <cell r="C758" t="str">
            <v>Santa Cruz</v>
          </cell>
          <cell r="D758" t="str">
            <v>Mountain Elementary</v>
          </cell>
          <cell r="E758">
            <v>159</v>
          </cell>
          <cell r="F758">
            <v>3564</v>
          </cell>
          <cell r="G758">
            <v>1</v>
          </cell>
        </row>
        <row r="759">
          <cell r="A759" t="str">
            <v>44</v>
          </cell>
          <cell r="B759" t="str">
            <v>69781</v>
          </cell>
          <cell r="C759" t="str">
            <v>Santa Cruz</v>
          </cell>
          <cell r="D759" t="str">
            <v>Pacific Elementary</v>
          </cell>
          <cell r="E759">
            <v>106</v>
          </cell>
          <cell r="F759">
            <v>3564</v>
          </cell>
          <cell r="G759">
            <v>1</v>
          </cell>
        </row>
        <row r="760">
          <cell r="A760" t="str">
            <v>44</v>
          </cell>
          <cell r="B760" t="str">
            <v>69799</v>
          </cell>
          <cell r="C760" t="str">
            <v>Santa Cruz</v>
          </cell>
          <cell r="D760" t="str">
            <v>Pajaro Valley Unified</v>
          </cell>
          <cell r="E760">
            <v>19334</v>
          </cell>
          <cell r="F760">
            <v>333797</v>
          </cell>
          <cell r="G760">
            <v>32</v>
          </cell>
        </row>
        <row r="761">
          <cell r="A761" t="str">
            <v>44</v>
          </cell>
          <cell r="B761" t="str">
            <v>69807</v>
          </cell>
          <cell r="C761" t="str">
            <v>Santa Cruz</v>
          </cell>
          <cell r="D761" t="str">
            <v>San Lorenzo Valley Unified</v>
          </cell>
          <cell r="E761">
            <v>2725</v>
          </cell>
          <cell r="F761">
            <v>49516</v>
          </cell>
          <cell r="G761">
            <v>6</v>
          </cell>
        </row>
        <row r="762">
          <cell r="A762" t="str">
            <v>44</v>
          </cell>
          <cell r="B762" t="str">
            <v>69815</v>
          </cell>
          <cell r="C762" t="str">
            <v>Santa Cruz</v>
          </cell>
          <cell r="D762" t="str">
            <v>Santa Cruz City Elementary</v>
          </cell>
          <cell r="E762">
            <v>2165</v>
          </cell>
          <cell r="F762">
            <v>38890</v>
          </cell>
          <cell r="G762">
            <v>5</v>
          </cell>
        </row>
        <row r="763">
          <cell r="A763" t="str">
            <v>44</v>
          </cell>
          <cell r="B763" t="str">
            <v>69823</v>
          </cell>
          <cell r="C763" t="str">
            <v>Santa Cruz</v>
          </cell>
          <cell r="D763" t="str">
            <v>Santa Cruz City High</v>
          </cell>
          <cell r="E763">
            <v>4759</v>
          </cell>
          <cell r="F763">
            <v>86866</v>
          </cell>
          <cell r="G763">
            <v>9</v>
          </cell>
        </row>
        <row r="764">
          <cell r="A764" t="str">
            <v>44</v>
          </cell>
          <cell r="B764" t="str">
            <v>69849</v>
          </cell>
          <cell r="C764" t="str">
            <v>Santa Cruz</v>
          </cell>
          <cell r="D764" t="str">
            <v>Soquel Union Elementary</v>
          </cell>
          <cell r="E764">
            <v>1773</v>
          </cell>
          <cell r="F764">
            <v>30141</v>
          </cell>
          <cell r="G764">
            <v>4</v>
          </cell>
        </row>
        <row r="765">
          <cell r="A765" t="str">
            <v>44</v>
          </cell>
          <cell r="B765" t="str">
            <v>75432</v>
          </cell>
          <cell r="C765" t="str">
            <v>Santa Cruz</v>
          </cell>
          <cell r="D765" t="str">
            <v>Scotts Valley Unified</v>
          </cell>
          <cell r="E765">
            <v>2591</v>
          </cell>
          <cell r="F765">
            <v>44048</v>
          </cell>
          <cell r="G765">
            <v>4</v>
          </cell>
        </row>
        <row r="766">
          <cell r="A766" t="str">
            <v>45</v>
          </cell>
          <cell r="B766" t="str">
            <v>10454</v>
          </cell>
          <cell r="C766" t="str">
            <v>Shasta</v>
          </cell>
          <cell r="D766" t="str">
            <v>Shasta County Office of Education</v>
          </cell>
          <cell r="E766">
            <v>798</v>
          </cell>
          <cell r="F766">
            <v>20712</v>
          </cell>
          <cell r="G766">
            <v>4</v>
          </cell>
        </row>
        <row r="767">
          <cell r="A767" t="str">
            <v>45</v>
          </cell>
          <cell r="B767" t="str">
            <v>69856</v>
          </cell>
          <cell r="C767" t="str">
            <v>Shasta</v>
          </cell>
          <cell r="D767" t="str">
            <v>Anderson Union High</v>
          </cell>
          <cell r="E767">
            <v>2164</v>
          </cell>
          <cell r="F767">
            <v>43812</v>
          </cell>
          <cell r="G767">
            <v>7</v>
          </cell>
        </row>
        <row r="768">
          <cell r="A768" t="str">
            <v>45</v>
          </cell>
          <cell r="B768" t="str">
            <v>69872</v>
          </cell>
          <cell r="C768" t="str">
            <v>Shasta</v>
          </cell>
          <cell r="D768" t="str">
            <v>Bella Vista Elementary</v>
          </cell>
          <cell r="E768">
            <v>428</v>
          </cell>
          <cell r="F768">
            <v>7276</v>
          </cell>
          <cell r="G768">
            <v>1</v>
          </cell>
        </row>
        <row r="769">
          <cell r="A769" t="str">
            <v>45</v>
          </cell>
          <cell r="B769" t="str">
            <v>69880</v>
          </cell>
          <cell r="C769" t="str">
            <v>Shasta</v>
          </cell>
          <cell r="D769" t="str">
            <v>Black Butte Union Elementary</v>
          </cell>
          <cell r="E769">
            <v>255</v>
          </cell>
          <cell r="F769">
            <v>11584</v>
          </cell>
          <cell r="G769">
            <v>4</v>
          </cell>
        </row>
        <row r="770">
          <cell r="A770" t="str">
            <v>45</v>
          </cell>
          <cell r="B770" t="str">
            <v>69914</v>
          </cell>
          <cell r="C770" t="str">
            <v>Shasta</v>
          </cell>
          <cell r="D770" t="str">
            <v>Cascade Union Elementary</v>
          </cell>
          <cell r="E770">
            <v>1526</v>
          </cell>
          <cell r="F770">
            <v>33027</v>
          </cell>
          <cell r="G770">
            <v>7</v>
          </cell>
        </row>
        <row r="771">
          <cell r="A771" t="str">
            <v>45</v>
          </cell>
          <cell r="B771" t="str">
            <v>69922</v>
          </cell>
          <cell r="C771" t="str">
            <v>Shasta</v>
          </cell>
          <cell r="D771" t="str">
            <v>Castle Rock Union Elementary</v>
          </cell>
          <cell r="E771">
            <v>75</v>
          </cell>
          <cell r="F771">
            <v>3564</v>
          </cell>
          <cell r="G771">
            <v>1</v>
          </cell>
        </row>
        <row r="772">
          <cell r="A772" t="str">
            <v>45</v>
          </cell>
          <cell r="B772" t="str">
            <v>69948</v>
          </cell>
          <cell r="C772" t="str">
            <v>Shasta</v>
          </cell>
          <cell r="D772" t="str">
            <v>Columbia Elementary</v>
          </cell>
          <cell r="E772">
            <v>1023</v>
          </cell>
          <cell r="F772">
            <v>21677</v>
          </cell>
          <cell r="G772">
            <v>4</v>
          </cell>
        </row>
        <row r="773">
          <cell r="A773" t="str">
            <v>45</v>
          </cell>
          <cell r="B773" t="str">
            <v>69955</v>
          </cell>
          <cell r="C773" t="str">
            <v>Shasta</v>
          </cell>
          <cell r="D773" t="str">
            <v>Cottonwood Union Elementary</v>
          </cell>
          <cell r="E773">
            <v>1147</v>
          </cell>
          <cell r="F773">
            <v>21574</v>
          </cell>
          <cell r="G773">
            <v>4</v>
          </cell>
        </row>
        <row r="774">
          <cell r="A774" t="str">
            <v>45</v>
          </cell>
          <cell r="B774" t="str">
            <v>69971</v>
          </cell>
          <cell r="C774" t="str">
            <v>Shasta</v>
          </cell>
          <cell r="D774" t="str">
            <v>Enterprise Elementary</v>
          </cell>
          <cell r="E774">
            <v>3396</v>
          </cell>
          <cell r="F774">
            <v>60888</v>
          </cell>
          <cell r="G774">
            <v>8</v>
          </cell>
        </row>
        <row r="775">
          <cell r="A775" t="str">
            <v>45</v>
          </cell>
          <cell r="B775" t="str">
            <v>69989</v>
          </cell>
          <cell r="C775" t="str">
            <v>Shasta</v>
          </cell>
          <cell r="D775" t="str">
            <v>Fall River Joint Unified</v>
          </cell>
          <cell r="E775">
            <v>1211</v>
          </cell>
          <cell r="F775">
            <v>35265</v>
          </cell>
          <cell r="G775">
            <v>11</v>
          </cell>
        </row>
        <row r="776">
          <cell r="A776" t="str">
            <v>45</v>
          </cell>
          <cell r="B776" t="str">
            <v>69997</v>
          </cell>
          <cell r="C776" t="str">
            <v>Shasta</v>
          </cell>
          <cell r="D776" t="str">
            <v>French Gulch-Whiskeytown Elementary</v>
          </cell>
          <cell r="E776">
            <v>21</v>
          </cell>
          <cell r="F776">
            <v>3564</v>
          </cell>
          <cell r="G776">
            <v>1</v>
          </cell>
        </row>
        <row r="777">
          <cell r="A777" t="str">
            <v>45</v>
          </cell>
          <cell r="B777" t="str">
            <v>70003</v>
          </cell>
          <cell r="C777" t="str">
            <v>Shasta</v>
          </cell>
          <cell r="D777" t="str">
            <v>Grant Elementary</v>
          </cell>
          <cell r="E777">
            <v>612</v>
          </cell>
          <cell r="F777">
            <v>10404</v>
          </cell>
          <cell r="G777">
            <v>1</v>
          </cell>
        </row>
        <row r="778">
          <cell r="A778" t="str">
            <v>45</v>
          </cell>
          <cell r="B778" t="str">
            <v>70011</v>
          </cell>
          <cell r="C778" t="str">
            <v>Shasta</v>
          </cell>
          <cell r="D778" t="str">
            <v>Happy Valley Union Elementary</v>
          </cell>
          <cell r="E778">
            <v>569</v>
          </cell>
          <cell r="F778">
            <v>11748</v>
          </cell>
          <cell r="G778">
            <v>3</v>
          </cell>
        </row>
        <row r="779">
          <cell r="A779" t="str">
            <v>45</v>
          </cell>
          <cell r="B779" t="str">
            <v>70029</v>
          </cell>
          <cell r="C779" t="str">
            <v>Shasta</v>
          </cell>
          <cell r="D779" t="str">
            <v>Igo, Ono, Platina Union Elementary</v>
          </cell>
          <cell r="E779">
            <v>89</v>
          </cell>
          <cell r="F779">
            <v>5792</v>
          </cell>
          <cell r="G779">
            <v>2</v>
          </cell>
        </row>
        <row r="780">
          <cell r="A780" t="str">
            <v>45</v>
          </cell>
          <cell r="B780" t="str">
            <v>70037</v>
          </cell>
          <cell r="C780" t="str">
            <v>Shasta</v>
          </cell>
          <cell r="D780" t="str">
            <v>Indian Springs Elementary</v>
          </cell>
          <cell r="E780">
            <v>14</v>
          </cell>
          <cell r="F780">
            <v>2228</v>
          </cell>
          <cell r="G780">
            <v>1</v>
          </cell>
        </row>
        <row r="781">
          <cell r="A781" t="str">
            <v>45</v>
          </cell>
          <cell r="B781" t="str">
            <v>70045</v>
          </cell>
          <cell r="C781" t="str">
            <v>Shasta</v>
          </cell>
          <cell r="D781" t="str">
            <v>Junction Elementary</v>
          </cell>
          <cell r="E781">
            <v>331</v>
          </cell>
          <cell r="F781">
            <v>7128</v>
          </cell>
          <cell r="G781">
            <v>2</v>
          </cell>
        </row>
        <row r="782">
          <cell r="A782" t="str">
            <v>45</v>
          </cell>
          <cell r="B782" t="str">
            <v>70052</v>
          </cell>
          <cell r="C782" t="str">
            <v>Shasta</v>
          </cell>
          <cell r="D782" t="str">
            <v>Millville Elementary</v>
          </cell>
          <cell r="E782">
            <v>231</v>
          </cell>
          <cell r="F782">
            <v>3927</v>
          </cell>
          <cell r="G782">
            <v>1</v>
          </cell>
        </row>
        <row r="783">
          <cell r="A783" t="str">
            <v>45</v>
          </cell>
          <cell r="B783" t="str">
            <v>70078</v>
          </cell>
          <cell r="C783" t="str">
            <v>Shasta</v>
          </cell>
          <cell r="D783" t="str">
            <v>North Cow Creek Elementary</v>
          </cell>
          <cell r="E783">
            <v>305</v>
          </cell>
          <cell r="F783">
            <v>5185</v>
          </cell>
          <cell r="G783">
            <v>1</v>
          </cell>
        </row>
        <row r="784">
          <cell r="A784" t="str">
            <v>45</v>
          </cell>
          <cell r="B784" t="str">
            <v>70086</v>
          </cell>
          <cell r="C784" t="str">
            <v>Shasta</v>
          </cell>
          <cell r="D784" t="str">
            <v>Oak Run Elementary</v>
          </cell>
          <cell r="E784">
            <v>41</v>
          </cell>
          <cell r="F784">
            <v>3564</v>
          </cell>
          <cell r="G784">
            <v>1</v>
          </cell>
        </row>
        <row r="785">
          <cell r="A785" t="str">
            <v>45</v>
          </cell>
          <cell r="B785" t="str">
            <v>70094</v>
          </cell>
          <cell r="C785" t="str">
            <v>Shasta</v>
          </cell>
          <cell r="D785" t="str">
            <v>Pacheco Union Elementary</v>
          </cell>
          <cell r="E785">
            <v>624</v>
          </cell>
          <cell r="F785">
            <v>12683</v>
          </cell>
          <cell r="G785">
            <v>3</v>
          </cell>
        </row>
        <row r="786">
          <cell r="A786" t="str">
            <v>45</v>
          </cell>
          <cell r="B786" t="str">
            <v>70110</v>
          </cell>
          <cell r="C786" t="str">
            <v>Shasta</v>
          </cell>
          <cell r="D786" t="str">
            <v>Redding Elementary</v>
          </cell>
          <cell r="E786">
            <v>3427</v>
          </cell>
          <cell r="F786">
            <v>64114</v>
          </cell>
          <cell r="G786">
            <v>10</v>
          </cell>
        </row>
        <row r="787">
          <cell r="A787" t="str">
            <v>45</v>
          </cell>
          <cell r="B787" t="str">
            <v>70128</v>
          </cell>
          <cell r="C787" t="str">
            <v>Shasta</v>
          </cell>
          <cell r="D787" t="str">
            <v>Shasta Union Elementary</v>
          </cell>
          <cell r="E787">
            <v>116</v>
          </cell>
          <cell r="F787">
            <v>3564</v>
          </cell>
          <cell r="G787">
            <v>1</v>
          </cell>
        </row>
        <row r="788">
          <cell r="A788" t="str">
            <v>45</v>
          </cell>
          <cell r="B788" t="str">
            <v>70136</v>
          </cell>
          <cell r="C788" t="str">
            <v>Shasta</v>
          </cell>
          <cell r="D788" t="str">
            <v>Shasta Union High</v>
          </cell>
          <cell r="E788">
            <v>5834</v>
          </cell>
          <cell r="F788">
            <v>110745</v>
          </cell>
          <cell r="G788">
            <v>10</v>
          </cell>
        </row>
        <row r="789">
          <cell r="A789" t="str">
            <v>45</v>
          </cell>
          <cell r="B789" t="str">
            <v>70169</v>
          </cell>
          <cell r="C789" t="str">
            <v>Shasta</v>
          </cell>
          <cell r="D789" t="str">
            <v>Whitmore Union Elementary</v>
          </cell>
          <cell r="E789">
            <v>28</v>
          </cell>
          <cell r="F789">
            <v>3564</v>
          </cell>
          <cell r="G789">
            <v>1</v>
          </cell>
        </row>
        <row r="790">
          <cell r="A790" t="str">
            <v>45</v>
          </cell>
          <cell r="B790" t="str">
            <v>73700</v>
          </cell>
          <cell r="C790" t="str">
            <v>Shasta</v>
          </cell>
          <cell r="D790" t="str">
            <v>Mountain Union Elementary</v>
          </cell>
          <cell r="E790">
            <v>68</v>
          </cell>
          <cell r="F790">
            <v>3564</v>
          </cell>
          <cell r="G790">
            <v>1</v>
          </cell>
        </row>
        <row r="791">
          <cell r="A791" t="str">
            <v>45</v>
          </cell>
          <cell r="B791" t="str">
            <v>75267</v>
          </cell>
          <cell r="C791" t="str">
            <v>Shasta</v>
          </cell>
          <cell r="D791" t="str">
            <v>Gateway Unified</v>
          </cell>
          <cell r="E791">
            <v>2796</v>
          </cell>
          <cell r="F791">
            <v>56714</v>
          </cell>
          <cell r="G791">
            <v>8</v>
          </cell>
        </row>
        <row r="792">
          <cell r="A792" t="str">
            <v>46</v>
          </cell>
          <cell r="B792" t="str">
            <v>10462</v>
          </cell>
          <cell r="C792" t="str">
            <v>Sierra</v>
          </cell>
          <cell r="D792" t="str">
            <v>Sierra County Office of Education</v>
          </cell>
          <cell r="E792">
            <v>3</v>
          </cell>
          <cell r="F792">
            <v>2228</v>
          </cell>
          <cell r="G792">
            <v>1</v>
          </cell>
        </row>
        <row r="793">
          <cell r="A793" t="str">
            <v>46</v>
          </cell>
          <cell r="B793" t="str">
            <v>70177</v>
          </cell>
          <cell r="C793" t="str">
            <v>Sierra</v>
          </cell>
          <cell r="D793" t="str">
            <v>Sierra-Plumas Joint Unified</v>
          </cell>
          <cell r="E793">
            <v>470</v>
          </cell>
          <cell r="F793">
            <v>20048</v>
          </cell>
          <cell r="G793">
            <v>6</v>
          </cell>
        </row>
        <row r="794">
          <cell r="A794" t="str">
            <v>47</v>
          </cell>
          <cell r="B794" t="str">
            <v>10470</v>
          </cell>
          <cell r="C794" t="str">
            <v>Siskiyou</v>
          </cell>
          <cell r="D794" t="str">
            <v>Siskiyou County Office of Education</v>
          </cell>
          <cell r="E794">
            <v>114</v>
          </cell>
          <cell r="F794">
            <v>5792</v>
          </cell>
          <cell r="G794">
            <v>2</v>
          </cell>
        </row>
        <row r="795">
          <cell r="A795" t="str">
            <v>47</v>
          </cell>
          <cell r="B795" t="str">
            <v>70185</v>
          </cell>
          <cell r="C795" t="str">
            <v>Siskiyou</v>
          </cell>
          <cell r="D795" t="str">
            <v>Big Springs Union Elementary</v>
          </cell>
          <cell r="E795">
            <v>105</v>
          </cell>
          <cell r="F795">
            <v>3564</v>
          </cell>
          <cell r="G795">
            <v>1</v>
          </cell>
        </row>
        <row r="796">
          <cell r="A796" t="str">
            <v>47</v>
          </cell>
          <cell r="B796" t="str">
            <v>70193</v>
          </cell>
          <cell r="C796" t="str">
            <v>Siskiyou</v>
          </cell>
          <cell r="D796" t="str">
            <v>Bogus Elementary</v>
          </cell>
          <cell r="E796">
            <v>10</v>
          </cell>
          <cell r="F796">
            <v>2228</v>
          </cell>
          <cell r="G796">
            <v>1</v>
          </cell>
        </row>
        <row r="797">
          <cell r="A797" t="str">
            <v>47</v>
          </cell>
          <cell r="B797" t="str">
            <v>70201</v>
          </cell>
          <cell r="C797" t="str">
            <v>Siskiyou</v>
          </cell>
          <cell r="D797" t="str">
            <v>Butteville Union Elementary</v>
          </cell>
          <cell r="E797">
            <v>151</v>
          </cell>
          <cell r="F797">
            <v>3564</v>
          </cell>
          <cell r="G797">
            <v>1</v>
          </cell>
        </row>
        <row r="798">
          <cell r="A798" t="str">
            <v>47</v>
          </cell>
          <cell r="B798" t="str">
            <v>70227</v>
          </cell>
          <cell r="C798" t="str">
            <v>Siskiyou</v>
          </cell>
          <cell r="D798" t="str">
            <v>Delphic Elementary</v>
          </cell>
          <cell r="E798">
            <v>51</v>
          </cell>
          <cell r="F798">
            <v>3564</v>
          </cell>
          <cell r="G798">
            <v>1</v>
          </cell>
        </row>
        <row r="799">
          <cell r="A799" t="str">
            <v>47</v>
          </cell>
          <cell r="B799" t="str">
            <v>70243</v>
          </cell>
          <cell r="C799" t="str">
            <v>Siskiyou</v>
          </cell>
          <cell r="D799" t="str">
            <v>Dunsmuir Elementary</v>
          </cell>
          <cell r="E799">
            <v>181</v>
          </cell>
          <cell r="F799">
            <v>5792</v>
          </cell>
          <cell r="G799">
            <v>2</v>
          </cell>
        </row>
        <row r="800">
          <cell r="A800" t="str">
            <v>47</v>
          </cell>
          <cell r="B800" t="str">
            <v>70250</v>
          </cell>
          <cell r="C800" t="str">
            <v>Siskiyou</v>
          </cell>
          <cell r="D800" t="str">
            <v>Dunsmuir Joint Union High</v>
          </cell>
          <cell r="E800">
            <v>104</v>
          </cell>
          <cell r="F800">
            <v>5792</v>
          </cell>
          <cell r="G800">
            <v>2</v>
          </cell>
        </row>
        <row r="801">
          <cell r="A801" t="str">
            <v>47</v>
          </cell>
          <cell r="B801" t="str">
            <v>70292</v>
          </cell>
          <cell r="C801" t="str">
            <v>Siskiyou</v>
          </cell>
          <cell r="D801" t="str">
            <v>Forks of Salmon Elementary</v>
          </cell>
          <cell r="E801">
            <v>12</v>
          </cell>
          <cell r="F801">
            <v>2228</v>
          </cell>
          <cell r="G801">
            <v>1</v>
          </cell>
        </row>
        <row r="802">
          <cell r="A802" t="str">
            <v>47</v>
          </cell>
          <cell r="B802" t="str">
            <v>70318</v>
          </cell>
          <cell r="C802" t="str">
            <v>Siskiyou</v>
          </cell>
          <cell r="D802" t="str">
            <v>Gazelle Union Elementary</v>
          </cell>
          <cell r="E802">
            <v>51</v>
          </cell>
          <cell r="F802">
            <v>3564</v>
          </cell>
          <cell r="G802">
            <v>1</v>
          </cell>
        </row>
        <row r="803">
          <cell r="A803" t="str">
            <v>47</v>
          </cell>
          <cell r="B803" t="str">
            <v>70326</v>
          </cell>
          <cell r="C803" t="str">
            <v>Siskiyou</v>
          </cell>
          <cell r="D803" t="str">
            <v>Grenada Elementary</v>
          </cell>
          <cell r="E803">
            <v>132</v>
          </cell>
          <cell r="F803">
            <v>5792</v>
          </cell>
          <cell r="G803">
            <v>2</v>
          </cell>
        </row>
        <row r="804">
          <cell r="A804" t="str">
            <v>47</v>
          </cell>
          <cell r="B804" t="str">
            <v>70334</v>
          </cell>
          <cell r="C804" t="str">
            <v>Siskiyou</v>
          </cell>
          <cell r="D804" t="str">
            <v>Happy Camp Union Elementary</v>
          </cell>
          <cell r="E804">
            <v>115</v>
          </cell>
          <cell r="F804">
            <v>8020</v>
          </cell>
          <cell r="G804">
            <v>3</v>
          </cell>
        </row>
        <row r="805">
          <cell r="A805" t="str">
            <v>47</v>
          </cell>
          <cell r="B805" t="str">
            <v>70359</v>
          </cell>
          <cell r="C805" t="str">
            <v>Siskiyou</v>
          </cell>
          <cell r="D805" t="str">
            <v>Hornbrook Elementary</v>
          </cell>
          <cell r="E805">
            <v>37</v>
          </cell>
          <cell r="F805">
            <v>3564</v>
          </cell>
          <cell r="G805">
            <v>1</v>
          </cell>
        </row>
        <row r="806">
          <cell r="A806" t="str">
            <v>47</v>
          </cell>
          <cell r="B806" t="str">
            <v>70367</v>
          </cell>
          <cell r="C806" t="str">
            <v>Siskiyou</v>
          </cell>
          <cell r="D806" t="str">
            <v>Junction Elementary</v>
          </cell>
          <cell r="E806">
            <v>21</v>
          </cell>
          <cell r="F806">
            <v>3564</v>
          </cell>
          <cell r="G806">
            <v>1</v>
          </cell>
        </row>
        <row r="807">
          <cell r="A807" t="str">
            <v>47</v>
          </cell>
          <cell r="B807" t="str">
            <v>70375</v>
          </cell>
          <cell r="C807" t="str">
            <v>Siskiyou</v>
          </cell>
          <cell r="D807" t="str">
            <v>Klamath River Union Elementary</v>
          </cell>
          <cell r="E807">
            <v>23</v>
          </cell>
          <cell r="F807">
            <v>3564</v>
          </cell>
          <cell r="G807">
            <v>1</v>
          </cell>
        </row>
        <row r="808">
          <cell r="A808" t="str">
            <v>47</v>
          </cell>
          <cell r="B808" t="str">
            <v>70383</v>
          </cell>
          <cell r="C808" t="str">
            <v>Siskiyou</v>
          </cell>
          <cell r="D808" t="str">
            <v>Little Shasta Elementary</v>
          </cell>
          <cell r="E808">
            <v>26</v>
          </cell>
          <cell r="F808">
            <v>3564</v>
          </cell>
          <cell r="G808">
            <v>1</v>
          </cell>
        </row>
        <row r="809">
          <cell r="A809" t="str">
            <v>47</v>
          </cell>
          <cell r="B809" t="str">
            <v>70409</v>
          </cell>
          <cell r="C809" t="str">
            <v>Siskiyou</v>
          </cell>
          <cell r="D809" t="str">
            <v>McCloud Union Elementary</v>
          </cell>
          <cell r="E809">
            <v>83</v>
          </cell>
          <cell r="F809">
            <v>3564</v>
          </cell>
          <cell r="G809">
            <v>1</v>
          </cell>
        </row>
        <row r="810">
          <cell r="A810" t="str">
            <v>47</v>
          </cell>
          <cell r="B810" t="str">
            <v>70417</v>
          </cell>
          <cell r="C810" t="str">
            <v>Siskiyou</v>
          </cell>
          <cell r="D810" t="str">
            <v>Montague Elementary</v>
          </cell>
          <cell r="E810">
            <v>146</v>
          </cell>
          <cell r="F810">
            <v>5792</v>
          </cell>
          <cell r="G810">
            <v>2</v>
          </cell>
        </row>
        <row r="811">
          <cell r="A811" t="str">
            <v>47</v>
          </cell>
          <cell r="B811" t="str">
            <v>70425</v>
          </cell>
          <cell r="C811" t="str">
            <v>Siskiyou</v>
          </cell>
          <cell r="D811" t="str">
            <v>Mt. Shasta Union Elementary</v>
          </cell>
          <cell r="E811">
            <v>627</v>
          </cell>
          <cell r="F811">
            <v>12819</v>
          </cell>
          <cell r="G811">
            <v>3</v>
          </cell>
        </row>
        <row r="812">
          <cell r="A812" t="str">
            <v>47</v>
          </cell>
          <cell r="B812" t="str">
            <v>70458</v>
          </cell>
          <cell r="C812" t="str">
            <v>Siskiyou</v>
          </cell>
          <cell r="D812" t="str">
            <v>Seiad Elementary</v>
          </cell>
          <cell r="E812">
            <v>32</v>
          </cell>
          <cell r="F812">
            <v>3564</v>
          </cell>
          <cell r="G812">
            <v>1</v>
          </cell>
        </row>
        <row r="813">
          <cell r="A813" t="str">
            <v>47</v>
          </cell>
          <cell r="B813" t="str">
            <v>70466</v>
          </cell>
          <cell r="C813" t="str">
            <v>Siskiyou</v>
          </cell>
          <cell r="D813" t="str">
            <v>Siskiyou Union High</v>
          </cell>
          <cell r="E813">
            <v>740</v>
          </cell>
          <cell r="F813">
            <v>23265</v>
          </cell>
          <cell r="G813">
            <v>7</v>
          </cell>
        </row>
        <row r="814">
          <cell r="A814" t="str">
            <v>47</v>
          </cell>
          <cell r="B814" t="str">
            <v>70482</v>
          </cell>
          <cell r="C814" t="str">
            <v>Siskiyou</v>
          </cell>
          <cell r="D814" t="str">
            <v>Weed Union Elementary</v>
          </cell>
          <cell r="E814">
            <v>337</v>
          </cell>
          <cell r="F814">
            <v>10083</v>
          </cell>
          <cell r="G814">
            <v>3</v>
          </cell>
        </row>
        <row r="815">
          <cell r="A815" t="str">
            <v>47</v>
          </cell>
          <cell r="B815" t="str">
            <v>70490</v>
          </cell>
          <cell r="C815" t="str">
            <v>Siskiyou</v>
          </cell>
          <cell r="D815" t="str">
            <v>Willow Creek Elementary</v>
          </cell>
          <cell r="E815">
            <v>39</v>
          </cell>
          <cell r="F815">
            <v>3564</v>
          </cell>
          <cell r="G815">
            <v>1</v>
          </cell>
        </row>
        <row r="816">
          <cell r="A816" t="str">
            <v>47</v>
          </cell>
          <cell r="B816" t="str">
            <v>70508</v>
          </cell>
          <cell r="C816" t="str">
            <v>Siskiyou</v>
          </cell>
          <cell r="D816" t="str">
            <v>Yreka Union Elementary</v>
          </cell>
          <cell r="E816">
            <v>1011</v>
          </cell>
          <cell r="F816">
            <v>21467</v>
          </cell>
          <cell r="G816">
            <v>5</v>
          </cell>
        </row>
        <row r="817">
          <cell r="A817" t="str">
            <v>47</v>
          </cell>
          <cell r="B817" t="str">
            <v>70516</v>
          </cell>
          <cell r="C817" t="str">
            <v>Siskiyou</v>
          </cell>
          <cell r="D817" t="str">
            <v>Yreka Union High</v>
          </cell>
          <cell r="E817">
            <v>721</v>
          </cell>
          <cell r="F817">
            <v>16961</v>
          </cell>
          <cell r="G817">
            <v>3</v>
          </cell>
        </row>
        <row r="818">
          <cell r="A818" t="str">
            <v>47</v>
          </cell>
          <cell r="B818" t="str">
            <v>73684</v>
          </cell>
          <cell r="C818" t="str">
            <v>Siskiyou</v>
          </cell>
          <cell r="D818" t="str">
            <v>Butte Valley Unified</v>
          </cell>
          <cell r="E818">
            <v>327</v>
          </cell>
          <cell r="F818">
            <v>17376</v>
          </cell>
          <cell r="G818">
            <v>6</v>
          </cell>
        </row>
        <row r="819">
          <cell r="A819" t="str">
            <v>47</v>
          </cell>
          <cell r="B819" t="str">
            <v>76455</v>
          </cell>
          <cell r="C819" t="str">
            <v>Siskiyou</v>
          </cell>
          <cell r="D819" t="str">
            <v>Scott Valley Unified</v>
          </cell>
          <cell r="E819">
            <v>693</v>
          </cell>
          <cell r="F819">
            <v>28960</v>
          </cell>
          <cell r="G819">
            <v>10</v>
          </cell>
        </row>
        <row r="820">
          <cell r="A820" t="str">
            <v>48</v>
          </cell>
          <cell r="B820" t="str">
            <v>10488</v>
          </cell>
          <cell r="C820" t="str">
            <v>Solano</v>
          </cell>
          <cell r="D820" t="str">
            <v>Solano County Office of Education</v>
          </cell>
          <cell r="E820">
            <v>520</v>
          </cell>
          <cell r="F820">
            <v>12704</v>
          </cell>
          <cell r="G820">
            <v>3</v>
          </cell>
        </row>
        <row r="821">
          <cell r="A821" t="str">
            <v>48</v>
          </cell>
          <cell r="B821" t="str">
            <v>70524</v>
          </cell>
          <cell r="C821" t="str">
            <v>Solano</v>
          </cell>
          <cell r="D821" t="str">
            <v>Benicia Unified</v>
          </cell>
          <cell r="E821">
            <v>4958</v>
          </cell>
          <cell r="F821">
            <v>86526</v>
          </cell>
          <cell r="G821">
            <v>7</v>
          </cell>
        </row>
        <row r="822">
          <cell r="A822" t="str">
            <v>48</v>
          </cell>
          <cell r="B822" t="str">
            <v>70532</v>
          </cell>
          <cell r="C822" t="str">
            <v>Solano</v>
          </cell>
          <cell r="D822" t="str">
            <v>Dixon Unified</v>
          </cell>
          <cell r="E822">
            <v>4082</v>
          </cell>
          <cell r="F822">
            <v>74297</v>
          </cell>
          <cell r="G822">
            <v>8</v>
          </cell>
        </row>
        <row r="823">
          <cell r="A823" t="str">
            <v>48</v>
          </cell>
          <cell r="B823" t="str">
            <v>70540</v>
          </cell>
          <cell r="C823" t="str">
            <v>Solano</v>
          </cell>
          <cell r="D823" t="str">
            <v>Fairfield-Suisun Unified</v>
          </cell>
          <cell r="E823">
            <v>22423</v>
          </cell>
          <cell r="F823">
            <v>385070</v>
          </cell>
          <cell r="G823">
            <v>31</v>
          </cell>
        </row>
        <row r="824">
          <cell r="A824" t="str">
            <v>48</v>
          </cell>
          <cell r="B824" t="str">
            <v>70565</v>
          </cell>
          <cell r="C824" t="str">
            <v>Solano</v>
          </cell>
          <cell r="D824" t="str">
            <v>Travis Unified</v>
          </cell>
          <cell r="E824">
            <v>5296</v>
          </cell>
          <cell r="F824">
            <v>96167</v>
          </cell>
          <cell r="G824">
            <v>10</v>
          </cell>
        </row>
        <row r="825">
          <cell r="A825" t="str">
            <v>48</v>
          </cell>
          <cell r="B825" t="str">
            <v>70573</v>
          </cell>
          <cell r="C825" t="str">
            <v>Solano</v>
          </cell>
          <cell r="D825" t="str">
            <v>Vacaville Unified</v>
          </cell>
          <cell r="E825">
            <v>13146</v>
          </cell>
          <cell r="F825">
            <v>227762</v>
          </cell>
          <cell r="G825">
            <v>17</v>
          </cell>
        </row>
        <row r="826">
          <cell r="A826" t="str">
            <v>48</v>
          </cell>
          <cell r="B826" t="str">
            <v>70581</v>
          </cell>
          <cell r="C826" t="str">
            <v>Solano</v>
          </cell>
          <cell r="D826" t="str">
            <v>Vallejo City Unified</v>
          </cell>
          <cell r="E826">
            <v>16057</v>
          </cell>
          <cell r="F826">
            <v>279411</v>
          </cell>
          <cell r="G826">
            <v>26</v>
          </cell>
        </row>
        <row r="827">
          <cell r="A827" t="str">
            <v>49</v>
          </cell>
          <cell r="B827" t="str">
            <v>10496</v>
          </cell>
          <cell r="C827" t="str">
            <v>Sonoma</v>
          </cell>
          <cell r="D827" t="str">
            <v>Sonoma County Office of Education</v>
          </cell>
          <cell r="E827">
            <v>844</v>
          </cell>
          <cell r="F827">
            <v>15991</v>
          </cell>
          <cell r="G827">
            <v>3</v>
          </cell>
        </row>
        <row r="828">
          <cell r="A828" t="str">
            <v>49</v>
          </cell>
          <cell r="B828" t="str">
            <v>70599</v>
          </cell>
          <cell r="C828" t="str">
            <v>Sonoma</v>
          </cell>
          <cell r="D828" t="str">
            <v>Alexander Valley Union Elementary</v>
          </cell>
          <cell r="E828">
            <v>135</v>
          </cell>
          <cell r="F828">
            <v>3564</v>
          </cell>
          <cell r="G828">
            <v>1</v>
          </cell>
        </row>
        <row r="829">
          <cell r="A829" t="str">
            <v>49</v>
          </cell>
          <cell r="B829" t="str">
            <v>70607</v>
          </cell>
          <cell r="C829" t="str">
            <v>Sonoma</v>
          </cell>
          <cell r="D829" t="str">
            <v>West Sonoma County Union High</v>
          </cell>
          <cell r="E829">
            <v>2318</v>
          </cell>
          <cell r="F829">
            <v>45354</v>
          </cell>
          <cell r="G829">
            <v>5</v>
          </cell>
        </row>
        <row r="830">
          <cell r="A830" t="str">
            <v>49</v>
          </cell>
          <cell r="B830" t="str">
            <v>70615</v>
          </cell>
          <cell r="C830" t="str">
            <v>Sonoma</v>
          </cell>
          <cell r="D830" t="str">
            <v>Bellevue Union Elementary</v>
          </cell>
          <cell r="E830">
            <v>1760</v>
          </cell>
          <cell r="F830">
            <v>29920</v>
          </cell>
          <cell r="G830">
            <v>4</v>
          </cell>
        </row>
        <row r="831">
          <cell r="A831" t="str">
            <v>49</v>
          </cell>
          <cell r="B831" t="str">
            <v>70623</v>
          </cell>
          <cell r="C831" t="str">
            <v>Sonoma</v>
          </cell>
          <cell r="D831" t="str">
            <v>Bennett Valley Union Elementary</v>
          </cell>
          <cell r="E831">
            <v>936</v>
          </cell>
          <cell r="F831">
            <v>15912</v>
          </cell>
          <cell r="G831">
            <v>2</v>
          </cell>
        </row>
        <row r="832">
          <cell r="A832" t="str">
            <v>49</v>
          </cell>
          <cell r="B832" t="str">
            <v>70649</v>
          </cell>
          <cell r="C832" t="str">
            <v>Sonoma</v>
          </cell>
          <cell r="D832" t="str">
            <v>Cinnabar Elementary</v>
          </cell>
          <cell r="E832">
            <v>204</v>
          </cell>
          <cell r="F832">
            <v>3564</v>
          </cell>
          <cell r="G832">
            <v>1</v>
          </cell>
        </row>
        <row r="833">
          <cell r="A833" t="str">
            <v>49</v>
          </cell>
          <cell r="B833" t="str">
            <v>70656</v>
          </cell>
          <cell r="C833" t="str">
            <v>Sonoma</v>
          </cell>
          <cell r="D833" t="str">
            <v>Cloverdale Unified</v>
          </cell>
          <cell r="E833">
            <v>1490</v>
          </cell>
          <cell r="F833">
            <v>30595</v>
          </cell>
          <cell r="G833">
            <v>5</v>
          </cell>
        </row>
        <row r="834">
          <cell r="A834" t="str">
            <v>49</v>
          </cell>
          <cell r="B834" t="str">
            <v>70672</v>
          </cell>
          <cell r="C834" t="str">
            <v>Sonoma</v>
          </cell>
          <cell r="D834" t="str">
            <v>Dunham Elementary</v>
          </cell>
          <cell r="E834">
            <v>180</v>
          </cell>
          <cell r="F834">
            <v>3564</v>
          </cell>
          <cell r="G834">
            <v>1</v>
          </cell>
        </row>
        <row r="835">
          <cell r="A835" t="str">
            <v>49</v>
          </cell>
          <cell r="B835" t="str">
            <v>70680</v>
          </cell>
          <cell r="C835" t="str">
            <v>Sonoma</v>
          </cell>
          <cell r="D835" t="str">
            <v>Forestville Union Elementary</v>
          </cell>
          <cell r="E835">
            <v>448</v>
          </cell>
          <cell r="F835">
            <v>9174</v>
          </cell>
          <cell r="G835">
            <v>2</v>
          </cell>
        </row>
        <row r="836">
          <cell r="A836" t="str">
            <v>49</v>
          </cell>
          <cell r="B836" t="str">
            <v>70698</v>
          </cell>
          <cell r="C836" t="str">
            <v>Sonoma</v>
          </cell>
          <cell r="D836" t="str">
            <v>Fort Ross Elementary</v>
          </cell>
          <cell r="E836">
            <v>45</v>
          </cell>
          <cell r="F836">
            <v>3564</v>
          </cell>
          <cell r="G836">
            <v>1</v>
          </cell>
        </row>
        <row r="837">
          <cell r="A837" t="str">
            <v>49</v>
          </cell>
          <cell r="B837" t="str">
            <v>70706</v>
          </cell>
          <cell r="C837" t="str">
            <v>Sonoma</v>
          </cell>
          <cell r="D837" t="str">
            <v>Geyserville Unified</v>
          </cell>
          <cell r="E837">
            <v>251</v>
          </cell>
          <cell r="F837">
            <v>15148</v>
          </cell>
          <cell r="G837">
            <v>5</v>
          </cell>
        </row>
        <row r="838">
          <cell r="A838" t="str">
            <v>49</v>
          </cell>
          <cell r="B838" t="str">
            <v>70714</v>
          </cell>
          <cell r="C838" t="str">
            <v>Sonoma</v>
          </cell>
          <cell r="D838" t="str">
            <v>Gravenstein Union Elementary</v>
          </cell>
          <cell r="E838">
            <v>561</v>
          </cell>
          <cell r="F838">
            <v>9537</v>
          </cell>
          <cell r="G838">
            <v>2</v>
          </cell>
        </row>
        <row r="839">
          <cell r="A839" t="str">
            <v>49</v>
          </cell>
          <cell r="B839" t="str">
            <v>70722</v>
          </cell>
          <cell r="C839" t="str">
            <v>Sonoma</v>
          </cell>
          <cell r="D839" t="str">
            <v>Guerneville Elementary</v>
          </cell>
          <cell r="E839">
            <v>302</v>
          </cell>
          <cell r="F839">
            <v>7311</v>
          </cell>
          <cell r="G839">
            <v>2</v>
          </cell>
        </row>
        <row r="840">
          <cell r="A840" t="str">
            <v>49</v>
          </cell>
          <cell r="B840" t="str">
            <v>70730</v>
          </cell>
          <cell r="C840" t="str">
            <v>Sonoma</v>
          </cell>
          <cell r="D840" t="str">
            <v>Harmony Union Elementary</v>
          </cell>
          <cell r="E840">
            <v>233</v>
          </cell>
          <cell r="F840">
            <v>7128</v>
          </cell>
          <cell r="G840">
            <v>2</v>
          </cell>
        </row>
        <row r="841">
          <cell r="A841" t="str">
            <v>49</v>
          </cell>
          <cell r="B841" t="str">
            <v>70763</v>
          </cell>
          <cell r="C841" t="str">
            <v>Sonoma</v>
          </cell>
          <cell r="D841" t="str">
            <v>Horicon Elementary</v>
          </cell>
          <cell r="E841">
            <v>92</v>
          </cell>
          <cell r="F841">
            <v>3564</v>
          </cell>
          <cell r="G841">
            <v>1</v>
          </cell>
        </row>
        <row r="842">
          <cell r="A842" t="str">
            <v>49</v>
          </cell>
          <cell r="B842" t="str">
            <v>70789</v>
          </cell>
          <cell r="C842" t="str">
            <v>Sonoma</v>
          </cell>
          <cell r="D842" t="str">
            <v>Kenwood Elementary</v>
          </cell>
          <cell r="E842">
            <v>152</v>
          </cell>
          <cell r="F842">
            <v>3564</v>
          </cell>
          <cell r="G842">
            <v>1</v>
          </cell>
        </row>
        <row r="843">
          <cell r="A843" t="str">
            <v>49</v>
          </cell>
          <cell r="B843" t="str">
            <v>70797</v>
          </cell>
          <cell r="C843" t="str">
            <v>Sonoma</v>
          </cell>
          <cell r="D843" t="str">
            <v>Liberty Elementary</v>
          </cell>
          <cell r="E843">
            <v>193</v>
          </cell>
          <cell r="F843">
            <v>3564</v>
          </cell>
          <cell r="G843">
            <v>1</v>
          </cell>
        </row>
        <row r="844">
          <cell r="A844" t="str">
            <v>49</v>
          </cell>
          <cell r="B844" t="str">
            <v>70805</v>
          </cell>
          <cell r="C844" t="str">
            <v>Sonoma</v>
          </cell>
          <cell r="D844" t="str">
            <v>Mark West Union Elementary</v>
          </cell>
          <cell r="E844">
            <v>1286</v>
          </cell>
          <cell r="F844">
            <v>21862</v>
          </cell>
          <cell r="G844">
            <v>3</v>
          </cell>
        </row>
        <row r="845">
          <cell r="A845" t="str">
            <v>49</v>
          </cell>
          <cell r="B845" t="str">
            <v>70813</v>
          </cell>
          <cell r="C845" t="str">
            <v>Sonoma</v>
          </cell>
          <cell r="D845" t="str">
            <v>Monte Rio Union Elementary</v>
          </cell>
          <cell r="E845">
            <v>97</v>
          </cell>
          <cell r="F845">
            <v>3564</v>
          </cell>
          <cell r="G845">
            <v>1</v>
          </cell>
        </row>
        <row r="846">
          <cell r="A846" t="str">
            <v>49</v>
          </cell>
          <cell r="B846" t="str">
            <v>70821</v>
          </cell>
          <cell r="C846" t="str">
            <v>Sonoma</v>
          </cell>
          <cell r="D846" t="str">
            <v>Montgomery Elementary</v>
          </cell>
          <cell r="E846">
            <v>41</v>
          </cell>
          <cell r="F846">
            <v>3564</v>
          </cell>
          <cell r="G846">
            <v>1</v>
          </cell>
        </row>
        <row r="847">
          <cell r="A847" t="str">
            <v>49</v>
          </cell>
          <cell r="B847" t="str">
            <v>70839</v>
          </cell>
          <cell r="C847" t="str">
            <v>Sonoma</v>
          </cell>
          <cell r="D847" t="str">
            <v>Oak Grove Union Elementary</v>
          </cell>
          <cell r="E847">
            <v>765</v>
          </cell>
          <cell r="F847">
            <v>15668</v>
          </cell>
          <cell r="G847">
            <v>2</v>
          </cell>
        </row>
        <row r="848">
          <cell r="A848" t="str">
            <v>49</v>
          </cell>
          <cell r="B848" t="str">
            <v>70847</v>
          </cell>
          <cell r="C848" t="str">
            <v>Sonoma</v>
          </cell>
          <cell r="D848" t="str">
            <v>Old Adobe Union Elementary</v>
          </cell>
          <cell r="E848">
            <v>1818</v>
          </cell>
          <cell r="F848">
            <v>30906</v>
          </cell>
          <cell r="G848">
            <v>5</v>
          </cell>
        </row>
        <row r="849">
          <cell r="A849" t="str">
            <v>49</v>
          </cell>
          <cell r="B849" t="str">
            <v>70854</v>
          </cell>
          <cell r="C849" t="str">
            <v>Sonoma</v>
          </cell>
          <cell r="D849" t="str">
            <v>Petaluma City Elementary</v>
          </cell>
          <cell r="E849">
            <v>2071</v>
          </cell>
          <cell r="F849">
            <v>37316</v>
          </cell>
          <cell r="G849">
            <v>7</v>
          </cell>
        </row>
        <row r="850">
          <cell r="A850" t="str">
            <v>49</v>
          </cell>
          <cell r="B850" t="str">
            <v>70862</v>
          </cell>
          <cell r="C850" t="str">
            <v>Sonoma</v>
          </cell>
          <cell r="D850" t="str">
            <v>Petaluma Joint Union High</v>
          </cell>
          <cell r="E850">
            <v>5286</v>
          </cell>
          <cell r="F850">
            <v>102721</v>
          </cell>
          <cell r="G850">
            <v>9</v>
          </cell>
        </row>
        <row r="851">
          <cell r="A851" t="str">
            <v>49</v>
          </cell>
          <cell r="B851" t="str">
            <v>70870</v>
          </cell>
          <cell r="C851" t="str">
            <v>Sonoma</v>
          </cell>
          <cell r="D851" t="str">
            <v>Piner-Olivet Union Elementary</v>
          </cell>
          <cell r="E851">
            <v>1377</v>
          </cell>
          <cell r="F851">
            <v>23409</v>
          </cell>
          <cell r="G851">
            <v>4</v>
          </cell>
        </row>
        <row r="852">
          <cell r="A852" t="str">
            <v>49</v>
          </cell>
          <cell r="B852" t="str">
            <v>70888</v>
          </cell>
          <cell r="C852" t="str">
            <v>Sonoma</v>
          </cell>
          <cell r="D852" t="str">
            <v>Kashia Elementary</v>
          </cell>
          <cell r="E852">
            <v>9</v>
          </cell>
          <cell r="F852">
            <v>2228</v>
          </cell>
          <cell r="G852">
            <v>1</v>
          </cell>
        </row>
        <row r="853">
          <cell r="A853" t="str">
            <v>49</v>
          </cell>
          <cell r="B853" t="str">
            <v>70896</v>
          </cell>
          <cell r="C853" t="str">
            <v>Sonoma</v>
          </cell>
          <cell r="D853" t="str">
            <v>Rincon Valley Union Elementary</v>
          </cell>
          <cell r="E853">
            <v>2864</v>
          </cell>
          <cell r="F853">
            <v>48688</v>
          </cell>
          <cell r="G853">
            <v>8</v>
          </cell>
        </row>
        <row r="854">
          <cell r="A854" t="str">
            <v>49</v>
          </cell>
          <cell r="B854" t="str">
            <v>70904</v>
          </cell>
          <cell r="C854" t="str">
            <v>Sonoma</v>
          </cell>
          <cell r="D854" t="str">
            <v>Roseland Elementary</v>
          </cell>
          <cell r="E854">
            <v>1470</v>
          </cell>
          <cell r="F854">
            <v>24991</v>
          </cell>
          <cell r="G854">
            <v>2</v>
          </cell>
        </row>
        <row r="855">
          <cell r="A855" t="str">
            <v>49</v>
          </cell>
          <cell r="B855" t="str">
            <v>70912</v>
          </cell>
          <cell r="C855" t="str">
            <v>Sonoma</v>
          </cell>
          <cell r="D855" t="str">
            <v>Santa Rosa Elementary</v>
          </cell>
          <cell r="E855">
            <v>4682</v>
          </cell>
          <cell r="F855">
            <v>79594</v>
          </cell>
          <cell r="G855">
            <v>11</v>
          </cell>
        </row>
        <row r="856">
          <cell r="A856" t="str">
            <v>49</v>
          </cell>
          <cell r="B856" t="str">
            <v>70920</v>
          </cell>
          <cell r="C856" t="str">
            <v>Sonoma</v>
          </cell>
          <cell r="D856" t="str">
            <v>Santa Rosa High</v>
          </cell>
          <cell r="E856">
            <v>11633</v>
          </cell>
          <cell r="F856">
            <v>213355</v>
          </cell>
          <cell r="G856">
            <v>17</v>
          </cell>
        </row>
        <row r="857">
          <cell r="A857" t="str">
            <v>49</v>
          </cell>
          <cell r="B857" t="str">
            <v>70938</v>
          </cell>
          <cell r="C857" t="str">
            <v>Sonoma</v>
          </cell>
          <cell r="D857" t="str">
            <v>Sebastopol Union Elementary</v>
          </cell>
          <cell r="E857">
            <v>882</v>
          </cell>
          <cell r="F857">
            <v>15039</v>
          </cell>
          <cell r="G857">
            <v>3</v>
          </cell>
        </row>
        <row r="858">
          <cell r="A858" t="str">
            <v>49</v>
          </cell>
          <cell r="B858" t="str">
            <v>70953</v>
          </cell>
          <cell r="C858" t="str">
            <v>Sonoma</v>
          </cell>
          <cell r="D858" t="str">
            <v>Sonoma Valley Unified</v>
          </cell>
          <cell r="E858">
            <v>4310</v>
          </cell>
          <cell r="F858">
            <v>77924</v>
          </cell>
          <cell r="G858">
            <v>10</v>
          </cell>
        </row>
        <row r="859">
          <cell r="A859" t="str">
            <v>49</v>
          </cell>
          <cell r="B859" t="str">
            <v>70961</v>
          </cell>
          <cell r="C859" t="str">
            <v>Sonoma</v>
          </cell>
          <cell r="D859" t="str">
            <v>Twin Hills Union Elementary</v>
          </cell>
          <cell r="E859">
            <v>962</v>
          </cell>
          <cell r="F859">
            <v>16716</v>
          </cell>
          <cell r="G859">
            <v>4</v>
          </cell>
        </row>
        <row r="860">
          <cell r="A860" t="str">
            <v>49</v>
          </cell>
          <cell r="B860" t="str">
            <v>70979</v>
          </cell>
          <cell r="C860" t="str">
            <v>Sonoma</v>
          </cell>
          <cell r="D860" t="str">
            <v>Two Rock Union</v>
          </cell>
          <cell r="E860">
            <v>183</v>
          </cell>
          <cell r="F860">
            <v>3564</v>
          </cell>
          <cell r="G860">
            <v>1</v>
          </cell>
        </row>
        <row r="861">
          <cell r="A861" t="str">
            <v>49</v>
          </cell>
          <cell r="B861" t="str">
            <v>70995</v>
          </cell>
          <cell r="C861" t="str">
            <v>Sonoma</v>
          </cell>
          <cell r="D861" t="str">
            <v>Waugh Elementary</v>
          </cell>
          <cell r="E861">
            <v>917</v>
          </cell>
          <cell r="F861">
            <v>15589</v>
          </cell>
          <cell r="G861">
            <v>2</v>
          </cell>
        </row>
        <row r="862">
          <cell r="A862" t="str">
            <v>49</v>
          </cell>
          <cell r="B862" t="str">
            <v>71001</v>
          </cell>
          <cell r="C862" t="str">
            <v>Sonoma</v>
          </cell>
          <cell r="D862" t="str">
            <v>West Side Union Elementary</v>
          </cell>
          <cell r="E862">
            <v>163</v>
          </cell>
          <cell r="F862">
            <v>3564</v>
          </cell>
          <cell r="G862">
            <v>1</v>
          </cell>
        </row>
        <row r="863">
          <cell r="A863" t="str">
            <v>49</v>
          </cell>
          <cell r="B863" t="str">
            <v>71019</v>
          </cell>
          <cell r="C863" t="str">
            <v>Sonoma</v>
          </cell>
          <cell r="D863" t="str">
            <v>Wilmar Union Elementary</v>
          </cell>
          <cell r="E863">
            <v>230</v>
          </cell>
          <cell r="F863">
            <v>3910</v>
          </cell>
          <cell r="G863">
            <v>1</v>
          </cell>
        </row>
        <row r="864">
          <cell r="A864" t="str">
            <v>49</v>
          </cell>
          <cell r="B864" t="str">
            <v>71035</v>
          </cell>
          <cell r="C864" t="str">
            <v>Sonoma</v>
          </cell>
          <cell r="D864" t="str">
            <v>Wright Elementary</v>
          </cell>
          <cell r="E864">
            <v>1405</v>
          </cell>
          <cell r="F864">
            <v>23885</v>
          </cell>
          <cell r="G864">
            <v>3</v>
          </cell>
        </row>
        <row r="865">
          <cell r="A865" t="str">
            <v>49</v>
          </cell>
          <cell r="B865" t="str">
            <v>73882</v>
          </cell>
          <cell r="C865" t="str">
            <v>Sonoma</v>
          </cell>
          <cell r="D865" t="str">
            <v>Cotati-Rohnert Park Unified</v>
          </cell>
          <cell r="E865">
            <v>6387</v>
          </cell>
          <cell r="F865">
            <v>115516</v>
          </cell>
          <cell r="G865">
            <v>13</v>
          </cell>
        </row>
        <row r="866">
          <cell r="A866" t="str">
            <v>49</v>
          </cell>
          <cell r="B866" t="str">
            <v>75358</v>
          </cell>
          <cell r="C866" t="str">
            <v>Sonoma</v>
          </cell>
          <cell r="D866" t="str">
            <v>Windsor Unified</v>
          </cell>
          <cell r="E866">
            <v>5245</v>
          </cell>
          <cell r="F866">
            <v>91491</v>
          </cell>
          <cell r="G866">
            <v>7</v>
          </cell>
        </row>
        <row r="867">
          <cell r="A867" t="str">
            <v>49</v>
          </cell>
          <cell r="B867" t="str">
            <v>75390</v>
          </cell>
          <cell r="C867" t="str">
            <v>Sonoma</v>
          </cell>
          <cell r="D867" t="str">
            <v>Healdsburg Unified</v>
          </cell>
          <cell r="E867">
            <v>2154</v>
          </cell>
          <cell r="F867">
            <v>39418</v>
          </cell>
          <cell r="G867">
            <v>4</v>
          </cell>
        </row>
        <row r="868">
          <cell r="A868" t="str">
            <v>50</v>
          </cell>
          <cell r="B868" t="str">
            <v>10504</v>
          </cell>
          <cell r="C868" t="str">
            <v>Stanislaus</v>
          </cell>
          <cell r="D868" t="str">
            <v>Stanislaus County Office of Education</v>
          </cell>
          <cell r="E868">
            <v>1275</v>
          </cell>
          <cell r="F868">
            <v>23250</v>
          </cell>
          <cell r="G868">
            <v>4</v>
          </cell>
        </row>
        <row r="869">
          <cell r="A869" t="str">
            <v>50</v>
          </cell>
          <cell r="B869" t="str">
            <v>71043</v>
          </cell>
          <cell r="C869" t="str">
            <v>Stanislaus</v>
          </cell>
          <cell r="D869" t="str">
            <v>Ceres Unified</v>
          </cell>
          <cell r="E869">
            <v>11977</v>
          </cell>
          <cell r="F869">
            <v>209528</v>
          </cell>
          <cell r="G869">
            <v>20</v>
          </cell>
        </row>
        <row r="870">
          <cell r="A870" t="str">
            <v>50</v>
          </cell>
          <cell r="B870" t="str">
            <v>71050</v>
          </cell>
          <cell r="C870" t="str">
            <v>Stanislaus</v>
          </cell>
          <cell r="D870" t="str">
            <v>Chatom Union Elementary</v>
          </cell>
          <cell r="E870">
            <v>674</v>
          </cell>
          <cell r="F870">
            <v>11554</v>
          </cell>
          <cell r="G870">
            <v>2</v>
          </cell>
        </row>
        <row r="871">
          <cell r="A871" t="str">
            <v>50</v>
          </cell>
          <cell r="B871" t="str">
            <v>71068</v>
          </cell>
          <cell r="C871" t="str">
            <v>Stanislaus</v>
          </cell>
          <cell r="D871" t="str">
            <v>Denair Unified</v>
          </cell>
          <cell r="E871">
            <v>1561</v>
          </cell>
          <cell r="F871">
            <v>33051</v>
          </cell>
          <cell r="G871">
            <v>7</v>
          </cell>
        </row>
        <row r="872">
          <cell r="A872" t="str">
            <v>50</v>
          </cell>
          <cell r="B872" t="str">
            <v>71076</v>
          </cell>
          <cell r="C872" t="str">
            <v>Stanislaus</v>
          </cell>
          <cell r="D872" t="str">
            <v>Empire Union Elementary</v>
          </cell>
          <cell r="E872">
            <v>3318</v>
          </cell>
          <cell r="F872">
            <v>56406</v>
          </cell>
          <cell r="G872">
            <v>7</v>
          </cell>
        </row>
        <row r="873">
          <cell r="A873" t="str">
            <v>50</v>
          </cell>
          <cell r="B873" t="str">
            <v>71084</v>
          </cell>
          <cell r="C873" t="str">
            <v>Stanislaus</v>
          </cell>
          <cell r="D873" t="str">
            <v>Gratton Elementary</v>
          </cell>
          <cell r="E873">
            <v>122</v>
          </cell>
          <cell r="F873">
            <v>3564</v>
          </cell>
          <cell r="G873">
            <v>1</v>
          </cell>
        </row>
        <row r="874">
          <cell r="A874" t="str">
            <v>50</v>
          </cell>
          <cell r="B874" t="str">
            <v>71092</v>
          </cell>
          <cell r="C874" t="str">
            <v>Stanislaus</v>
          </cell>
          <cell r="D874" t="str">
            <v>Hart-Ransom Union Elementary</v>
          </cell>
          <cell r="E874">
            <v>974</v>
          </cell>
          <cell r="F874">
            <v>16558</v>
          </cell>
          <cell r="G874">
            <v>2</v>
          </cell>
        </row>
        <row r="875">
          <cell r="A875" t="str">
            <v>50</v>
          </cell>
          <cell r="B875" t="str">
            <v>71100</v>
          </cell>
          <cell r="C875" t="str">
            <v>Stanislaus</v>
          </cell>
          <cell r="D875" t="str">
            <v>Hickman Community Charter</v>
          </cell>
          <cell r="E875">
            <v>1050</v>
          </cell>
          <cell r="F875">
            <v>18405</v>
          </cell>
          <cell r="G875">
            <v>3</v>
          </cell>
        </row>
        <row r="876">
          <cell r="A876" t="str">
            <v>50</v>
          </cell>
          <cell r="B876" t="str">
            <v>71134</v>
          </cell>
          <cell r="C876" t="str">
            <v>Stanislaus</v>
          </cell>
          <cell r="D876" t="str">
            <v>Keyes Union</v>
          </cell>
          <cell r="E876">
            <v>1025</v>
          </cell>
          <cell r="F876">
            <v>17425</v>
          </cell>
          <cell r="G876">
            <v>3</v>
          </cell>
        </row>
        <row r="877">
          <cell r="A877" t="str">
            <v>50</v>
          </cell>
          <cell r="B877" t="str">
            <v>71142</v>
          </cell>
          <cell r="C877" t="str">
            <v>Stanislaus</v>
          </cell>
          <cell r="D877" t="str">
            <v>Knights Ferry Elementary</v>
          </cell>
          <cell r="E877">
            <v>134</v>
          </cell>
          <cell r="F877">
            <v>3564</v>
          </cell>
          <cell r="G877">
            <v>1</v>
          </cell>
        </row>
        <row r="878">
          <cell r="A878" t="str">
            <v>50</v>
          </cell>
          <cell r="B878" t="str">
            <v>71159</v>
          </cell>
          <cell r="C878" t="str">
            <v>Stanislaus</v>
          </cell>
          <cell r="D878" t="str">
            <v>La Grange Elementary</v>
          </cell>
          <cell r="E878">
            <v>11</v>
          </cell>
          <cell r="F878">
            <v>2228</v>
          </cell>
          <cell r="G878">
            <v>1</v>
          </cell>
        </row>
        <row r="879">
          <cell r="A879" t="str">
            <v>50</v>
          </cell>
          <cell r="B879" t="str">
            <v>71167</v>
          </cell>
          <cell r="C879" t="str">
            <v>Stanislaus</v>
          </cell>
          <cell r="D879" t="str">
            <v>Modesto City Elementary</v>
          </cell>
          <cell r="E879">
            <v>15652</v>
          </cell>
          <cell r="F879">
            <v>266091</v>
          </cell>
          <cell r="G879">
            <v>27</v>
          </cell>
        </row>
        <row r="880">
          <cell r="A880" t="str">
            <v>50</v>
          </cell>
          <cell r="B880" t="str">
            <v>71175</v>
          </cell>
          <cell r="C880" t="str">
            <v>Stanislaus</v>
          </cell>
          <cell r="D880" t="str">
            <v>Modesto City High</v>
          </cell>
          <cell r="E880">
            <v>15366</v>
          </cell>
          <cell r="F880">
            <v>261232</v>
          </cell>
          <cell r="G880">
            <v>7</v>
          </cell>
        </row>
        <row r="881">
          <cell r="A881" t="str">
            <v>50</v>
          </cell>
          <cell r="B881" t="str">
            <v>71209</v>
          </cell>
          <cell r="C881" t="str">
            <v>Stanislaus</v>
          </cell>
          <cell r="D881" t="str">
            <v>Paradise Elementary</v>
          </cell>
          <cell r="E881">
            <v>186</v>
          </cell>
          <cell r="F881">
            <v>7128</v>
          </cell>
          <cell r="G881">
            <v>2</v>
          </cell>
        </row>
        <row r="882">
          <cell r="A882" t="str">
            <v>50</v>
          </cell>
          <cell r="B882" t="str">
            <v>71217</v>
          </cell>
          <cell r="C882" t="str">
            <v>Stanislaus</v>
          </cell>
          <cell r="D882" t="str">
            <v>Patterson Joint Unified</v>
          </cell>
          <cell r="E882">
            <v>5531</v>
          </cell>
          <cell r="F882">
            <v>98744</v>
          </cell>
          <cell r="G882">
            <v>8</v>
          </cell>
        </row>
        <row r="883">
          <cell r="A883" t="str">
            <v>50</v>
          </cell>
          <cell r="B883" t="str">
            <v>71233</v>
          </cell>
          <cell r="C883" t="str">
            <v>Stanislaus</v>
          </cell>
          <cell r="D883" t="str">
            <v>Roberts Ferry Union Elementary</v>
          </cell>
          <cell r="E883">
            <v>114</v>
          </cell>
          <cell r="F883">
            <v>5792</v>
          </cell>
          <cell r="G883">
            <v>2</v>
          </cell>
        </row>
        <row r="884">
          <cell r="A884" t="str">
            <v>50</v>
          </cell>
          <cell r="B884" t="str">
            <v>71266</v>
          </cell>
          <cell r="C884" t="str">
            <v>Stanislaus</v>
          </cell>
          <cell r="D884" t="str">
            <v>Salida Union Elementary</v>
          </cell>
          <cell r="E884">
            <v>2961</v>
          </cell>
          <cell r="F884">
            <v>50338</v>
          </cell>
          <cell r="G884">
            <v>5</v>
          </cell>
        </row>
        <row r="885">
          <cell r="A885" t="str">
            <v>50</v>
          </cell>
          <cell r="B885" t="str">
            <v>71274</v>
          </cell>
          <cell r="C885" t="str">
            <v>Stanislaus</v>
          </cell>
          <cell r="D885" t="str">
            <v>Shiloh Elementary</v>
          </cell>
          <cell r="E885">
            <v>129</v>
          </cell>
          <cell r="F885">
            <v>3564</v>
          </cell>
          <cell r="G885">
            <v>1</v>
          </cell>
        </row>
        <row r="886">
          <cell r="A886" t="str">
            <v>50</v>
          </cell>
          <cell r="B886" t="str">
            <v>71282</v>
          </cell>
          <cell r="C886" t="str">
            <v>Stanislaus</v>
          </cell>
          <cell r="D886" t="str">
            <v>Stanislaus Union Elementary</v>
          </cell>
          <cell r="E886">
            <v>3173</v>
          </cell>
          <cell r="F886">
            <v>53941</v>
          </cell>
          <cell r="G886">
            <v>7</v>
          </cell>
        </row>
        <row r="887">
          <cell r="A887" t="str">
            <v>50</v>
          </cell>
          <cell r="B887" t="str">
            <v>71290</v>
          </cell>
          <cell r="C887" t="str">
            <v>Stanislaus</v>
          </cell>
          <cell r="D887" t="str">
            <v>Sylvan Union Elementary</v>
          </cell>
          <cell r="E887">
            <v>8214</v>
          </cell>
          <cell r="F887">
            <v>139642</v>
          </cell>
          <cell r="G887">
            <v>13</v>
          </cell>
        </row>
        <row r="888">
          <cell r="A888" t="str">
            <v>50</v>
          </cell>
          <cell r="B888" t="str">
            <v>71324</v>
          </cell>
          <cell r="C888" t="str">
            <v>Stanislaus</v>
          </cell>
          <cell r="D888" t="str">
            <v>Valley Home Joint Elementary</v>
          </cell>
          <cell r="E888">
            <v>190</v>
          </cell>
          <cell r="F888">
            <v>3564</v>
          </cell>
          <cell r="G888">
            <v>1</v>
          </cell>
        </row>
        <row r="889">
          <cell r="A889" t="str">
            <v>50</v>
          </cell>
          <cell r="B889" t="str">
            <v>73601</v>
          </cell>
          <cell r="C889" t="str">
            <v>Stanislaus</v>
          </cell>
          <cell r="D889" t="str">
            <v>Newman-Crows Landing Unified</v>
          </cell>
          <cell r="E889">
            <v>2701</v>
          </cell>
          <cell r="F889">
            <v>54400</v>
          </cell>
          <cell r="G889">
            <v>8</v>
          </cell>
        </row>
        <row r="890">
          <cell r="A890" t="str">
            <v>50</v>
          </cell>
          <cell r="B890" t="str">
            <v>75549</v>
          </cell>
          <cell r="C890" t="str">
            <v>Stanislaus</v>
          </cell>
          <cell r="D890" t="str">
            <v>Hughson Unified</v>
          </cell>
          <cell r="E890">
            <v>2157</v>
          </cell>
          <cell r="F890">
            <v>43992</v>
          </cell>
          <cell r="G890">
            <v>7</v>
          </cell>
        </row>
        <row r="891">
          <cell r="A891" t="str">
            <v>50</v>
          </cell>
          <cell r="B891" t="str">
            <v>75556</v>
          </cell>
          <cell r="C891" t="str">
            <v>Stanislaus</v>
          </cell>
          <cell r="D891" t="str">
            <v>Riverbank Unified</v>
          </cell>
          <cell r="E891">
            <v>2801</v>
          </cell>
          <cell r="F891">
            <v>50178</v>
          </cell>
          <cell r="G891">
            <v>6</v>
          </cell>
        </row>
        <row r="892">
          <cell r="A892" t="str">
            <v>50</v>
          </cell>
          <cell r="B892" t="str">
            <v>75564</v>
          </cell>
          <cell r="C892" t="str">
            <v>Stanislaus</v>
          </cell>
          <cell r="D892" t="str">
            <v>Oakdale Joint Unified</v>
          </cell>
          <cell r="E892">
            <v>5312</v>
          </cell>
          <cell r="F892">
            <v>97259</v>
          </cell>
          <cell r="G892">
            <v>9</v>
          </cell>
        </row>
        <row r="893">
          <cell r="A893" t="str">
            <v>50</v>
          </cell>
          <cell r="B893" t="str">
            <v>75572</v>
          </cell>
          <cell r="C893" t="str">
            <v>Stanislaus</v>
          </cell>
          <cell r="D893" t="str">
            <v>Waterford Unified</v>
          </cell>
          <cell r="E893">
            <v>1895</v>
          </cell>
          <cell r="F893">
            <v>35184</v>
          </cell>
          <cell r="G893">
            <v>5</v>
          </cell>
        </row>
        <row r="894">
          <cell r="A894" t="str">
            <v>50</v>
          </cell>
          <cell r="B894" t="str">
            <v>75739</v>
          </cell>
          <cell r="C894" t="str">
            <v>Stanislaus</v>
          </cell>
          <cell r="D894" t="str">
            <v>Turlock Unified</v>
          </cell>
          <cell r="E894">
            <v>13833</v>
          </cell>
          <cell r="F894">
            <v>238438</v>
          </cell>
          <cell r="G894">
            <v>16</v>
          </cell>
        </row>
        <row r="895">
          <cell r="A895" t="str">
            <v>51</v>
          </cell>
          <cell r="B895" t="str">
            <v>10512</v>
          </cell>
          <cell r="C895" t="str">
            <v>Sutter</v>
          </cell>
          <cell r="D895" t="str">
            <v>Sutter County Office of Education</v>
          </cell>
          <cell r="E895">
            <v>424</v>
          </cell>
          <cell r="F895">
            <v>10212</v>
          </cell>
          <cell r="G895">
            <v>3</v>
          </cell>
        </row>
        <row r="896">
          <cell r="A896" t="str">
            <v>51</v>
          </cell>
          <cell r="B896" t="str">
            <v>71357</v>
          </cell>
          <cell r="C896" t="str">
            <v>Sutter</v>
          </cell>
          <cell r="D896" t="str">
            <v>Brittan Elementary</v>
          </cell>
          <cell r="E896">
            <v>514</v>
          </cell>
          <cell r="F896">
            <v>10898</v>
          </cell>
          <cell r="G896">
            <v>2</v>
          </cell>
        </row>
        <row r="897">
          <cell r="A897" t="str">
            <v>51</v>
          </cell>
          <cell r="B897" t="str">
            <v>71365</v>
          </cell>
          <cell r="C897" t="str">
            <v>Sutter</v>
          </cell>
          <cell r="D897" t="str">
            <v>Browns Elementary</v>
          </cell>
          <cell r="E897">
            <v>154</v>
          </cell>
          <cell r="F897">
            <v>3564</v>
          </cell>
          <cell r="G897">
            <v>1</v>
          </cell>
        </row>
        <row r="898">
          <cell r="A898" t="str">
            <v>51</v>
          </cell>
          <cell r="B898" t="str">
            <v>71373</v>
          </cell>
          <cell r="C898" t="str">
            <v>Sutter</v>
          </cell>
          <cell r="D898" t="str">
            <v>East Nicolaus Joint Union High</v>
          </cell>
          <cell r="E898">
            <v>339</v>
          </cell>
          <cell r="F898">
            <v>7753</v>
          </cell>
          <cell r="G898">
            <v>2</v>
          </cell>
        </row>
        <row r="899">
          <cell r="A899" t="str">
            <v>51</v>
          </cell>
          <cell r="B899" t="str">
            <v>71381</v>
          </cell>
          <cell r="C899" t="str">
            <v>Sutter</v>
          </cell>
          <cell r="D899" t="str">
            <v>Franklin Elementary</v>
          </cell>
          <cell r="E899">
            <v>438</v>
          </cell>
          <cell r="F899">
            <v>7446</v>
          </cell>
          <cell r="G899">
            <v>1</v>
          </cell>
        </row>
        <row r="900">
          <cell r="A900" t="str">
            <v>51</v>
          </cell>
          <cell r="B900" t="str">
            <v>71399</v>
          </cell>
          <cell r="C900" t="str">
            <v>Sutter</v>
          </cell>
          <cell r="D900" t="str">
            <v>Live Oak Unified</v>
          </cell>
          <cell r="E900">
            <v>1896</v>
          </cell>
          <cell r="F900">
            <v>40680</v>
          </cell>
          <cell r="G900">
            <v>6</v>
          </cell>
        </row>
        <row r="901">
          <cell r="A901" t="str">
            <v>51</v>
          </cell>
          <cell r="B901" t="str">
            <v>71407</v>
          </cell>
          <cell r="C901" t="str">
            <v>Sutter</v>
          </cell>
          <cell r="D901" t="str">
            <v>Marcum-Illinois Union Elementary</v>
          </cell>
          <cell r="E901">
            <v>159</v>
          </cell>
          <cell r="F901">
            <v>3564</v>
          </cell>
          <cell r="G901">
            <v>1</v>
          </cell>
        </row>
        <row r="902">
          <cell r="A902" t="str">
            <v>51</v>
          </cell>
          <cell r="B902" t="str">
            <v>71415</v>
          </cell>
          <cell r="C902" t="str">
            <v>Sutter</v>
          </cell>
          <cell r="D902" t="str">
            <v>Meridian Elementary</v>
          </cell>
          <cell r="E902">
            <v>76</v>
          </cell>
          <cell r="F902">
            <v>3564</v>
          </cell>
          <cell r="G902">
            <v>1</v>
          </cell>
        </row>
        <row r="903">
          <cell r="A903" t="str">
            <v>51</v>
          </cell>
          <cell r="B903" t="str">
            <v>71423</v>
          </cell>
          <cell r="C903" t="str">
            <v>Sutter</v>
          </cell>
          <cell r="D903" t="str">
            <v>Nuestro Elementary</v>
          </cell>
          <cell r="E903">
            <v>129</v>
          </cell>
          <cell r="F903">
            <v>3564</v>
          </cell>
          <cell r="G903">
            <v>1</v>
          </cell>
        </row>
        <row r="904">
          <cell r="A904" t="str">
            <v>51</v>
          </cell>
          <cell r="B904" t="str">
            <v>71431</v>
          </cell>
          <cell r="C904" t="str">
            <v>Sutter</v>
          </cell>
          <cell r="D904" t="str">
            <v>Pleasant Grove Joint Union</v>
          </cell>
          <cell r="E904">
            <v>169</v>
          </cell>
          <cell r="F904">
            <v>3564</v>
          </cell>
          <cell r="G904">
            <v>1</v>
          </cell>
        </row>
        <row r="905">
          <cell r="A905" t="str">
            <v>51</v>
          </cell>
          <cell r="B905" t="str">
            <v>71449</v>
          </cell>
          <cell r="C905" t="str">
            <v>Sutter</v>
          </cell>
          <cell r="D905" t="str">
            <v>Sutter Union High</v>
          </cell>
          <cell r="E905">
            <v>745</v>
          </cell>
          <cell r="F905">
            <v>14553</v>
          </cell>
          <cell r="G905">
            <v>2</v>
          </cell>
        </row>
        <row r="906">
          <cell r="A906" t="str">
            <v>51</v>
          </cell>
          <cell r="B906" t="str">
            <v>71456</v>
          </cell>
          <cell r="C906" t="str">
            <v>Sutter</v>
          </cell>
          <cell r="D906" t="str">
            <v>Winship-Robbins</v>
          </cell>
          <cell r="E906">
            <v>116</v>
          </cell>
          <cell r="F906">
            <v>7128</v>
          </cell>
          <cell r="G906">
            <v>2</v>
          </cell>
        </row>
        <row r="907">
          <cell r="A907" t="str">
            <v>51</v>
          </cell>
          <cell r="B907" t="str">
            <v>71464</v>
          </cell>
          <cell r="C907" t="str">
            <v>Sutter</v>
          </cell>
          <cell r="D907" t="str">
            <v>Yuba City Unified</v>
          </cell>
          <cell r="E907">
            <v>12885</v>
          </cell>
          <cell r="F907">
            <v>221004</v>
          </cell>
          <cell r="G907">
            <v>18</v>
          </cell>
        </row>
        <row r="908">
          <cell r="A908" t="str">
            <v>52</v>
          </cell>
          <cell r="B908" t="str">
            <v>10520</v>
          </cell>
          <cell r="C908" t="str">
            <v>Tehama</v>
          </cell>
          <cell r="D908" t="str">
            <v>Tehama County Office of Education</v>
          </cell>
          <cell r="E908">
            <v>103</v>
          </cell>
          <cell r="F908">
            <v>12920</v>
          </cell>
          <cell r="G908">
            <v>4</v>
          </cell>
        </row>
        <row r="909">
          <cell r="A909" t="str">
            <v>52</v>
          </cell>
          <cell r="B909" t="str">
            <v>71472</v>
          </cell>
          <cell r="C909" t="str">
            <v>Tehama</v>
          </cell>
          <cell r="D909" t="str">
            <v>Antelope Elementary</v>
          </cell>
          <cell r="E909">
            <v>651</v>
          </cell>
          <cell r="F909">
            <v>13159</v>
          </cell>
          <cell r="G909">
            <v>3</v>
          </cell>
        </row>
        <row r="910">
          <cell r="A910" t="str">
            <v>52</v>
          </cell>
          <cell r="B910" t="str">
            <v>71480</v>
          </cell>
          <cell r="C910" t="str">
            <v>Tehama</v>
          </cell>
          <cell r="D910" t="str">
            <v>Bend Elementary</v>
          </cell>
          <cell r="E910">
            <v>70</v>
          </cell>
          <cell r="F910">
            <v>3564</v>
          </cell>
          <cell r="G910">
            <v>1</v>
          </cell>
        </row>
        <row r="911">
          <cell r="A911" t="str">
            <v>52</v>
          </cell>
          <cell r="B911" t="str">
            <v>71498</v>
          </cell>
          <cell r="C911" t="str">
            <v>Tehama</v>
          </cell>
          <cell r="D911" t="str">
            <v>Corning Union Elementary</v>
          </cell>
          <cell r="E911">
            <v>1947</v>
          </cell>
          <cell r="F911">
            <v>39623</v>
          </cell>
          <cell r="G911">
            <v>7</v>
          </cell>
        </row>
        <row r="912">
          <cell r="A912" t="str">
            <v>52</v>
          </cell>
          <cell r="B912" t="str">
            <v>71506</v>
          </cell>
          <cell r="C912" t="str">
            <v>Tehama</v>
          </cell>
          <cell r="D912" t="str">
            <v>Corning Union High</v>
          </cell>
          <cell r="E912">
            <v>1075</v>
          </cell>
          <cell r="F912">
            <v>23014</v>
          </cell>
          <cell r="G912">
            <v>3</v>
          </cell>
        </row>
        <row r="913">
          <cell r="A913" t="str">
            <v>52</v>
          </cell>
          <cell r="B913" t="str">
            <v>71514</v>
          </cell>
          <cell r="C913" t="str">
            <v>Tehama</v>
          </cell>
          <cell r="D913" t="str">
            <v>Elkins Elementary</v>
          </cell>
          <cell r="E913">
            <v>9</v>
          </cell>
          <cell r="F913">
            <v>2228</v>
          </cell>
          <cell r="G913">
            <v>1</v>
          </cell>
        </row>
        <row r="914">
          <cell r="A914" t="str">
            <v>52</v>
          </cell>
          <cell r="B914" t="str">
            <v>71522</v>
          </cell>
          <cell r="C914" t="str">
            <v>Tehama</v>
          </cell>
          <cell r="D914" t="str">
            <v>Evergreen Union</v>
          </cell>
          <cell r="E914">
            <v>962</v>
          </cell>
          <cell r="F914">
            <v>20623</v>
          </cell>
          <cell r="G914">
            <v>4</v>
          </cell>
        </row>
        <row r="915">
          <cell r="A915" t="str">
            <v>52</v>
          </cell>
          <cell r="B915" t="str">
            <v>71530</v>
          </cell>
          <cell r="C915" t="str">
            <v>Tehama</v>
          </cell>
          <cell r="D915" t="str">
            <v>Flournoy Union Elementary</v>
          </cell>
          <cell r="E915">
            <v>23</v>
          </cell>
          <cell r="F915">
            <v>3564</v>
          </cell>
          <cell r="G915">
            <v>1</v>
          </cell>
        </row>
        <row r="916">
          <cell r="A916" t="str">
            <v>52</v>
          </cell>
          <cell r="B916" t="str">
            <v>71548</v>
          </cell>
          <cell r="C916" t="str">
            <v>Tehama</v>
          </cell>
          <cell r="D916" t="str">
            <v>Gerber Union Elementary</v>
          </cell>
          <cell r="E916">
            <v>411</v>
          </cell>
          <cell r="F916">
            <v>9147</v>
          </cell>
          <cell r="G916">
            <v>2</v>
          </cell>
        </row>
        <row r="917">
          <cell r="A917" t="str">
            <v>52</v>
          </cell>
          <cell r="B917" t="str">
            <v>71555</v>
          </cell>
          <cell r="C917" t="str">
            <v>Tehama</v>
          </cell>
          <cell r="D917" t="str">
            <v>Kirkwood Elementary</v>
          </cell>
          <cell r="E917">
            <v>78</v>
          </cell>
          <cell r="F917">
            <v>3564</v>
          </cell>
          <cell r="G917">
            <v>1</v>
          </cell>
        </row>
        <row r="918">
          <cell r="A918" t="str">
            <v>52</v>
          </cell>
          <cell r="B918" t="str">
            <v>71563</v>
          </cell>
          <cell r="C918" t="str">
            <v>Tehama</v>
          </cell>
          <cell r="D918" t="str">
            <v>Lassen View Union Elementary</v>
          </cell>
          <cell r="E918">
            <v>324</v>
          </cell>
          <cell r="F918">
            <v>7617</v>
          </cell>
          <cell r="G918">
            <v>2</v>
          </cell>
        </row>
        <row r="919">
          <cell r="A919" t="str">
            <v>52</v>
          </cell>
          <cell r="B919" t="str">
            <v>71571</v>
          </cell>
          <cell r="C919" t="str">
            <v>Tehama</v>
          </cell>
          <cell r="D919" t="str">
            <v>Los Molinos Unified</v>
          </cell>
          <cell r="E919">
            <v>569</v>
          </cell>
          <cell r="F919">
            <v>16429</v>
          </cell>
          <cell r="G919">
            <v>5</v>
          </cell>
        </row>
        <row r="920">
          <cell r="A920" t="str">
            <v>52</v>
          </cell>
          <cell r="B920" t="str">
            <v>71589</v>
          </cell>
          <cell r="C920" t="str">
            <v>Tehama</v>
          </cell>
          <cell r="D920" t="str">
            <v>Manton Joint Union Elementary</v>
          </cell>
          <cell r="E920">
            <v>41</v>
          </cell>
          <cell r="F920">
            <v>3564</v>
          </cell>
          <cell r="G920">
            <v>1</v>
          </cell>
        </row>
        <row r="921">
          <cell r="A921" t="str">
            <v>52</v>
          </cell>
          <cell r="B921" t="str">
            <v>71605</v>
          </cell>
          <cell r="C921" t="str">
            <v>Tehama</v>
          </cell>
          <cell r="D921" t="str">
            <v>Mineral Elementary</v>
          </cell>
          <cell r="E921">
            <v>132</v>
          </cell>
          <cell r="F921">
            <v>5792</v>
          </cell>
          <cell r="G921">
            <v>2</v>
          </cell>
        </row>
        <row r="922">
          <cell r="A922" t="str">
            <v>52</v>
          </cell>
          <cell r="B922" t="str">
            <v>71613</v>
          </cell>
          <cell r="C922" t="str">
            <v>Tehama</v>
          </cell>
          <cell r="D922" t="str">
            <v>Plum Valley Elementary</v>
          </cell>
          <cell r="E922">
            <v>20</v>
          </cell>
          <cell r="F922">
            <v>2228</v>
          </cell>
          <cell r="G922">
            <v>1</v>
          </cell>
        </row>
        <row r="923">
          <cell r="A923" t="str">
            <v>52</v>
          </cell>
          <cell r="B923" t="str">
            <v>71621</v>
          </cell>
          <cell r="C923" t="str">
            <v>Tehama</v>
          </cell>
          <cell r="D923" t="str">
            <v>Red Bluff Union Elementary</v>
          </cell>
          <cell r="E923">
            <v>2221</v>
          </cell>
          <cell r="F923">
            <v>41992</v>
          </cell>
          <cell r="G923">
            <v>6</v>
          </cell>
        </row>
        <row r="924">
          <cell r="A924" t="str">
            <v>52</v>
          </cell>
          <cell r="B924" t="str">
            <v>71639</v>
          </cell>
          <cell r="C924" t="str">
            <v>Tehama</v>
          </cell>
          <cell r="D924" t="str">
            <v>Red Bluff Joint Union High</v>
          </cell>
          <cell r="E924">
            <v>1891</v>
          </cell>
          <cell r="F924">
            <v>37492</v>
          </cell>
          <cell r="G924">
            <v>4</v>
          </cell>
        </row>
        <row r="925">
          <cell r="A925" t="str">
            <v>52</v>
          </cell>
          <cell r="B925" t="str">
            <v>71647</v>
          </cell>
          <cell r="C925" t="str">
            <v>Tehama</v>
          </cell>
          <cell r="D925" t="str">
            <v>Reeds Creek Elementary</v>
          </cell>
          <cell r="E925">
            <v>165</v>
          </cell>
          <cell r="F925">
            <v>3564</v>
          </cell>
          <cell r="G925">
            <v>1</v>
          </cell>
        </row>
        <row r="926">
          <cell r="A926" t="str">
            <v>52</v>
          </cell>
          <cell r="B926" t="str">
            <v>71654</v>
          </cell>
          <cell r="C926" t="str">
            <v>Tehama</v>
          </cell>
          <cell r="D926" t="str">
            <v>Richfield Elementary</v>
          </cell>
          <cell r="E926">
            <v>242</v>
          </cell>
          <cell r="F926">
            <v>4114</v>
          </cell>
          <cell r="G926">
            <v>1</v>
          </cell>
        </row>
        <row r="927">
          <cell r="A927" t="str">
            <v>53</v>
          </cell>
          <cell r="B927" t="str">
            <v>10538</v>
          </cell>
          <cell r="C927" t="str">
            <v>Trinity</v>
          </cell>
          <cell r="D927" t="str">
            <v>Trinity County Office of Education</v>
          </cell>
          <cell r="E927">
            <v>53</v>
          </cell>
          <cell r="F927">
            <v>8020</v>
          </cell>
          <cell r="G927">
            <v>3</v>
          </cell>
        </row>
        <row r="928">
          <cell r="A928" t="str">
            <v>53</v>
          </cell>
          <cell r="B928" t="str">
            <v>71662</v>
          </cell>
          <cell r="C928" t="str">
            <v>Trinity</v>
          </cell>
          <cell r="D928" t="str">
            <v>Burnt Ranch Elementary</v>
          </cell>
          <cell r="E928">
            <v>97</v>
          </cell>
          <cell r="F928">
            <v>3564</v>
          </cell>
          <cell r="G928">
            <v>1</v>
          </cell>
        </row>
        <row r="929">
          <cell r="A929" t="str">
            <v>53</v>
          </cell>
          <cell r="B929" t="str">
            <v>71670</v>
          </cell>
          <cell r="C929" t="str">
            <v>Trinity</v>
          </cell>
          <cell r="D929" t="str">
            <v>Coffee Creek Elementary</v>
          </cell>
          <cell r="E929">
            <v>9</v>
          </cell>
          <cell r="F929">
            <v>2228</v>
          </cell>
          <cell r="G929">
            <v>1</v>
          </cell>
        </row>
        <row r="930">
          <cell r="A930" t="str">
            <v>53</v>
          </cell>
          <cell r="B930" t="str">
            <v>71688</v>
          </cell>
          <cell r="C930" t="str">
            <v>Trinity</v>
          </cell>
          <cell r="D930" t="str">
            <v>Cox Bar Elementary</v>
          </cell>
          <cell r="E930">
            <v>9</v>
          </cell>
          <cell r="F930">
            <v>2228</v>
          </cell>
          <cell r="G930">
            <v>1</v>
          </cell>
        </row>
        <row r="931">
          <cell r="A931" t="str">
            <v>53</v>
          </cell>
          <cell r="B931" t="str">
            <v>71696</v>
          </cell>
          <cell r="C931" t="str">
            <v>Trinity</v>
          </cell>
          <cell r="D931" t="str">
            <v>Douglas City Elementary</v>
          </cell>
          <cell r="E931">
            <v>131</v>
          </cell>
          <cell r="F931">
            <v>3564</v>
          </cell>
          <cell r="G931">
            <v>1</v>
          </cell>
        </row>
        <row r="932">
          <cell r="A932" t="str">
            <v>53</v>
          </cell>
          <cell r="B932" t="str">
            <v>71738</v>
          </cell>
          <cell r="C932" t="str">
            <v>Trinity</v>
          </cell>
          <cell r="D932" t="str">
            <v>Junction City Elementary</v>
          </cell>
          <cell r="E932">
            <v>81</v>
          </cell>
          <cell r="F932">
            <v>3564</v>
          </cell>
          <cell r="G932">
            <v>1</v>
          </cell>
        </row>
        <row r="933">
          <cell r="A933" t="str">
            <v>53</v>
          </cell>
          <cell r="B933" t="str">
            <v>71746</v>
          </cell>
          <cell r="C933" t="str">
            <v>Trinity</v>
          </cell>
          <cell r="D933" t="str">
            <v>Lewiston Elementary</v>
          </cell>
          <cell r="E933">
            <v>58</v>
          </cell>
          <cell r="F933">
            <v>3564</v>
          </cell>
          <cell r="G933">
            <v>1</v>
          </cell>
        </row>
        <row r="934">
          <cell r="A934" t="str">
            <v>53</v>
          </cell>
          <cell r="B934" t="str">
            <v>71761</v>
          </cell>
          <cell r="C934" t="str">
            <v>Trinity</v>
          </cell>
          <cell r="D934" t="str">
            <v>Trinity Center Elementary</v>
          </cell>
          <cell r="E934">
            <v>20</v>
          </cell>
          <cell r="F934">
            <v>2228</v>
          </cell>
          <cell r="G934">
            <v>1</v>
          </cell>
        </row>
        <row r="935">
          <cell r="A935" t="str">
            <v>53</v>
          </cell>
          <cell r="B935" t="str">
            <v>73833</v>
          </cell>
          <cell r="C935" t="str">
            <v>Trinity</v>
          </cell>
          <cell r="D935" t="str">
            <v>Southern Trinity Joint Unified</v>
          </cell>
          <cell r="E935">
            <v>135</v>
          </cell>
          <cell r="F935">
            <v>11584</v>
          </cell>
          <cell r="G935">
            <v>4</v>
          </cell>
        </row>
        <row r="936">
          <cell r="A936" t="str">
            <v>53</v>
          </cell>
          <cell r="B936" t="str">
            <v>75028</v>
          </cell>
          <cell r="C936" t="str">
            <v>Trinity</v>
          </cell>
          <cell r="D936" t="str">
            <v>Mountain Valley Unified</v>
          </cell>
          <cell r="E936">
            <v>365</v>
          </cell>
          <cell r="F936">
            <v>14192</v>
          </cell>
          <cell r="G936">
            <v>5</v>
          </cell>
        </row>
        <row r="937">
          <cell r="A937" t="str">
            <v>53</v>
          </cell>
          <cell r="B937" t="str">
            <v>76513</v>
          </cell>
          <cell r="C937" t="str">
            <v>Trinity</v>
          </cell>
          <cell r="D937" t="str">
            <v>Trinity Alps Unified</v>
          </cell>
          <cell r="E937">
            <v>827</v>
          </cell>
          <cell r="F937">
            <v>21484</v>
          </cell>
          <cell r="G937">
            <v>5</v>
          </cell>
        </row>
        <row r="938">
          <cell r="A938" t="str">
            <v>54</v>
          </cell>
          <cell r="B938" t="str">
            <v>10546</v>
          </cell>
          <cell r="C938" t="str">
            <v>Tulare</v>
          </cell>
          <cell r="D938" t="str">
            <v>Tulare County Office of Education</v>
          </cell>
          <cell r="E938">
            <v>1864</v>
          </cell>
          <cell r="F938">
            <v>32385</v>
          </cell>
          <cell r="G938">
            <v>5</v>
          </cell>
        </row>
        <row r="939">
          <cell r="A939" t="str">
            <v>54</v>
          </cell>
          <cell r="B939" t="str">
            <v>71795</v>
          </cell>
          <cell r="C939" t="str">
            <v>Tulare</v>
          </cell>
          <cell r="D939" t="str">
            <v>Allensworth Elementary</v>
          </cell>
          <cell r="E939">
            <v>86</v>
          </cell>
          <cell r="F939">
            <v>3564</v>
          </cell>
          <cell r="G939">
            <v>1</v>
          </cell>
        </row>
        <row r="940">
          <cell r="A940" t="str">
            <v>54</v>
          </cell>
          <cell r="B940" t="str">
            <v>71803</v>
          </cell>
          <cell r="C940" t="str">
            <v>Tulare</v>
          </cell>
          <cell r="D940" t="str">
            <v>Alpaugh Unified</v>
          </cell>
          <cell r="E940">
            <v>337</v>
          </cell>
          <cell r="F940">
            <v>11584</v>
          </cell>
          <cell r="G940">
            <v>4</v>
          </cell>
        </row>
        <row r="941">
          <cell r="A941" t="str">
            <v>54</v>
          </cell>
          <cell r="B941" t="str">
            <v>71811</v>
          </cell>
          <cell r="C941" t="str">
            <v>Tulare</v>
          </cell>
          <cell r="D941" t="str">
            <v>Alta Vista Elementary</v>
          </cell>
          <cell r="E941">
            <v>500</v>
          </cell>
          <cell r="F941">
            <v>8500</v>
          </cell>
          <cell r="G941">
            <v>1</v>
          </cell>
        </row>
        <row r="942">
          <cell r="A942" t="str">
            <v>54</v>
          </cell>
          <cell r="B942" t="str">
            <v>71829</v>
          </cell>
          <cell r="C942" t="str">
            <v>Tulare</v>
          </cell>
          <cell r="D942" t="str">
            <v>Buena Vista Elementary</v>
          </cell>
          <cell r="E942">
            <v>193</v>
          </cell>
          <cell r="F942">
            <v>3564</v>
          </cell>
          <cell r="G942">
            <v>1</v>
          </cell>
        </row>
        <row r="943">
          <cell r="A943" t="str">
            <v>54</v>
          </cell>
          <cell r="B943" t="str">
            <v>71837</v>
          </cell>
          <cell r="C943" t="str">
            <v>Tulare</v>
          </cell>
          <cell r="D943" t="str">
            <v>Burton Elementary</v>
          </cell>
          <cell r="E943">
            <v>3656</v>
          </cell>
          <cell r="F943">
            <v>64279</v>
          </cell>
          <cell r="G943">
            <v>7</v>
          </cell>
        </row>
        <row r="944">
          <cell r="A944" t="str">
            <v>54</v>
          </cell>
          <cell r="B944" t="str">
            <v>71845</v>
          </cell>
          <cell r="C944" t="str">
            <v>Tulare</v>
          </cell>
          <cell r="D944" t="str">
            <v>Citrus South Tule Elementary</v>
          </cell>
          <cell r="E944">
            <v>45</v>
          </cell>
          <cell r="F944">
            <v>3564</v>
          </cell>
          <cell r="G944">
            <v>1</v>
          </cell>
        </row>
        <row r="945">
          <cell r="A945" t="str">
            <v>54</v>
          </cell>
          <cell r="B945" t="str">
            <v>71852</v>
          </cell>
          <cell r="C945" t="str">
            <v>Tulare</v>
          </cell>
          <cell r="D945" t="str">
            <v>Columbine Elementary</v>
          </cell>
          <cell r="E945">
            <v>206</v>
          </cell>
          <cell r="F945">
            <v>3564</v>
          </cell>
          <cell r="G945">
            <v>1</v>
          </cell>
        </row>
        <row r="946">
          <cell r="A946" t="str">
            <v>54</v>
          </cell>
          <cell r="B946" t="str">
            <v>71860</v>
          </cell>
          <cell r="C946" t="str">
            <v>Tulare</v>
          </cell>
          <cell r="D946" t="str">
            <v>Cutler-Orosi Joint Unified</v>
          </cell>
          <cell r="E946">
            <v>4129</v>
          </cell>
          <cell r="F946">
            <v>81620</v>
          </cell>
          <cell r="G946">
            <v>10</v>
          </cell>
        </row>
        <row r="947">
          <cell r="A947" t="str">
            <v>54</v>
          </cell>
          <cell r="B947" t="str">
            <v>71894</v>
          </cell>
          <cell r="C947" t="str">
            <v>Tulare</v>
          </cell>
          <cell r="D947" t="str">
            <v>Ducor Union Elementary</v>
          </cell>
          <cell r="E947">
            <v>185</v>
          </cell>
          <cell r="F947">
            <v>3564</v>
          </cell>
          <cell r="G947">
            <v>1</v>
          </cell>
        </row>
        <row r="948">
          <cell r="A948" t="str">
            <v>54</v>
          </cell>
          <cell r="B948" t="str">
            <v>71902</v>
          </cell>
          <cell r="C948" t="str">
            <v>Tulare</v>
          </cell>
          <cell r="D948" t="str">
            <v>Earlimart Elementary</v>
          </cell>
          <cell r="E948">
            <v>2034</v>
          </cell>
          <cell r="F948">
            <v>36755</v>
          </cell>
          <cell r="G948">
            <v>4</v>
          </cell>
        </row>
        <row r="949">
          <cell r="A949" t="str">
            <v>54</v>
          </cell>
          <cell r="B949" t="str">
            <v>71910</v>
          </cell>
          <cell r="C949" t="str">
            <v>Tulare</v>
          </cell>
          <cell r="D949" t="str">
            <v>Exeter Union Elementary</v>
          </cell>
          <cell r="E949">
            <v>1979</v>
          </cell>
          <cell r="F949">
            <v>35786</v>
          </cell>
          <cell r="G949">
            <v>4</v>
          </cell>
        </row>
        <row r="950">
          <cell r="A950" t="str">
            <v>54</v>
          </cell>
          <cell r="B950" t="str">
            <v>71928</v>
          </cell>
          <cell r="C950" t="str">
            <v>Tulare</v>
          </cell>
          <cell r="D950" t="str">
            <v>Exeter Union High</v>
          </cell>
          <cell r="E950">
            <v>1175</v>
          </cell>
          <cell r="F950">
            <v>27326</v>
          </cell>
          <cell r="G950">
            <v>4</v>
          </cell>
        </row>
        <row r="951">
          <cell r="A951" t="str">
            <v>54</v>
          </cell>
          <cell r="B951" t="str">
            <v>71944</v>
          </cell>
          <cell r="C951" t="str">
            <v>Tulare</v>
          </cell>
          <cell r="D951" t="str">
            <v>Hope Elementary</v>
          </cell>
          <cell r="E951">
            <v>140</v>
          </cell>
          <cell r="F951">
            <v>3564</v>
          </cell>
          <cell r="G951">
            <v>1</v>
          </cell>
        </row>
        <row r="952">
          <cell r="A952" t="str">
            <v>54</v>
          </cell>
          <cell r="B952" t="str">
            <v>71951</v>
          </cell>
          <cell r="C952" t="str">
            <v>Tulare</v>
          </cell>
          <cell r="D952" t="str">
            <v>Hot Springs Elementary</v>
          </cell>
          <cell r="E952">
            <v>26</v>
          </cell>
          <cell r="F952">
            <v>4456</v>
          </cell>
          <cell r="G952">
            <v>2</v>
          </cell>
        </row>
        <row r="953">
          <cell r="A953" t="str">
            <v>54</v>
          </cell>
          <cell r="B953" t="str">
            <v>71969</v>
          </cell>
          <cell r="C953" t="str">
            <v>Tulare</v>
          </cell>
          <cell r="D953" t="str">
            <v>Kings River Union Elementary</v>
          </cell>
          <cell r="E953">
            <v>496</v>
          </cell>
          <cell r="F953">
            <v>8432</v>
          </cell>
          <cell r="G953">
            <v>1</v>
          </cell>
        </row>
        <row r="954">
          <cell r="A954" t="str">
            <v>54</v>
          </cell>
          <cell r="B954" t="str">
            <v>71985</v>
          </cell>
          <cell r="C954" t="str">
            <v>Tulare</v>
          </cell>
          <cell r="D954" t="str">
            <v>Liberty Elementary</v>
          </cell>
          <cell r="E954">
            <v>266</v>
          </cell>
          <cell r="F954">
            <v>4522</v>
          </cell>
          <cell r="G954">
            <v>1</v>
          </cell>
        </row>
        <row r="955">
          <cell r="A955" t="str">
            <v>54</v>
          </cell>
          <cell r="B955" t="str">
            <v>71993</v>
          </cell>
          <cell r="C955" t="str">
            <v>Tulare</v>
          </cell>
          <cell r="D955" t="str">
            <v>Lindsay Unified</v>
          </cell>
          <cell r="E955">
            <v>4046</v>
          </cell>
          <cell r="F955">
            <v>73370</v>
          </cell>
          <cell r="G955">
            <v>7</v>
          </cell>
        </row>
        <row r="956">
          <cell r="A956" t="str">
            <v>54</v>
          </cell>
          <cell r="B956" t="str">
            <v>72009</v>
          </cell>
          <cell r="C956" t="str">
            <v>Tulare</v>
          </cell>
          <cell r="D956" t="str">
            <v>Monson-Sultana Joint Union Elementary</v>
          </cell>
          <cell r="E956">
            <v>440</v>
          </cell>
          <cell r="F956">
            <v>7480</v>
          </cell>
          <cell r="G956">
            <v>1</v>
          </cell>
        </row>
        <row r="957">
          <cell r="A957" t="str">
            <v>54</v>
          </cell>
          <cell r="B957" t="str">
            <v>72017</v>
          </cell>
          <cell r="C957" t="str">
            <v>Tulare</v>
          </cell>
          <cell r="D957" t="str">
            <v>Oak Valley Union Elementary</v>
          </cell>
          <cell r="E957">
            <v>462</v>
          </cell>
          <cell r="F957">
            <v>7854</v>
          </cell>
          <cell r="G957">
            <v>1</v>
          </cell>
        </row>
        <row r="958">
          <cell r="A958" t="str">
            <v>54</v>
          </cell>
          <cell r="B958" t="str">
            <v>72025</v>
          </cell>
          <cell r="C958" t="str">
            <v>Tulare</v>
          </cell>
          <cell r="D958" t="str">
            <v>Outside Creek Elementary</v>
          </cell>
          <cell r="E958">
            <v>138</v>
          </cell>
          <cell r="F958">
            <v>3564</v>
          </cell>
          <cell r="G958">
            <v>1</v>
          </cell>
        </row>
        <row r="959">
          <cell r="A959" t="str">
            <v>54</v>
          </cell>
          <cell r="B959" t="str">
            <v>72033</v>
          </cell>
          <cell r="C959" t="str">
            <v>Tulare</v>
          </cell>
          <cell r="D959" t="str">
            <v>Palo Verde Union Elementary</v>
          </cell>
          <cell r="E959">
            <v>549</v>
          </cell>
          <cell r="F959">
            <v>9333</v>
          </cell>
          <cell r="G959">
            <v>1</v>
          </cell>
        </row>
        <row r="960">
          <cell r="A960" t="str">
            <v>54</v>
          </cell>
          <cell r="B960" t="str">
            <v>72041</v>
          </cell>
          <cell r="C960" t="str">
            <v>Tulare</v>
          </cell>
          <cell r="D960" t="str">
            <v>Pixley Union Elementary</v>
          </cell>
          <cell r="E960">
            <v>917</v>
          </cell>
          <cell r="F960">
            <v>15589</v>
          </cell>
          <cell r="G960">
            <v>2</v>
          </cell>
        </row>
        <row r="961">
          <cell r="A961" t="str">
            <v>54</v>
          </cell>
          <cell r="B961" t="str">
            <v>72058</v>
          </cell>
          <cell r="C961" t="str">
            <v>Tulare</v>
          </cell>
          <cell r="D961" t="str">
            <v>Pleasant View Elementary</v>
          </cell>
          <cell r="E961">
            <v>532</v>
          </cell>
          <cell r="F961">
            <v>11255</v>
          </cell>
          <cell r="G961">
            <v>2</v>
          </cell>
        </row>
        <row r="962">
          <cell r="A962" t="str">
            <v>54</v>
          </cell>
          <cell r="B962" t="str">
            <v>72082</v>
          </cell>
          <cell r="C962" t="str">
            <v>Tulare</v>
          </cell>
          <cell r="D962" t="str">
            <v>Richgrove Elementary</v>
          </cell>
          <cell r="E962">
            <v>717</v>
          </cell>
          <cell r="F962">
            <v>12189</v>
          </cell>
          <cell r="G962">
            <v>1</v>
          </cell>
        </row>
        <row r="963">
          <cell r="A963" t="str">
            <v>54</v>
          </cell>
          <cell r="B963" t="str">
            <v>72090</v>
          </cell>
          <cell r="C963" t="str">
            <v>Tulare</v>
          </cell>
          <cell r="D963" t="str">
            <v>Rockford Elementary</v>
          </cell>
          <cell r="E963">
            <v>354</v>
          </cell>
          <cell r="F963">
            <v>6018</v>
          </cell>
          <cell r="G963">
            <v>1</v>
          </cell>
        </row>
        <row r="964">
          <cell r="A964" t="str">
            <v>54</v>
          </cell>
          <cell r="B964" t="str">
            <v>72108</v>
          </cell>
          <cell r="C964" t="str">
            <v>Tulare</v>
          </cell>
          <cell r="D964" t="str">
            <v>Saucelito Elementary</v>
          </cell>
          <cell r="E964">
            <v>86</v>
          </cell>
          <cell r="F964">
            <v>3564</v>
          </cell>
          <cell r="G964">
            <v>1</v>
          </cell>
        </row>
        <row r="965">
          <cell r="A965" t="str">
            <v>54</v>
          </cell>
          <cell r="B965" t="str">
            <v>72116</v>
          </cell>
          <cell r="C965" t="str">
            <v>Tulare</v>
          </cell>
          <cell r="D965" t="str">
            <v>Sequoia Union Elementary</v>
          </cell>
          <cell r="E965">
            <v>331</v>
          </cell>
          <cell r="F965">
            <v>5627</v>
          </cell>
          <cell r="G965">
            <v>1</v>
          </cell>
        </row>
        <row r="966">
          <cell r="A966" t="str">
            <v>54</v>
          </cell>
          <cell r="B966" t="str">
            <v>72132</v>
          </cell>
          <cell r="C966" t="str">
            <v>Tulare</v>
          </cell>
          <cell r="D966" t="str">
            <v>Springville Union Elementary</v>
          </cell>
          <cell r="E966">
            <v>358</v>
          </cell>
          <cell r="F966">
            <v>6086</v>
          </cell>
          <cell r="G966">
            <v>1</v>
          </cell>
        </row>
        <row r="967">
          <cell r="A967" t="str">
            <v>54</v>
          </cell>
          <cell r="B967" t="str">
            <v>72140</v>
          </cell>
          <cell r="C967" t="str">
            <v>Tulare</v>
          </cell>
          <cell r="D967" t="str">
            <v>Stone Corral Elementary</v>
          </cell>
          <cell r="E967">
            <v>136</v>
          </cell>
          <cell r="F967">
            <v>3564</v>
          </cell>
          <cell r="G967">
            <v>1</v>
          </cell>
        </row>
        <row r="968">
          <cell r="A968" t="str">
            <v>54</v>
          </cell>
          <cell r="B968" t="str">
            <v>72157</v>
          </cell>
          <cell r="C968" t="str">
            <v>Tulare</v>
          </cell>
          <cell r="D968" t="str">
            <v>Strathmore Union Elementary</v>
          </cell>
          <cell r="E968">
            <v>761</v>
          </cell>
          <cell r="F968">
            <v>15012</v>
          </cell>
          <cell r="G968">
            <v>2</v>
          </cell>
        </row>
        <row r="969">
          <cell r="A969" t="str">
            <v>54</v>
          </cell>
          <cell r="B969" t="str">
            <v>72173</v>
          </cell>
          <cell r="C969" t="str">
            <v>Tulare</v>
          </cell>
          <cell r="D969" t="str">
            <v>Sundale Union Elementary</v>
          </cell>
          <cell r="E969">
            <v>702</v>
          </cell>
          <cell r="F969">
            <v>11934</v>
          </cell>
          <cell r="G969">
            <v>1</v>
          </cell>
        </row>
        <row r="970">
          <cell r="A970" t="str">
            <v>54</v>
          </cell>
          <cell r="B970" t="str">
            <v>72181</v>
          </cell>
          <cell r="C970" t="str">
            <v>Tulare</v>
          </cell>
          <cell r="D970" t="str">
            <v>Sunnyside Union Elementary</v>
          </cell>
          <cell r="E970">
            <v>404</v>
          </cell>
          <cell r="F970">
            <v>6868</v>
          </cell>
          <cell r="G970">
            <v>1</v>
          </cell>
        </row>
        <row r="971">
          <cell r="A971" t="str">
            <v>54</v>
          </cell>
          <cell r="B971" t="str">
            <v>72199</v>
          </cell>
          <cell r="C971" t="str">
            <v>Tulare</v>
          </cell>
          <cell r="D971" t="str">
            <v>Terra Bella Union Elementary</v>
          </cell>
          <cell r="E971">
            <v>919</v>
          </cell>
          <cell r="F971">
            <v>15623</v>
          </cell>
          <cell r="G971">
            <v>2</v>
          </cell>
        </row>
        <row r="972">
          <cell r="A972" t="str">
            <v>54</v>
          </cell>
          <cell r="B972" t="str">
            <v>72207</v>
          </cell>
          <cell r="C972" t="str">
            <v>Tulare</v>
          </cell>
          <cell r="D972" t="str">
            <v>Three Rivers Union Elementary</v>
          </cell>
          <cell r="E972">
            <v>162</v>
          </cell>
          <cell r="F972">
            <v>3564</v>
          </cell>
          <cell r="G972">
            <v>1</v>
          </cell>
        </row>
        <row r="973">
          <cell r="A973" t="str">
            <v>54</v>
          </cell>
          <cell r="B973" t="str">
            <v>72215</v>
          </cell>
          <cell r="C973" t="str">
            <v>Tulare</v>
          </cell>
          <cell r="D973" t="str">
            <v>Tipton Elementary</v>
          </cell>
          <cell r="E973">
            <v>621</v>
          </cell>
          <cell r="F973">
            <v>10557</v>
          </cell>
          <cell r="G973">
            <v>1</v>
          </cell>
        </row>
        <row r="974">
          <cell r="A974" t="str">
            <v>54</v>
          </cell>
          <cell r="B974" t="str">
            <v>72223</v>
          </cell>
          <cell r="C974" t="str">
            <v>Tulare</v>
          </cell>
          <cell r="D974" t="str">
            <v>Traver Joint Elementary</v>
          </cell>
          <cell r="E974">
            <v>207</v>
          </cell>
          <cell r="F974">
            <v>3564</v>
          </cell>
          <cell r="G974">
            <v>1</v>
          </cell>
        </row>
        <row r="975">
          <cell r="A975" t="str">
            <v>54</v>
          </cell>
          <cell r="B975" t="str">
            <v>72231</v>
          </cell>
          <cell r="C975" t="str">
            <v>Tulare</v>
          </cell>
          <cell r="D975" t="str">
            <v>Tulare City Elementary</v>
          </cell>
          <cell r="E975">
            <v>8924</v>
          </cell>
          <cell r="F975">
            <v>153886</v>
          </cell>
          <cell r="G975">
            <v>15</v>
          </cell>
        </row>
        <row r="976">
          <cell r="A976" t="str">
            <v>54</v>
          </cell>
          <cell r="B976" t="str">
            <v>72249</v>
          </cell>
          <cell r="C976" t="str">
            <v>Tulare</v>
          </cell>
          <cell r="D976" t="str">
            <v>Tulare Joint Union High</v>
          </cell>
          <cell r="E976">
            <v>5022</v>
          </cell>
          <cell r="F976">
            <v>93376</v>
          </cell>
          <cell r="G976">
            <v>7</v>
          </cell>
        </row>
        <row r="977">
          <cell r="A977" t="str">
            <v>54</v>
          </cell>
          <cell r="B977" t="str">
            <v>72256</v>
          </cell>
          <cell r="C977" t="str">
            <v>Tulare</v>
          </cell>
          <cell r="D977" t="str">
            <v>Visalia Unified</v>
          </cell>
          <cell r="E977">
            <v>27035</v>
          </cell>
          <cell r="F977">
            <v>466403</v>
          </cell>
          <cell r="G977">
            <v>37</v>
          </cell>
        </row>
        <row r="978">
          <cell r="A978" t="str">
            <v>54</v>
          </cell>
          <cell r="B978" t="str">
            <v>72264</v>
          </cell>
          <cell r="C978" t="str">
            <v>Tulare</v>
          </cell>
          <cell r="D978" t="str">
            <v>Waukena Joint Union Elementary</v>
          </cell>
          <cell r="E978">
            <v>222</v>
          </cell>
          <cell r="F978">
            <v>3774</v>
          </cell>
          <cell r="G978">
            <v>1</v>
          </cell>
        </row>
        <row r="979">
          <cell r="A979" t="str">
            <v>54</v>
          </cell>
          <cell r="B979" t="str">
            <v>72272</v>
          </cell>
          <cell r="C979" t="str">
            <v>Tulare</v>
          </cell>
          <cell r="D979" t="str">
            <v>Woodlake Union Elementary</v>
          </cell>
          <cell r="E979">
            <v>1558</v>
          </cell>
          <cell r="F979">
            <v>26486</v>
          </cell>
          <cell r="G979">
            <v>3</v>
          </cell>
        </row>
        <row r="980">
          <cell r="A980" t="str">
            <v>54</v>
          </cell>
          <cell r="B980" t="str">
            <v>72280</v>
          </cell>
          <cell r="C980" t="str">
            <v>Tulare</v>
          </cell>
          <cell r="D980" t="str">
            <v>Woodlake Union High</v>
          </cell>
          <cell r="E980">
            <v>883</v>
          </cell>
          <cell r="F980">
            <v>19988</v>
          </cell>
          <cell r="G980">
            <v>3</v>
          </cell>
        </row>
        <row r="981">
          <cell r="A981" t="str">
            <v>54</v>
          </cell>
          <cell r="B981" t="str">
            <v>72298</v>
          </cell>
          <cell r="C981" t="str">
            <v>Tulare</v>
          </cell>
          <cell r="D981" t="str">
            <v>Woodville Union Elementary</v>
          </cell>
          <cell r="E981">
            <v>594</v>
          </cell>
          <cell r="F981">
            <v>10098</v>
          </cell>
          <cell r="G981">
            <v>1</v>
          </cell>
        </row>
        <row r="982">
          <cell r="A982" t="str">
            <v>54</v>
          </cell>
          <cell r="B982" t="str">
            <v>75325</v>
          </cell>
          <cell r="C982" t="str">
            <v>Tulare</v>
          </cell>
          <cell r="D982" t="str">
            <v>Farmersville Unified</v>
          </cell>
          <cell r="E982">
            <v>2561</v>
          </cell>
          <cell r="F982">
            <v>45826</v>
          </cell>
          <cell r="G982">
            <v>6</v>
          </cell>
        </row>
        <row r="983">
          <cell r="A983" t="str">
            <v>54</v>
          </cell>
          <cell r="B983" t="str">
            <v>75523</v>
          </cell>
          <cell r="C983" t="str">
            <v>Tulare</v>
          </cell>
          <cell r="D983" t="str">
            <v>Porterville Unified</v>
          </cell>
          <cell r="E983">
            <v>13392</v>
          </cell>
          <cell r="F983">
            <v>233123</v>
          </cell>
          <cell r="G983">
            <v>22</v>
          </cell>
        </row>
        <row r="984">
          <cell r="A984" t="str">
            <v>54</v>
          </cell>
          <cell r="B984" t="str">
            <v>75531</v>
          </cell>
          <cell r="C984" t="str">
            <v>Tulare</v>
          </cell>
          <cell r="D984" t="str">
            <v>Dinuba Unified</v>
          </cell>
          <cell r="E984">
            <v>5920</v>
          </cell>
          <cell r="F984">
            <v>102574</v>
          </cell>
          <cell r="G984">
            <v>10</v>
          </cell>
        </row>
        <row r="985">
          <cell r="A985" t="str">
            <v>55</v>
          </cell>
          <cell r="B985" t="str">
            <v>10553</v>
          </cell>
          <cell r="C985" t="str">
            <v>Tuolumne</v>
          </cell>
          <cell r="D985" t="str">
            <v>Tuolumne County Superintendent of Schools</v>
          </cell>
          <cell r="E985">
            <v>110</v>
          </cell>
          <cell r="F985">
            <v>10248</v>
          </cell>
          <cell r="G985">
            <v>4</v>
          </cell>
        </row>
        <row r="986">
          <cell r="A986" t="str">
            <v>55</v>
          </cell>
          <cell r="B986" t="str">
            <v>72306</v>
          </cell>
          <cell r="C986" t="str">
            <v>Tuolumne</v>
          </cell>
          <cell r="D986" t="str">
            <v>Belleview Elementary</v>
          </cell>
          <cell r="E986">
            <v>142</v>
          </cell>
          <cell r="F986">
            <v>3564</v>
          </cell>
          <cell r="G986">
            <v>1</v>
          </cell>
        </row>
        <row r="987">
          <cell r="A987" t="str">
            <v>55</v>
          </cell>
          <cell r="B987" t="str">
            <v>72330</v>
          </cell>
          <cell r="C987" t="str">
            <v>Tuolumne</v>
          </cell>
          <cell r="D987" t="str">
            <v>Chinese Camp Elementary</v>
          </cell>
          <cell r="E987">
            <v>17</v>
          </cell>
          <cell r="F987">
            <v>2228</v>
          </cell>
          <cell r="G987">
            <v>1</v>
          </cell>
        </row>
        <row r="988">
          <cell r="A988" t="str">
            <v>55</v>
          </cell>
          <cell r="B988" t="str">
            <v>72348</v>
          </cell>
          <cell r="C988" t="str">
            <v>Tuolumne</v>
          </cell>
          <cell r="D988" t="str">
            <v>Columbia Union</v>
          </cell>
          <cell r="E988">
            <v>617</v>
          </cell>
          <cell r="F988">
            <v>12683</v>
          </cell>
          <cell r="G988">
            <v>2</v>
          </cell>
        </row>
        <row r="989">
          <cell r="A989" t="str">
            <v>55</v>
          </cell>
          <cell r="B989" t="str">
            <v>72355</v>
          </cell>
          <cell r="C989" t="str">
            <v>Tuolumne</v>
          </cell>
          <cell r="D989" t="str">
            <v>Curtis Creek Elementary</v>
          </cell>
          <cell r="E989">
            <v>620</v>
          </cell>
          <cell r="F989">
            <v>13272</v>
          </cell>
          <cell r="G989">
            <v>3</v>
          </cell>
        </row>
        <row r="990">
          <cell r="A990" t="str">
            <v>55</v>
          </cell>
          <cell r="B990" t="str">
            <v>72363</v>
          </cell>
          <cell r="C990" t="str">
            <v>Tuolumne</v>
          </cell>
          <cell r="D990" t="str">
            <v>Jamestown Elementary</v>
          </cell>
          <cell r="E990">
            <v>462</v>
          </cell>
          <cell r="F990">
            <v>9980</v>
          </cell>
          <cell r="G990">
            <v>2</v>
          </cell>
        </row>
        <row r="991">
          <cell r="A991" t="str">
            <v>55</v>
          </cell>
          <cell r="B991" t="str">
            <v>72371</v>
          </cell>
          <cell r="C991" t="str">
            <v>Tuolumne</v>
          </cell>
          <cell r="D991" t="str">
            <v>Sonora Elementary</v>
          </cell>
          <cell r="E991">
            <v>765</v>
          </cell>
          <cell r="F991">
            <v>15217</v>
          </cell>
          <cell r="G991">
            <v>2</v>
          </cell>
        </row>
        <row r="992">
          <cell r="A992" t="str">
            <v>55</v>
          </cell>
          <cell r="B992" t="str">
            <v>72389</v>
          </cell>
          <cell r="C992" t="str">
            <v>Tuolumne</v>
          </cell>
          <cell r="D992" t="str">
            <v>Sonora Union High</v>
          </cell>
          <cell r="E992">
            <v>1489</v>
          </cell>
          <cell r="F992">
            <v>32290</v>
          </cell>
          <cell r="G992">
            <v>4</v>
          </cell>
        </row>
        <row r="993">
          <cell r="A993" t="str">
            <v>55</v>
          </cell>
          <cell r="B993" t="str">
            <v>72397</v>
          </cell>
          <cell r="C993" t="str">
            <v>Tuolumne</v>
          </cell>
          <cell r="D993" t="str">
            <v>Soulsbyville Elementary</v>
          </cell>
          <cell r="E993">
            <v>519</v>
          </cell>
          <cell r="F993">
            <v>13126</v>
          </cell>
          <cell r="G993">
            <v>3</v>
          </cell>
        </row>
        <row r="994">
          <cell r="A994" t="str">
            <v>55</v>
          </cell>
          <cell r="B994" t="str">
            <v>72405</v>
          </cell>
          <cell r="C994" t="str">
            <v>Tuolumne</v>
          </cell>
          <cell r="D994" t="str">
            <v>Summerville Elementary</v>
          </cell>
          <cell r="E994">
            <v>373</v>
          </cell>
          <cell r="F994">
            <v>8450</v>
          </cell>
          <cell r="G994">
            <v>2</v>
          </cell>
        </row>
        <row r="995">
          <cell r="A995" t="str">
            <v>55</v>
          </cell>
          <cell r="B995" t="str">
            <v>72413</v>
          </cell>
          <cell r="C995" t="str">
            <v>Tuolumne</v>
          </cell>
          <cell r="D995" t="str">
            <v>Summerville Union High</v>
          </cell>
          <cell r="E995">
            <v>695</v>
          </cell>
          <cell r="F995">
            <v>25194</v>
          </cell>
          <cell r="G995">
            <v>8</v>
          </cell>
        </row>
        <row r="996">
          <cell r="A996" t="str">
            <v>55</v>
          </cell>
          <cell r="B996" t="str">
            <v>72421</v>
          </cell>
          <cell r="C996" t="str">
            <v>Tuolumne</v>
          </cell>
          <cell r="D996" t="str">
            <v>Twain Harte-Long Barn Union Elementary</v>
          </cell>
          <cell r="E996">
            <v>374</v>
          </cell>
          <cell r="F996">
            <v>15148</v>
          </cell>
          <cell r="G996">
            <v>5</v>
          </cell>
        </row>
        <row r="997">
          <cell r="A997" t="str">
            <v>55</v>
          </cell>
          <cell r="B997" t="str">
            <v>75184</v>
          </cell>
          <cell r="C997" t="str">
            <v>Tuolumne</v>
          </cell>
          <cell r="D997" t="str">
            <v>Big Oak Flat-Groveland Unified</v>
          </cell>
          <cell r="E997">
            <v>460</v>
          </cell>
          <cell r="F997">
            <v>16412</v>
          </cell>
          <cell r="G997">
            <v>5</v>
          </cell>
        </row>
        <row r="998">
          <cell r="A998" t="str">
            <v>56</v>
          </cell>
          <cell r="B998" t="str">
            <v>10561</v>
          </cell>
          <cell r="C998" t="str">
            <v>Ventura</v>
          </cell>
          <cell r="D998" t="str">
            <v>Ventura County Office of Education</v>
          </cell>
          <cell r="E998">
            <v>768</v>
          </cell>
          <cell r="F998">
            <v>14608</v>
          </cell>
          <cell r="G998">
            <v>3</v>
          </cell>
        </row>
        <row r="999">
          <cell r="A999" t="str">
            <v>56</v>
          </cell>
          <cell r="B999" t="str">
            <v>72447</v>
          </cell>
          <cell r="C999" t="str">
            <v>Ventura</v>
          </cell>
          <cell r="D999" t="str">
            <v>Briggs Elementary</v>
          </cell>
          <cell r="E999">
            <v>449</v>
          </cell>
          <cell r="F999">
            <v>8205</v>
          </cell>
          <cell r="G999">
            <v>2</v>
          </cell>
        </row>
        <row r="1000">
          <cell r="A1000" t="str">
            <v>56</v>
          </cell>
          <cell r="B1000" t="str">
            <v>72454</v>
          </cell>
          <cell r="C1000" t="str">
            <v>Ventura</v>
          </cell>
          <cell r="D1000" t="str">
            <v>Fillmore Unified</v>
          </cell>
          <cell r="E1000">
            <v>3860</v>
          </cell>
          <cell r="F1000">
            <v>67996</v>
          </cell>
          <cell r="G1000">
            <v>7</v>
          </cell>
        </row>
        <row r="1001">
          <cell r="A1001" t="str">
            <v>56</v>
          </cell>
          <cell r="B1001" t="str">
            <v>72462</v>
          </cell>
          <cell r="C1001" t="str">
            <v>Ventura</v>
          </cell>
          <cell r="D1001" t="str">
            <v>Hueneme Elementary</v>
          </cell>
          <cell r="E1001">
            <v>7979</v>
          </cell>
          <cell r="F1001">
            <v>135646</v>
          </cell>
          <cell r="G1001">
            <v>11</v>
          </cell>
        </row>
        <row r="1002">
          <cell r="A1002" t="str">
            <v>56</v>
          </cell>
          <cell r="B1002" t="str">
            <v>72470</v>
          </cell>
          <cell r="C1002" t="str">
            <v>Ventura</v>
          </cell>
          <cell r="D1002" t="str">
            <v>Mesa Union Elementary</v>
          </cell>
          <cell r="E1002">
            <v>584</v>
          </cell>
          <cell r="F1002">
            <v>9928</v>
          </cell>
          <cell r="G1002">
            <v>1</v>
          </cell>
        </row>
        <row r="1003">
          <cell r="A1003" t="str">
            <v>56</v>
          </cell>
          <cell r="B1003" t="str">
            <v>72504</v>
          </cell>
          <cell r="C1003" t="str">
            <v>Ventura</v>
          </cell>
          <cell r="D1003" t="str">
            <v>Mupu Elementary</v>
          </cell>
          <cell r="E1003">
            <v>127</v>
          </cell>
          <cell r="F1003">
            <v>3564</v>
          </cell>
          <cell r="G1003">
            <v>1</v>
          </cell>
        </row>
        <row r="1004">
          <cell r="A1004" t="str">
            <v>56</v>
          </cell>
          <cell r="B1004" t="str">
            <v>72512</v>
          </cell>
          <cell r="C1004" t="str">
            <v>Ventura</v>
          </cell>
          <cell r="D1004" t="str">
            <v>Ocean View Elementary</v>
          </cell>
          <cell r="E1004">
            <v>2508</v>
          </cell>
          <cell r="F1004">
            <v>42637</v>
          </cell>
          <cell r="G1004">
            <v>4</v>
          </cell>
        </row>
        <row r="1005">
          <cell r="A1005" t="str">
            <v>56</v>
          </cell>
          <cell r="B1005" t="str">
            <v>72520</v>
          </cell>
          <cell r="C1005" t="str">
            <v>Ventura</v>
          </cell>
          <cell r="D1005" t="str">
            <v>Ojai Unified</v>
          </cell>
          <cell r="E1005">
            <v>3089</v>
          </cell>
          <cell r="F1005">
            <v>58412</v>
          </cell>
          <cell r="G1005">
            <v>8</v>
          </cell>
        </row>
        <row r="1006">
          <cell r="A1006" t="str">
            <v>56</v>
          </cell>
          <cell r="B1006" t="str">
            <v>72538</v>
          </cell>
          <cell r="C1006" t="str">
            <v>Ventura</v>
          </cell>
          <cell r="D1006" t="str">
            <v>Oxnard Elementary</v>
          </cell>
          <cell r="E1006">
            <v>15400</v>
          </cell>
          <cell r="F1006">
            <v>266992</v>
          </cell>
          <cell r="G1006">
            <v>21</v>
          </cell>
        </row>
        <row r="1007">
          <cell r="A1007" t="str">
            <v>56</v>
          </cell>
          <cell r="B1007" t="str">
            <v>72546</v>
          </cell>
          <cell r="C1007" t="str">
            <v>Ventura</v>
          </cell>
          <cell r="D1007" t="str">
            <v>Oxnard Union High</v>
          </cell>
          <cell r="E1007">
            <v>16442</v>
          </cell>
          <cell r="F1007">
            <v>281474</v>
          </cell>
          <cell r="G1007">
            <v>8</v>
          </cell>
        </row>
        <row r="1008">
          <cell r="A1008" t="str">
            <v>56</v>
          </cell>
          <cell r="B1008" t="str">
            <v>72553</v>
          </cell>
          <cell r="C1008" t="str">
            <v>Ventura</v>
          </cell>
          <cell r="D1008" t="str">
            <v>Pleasant Valley</v>
          </cell>
          <cell r="E1008">
            <v>6647</v>
          </cell>
          <cell r="F1008">
            <v>113001</v>
          </cell>
          <cell r="G1008">
            <v>11</v>
          </cell>
        </row>
        <row r="1009">
          <cell r="A1009" t="str">
            <v>56</v>
          </cell>
          <cell r="B1009" t="str">
            <v>72561</v>
          </cell>
          <cell r="C1009" t="str">
            <v>Ventura</v>
          </cell>
          <cell r="D1009" t="str">
            <v>Rio Elementary</v>
          </cell>
          <cell r="E1009">
            <v>4297</v>
          </cell>
          <cell r="F1009">
            <v>75209</v>
          </cell>
          <cell r="G1009">
            <v>9</v>
          </cell>
        </row>
        <row r="1010">
          <cell r="A1010" t="str">
            <v>56</v>
          </cell>
          <cell r="B1010" t="str">
            <v>72579</v>
          </cell>
          <cell r="C1010" t="str">
            <v>Ventura</v>
          </cell>
          <cell r="D1010" t="str">
            <v>Santa Clara Elementary</v>
          </cell>
          <cell r="E1010">
            <v>55</v>
          </cell>
          <cell r="F1010">
            <v>3564</v>
          </cell>
          <cell r="G1010">
            <v>1</v>
          </cell>
        </row>
        <row r="1011">
          <cell r="A1011" t="str">
            <v>56</v>
          </cell>
          <cell r="B1011" t="str">
            <v>72587</v>
          </cell>
          <cell r="C1011" t="str">
            <v>Ventura</v>
          </cell>
          <cell r="D1011" t="str">
            <v>Santa Paula Elementary</v>
          </cell>
          <cell r="E1011">
            <v>3712</v>
          </cell>
          <cell r="F1011">
            <v>63105</v>
          </cell>
          <cell r="G1011">
            <v>7</v>
          </cell>
        </row>
        <row r="1012">
          <cell r="A1012" t="str">
            <v>56</v>
          </cell>
          <cell r="B1012" t="str">
            <v>72595</v>
          </cell>
          <cell r="C1012" t="str">
            <v>Ventura</v>
          </cell>
          <cell r="D1012" t="str">
            <v>Santa Paula Union High</v>
          </cell>
          <cell r="E1012">
            <v>1645</v>
          </cell>
          <cell r="F1012">
            <v>29541</v>
          </cell>
          <cell r="G1012">
            <v>2</v>
          </cell>
        </row>
        <row r="1013">
          <cell r="A1013" t="str">
            <v>56</v>
          </cell>
          <cell r="B1013" t="str">
            <v>72603</v>
          </cell>
          <cell r="C1013" t="str">
            <v>Ventura</v>
          </cell>
          <cell r="D1013" t="str">
            <v>Simi Valley Unified</v>
          </cell>
          <cell r="E1013">
            <v>20819</v>
          </cell>
          <cell r="F1013">
            <v>354146</v>
          </cell>
          <cell r="G1013">
            <v>29</v>
          </cell>
        </row>
        <row r="1014">
          <cell r="A1014" t="str">
            <v>56</v>
          </cell>
          <cell r="B1014" t="str">
            <v>72611</v>
          </cell>
          <cell r="C1014" t="str">
            <v>Ventura</v>
          </cell>
          <cell r="D1014" t="str">
            <v>Somis Union</v>
          </cell>
          <cell r="E1014">
            <v>309</v>
          </cell>
          <cell r="F1014">
            <v>5253</v>
          </cell>
          <cell r="G1014">
            <v>1</v>
          </cell>
        </row>
        <row r="1015">
          <cell r="A1015" t="str">
            <v>56</v>
          </cell>
          <cell r="B1015" t="str">
            <v>72652</v>
          </cell>
          <cell r="C1015" t="str">
            <v>Ventura</v>
          </cell>
          <cell r="D1015" t="str">
            <v>Ventura Unified</v>
          </cell>
          <cell r="E1015">
            <v>17350</v>
          </cell>
          <cell r="F1015">
            <v>308330</v>
          </cell>
          <cell r="G1015">
            <v>31</v>
          </cell>
        </row>
        <row r="1016">
          <cell r="A1016" t="str">
            <v>56</v>
          </cell>
          <cell r="B1016" t="str">
            <v>73759</v>
          </cell>
          <cell r="C1016" t="str">
            <v>Ventura</v>
          </cell>
          <cell r="D1016" t="str">
            <v>Conejo Valley Unified</v>
          </cell>
          <cell r="E1016">
            <v>21643</v>
          </cell>
          <cell r="F1016">
            <v>370911</v>
          </cell>
          <cell r="G1016">
            <v>29</v>
          </cell>
        </row>
        <row r="1017">
          <cell r="A1017" t="str">
            <v>56</v>
          </cell>
          <cell r="B1017" t="str">
            <v>73874</v>
          </cell>
          <cell r="C1017" t="str">
            <v>Ventura</v>
          </cell>
          <cell r="D1017" t="str">
            <v>Oak Park Unified</v>
          </cell>
          <cell r="E1017">
            <v>3619</v>
          </cell>
          <cell r="F1017">
            <v>66103</v>
          </cell>
          <cell r="G1017">
            <v>7</v>
          </cell>
        </row>
        <row r="1018">
          <cell r="A1018" t="str">
            <v>56</v>
          </cell>
          <cell r="B1018" t="str">
            <v>73940</v>
          </cell>
          <cell r="C1018" t="str">
            <v>Ventura</v>
          </cell>
          <cell r="D1018" t="str">
            <v>Moorpark Unified</v>
          </cell>
          <cell r="E1018">
            <v>7324</v>
          </cell>
          <cell r="F1018">
            <v>127152</v>
          </cell>
          <cell r="G1018">
            <v>11</v>
          </cell>
        </row>
        <row r="1019">
          <cell r="A1019" t="str">
            <v>57</v>
          </cell>
          <cell r="B1019" t="str">
            <v>10579</v>
          </cell>
          <cell r="C1019" t="str">
            <v>Yolo</v>
          </cell>
          <cell r="D1019" t="str">
            <v>Yolo County Office of Education</v>
          </cell>
          <cell r="E1019">
            <v>319</v>
          </cell>
          <cell r="F1019">
            <v>14256</v>
          </cell>
          <cell r="G1019">
            <v>4</v>
          </cell>
        </row>
        <row r="1020">
          <cell r="A1020" t="str">
            <v>57</v>
          </cell>
          <cell r="B1020" t="str">
            <v>72678</v>
          </cell>
          <cell r="C1020" t="str">
            <v>Yolo</v>
          </cell>
          <cell r="D1020" t="str">
            <v>Davis Joint Unified</v>
          </cell>
          <cell r="E1020">
            <v>8536</v>
          </cell>
          <cell r="F1020">
            <v>151165</v>
          </cell>
          <cell r="G1020">
            <v>16</v>
          </cell>
        </row>
        <row r="1021">
          <cell r="A1021" t="str">
            <v>57</v>
          </cell>
          <cell r="B1021" t="str">
            <v>72686</v>
          </cell>
          <cell r="C1021" t="str">
            <v>Yolo</v>
          </cell>
          <cell r="D1021" t="str">
            <v>Esparto Unified</v>
          </cell>
          <cell r="E1021">
            <v>1087</v>
          </cell>
          <cell r="F1021">
            <v>21601</v>
          </cell>
          <cell r="G1021">
            <v>4</v>
          </cell>
        </row>
        <row r="1022">
          <cell r="A1022" t="str">
            <v>57</v>
          </cell>
          <cell r="B1022" t="str">
            <v>72694</v>
          </cell>
          <cell r="C1022" t="str">
            <v>Yolo</v>
          </cell>
          <cell r="D1022" t="str">
            <v>Washington Unified</v>
          </cell>
          <cell r="E1022">
            <v>7164</v>
          </cell>
          <cell r="F1022">
            <v>124398</v>
          </cell>
          <cell r="G1022">
            <v>11</v>
          </cell>
        </row>
        <row r="1023">
          <cell r="A1023" t="str">
            <v>57</v>
          </cell>
          <cell r="B1023" t="str">
            <v>72702</v>
          </cell>
          <cell r="C1023" t="str">
            <v>Yolo</v>
          </cell>
          <cell r="D1023" t="str">
            <v>Winters Joint Unified</v>
          </cell>
          <cell r="E1023">
            <v>1716</v>
          </cell>
          <cell r="F1023">
            <v>31818</v>
          </cell>
          <cell r="G1023">
            <v>5</v>
          </cell>
        </row>
        <row r="1024">
          <cell r="A1024" t="str">
            <v>57</v>
          </cell>
          <cell r="B1024" t="str">
            <v>72710</v>
          </cell>
          <cell r="C1024" t="str">
            <v>Yolo</v>
          </cell>
          <cell r="D1024" t="str">
            <v>Woodland Joint Unified</v>
          </cell>
          <cell r="E1024">
            <v>10573</v>
          </cell>
          <cell r="F1024">
            <v>186026</v>
          </cell>
          <cell r="G1024">
            <v>19</v>
          </cell>
        </row>
        <row r="1025">
          <cell r="A1025" t="str">
            <v>58</v>
          </cell>
          <cell r="B1025" t="str">
            <v>10587</v>
          </cell>
          <cell r="C1025" t="str">
            <v>Yuba</v>
          </cell>
          <cell r="D1025" t="str">
            <v>Yuba County Office of Education</v>
          </cell>
          <cell r="E1025">
            <v>635</v>
          </cell>
          <cell r="F1025">
            <v>19550</v>
          </cell>
          <cell r="G1025">
            <v>5</v>
          </cell>
        </row>
        <row r="1026">
          <cell r="A1026" t="str">
            <v>58</v>
          </cell>
          <cell r="B1026" t="str">
            <v>72728</v>
          </cell>
          <cell r="C1026" t="str">
            <v>Yuba</v>
          </cell>
          <cell r="D1026" t="str">
            <v>Camptonville Elementary</v>
          </cell>
          <cell r="E1026">
            <v>51</v>
          </cell>
          <cell r="F1026">
            <v>3564</v>
          </cell>
          <cell r="G1026">
            <v>1</v>
          </cell>
        </row>
        <row r="1027">
          <cell r="A1027" t="str">
            <v>58</v>
          </cell>
          <cell r="B1027" t="str">
            <v>72736</v>
          </cell>
          <cell r="C1027" t="str">
            <v>Yuba</v>
          </cell>
          <cell r="D1027" t="str">
            <v>Marysville Joint Unified</v>
          </cell>
          <cell r="E1027">
            <v>10087</v>
          </cell>
          <cell r="F1027">
            <v>187120</v>
          </cell>
          <cell r="G1027">
            <v>24</v>
          </cell>
        </row>
        <row r="1028">
          <cell r="A1028" t="str">
            <v>58</v>
          </cell>
          <cell r="B1028" t="str">
            <v>72744</v>
          </cell>
          <cell r="C1028" t="str">
            <v>Yuba</v>
          </cell>
          <cell r="D1028" t="str">
            <v>Plumas Lake Elementary</v>
          </cell>
          <cell r="E1028">
            <v>991</v>
          </cell>
          <cell r="F1028">
            <v>18871</v>
          </cell>
          <cell r="G1028">
            <v>4</v>
          </cell>
        </row>
        <row r="1029">
          <cell r="A1029" t="str">
            <v>58</v>
          </cell>
          <cell r="B1029" t="str">
            <v>72751</v>
          </cell>
          <cell r="C1029" t="str">
            <v>Yuba</v>
          </cell>
          <cell r="D1029" t="str">
            <v>Wheatland</v>
          </cell>
          <cell r="E1029">
            <v>1439</v>
          </cell>
          <cell r="F1029">
            <v>25749</v>
          </cell>
          <cell r="G1029">
            <v>4</v>
          </cell>
        </row>
        <row r="1030">
          <cell r="A1030" t="str">
            <v>58</v>
          </cell>
          <cell r="B1030" t="str">
            <v>72769</v>
          </cell>
          <cell r="C1030" t="str">
            <v>Yuba</v>
          </cell>
          <cell r="D1030" t="str">
            <v>Wheatland Union High</v>
          </cell>
          <cell r="E1030">
            <v>785</v>
          </cell>
          <cell r="F1030">
            <v>16280</v>
          </cell>
          <cell r="G1030">
            <v>2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REQUEST"/>
      <sheetName val="Petition Exhibits"/>
      <sheetName val="FY18-19"/>
      <sheetName val="Multi-Year"/>
      <sheetName val="PPT Widgets"/>
      <sheetName val="FY19-20"/>
      <sheetName val="Data"/>
      <sheetName val="FY20-21"/>
      <sheetName val="FY21-22"/>
      <sheetName val="FY22-23"/>
      <sheetName val="FY23-24"/>
      <sheetName val="Revenue Inputs"/>
      <sheetName val="Revenue DO"/>
      <sheetName val="LCFF"/>
      <sheetName val="Expense Details"/>
      <sheetName val="Payroll 19-20"/>
      <sheetName val="Payroll 20-21"/>
      <sheetName val="Payroll 21-22"/>
      <sheetName val="Payroll 22-23"/>
      <sheetName val="Payroll 23-24"/>
      <sheetName val="Import"/>
      <sheetName val="Original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6">
          <cell r="D56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IClerk4" id="{151415F6-720B-4EF2-B6C9-A38989C48AF0}" userId="CIClerk4" providerId="None"/>
  <person displayName="Clerk4 CIPR" id="{DEB28534-FBE6-401E-8F23-4E67E76A1DB5}" userId="Clerk4 CIPR" providerId="None"/>
  <person displayName="Heather Jane Lim" id="{B0DBBD5D-D7D4-4F8A-BC9D-BE512766D950}" userId="4051a2d6670705f7" providerId="Windows Live"/>
  <person displayName="Matt Ott" id="{8EB85196-4C9C-4E59-9C08-91E8D5F0AB15}" userId="S-1-5-21-2667039273-728286559-3449925428-1119" providerId="AD"/>
  <person displayName="Waseem Akhtar" id="{CFE01BFE-FB8A-442F-9D23-67C4CECF66B0}" userId="S-1-5-21-2667039273-728286559-3449925428-1223" providerId="AD"/>
  <person displayName="Kevin Foti" id="{E7968CC4-634E-4034-B408-C9EF35775D02}" userId="S-1-5-21-2667039273-728286559-3449925428-1296" providerId="AD"/>
  <person displayName="CIClerk1" id="{BEE276C3-9469-4556-A2AB-C967036B40C1}" userId="S::ciclerk1@charterimpactinc.onmicrosoft.com::34471366-fd44-45d8-b8f5-c55163cedda1" providerId="AD"/>
  <person displayName="Clerk4 CIPR" id="{D09F20FE-EAAA-42C2-A7B6-15F3EDB67370}" userId="S::ciprclerk4@charterimpactinc.onmicrosoft.com::1cb686bc-4c97-4fff-bd43-bb068b30f98c" providerId="AD"/>
</personList>
</file>

<file path=xl/theme/theme1.xml><?xml version="1.0" encoding="utf-8"?>
<a:theme xmlns:a="http://schemas.openxmlformats.org/drawingml/2006/main" name="Office Theme">
  <a:themeElements>
    <a:clrScheme name="Executive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19-03-31T23:47:07.37" personId="{E7968CC4-634E-4034-B408-C9EF35775D02}" id="{CBCFCC61-872A-44A8-99B4-C64752DECD9D}">
    <text>Added this for check and review can be removed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21" dT="2020-07-17T15:49:39.33" personId="{D09F20FE-EAAA-42C2-A7B6-15F3EDB67370}" id="{BE8F1277-48DF-493A-BD8B-668DF19C5189}">
    <text>New Charters don't receievd Fed SPED their 1st year</text>
  </threadedComment>
  <threadedComment ref="O56" dT="2020-06-10T17:46:53.58" personId="{D09F20FE-EAAA-42C2-A7B6-15F3EDB67370}" id="{470A876E-A458-42F5-B107-A17C06C50FCE}">
    <text>Moved Jennie Fazio from MV to GM for FY20</text>
  </threadedComment>
  <threadedComment ref="P60" dT="2020-07-17T16:03:52.32" personId="{D09F20FE-EAAA-42C2-A7B6-15F3EDB67370}" id="{CCB4063A-CA5E-4635-9B2C-2859CC175D2F}">
    <text>New Hire: 06/08/20 David Beran</text>
  </threadedComment>
  <threadedComment ref="E64" dT="2019-08-16T15:48:50.40" personId="{CFE01BFE-FB8A-442F-9D23-67C4CECF66B0}" id="{A7297B89-56F5-42F5-BB37-0E6503F91D90}">
    <text>Employee Moved from DO,coded to 2100 in DO</text>
  </threadedComment>
  <threadedComment ref="M75" dT="2020-04-07T05:58:01.74" personId="{BEE276C3-9469-4556-A2AB-C967036B40C1}" id="{45F94929-9CDE-4476-8925-4545962CCFBB}">
    <text>No Payment Made</text>
  </threadedComment>
  <threadedComment ref="P75" dT="2020-07-16T23:21:57.31" personId="{151415F6-720B-4EF2-B6C9-A38989C48AF0}" id="{4065F1FD-8631-4EF9-9EB6-4A85CA68B513}">
    <text>March/April not paid</text>
  </threadedComment>
  <threadedComment ref="G83" dT="2019-10-09T22:39:32.18" personId="{D09F20FE-EAAA-42C2-A7B6-15F3EDB67370}" id="{46514829-C433-44A7-B427-C3B066B8F596}">
    <text>CA Impact Academy $60k</text>
  </threadedComment>
  <threadedComment ref="O84" dT="2020-06-10T17:48:24.09" personId="{D09F20FE-EAAA-42C2-A7B6-15F3EDB67370}" id="{8C429E68-BE40-4A0D-A3A6-584782193CD7}">
    <text>Procurify invoice - 12 licenses</text>
  </threadedComment>
  <threadedComment ref="K85" dT="2020-02-12T21:16:30.78" personId="{B0DBBD5D-D7D4-4F8A-BC9D-BE512766D950}" id="{F28ABC75-B917-423E-8F91-6B3A57D33D84}">
    <text>large Divvy Refund 01/20</text>
  </threadedComment>
  <threadedComment ref="J88" dT="2020-01-18T00:25:53.88" personId="{8EB85196-4C9C-4E59-9C08-91E8D5F0AB15}" id="{A734E446-A27B-4F93-B94F-C8BF660004E9}">
    <text>Apple - Divvy</text>
  </threadedComment>
  <threadedComment ref="I93" dT="2019-12-16T20:14:09.94" personId="{8EB85196-4C9C-4E59-9C08-91E8D5F0AB15}" id="{A81FFC0F-0611-4A45-AF77-072E61FA0F88}">
    <text>$119k Global Therapy Aug19-Oct19</text>
  </threadedComment>
  <threadedComment ref="G98" dT="2019-10-09T22:15:24.57" personId="{D09F20FE-EAAA-42C2-A7B6-15F3EDB67370}" id="{6471EB7E-1DDA-4453-BB6C-D065F4A3E71D}">
    <text>Jul-Sep</text>
  </threadedComment>
  <threadedComment ref="P98" dT="2020-07-16T23:22:08.36" personId="{151415F6-720B-4EF2-B6C9-A38989C48AF0}" id="{CF789960-E731-4D3B-8EF2-DB2536EB861D}">
    <text>May fee reversed</text>
  </threadedComment>
  <threadedComment ref="N103" dT="2020-05-09T00:03:17.17" personId="{D09F20FE-EAAA-42C2-A7B6-15F3EDB67370}" id="{B6E2E5D5-2E31-4484-9465-CB7F157652B3}">
    <text>March/April</text>
  </threadedComment>
  <threadedComment ref="H112" dT="2019-11-14T00:09:18.02" personId="{D09F20FE-EAAA-42C2-A7B6-15F3EDB67370}" id="{FC8E87B3-B7FB-48F1-97DF-E6513CEEDB21}">
    <text>07/19 - 10/19 Rent</text>
  </threadedComment>
  <threadedComment ref="I112" dT="2019-12-16T20:03:13.73" personId="{8EB85196-4C9C-4E59-9C08-91E8D5F0AB15}" id="{46E38BD3-F793-407D-AF47-C92F2F599A11}">
    <text>November should be last month for both leases</text>
  </threadedComment>
  <threadedComment ref="P112" dT="2020-07-17T16:12:10.73" personId="{D09F20FE-EAAA-42C2-A7B6-15F3EDB67370}" id="{5D060B81-7D73-4857-84CE-A64A10E00C23}">
    <text>Dance Unlimited Refund</text>
  </threadedComment>
  <threadedComment ref="N115" dT="2020-05-08T16:33:46.87" personId="{DEB28534-FBE6-401E-8F23-4E67E76A1DB5}" id="{AED307BE-6BF1-4D9F-B59A-0B55FF9DEA1B}">
    <text>Facility Rental Refund</text>
  </threadedComment>
  <threadedComment ref="O115" dT="2020-06-10T17:48:57.42" personId="{D09F20FE-EAAA-42C2-A7B6-15F3EDB67370}" id="{1636B302-429A-4606-8C34-469C89725929}">
    <text>Facility rent refund</text>
  </threadedComment>
  <threadedComment ref="P115" dT="2020-07-17T16:11:33.62" personId="{D09F20FE-EAAA-42C2-A7B6-15F3EDB67370}" id="{4C63D92E-AFD0-439C-BB64-79C7AB8DAB0A}">
    <text>Spring Valley Lake Country Club refund</text>
  </threadedComment>
  <threadedComment ref="K117" dT="2020-02-12T21:30:43.00" personId="{B0DBBD5D-D7D4-4F8A-BC9D-BE512766D950}" id="{B846E7C9-E25E-47A4-A0CC-2E477116AA39}">
    <text>PCSGP - Mobile Classroom Transport</text>
  </threadedComment>
  <threadedComment ref="K123" dT="2020-02-19T20:12:23.97" personId="{8EB85196-4C9C-4E59-9C08-91E8D5F0AB15}" id="{11D1C620-F8D6-4FA3-9E5A-3C0D3916002F}">
    <text>CSDC</text>
  </threadedComment>
  <threadedComment ref="O125" dT="2020-06-10T17:49:41.67" personId="{D09F20FE-EAAA-42C2-A7B6-15F3EDB67370}" id="{25680242-9B2A-4161-863D-D2DFB7FA9B24}">
    <text>RCLS SD Zoo (Z-Web RBO divvy charges)</text>
  </threadedComment>
  <threadedComment ref="L128" dT="2020-03-12T05:47:50.38" personId="{BEE276C3-9469-4556-A2AB-C967036B40C1}" id="{2B63D616-8343-4C5F-B47B-ED7517CE0439}">
    <text>STRS P&amp;I</text>
  </threadedComment>
  <threadedComment ref="G130" dT="2019-10-09T22:17:11.90" personId="{D09F20FE-EAAA-42C2-A7B6-15F3EDB67370}" id="{B3148ED2-430B-4F96-9BF2-8EA4257B5BA7}">
    <text>Jul-Sep</text>
  </threadedComment>
  <threadedComment ref="H131" dT="2019-11-14T00:11:10.67" personId="{D09F20FE-EAAA-42C2-A7B6-15F3EDB67370}" id="{374C03CF-D9A6-486C-BFEF-E837A71370A6}">
    <text>Advance 3% - F/Y 2019/2020</text>
  </threadedComment>
  <threadedComment ref="O131" dT="2020-06-10T18:20:56.16" personId="{D09F20FE-EAAA-42C2-A7B6-15F3EDB67370}" id="{16BEF32D-823C-4A08-8700-82EA0693ACAE}">
    <text>FY1920 fee - 3%</text>
  </threadedComment>
  <threadedComment ref="M153" dT="2020-04-07T06:01:17.66" personId="{BEE276C3-9469-4556-A2AB-C967036B40C1}" id="{24B546FA-AE8D-42A5-9202-9CF768690278}">
    <text>Factoring paid in full</text>
  </threadedComment>
  <threadedComment ref="K155" dT="2020-02-12T21:31:09.29" personId="{B0DBBD5D-D7D4-4F8A-BC9D-BE512766D950}" id="{C05709EB-2D4C-4F99-84AB-18B937741031}">
    <text>Divvy Payment</text>
  </threadedComment>
  <threadedComment ref="G164" dT="2019-10-09T23:36:48.17" personId="{D09F20FE-EAAA-42C2-A7B6-15F3EDB67370}" id="{1AA6B94F-9415-46FF-94A4-D4F8C0BF214F}">
    <text>Ties to RSU 09/30/19</text>
  </threadedComment>
  <threadedComment ref="J164" dT="2020-01-21T19:42:09.12" personId="{8EB85196-4C9C-4E59-9C08-91E8D5F0AB15}" id="{AAF521AC-CDCC-407D-BF57-302BD2B80D50}">
    <text>Feb20 &amp; Mar20 LCFF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2.bin"/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12.bin"/><Relationship Id="rId5" Type="http://schemas.openxmlformats.org/officeDocument/2006/relationships/drawing" Target="../drawings/drawing11.xml"/><Relationship Id="rId4" Type="http://schemas.openxmlformats.org/officeDocument/2006/relationships/customProperty" Target="../customProperty3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5.bin"/><Relationship Id="rId2" Type="http://schemas.openxmlformats.org/officeDocument/2006/relationships/customProperty" Target="../customProperty34.bin"/><Relationship Id="rId1" Type="http://schemas.openxmlformats.org/officeDocument/2006/relationships/printerSettings" Target="../printerSettings/printerSettings13.bin"/><Relationship Id="rId5" Type="http://schemas.openxmlformats.org/officeDocument/2006/relationships/drawing" Target="../drawings/drawing12.xml"/><Relationship Id="rId4" Type="http://schemas.openxmlformats.org/officeDocument/2006/relationships/customProperty" Target="../customProperty3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customProperty" Target="../customProperty3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8.bin"/><Relationship Id="rId2" Type="http://schemas.openxmlformats.org/officeDocument/2006/relationships/customProperty" Target="../customProperty37.bin"/><Relationship Id="rId1" Type="http://schemas.openxmlformats.org/officeDocument/2006/relationships/printerSettings" Target="../printerSettings/printerSettings20.bin"/><Relationship Id="rId4" Type="http://schemas.openxmlformats.org/officeDocument/2006/relationships/customProperty" Target="../customProperty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customProperty" Target="../customProperty5.bin"/><Relationship Id="rId7" Type="http://schemas.openxmlformats.org/officeDocument/2006/relationships/comments" Target="../comments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customProperty" Target="../customProperty8.bin"/><Relationship Id="rId7" Type="http://schemas.openxmlformats.org/officeDocument/2006/relationships/customProperty" Target="../customProperty12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11.bin"/><Relationship Id="rId5" Type="http://schemas.openxmlformats.org/officeDocument/2006/relationships/customProperty" Target="../customProperty10.bin"/><Relationship Id="rId4" Type="http://schemas.openxmlformats.org/officeDocument/2006/relationships/customProperty" Target="../customProperty9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customProperty" Target="../customProperty14.bin"/><Relationship Id="rId7" Type="http://schemas.openxmlformats.org/officeDocument/2006/relationships/customProperty" Target="../customProperty18.bin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6.bin"/><Relationship Id="rId6" Type="http://schemas.openxmlformats.org/officeDocument/2006/relationships/customProperty" Target="../customProperty17.bin"/><Relationship Id="rId11" Type="http://schemas.microsoft.com/office/2017/10/relationships/threadedComment" Target="../threadedComments/threadedComment2.xml"/><Relationship Id="rId5" Type="http://schemas.openxmlformats.org/officeDocument/2006/relationships/customProperty" Target="../customProperty16.bin"/><Relationship Id="rId10" Type="http://schemas.openxmlformats.org/officeDocument/2006/relationships/comments" Target="../comments2.xml"/><Relationship Id="rId4" Type="http://schemas.openxmlformats.org/officeDocument/2006/relationships/customProperty" Target="../customProperty15.bin"/><Relationship Id="rId9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0.bin"/><Relationship Id="rId7" Type="http://schemas.openxmlformats.org/officeDocument/2006/relationships/customProperty" Target="../customProperty24.bin"/><Relationship Id="rId2" Type="http://schemas.openxmlformats.org/officeDocument/2006/relationships/customProperty" Target="../customProperty19.bin"/><Relationship Id="rId1" Type="http://schemas.openxmlformats.org/officeDocument/2006/relationships/printerSettings" Target="../printerSettings/printerSettings7.bin"/><Relationship Id="rId6" Type="http://schemas.openxmlformats.org/officeDocument/2006/relationships/customProperty" Target="../customProperty23.bin"/><Relationship Id="rId5" Type="http://schemas.openxmlformats.org/officeDocument/2006/relationships/customProperty" Target="../customProperty22.bin"/><Relationship Id="rId4" Type="http://schemas.openxmlformats.org/officeDocument/2006/relationships/customProperty" Target="../customProperty2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customProperty" Target="../customProperty26.bin"/><Relationship Id="rId7" Type="http://schemas.openxmlformats.org/officeDocument/2006/relationships/customProperty" Target="../customProperty30.bin"/><Relationship Id="rId2" Type="http://schemas.openxmlformats.org/officeDocument/2006/relationships/customProperty" Target="../customProperty25.bin"/><Relationship Id="rId1" Type="http://schemas.openxmlformats.org/officeDocument/2006/relationships/printerSettings" Target="../printerSettings/printerSettings8.bin"/><Relationship Id="rId6" Type="http://schemas.openxmlformats.org/officeDocument/2006/relationships/customProperty" Target="../customProperty29.bin"/><Relationship Id="rId5" Type="http://schemas.openxmlformats.org/officeDocument/2006/relationships/customProperty" Target="../customProperty28.bin"/><Relationship Id="rId10" Type="http://schemas.openxmlformats.org/officeDocument/2006/relationships/comments" Target="../comments3.xml"/><Relationship Id="rId4" Type="http://schemas.openxmlformats.org/officeDocument/2006/relationships/customProperty" Target="../customProperty27.bin"/><Relationship Id="rId9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058C0-5299-4710-AEA4-E1C84FB370E5}">
  <sheetPr>
    <tabColor rgb="FFFFFF00"/>
  </sheetPr>
  <dimension ref="B1:T27"/>
  <sheetViews>
    <sheetView view="pageBreakPreview" zoomScale="60" zoomScaleNormal="115" workbookViewId="0">
      <selection activeCell="F42" sqref="F42"/>
    </sheetView>
  </sheetViews>
  <sheetFormatPr baseColWidth="10" defaultColWidth="9.5" defaultRowHeight="15"/>
  <cols>
    <col min="2" max="2" width="33.5" customWidth="1"/>
    <col min="3" max="3" width="12.33203125" bestFit="1" customWidth="1"/>
    <col min="4" max="4" width="11.5" bestFit="1" customWidth="1"/>
    <col min="5" max="11" width="12.5" customWidth="1"/>
    <col min="12" max="13" width="12.5" bestFit="1" customWidth="1"/>
    <col min="14" max="14" width="11.5" bestFit="1" customWidth="1"/>
    <col min="15" max="15" width="14.5" customWidth="1"/>
    <col min="16" max="16" width="12.5" bestFit="1" customWidth="1"/>
    <col min="17" max="17" width="11.5" bestFit="1" customWidth="1"/>
  </cols>
  <sheetData>
    <row r="1" spans="2:17">
      <c r="B1" t="s">
        <v>584</v>
      </c>
    </row>
    <row r="3" spans="2:17">
      <c r="B3" s="891" t="s">
        <v>585</v>
      </c>
      <c r="C3" s="892" t="s">
        <v>567</v>
      </c>
      <c r="D3" s="892" t="s">
        <v>568</v>
      </c>
      <c r="E3" s="892" t="s">
        <v>569</v>
      </c>
      <c r="F3" s="892" t="s">
        <v>570</v>
      </c>
      <c r="G3" s="892" t="s">
        <v>571</v>
      </c>
      <c r="H3" s="892" t="s">
        <v>572</v>
      </c>
      <c r="I3" s="892" t="s">
        <v>573</v>
      </c>
      <c r="J3" s="892" t="s">
        <v>574</v>
      </c>
      <c r="K3" s="892" t="s">
        <v>575</v>
      </c>
      <c r="L3" s="892" t="s">
        <v>576</v>
      </c>
      <c r="M3" s="892" t="s">
        <v>577</v>
      </c>
      <c r="N3" s="892" t="s">
        <v>578</v>
      </c>
      <c r="O3" s="893" t="s">
        <v>534</v>
      </c>
    </row>
    <row r="4" spans="2:17">
      <c r="B4" s="894" t="s">
        <v>255</v>
      </c>
      <c r="C4" s="895">
        <f>'FY19-20'!$S$19/12</f>
        <v>2409623.4166666665</v>
      </c>
      <c r="D4" s="895">
        <f>'FY19-20'!$S$19/12</f>
        <v>2409623.4166666665</v>
      </c>
      <c r="E4" s="895">
        <f>'FY19-20'!$S$19/12</f>
        <v>2409623.4166666665</v>
      </c>
      <c r="F4" s="895">
        <f>'FY19-20'!$S$19/12</f>
        <v>2409623.4166666665</v>
      </c>
      <c r="G4" s="895">
        <f>'FY19-20'!$S$19/12</f>
        <v>2409623.4166666665</v>
      </c>
      <c r="H4" s="895">
        <f>'FY19-20'!$S$19/12</f>
        <v>2409623.4166666665</v>
      </c>
      <c r="I4" s="895">
        <f>'FY19-20'!$S$19/12</f>
        <v>2409623.4166666665</v>
      </c>
      <c r="J4" s="895">
        <f>'FY19-20'!$S$19/12</f>
        <v>2409623.4166666665</v>
      </c>
      <c r="K4" s="895">
        <f>'FY19-20'!$S$19/12</f>
        <v>2409623.4166666665</v>
      </c>
      <c r="L4" s="895">
        <f>'FY19-20'!$S$19/12</f>
        <v>2409623.4166666665</v>
      </c>
      <c r="M4" s="895">
        <f>'FY19-20'!$S$19/12</f>
        <v>2409623.4166666665</v>
      </c>
      <c r="N4" s="895">
        <f>'FY19-20'!$S$19/12</f>
        <v>2409623.4166666665</v>
      </c>
      <c r="O4" s="896">
        <f>SUM(C4:N4)</f>
        <v>28915481.000000004</v>
      </c>
      <c r="P4" s="897"/>
    </row>
    <row r="5" spans="2:17">
      <c r="B5" s="898" t="s">
        <v>282</v>
      </c>
      <c r="C5" s="895">
        <f>'FY19-20'!$S$31/12</f>
        <v>16481.946666666667</v>
      </c>
      <c r="D5" s="895">
        <f>'FY19-20'!$S$31/12</f>
        <v>16481.946666666667</v>
      </c>
      <c r="E5" s="895">
        <f>'FY19-20'!$S$31/12</f>
        <v>16481.946666666667</v>
      </c>
      <c r="F5" s="895">
        <f>'FY19-20'!$S$31/12</f>
        <v>16481.946666666667</v>
      </c>
      <c r="G5" s="895">
        <f>'FY19-20'!$S$31/12</f>
        <v>16481.946666666667</v>
      </c>
      <c r="H5" s="895">
        <f>'FY19-20'!$S$31/12</f>
        <v>16481.946666666667</v>
      </c>
      <c r="I5" s="895">
        <f>'FY19-20'!$S$31/12</f>
        <v>16481.946666666667</v>
      </c>
      <c r="J5" s="895">
        <f>'FY19-20'!$S$31/12</f>
        <v>16481.946666666667</v>
      </c>
      <c r="K5" s="895">
        <f>'FY19-20'!$S$31/12</f>
        <v>16481.946666666667</v>
      </c>
      <c r="L5" s="895">
        <f>'FY19-20'!$S$31/12</f>
        <v>16481.946666666667</v>
      </c>
      <c r="M5" s="895">
        <f>'FY19-20'!$S$31/12</f>
        <v>16481.946666666667</v>
      </c>
      <c r="N5" s="895">
        <f>'FY19-20'!$S$31/12</f>
        <v>16481.946666666667</v>
      </c>
      <c r="O5" s="896">
        <f>SUM(C5:N5)</f>
        <v>197783.35999999996</v>
      </c>
      <c r="P5" s="897"/>
    </row>
    <row r="6" spans="2:17">
      <c r="B6" s="898" t="s">
        <v>168</v>
      </c>
      <c r="C6" s="895">
        <f>'FY19-20'!$S$40/12</f>
        <v>199771.19750000001</v>
      </c>
      <c r="D6" s="895">
        <f>'FY19-20'!$S$40/12</f>
        <v>199771.19750000001</v>
      </c>
      <c r="E6" s="895">
        <f>'FY19-20'!$S$40/12</f>
        <v>199771.19750000001</v>
      </c>
      <c r="F6" s="895">
        <f>'FY19-20'!$S$40/12</f>
        <v>199771.19750000001</v>
      </c>
      <c r="G6" s="895">
        <f>'FY19-20'!$S$40/12</f>
        <v>199771.19750000001</v>
      </c>
      <c r="H6" s="895">
        <f>'FY19-20'!$S$40/12</f>
        <v>199771.19750000001</v>
      </c>
      <c r="I6" s="895">
        <f>'FY19-20'!$S$40/12</f>
        <v>199771.19750000001</v>
      </c>
      <c r="J6" s="895">
        <f>'FY19-20'!$S$40/12</f>
        <v>199771.19750000001</v>
      </c>
      <c r="K6" s="895">
        <f>'FY19-20'!$S$40/12</f>
        <v>199771.19750000001</v>
      </c>
      <c r="L6" s="895">
        <f>'FY19-20'!$S$40/12</f>
        <v>199771.19750000001</v>
      </c>
      <c r="M6" s="895">
        <f>'FY19-20'!$S$40/12</f>
        <v>199771.19750000001</v>
      </c>
      <c r="N6" s="895">
        <f>'FY19-20'!$S$40/12</f>
        <v>199771.19750000001</v>
      </c>
      <c r="O6" s="896">
        <f>SUM(C6:N6)</f>
        <v>2397254.37</v>
      </c>
      <c r="P6" s="897"/>
    </row>
    <row r="7" spans="2:17">
      <c r="B7" s="894" t="s">
        <v>283</v>
      </c>
      <c r="C7" s="895">
        <f>'FY19-20'!$S$50/12</f>
        <v>0</v>
      </c>
      <c r="D7" s="895">
        <f>'FY19-20'!$S$50/12</f>
        <v>0</v>
      </c>
      <c r="E7" s="895">
        <f>'FY19-20'!$S$50/12</f>
        <v>0</v>
      </c>
      <c r="F7" s="895">
        <f>'FY19-20'!$S$50/12</f>
        <v>0</v>
      </c>
      <c r="G7" s="895">
        <f>'FY19-20'!$S$50/12</f>
        <v>0</v>
      </c>
      <c r="H7" s="895">
        <f>'FY19-20'!$S$50/12</f>
        <v>0</v>
      </c>
      <c r="I7" s="895">
        <f>'FY19-20'!$S$50/12</f>
        <v>0</v>
      </c>
      <c r="J7" s="895">
        <f>'FY19-20'!$S$50/12</f>
        <v>0</v>
      </c>
      <c r="K7" s="895">
        <f>'FY19-20'!$S$50/12</f>
        <v>0</v>
      </c>
      <c r="L7" s="895">
        <f>'FY19-20'!$S$50/12</f>
        <v>0</v>
      </c>
      <c r="M7" s="895">
        <f>'FY19-20'!$S$50/12</f>
        <v>0</v>
      </c>
      <c r="N7" s="895">
        <f>'FY19-20'!$S$50/12</f>
        <v>0</v>
      </c>
      <c r="O7" s="896">
        <f>SUM(C7:N7)</f>
        <v>0</v>
      </c>
      <c r="P7" s="897"/>
    </row>
    <row r="8" spans="2:17">
      <c r="B8" s="899" t="s">
        <v>579</v>
      </c>
      <c r="C8" s="900">
        <f>SUM(C4:C7)</f>
        <v>2625876.5608333331</v>
      </c>
      <c r="D8" s="900">
        <f t="shared" ref="D8:O8" si="0">SUM(D4:D7)</f>
        <v>2625876.5608333331</v>
      </c>
      <c r="E8" s="900">
        <f t="shared" si="0"/>
        <v>2625876.5608333331</v>
      </c>
      <c r="F8" s="900">
        <f t="shared" si="0"/>
        <v>2625876.5608333331</v>
      </c>
      <c r="G8" s="900">
        <f t="shared" si="0"/>
        <v>2625876.5608333331</v>
      </c>
      <c r="H8" s="900">
        <f t="shared" si="0"/>
        <v>2625876.5608333331</v>
      </c>
      <c r="I8" s="900">
        <f t="shared" si="0"/>
        <v>2625876.5608333331</v>
      </c>
      <c r="J8" s="900">
        <f t="shared" si="0"/>
        <v>2625876.5608333331</v>
      </c>
      <c r="K8" s="900">
        <f t="shared" si="0"/>
        <v>2625876.5608333331</v>
      </c>
      <c r="L8" s="900">
        <f t="shared" si="0"/>
        <v>2625876.5608333331</v>
      </c>
      <c r="M8" s="901">
        <f t="shared" si="0"/>
        <v>2625876.5608333331</v>
      </c>
      <c r="N8" s="901">
        <f t="shared" si="0"/>
        <v>2625876.5608333331</v>
      </c>
      <c r="O8" s="901">
        <f t="shared" si="0"/>
        <v>31510518.730000004</v>
      </c>
      <c r="P8" s="897"/>
      <c r="Q8" s="897"/>
    </row>
    <row r="9" spans="2:17">
      <c r="B9" s="898"/>
      <c r="C9" s="892"/>
      <c r="D9" s="892"/>
      <c r="E9" s="892"/>
      <c r="F9" s="892"/>
      <c r="G9" s="892"/>
      <c r="H9" s="892"/>
      <c r="I9" s="892"/>
      <c r="J9" s="892"/>
      <c r="K9" s="892"/>
      <c r="L9" s="892"/>
      <c r="M9" s="892"/>
      <c r="N9" s="892"/>
      <c r="O9" s="892"/>
      <c r="P9" s="897"/>
    </row>
    <row r="10" spans="2:17">
      <c r="B10" s="898"/>
      <c r="C10" s="902" t="s">
        <v>580</v>
      </c>
      <c r="D10" s="903" t="s">
        <v>580</v>
      </c>
      <c r="E10" s="903" t="s">
        <v>580</v>
      </c>
      <c r="F10" s="903" t="s">
        <v>580</v>
      </c>
      <c r="G10" s="903" t="s">
        <v>580</v>
      </c>
      <c r="H10" s="903" t="s">
        <v>580</v>
      </c>
      <c r="I10" s="903" t="s">
        <v>580</v>
      </c>
      <c r="J10" s="903" t="s">
        <v>580</v>
      </c>
      <c r="K10" s="903" t="s">
        <v>580</v>
      </c>
      <c r="L10" s="903" t="s">
        <v>580</v>
      </c>
      <c r="M10" s="903" t="s">
        <v>580</v>
      </c>
      <c r="N10" s="903" t="s">
        <v>580</v>
      </c>
      <c r="O10" s="892"/>
      <c r="P10" s="897"/>
    </row>
    <row r="11" spans="2:17">
      <c r="B11" s="898" t="s">
        <v>244</v>
      </c>
      <c r="C11" s="904">
        <f>'FY19-20'!E62</f>
        <v>569716.53</v>
      </c>
      <c r="D11" s="904">
        <f>'FY19-20'!F62</f>
        <v>853971.47</v>
      </c>
      <c r="E11" s="904">
        <f>'FY19-20'!G62</f>
        <v>976133.2</v>
      </c>
      <c r="F11" s="904">
        <f>'FY19-20'!H62</f>
        <v>974931.97</v>
      </c>
      <c r="G11" s="904">
        <f>'FY19-20'!I62</f>
        <v>200644.19</v>
      </c>
      <c r="H11" s="904">
        <f>'FY19-20'!J62</f>
        <v>1527108.7399999998</v>
      </c>
      <c r="I11" s="904">
        <f>'FY19-20'!K62</f>
        <v>908060.11</v>
      </c>
      <c r="J11" s="904">
        <f>'FY19-20'!L62</f>
        <v>900560.4</v>
      </c>
      <c r="K11" s="904">
        <f>'FY19-20'!M62</f>
        <v>944096.76</v>
      </c>
      <c r="L11" s="904">
        <f>'FY19-20'!N62</f>
        <v>869748.29999999993</v>
      </c>
      <c r="M11" s="905">
        <f>'FY19-20'!O62</f>
        <v>933708.75</v>
      </c>
      <c r="N11" s="905">
        <f>'FY19-20'!P62+'FY19-20'!Q62</f>
        <v>954008.7300000001</v>
      </c>
      <c r="O11" s="896">
        <f t="shared" ref="O11:O20" si="1">SUM(C11:N11)</f>
        <v>10612689.15</v>
      </c>
      <c r="P11" s="897"/>
    </row>
    <row r="12" spans="2:17">
      <c r="B12" s="898" t="s">
        <v>245</v>
      </c>
      <c r="C12" s="904">
        <f>'FY19-20'!E69</f>
        <v>7719.76</v>
      </c>
      <c r="D12" s="904">
        <f>'FY19-20'!F69</f>
        <v>21016.15</v>
      </c>
      <c r="E12" s="904">
        <f>'FY19-20'!G69</f>
        <v>23143.88</v>
      </c>
      <c r="F12" s="904">
        <f>'FY19-20'!H69</f>
        <v>24735.21</v>
      </c>
      <c r="G12" s="904">
        <f>'FY19-20'!I69</f>
        <v>22165.39</v>
      </c>
      <c r="H12" s="904">
        <f>'FY19-20'!J69</f>
        <v>57848.54</v>
      </c>
      <c r="I12" s="904">
        <f>'FY19-20'!K69</f>
        <v>32985.57</v>
      </c>
      <c r="J12" s="904">
        <f>'FY19-20'!L69</f>
        <v>59254.26</v>
      </c>
      <c r="K12" s="904">
        <f>'FY19-20'!M69</f>
        <v>28007.25</v>
      </c>
      <c r="L12" s="904">
        <f>'FY19-20'!N69</f>
        <v>33714.639999999999</v>
      </c>
      <c r="M12" s="905">
        <f>'FY19-20'!O69</f>
        <v>54479.070000000007</v>
      </c>
      <c r="N12" s="905">
        <f>'FY19-20'!P69+'FY19-20'!Q69</f>
        <v>79408.109999999986</v>
      </c>
      <c r="O12" s="896">
        <f t="shared" si="1"/>
        <v>444477.83</v>
      </c>
      <c r="P12" s="897"/>
    </row>
    <row r="13" spans="2:17">
      <c r="B13" s="898" t="s">
        <v>3</v>
      </c>
      <c r="C13" s="904">
        <f>'FY19-20'!E79</f>
        <v>105470.70000000001</v>
      </c>
      <c r="D13" s="904">
        <f>'FY19-20'!F79</f>
        <v>306607.91000000003</v>
      </c>
      <c r="E13" s="904">
        <f>'FY19-20'!G79</f>
        <v>280496.65999999997</v>
      </c>
      <c r="F13" s="904">
        <f>'FY19-20'!H79</f>
        <v>290877.55000000005</v>
      </c>
      <c r="G13" s="904">
        <f>'FY19-20'!I79</f>
        <v>147972.73999999996</v>
      </c>
      <c r="H13" s="904">
        <f>'FY19-20'!J79</f>
        <v>398769.34</v>
      </c>
      <c r="I13" s="904">
        <f>'FY19-20'!K79</f>
        <v>303354.25</v>
      </c>
      <c r="J13" s="904">
        <f>'FY19-20'!L79</f>
        <v>273963.28000000003</v>
      </c>
      <c r="K13" s="904">
        <f>'FY19-20'!M79</f>
        <v>265917.53999999998</v>
      </c>
      <c r="L13" s="904">
        <f>'FY19-20'!N79</f>
        <v>261520.93000000002</v>
      </c>
      <c r="M13" s="905">
        <f>'FY19-20'!O79</f>
        <v>279870.64999999997</v>
      </c>
      <c r="N13" s="905">
        <f>'FY19-20'!P79+'FY19-20'!Q79</f>
        <v>265195.02</v>
      </c>
      <c r="O13" s="896">
        <f t="shared" si="1"/>
        <v>3180016.5700000003</v>
      </c>
      <c r="P13" s="897"/>
    </row>
    <row r="14" spans="2:17">
      <c r="B14" s="898" t="s">
        <v>288</v>
      </c>
      <c r="C14" s="904">
        <f>'FY19-20'!E90</f>
        <v>117535.86</v>
      </c>
      <c r="D14" s="904">
        <f>'FY19-20'!F90</f>
        <v>255624.28</v>
      </c>
      <c r="E14" s="904">
        <f>'FY19-20'!G90</f>
        <v>338358.38</v>
      </c>
      <c r="F14" s="904">
        <f>'FY19-20'!H90</f>
        <v>352889.66</v>
      </c>
      <c r="G14" s="904">
        <f>'FY19-20'!I90</f>
        <v>206145.09999999998</v>
      </c>
      <c r="H14" s="904">
        <f>'FY19-20'!J90</f>
        <v>261265.85</v>
      </c>
      <c r="I14" s="904">
        <f>'FY19-20'!K90</f>
        <v>206991.63000000003</v>
      </c>
      <c r="J14" s="904">
        <f>'FY19-20'!L90</f>
        <v>202563.97999999998</v>
      </c>
      <c r="K14" s="904">
        <f>'FY19-20'!M90</f>
        <v>226596.40999999997</v>
      </c>
      <c r="L14" s="904">
        <f>'FY19-20'!N90</f>
        <v>341993.11</v>
      </c>
      <c r="M14" s="905">
        <f>'FY19-20'!O90</f>
        <v>315191.89</v>
      </c>
      <c r="N14" s="905">
        <f>'FY19-20'!P90+'FY19-20'!Q90</f>
        <v>1065172.7599999998</v>
      </c>
      <c r="O14" s="896">
        <f t="shared" si="1"/>
        <v>3890328.9099999997</v>
      </c>
      <c r="P14" s="897"/>
    </row>
    <row r="15" spans="2:17">
      <c r="B15" s="898" t="s">
        <v>284</v>
      </c>
      <c r="C15" s="904">
        <f>'FY19-20'!E99</f>
        <v>42802.97</v>
      </c>
      <c r="D15" s="904">
        <f>'FY19-20'!F99</f>
        <v>67081.22</v>
      </c>
      <c r="E15" s="904">
        <f>'FY19-20'!G99</f>
        <v>1029863.36</v>
      </c>
      <c r="F15" s="904">
        <f>'FY19-20'!H99</f>
        <v>760614.37</v>
      </c>
      <c r="G15" s="904">
        <f>'FY19-20'!I99</f>
        <v>723921.12</v>
      </c>
      <c r="H15" s="904">
        <f>'FY19-20'!J99</f>
        <v>671423.23</v>
      </c>
      <c r="I15" s="904">
        <f>'FY19-20'!K99</f>
        <v>856628.87</v>
      </c>
      <c r="J15" s="904">
        <f>'FY19-20'!L99</f>
        <v>662483.16</v>
      </c>
      <c r="K15" s="904">
        <f>'FY19-20'!M99</f>
        <v>662201.56000000006</v>
      </c>
      <c r="L15" s="904">
        <f>'FY19-20'!N99</f>
        <v>687699.7</v>
      </c>
      <c r="M15" s="905">
        <f>'FY19-20'!O99</f>
        <v>668804.66</v>
      </c>
      <c r="N15" s="905">
        <f>'FY19-20'!P99+'FY19-20'!Q99</f>
        <v>1398647.52</v>
      </c>
      <c r="O15" s="896">
        <f t="shared" si="1"/>
        <v>8232171.7400000002</v>
      </c>
      <c r="P15" s="897"/>
    </row>
    <row r="16" spans="2:17">
      <c r="B16" s="898" t="s">
        <v>285</v>
      </c>
      <c r="C16" s="904">
        <f>'FY19-20'!E136</f>
        <v>31829.89</v>
      </c>
      <c r="D16" s="904">
        <f>'FY19-20'!F136</f>
        <v>45440.39</v>
      </c>
      <c r="E16" s="904">
        <f>'FY19-20'!G136</f>
        <v>339325.94000000006</v>
      </c>
      <c r="F16" s="904">
        <f>'FY19-20'!H136</f>
        <v>312348.78000000003</v>
      </c>
      <c r="G16" s="904">
        <f>'FY19-20'!I136</f>
        <v>117177.34999999999</v>
      </c>
      <c r="H16" s="904">
        <f>'FY19-20'!J136</f>
        <v>99918.75</v>
      </c>
      <c r="I16" s="904">
        <f>'FY19-20'!K136</f>
        <v>105418.23</v>
      </c>
      <c r="J16" s="904">
        <f>'FY19-20'!L136</f>
        <v>129010.92</v>
      </c>
      <c r="K16" s="904">
        <f>'FY19-20'!M136</f>
        <v>82226.44</v>
      </c>
      <c r="L16" s="904">
        <f>'FY19-20'!N136</f>
        <v>106844.76999999999</v>
      </c>
      <c r="M16" s="905">
        <f>'FY19-20'!O136</f>
        <v>781410.07000000007</v>
      </c>
      <c r="N16" s="905">
        <f>'FY19-20'!P136+'FY19-20'!Q136</f>
        <v>274643.89</v>
      </c>
      <c r="O16" s="896">
        <f t="shared" si="1"/>
        <v>2425595.4200000004</v>
      </c>
      <c r="P16" s="897"/>
    </row>
    <row r="17" spans="2:20">
      <c r="B17" s="898" t="s">
        <v>287</v>
      </c>
      <c r="C17" s="904">
        <f>'FY19-20'!E118</f>
        <v>0</v>
      </c>
      <c r="D17" s="904">
        <f>'FY19-20'!F118</f>
        <v>0</v>
      </c>
      <c r="E17" s="904">
        <f>'FY19-20'!G118</f>
        <v>4210</v>
      </c>
      <c r="F17" s="904">
        <f>'FY19-20'!H118</f>
        <v>20087.599999999999</v>
      </c>
      <c r="G17" s="904">
        <f>'FY19-20'!I118</f>
        <v>7817.9</v>
      </c>
      <c r="H17" s="904">
        <f>'FY19-20'!J118</f>
        <v>3174</v>
      </c>
      <c r="I17" s="904">
        <f>'FY19-20'!K118</f>
        <v>27549</v>
      </c>
      <c r="J17" s="904">
        <f>'FY19-20'!L118</f>
        <v>1065</v>
      </c>
      <c r="K17" s="904">
        <f>'FY19-20'!M118</f>
        <v>600</v>
      </c>
      <c r="L17" s="904">
        <f>'FY19-20'!N118</f>
        <v>-2900</v>
      </c>
      <c r="M17" s="905">
        <f>'FY19-20'!O118</f>
        <v>-3649</v>
      </c>
      <c r="N17" s="905">
        <f>'FY19-20'!P118+'FY19-20'!Q118</f>
        <v>-2076</v>
      </c>
      <c r="O17" s="896">
        <f t="shared" si="1"/>
        <v>55878.5</v>
      </c>
      <c r="P17" s="897"/>
    </row>
    <row r="18" spans="2:20">
      <c r="B18" s="898" t="s">
        <v>286</v>
      </c>
      <c r="C18" s="904">
        <f>'FY19-20'!E110</f>
        <v>154.99</v>
      </c>
      <c r="D18" s="904">
        <f>'FY19-20'!F110</f>
        <v>4032.0800000000004</v>
      </c>
      <c r="E18" s="904">
        <f>'FY19-20'!G110</f>
        <v>2294.9700000000003</v>
      </c>
      <c r="F18" s="904">
        <f>'FY19-20'!H110</f>
        <v>1296.22</v>
      </c>
      <c r="G18" s="904">
        <f>'FY19-20'!I110</f>
        <v>7044.4800000000005</v>
      </c>
      <c r="H18" s="904">
        <f>'FY19-20'!J110</f>
        <v>1153.5</v>
      </c>
      <c r="I18" s="904">
        <f>'FY19-20'!K110</f>
        <v>2005.14</v>
      </c>
      <c r="J18" s="904">
        <f>'FY19-20'!L110</f>
        <v>2836.5</v>
      </c>
      <c r="K18" s="904">
        <f>'FY19-20'!M110</f>
        <v>6844.8099999999995</v>
      </c>
      <c r="L18" s="904">
        <f>'FY19-20'!N110</f>
        <v>22912.99</v>
      </c>
      <c r="M18" s="905">
        <f>'FY19-20'!O110</f>
        <v>69374.590000000011</v>
      </c>
      <c r="N18" s="905">
        <f>'FY19-20'!P110+'FY19-20'!Q110</f>
        <v>37514.269999999997</v>
      </c>
      <c r="O18" s="896">
        <f t="shared" si="1"/>
        <v>157464.54</v>
      </c>
      <c r="P18" s="897"/>
    </row>
    <row r="19" spans="2:20">
      <c r="B19" s="898" t="s">
        <v>107</v>
      </c>
      <c r="C19" s="904">
        <f>'FY19-20'!E138</f>
        <v>0</v>
      </c>
      <c r="D19" s="904">
        <f>'FY19-20'!F138</f>
        <v>0</v>
      </c>
      <c r="E19" s="904">
        <f>'FY19-20'!G138</f>
        <v>0</v>
      </c>
      <c r="F19" s="904">
        <f>'FY19-20'!H138</f>
        <v>0</v>
      </c>
      <c r="G19" s="904">
        <f>'FY19-20'!I138</f>
        <v>0</v>
      </c>
      <c r="H19" s="904">
        <f>'FY19-20'!J138</f>
        <v>0</v>
      </c>
      <c r="I19" s="904">
        <f>'FY19-20'!K138</f>
        <v>100</v>
      </c>
      <c r="J19" s="904">
        <f>'FY19-20'!L138</f>
        <v>50</v>
      </c>
      <c r="K19" s="904">
        <f>'FY19-20'!M138</f>
        <v>50</v>
      </c>
      <c r="L19" s="904">
        <f>'FY19-20'!N138</f>
        <v>50</v>
      </c>
      <c r="M19" s="905">
        <f>'FY19-20'!O138</f>
        <v>50</v>
      </c>
      <c r="N19" s="905">
        <f>'FY19-20'!P138+'FY19-20'!Q138</f>
        <v>50</v>
      </c>
      <c r="O19" s="896">
        <f t="shared" si="1"/>
        <v>350</v>
      </c>
      <c r="P19" s="897"/>
    </row>
    <row r="20" spans="2:20">
      <c r="B20" s="898" t="s">
        <v>5</v>
      </c>
      <c r="C20" s="904">
        <f>'FY19-20'!E141</f>
        <v>0</v>
      </c>
      <c r="D20" s="904">
        <f>'FY19-20'!F141</f>
        <v>0</v>
      </c>
      <c r="E20" s="904">
        <f>'FY19-20'!G141</f>
        <v>156202</v>
      </c>
      <c r="F20" s="904">
        <f>'FY19-20'!H141</f>
        <v>0</v>
      </c>
      <c r="G20" s="904">
        <f>'FY19-20'!I141</f>
        <v>168678</v>
      </c>
      <c r="H20" s="904">
        <f>'FY19-20'!J141</f>
        <v>209230</v>
      </c>
      <c r="I20" s="904">
        <f>'FY19-20'!K141</f>
        <v>0</v>
      </c>
      <c r="J20" s="904">
        <f>'FY19-20'!L141</f>
        <v>117924</v>
      </c>
      <c r="K20" s="904">
        <f>'FY19-20'!M141</f>
        <v>0</v>
      </c>
      <c r="L20" s="904">
        <f>'FY19-20'!N141</f>
        <v>0</v>
      </c>
      <c r="M20" s="905">
        <f>'FY19-20'!O141</f>
        <v>161149</v>
      </c>
      <c r="N20" s="905">
        <f>'FY19-20'!P141+'FY19-20'!Q141</f>
        <v>0</v>
      </c>
      <c r="O20" s="896">
        <f t="shared" si="1"/>
        <v>813183</v>
      </c>
      <c r="P20" s="897"/>
    </row>
    <row r="21" spans="2:20">
      <c r="B21" s="899" t="s">
        <v>581</v>
      </c>
      <c r="C21" s="906">
        <f t="shared" ref="C21:O21" si="2">SUM(C11:C20)</f>
        <v>875230.7</v>
      </c>
      <c r="D21" s="906">
        <f t="shared" si="2"/>
        <v>1553773.5</v>
      </c>
      <c r="E21" s="906">
        <f t="shared" si="2"/>
        <v>3150028.39</v>
      </c>
      <c r="F21" s="906">
        <f t="shared" si="2"/>
        <v>2737781.3600000003</v>
      </c>
      <c r="G21" s="906">
        <f t="shared" si="2"/>
        <v>1601566.27</v>
      </c>
      <c r="H21" s="906">
        <f t="shared" si="2"/>
        <v>3229891.9499999997</v>
      </c>
      <c r="I21" s="906">
        <f t="shared" si="2"/>
        <v>2443092.8000000003</v>
      </c>
      <c r="J21" s="906">
        <f t="shared" si="2"/>
        <v>2349711.5</v>
      </c>
      <c r="K21" s="906">
        <f t="shared" si="2"/>
        <v>2216540.77</v>
      </c>
      <c r="L21" s="906">
        <f t="shared" si="2"/>
        <v>2321584.44</v>
      </c>
      <c r="M21" s="907">
        <f t="shared" si="2"/>
        <v>3260389.6799999997</v>
      </c>
      <c r="N21" s="907">
        <f t="shared" si="2"/>
        <v>4072564.3000000003</v>
      </c>
      <c r="O21" s="901">
        <f t="shared" si="2"/>
        <v>29812155.660000004</v>
      </c>
      <c r="P21" s="897"/>
      <c r="Q21" s="897"/>
      <c r="T21" s="897"/>
    </row>
    <row r="22" spans="2:20">
      <c r="B22" s="894" t="s">
        <v>582</v>
      </c>
      <c r="C22" s="908">
        <f t="shared" ref="C22:O22" si="3">C8-C21</f>
        <v>1750645.8608333331</v>
      </c>
      <c r="D22" s="908">
        <f t="shared" si="3"/>
        <v>1072103.0608333331</v>
      </c>
      <c r="E22" s="908">
        <f t="shared" si="3"/>
        <v>-524151.82916666707</v>
      </c>
      <c r="F22" s="908">
        <f t="shared" si="3"/>
        <v>-111904.79916666728</v>
      </c>
      <c r="G22" s="908">
        <f t="shared" si="3"/>
        <v>1024310.290833333</v>
      </c>
      <c r="H22" s="908">
        <f t="shared" si="3"/>
        <v>-604015.38916666666</v>
      </c>
      <c r="I22" s="908">
        <f t="shared" si="3"/>
        <v>182783.76083333278</v>
      </c>
      <c r="J22" s="908">
        <f t="shared" si="3"/>
        <v>276165.06083333306</v>
      </c>
      <c r="K22" s="908">
        <f t="shared" si="3"/>
        <v>409335.79083333304</v>
      </c>
      <c r="L22" s="908">
        <f t="shared" si="3"/>
        <v>304292.12083333312</v>
      </c>
      <c r="M22" s="909">
        <f t="shared" si="3"/>
        <v>-634513.11916666664</v>
      </c>
      <c r="N22" s="909">
        <f t="shared" si="3"/>
        <v>-1446687.7391666672</v>
      </c>
      <c r="O22" s="910">
        <f t="shared" si="3"/>
        <v>1698363.0700000003</v>
      </c>
      <c r="P22" s="897"/>
    </row>
    <row r="23" spans="2:20">
      <c r="B23" s="899" t="s">
        <v>583</v>
      </c>
      <c r="C23" s="906">
        <f>+C22</f>
        <v>1750645.8608333331</v>
      </c>
      <c r="D23" s="906">
        <f t="shared" ref="D23:N23" si="4">+C23+D22</f>
        <v>2822748.9216666659</v>
      </c>
      <c r="E23" s="906">
        <f t="shared" si="4"/>
        <v>2298597.0924999989</v>
      </c>
      <c r="F23" s="906">
        <f t="shared" si="4"/>
        <v>2186692.2933333316</v>
      </c>
      <c r="G23" s="906">
        <f t="shared" si="4"/>
        <v>3211002.5841666646</v>
      </c>
      <c r="H23" s="906">
        <f t="shared" si="4"/>
        <v>2606987.194999998</v>
      </c>
      <c r="I23" s="906">
        <f t="shared" si="4"/>
        <v>2789770.9558333308</v>
      </c>
      <c r="J23" s="906">
        <f t="shared" si="4"/>
        <v>3065936.0166666638</v>
      </c>
      <c r="K23" s="906">
        <f t="shared" si="4"/>
        <v>3475271.8074999969</v>
      </c>
      <c r="L23" s="906">
        <f t="shared" si="4"/>
        <v>3779563.92833333</v>
      </c>
      <c r="M23" s="907">
        <f t="shared" si="4"/>
        <v>3145050.8091666633</v>
      </c>
      <c r="N23" s="907">
        <f t="shared" si="4"/>
        <v>1698363.0699999961</v>
      </c>
      <c r="P23" s="897"/>
    </row>
    <row r="24" spans="2:20">
      <c r="P24" s="897"/>
    </row>
    <row r="25" spans="2:20">
      <c r="B25" s="911" t="s">
        <v>326</v>
      </c>
      <c r="C25" s="912">
        <f>+'Multi-Year'!H148</f>
        <v>0</v>
      </c>
      <c r="D25" s="912">
        <f>+C27</f>
        <v>1750645.8608333331</v>
      </c>
      <c r="E25" s="912">
        <f t="shared" ref="E25:N25" si="5">+D27</f>
        <v>2822748.9216666659</v>
      </c>
      <c r="F25" s="912">
        <f t="shared" si="5"/>
        <v>2298597.0924999989</v>
      </c>
      <c r="G25" s="912">
        <f t="shared" si="5"/>
        <v>2186692.2933333316</v>
      </c>
      <c r="H25" s="912">
        <f t="shared" si="5"/>
        <v>3211002.5841666646</v>
      </c>
      <c r="I25" s="912">
        <f t="shared" si="5"/>
        <v>2606987.194999998</v>
      </c>
      <c r="J25" s="912">
        <f t="shared" si="5"/>
        <v>2789770.9558333308</v>
      </c>
      <c r="K25" s="912">
        <f t="shared" si="5"/>
        <v>3065936.0166666638</v>
      </c>
      <c r="L25" s="912">
        <f t="shared" si="5"/>
        <v>3475271.8074999969</v>
      </c>
      <c r="M25" s="912">
        <f t="shared" si="5"/>
        <v>3779563.92833333</v>
      </c>
      <c r="N25" s="912">
        <f t="shared" si="5"/>
        <v>3145050.8091666633</v>
      </c>
      <c r="P25" s="897"/>
    </row>
    <row r="26" spans="2:20">
      <c r="P26" s="897"/>
    </row>
    <row r="27" spans="2:20">
      <c r="B27" s="911" t="s">
        <v>327</v>
      </c>
      <c r="C27" s="912">
        <f t="shared" ref="C27:N27" si="6">+C25+C22</f>
        <v>1750645.8608333331</v>
      </c>
      <c r="D27" s="912">
        <f t="shared" si="6"/>
        <v>2822748.9216666659</v>
      </c>
      <c r="E27" s="912">
        <f t="shared" si="6"/>
        <v>2298597.0924999989</v>
      </c>
      <c r="F27" s="912">
        <f t="shared" si="6"/>
        <v>2186692.2933333316</v>
      </c>
      <c r="G27" s="912">
        <f t="shared" si="6"/>
        <v>3211002.5841666646</v>
      </c>
      <c r="H27" s="912">
        <f t="shared" si="6"/>
        <v>2606987.194999998</v>
      </c>
      <c r="I27" s="912">
        <f t="shared" si="6"/>
        <v>2789770.9558333308</v>
      </c>
      <c r="J27" s="912">
        <f t="shared" si="6"/>
        <v>3065936.0166666638</v>
      </c>
      <c r="K27" s="912">
        <f t="shared" si="6"/>
        <v>3475271.8074999969</v>
      </c>
      <c r="L27" s="912">
        <f t="shared" si="6"/>
        <v>3779563.92833333</v>
      </c>
      <c r="M27" s="912">
        <f t="shared" si="6"/>
        <v>3145050.8091666633</v>
      </c>
      <c r="N27" s="913">
        <f t="shared" si="6"/>
        <v>1698363.0699999961</v>
      </c>
      <c r="P27" s="897"/>
    </row>
  </sheetData>
  <pageMargins left="0.25" right="0.5" top="1" bottom="1" header="0.5" footer="0.5"/>
  <pageSetup scale="66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2"/>
  <sheetViews>
    <sheetView view="pageBreakPreview" zoomScaleNormal="145" zoomScaleSheetLayoutView="100" workbookViewId="0">
      <pane xSplit="4" ySplit="4" topLeftCell="E128" activePane="bottomRight" state="frozen"/>
      <selection activeCell="L156" sqref="L156"/>
      <selection pane="topRight" activeCell="L156" sqref="L156"/>
      <selection pane="bottomLeft" activeCell="L156" sqref="L156"/>
      <selection pane="bottomRight" activeCell="H177" sqref="H177"/>
    </sheetView>
  </sheetViews>
  <sheetFormatPr baseColWidth="10" defaultColWidth="8.83203125" defaultRowHeight="15"/>
  <cols>
    <col min="1" max="1" width="2.5" style="54" customWidth="1"/>
    <col min="2" max="2" width="1.6640625" style="54" customWidth="1"/>
    <col min="3" max="3" width="5.33203125" style="62" customWidth="1"/>
    <col min="4" max="4" width="22.6640625" style="62" customWidth="1"/>
    <col min="5" max="5" width="9.5" style="63" bestFit="1" customWidth="1"/>
    <col min="6" max="6" width="9" style="63" bestFit="1" customWidth="1"/>
    <col min="7" max="7" width="8.33203125" style="63" bestFit="1" customWidth="1"/>
    <col min="8" max="9" width="9" style="63" bestFit="1" customWidth="1"/>
    <col min="10" max="15" width="9.5" style="63" bestFit="1" customWidth="1"/>
    <col min="16" max="16" width="9" style="63" bestFit="1" customWidth="1"/>
    <col min="17" max="17" width="8.6640625" style="63" customWidth="1"/>
    <col min="18" max="18" width="1.6640625" style="63" customWidth="1"/>
    <col min="19" max="19" width="9.6640625" style="59" customWidth="1"/>
    <col min="20" max="20" width="1.83203125" style="63" customWidth="1"/>
    <col min="21" max="22" width="9.6640625" style="63" customWidth="1"/>
    <col min="23" max="23" width="8.83203125" style="188"/>
    <col min="24" max="16384" width="8.83203125" style="62"/>
  </cols>
  <sheetData>
    <row r="1" spans="1:22" s="54" customFormat="1" ht="21">
      <c r="A1" s="678" t="str">
        <f>'Revenue Inputs'!$C$3</f>
        <v>Granite Mountain Charter School</v>
      </c>
      <c r="E1" s="55"/>
      <c r="F1" s="55"/>
      <c r="G1" s="55"/>
      <c r="H1" s="55"/>
      <c r="I1" s="55"/>
      <c r="J1" s="55"/>
      <c r="K1" s="55"/>
      <c r="L1" s="55"/>
      <c r="M1" s="221"/>
      <c r="N1" s="221"/>
      <c r="O1" s="221"/>
      <c r="P1" s="221"/>
      <c r="Q1" s="221"/>
      <c r="R1" s="221"/>
      <c r="S1" s="222"/>
      <c r="T1" s="221"/>
      <c r="U1" s="221"/>
      <c r="V1" s="55"/>
    </row>
    <row r="2" spans="1:22" s="54" customFormat="1">
      <c r="A2" s="56" t="s">
        <v>401</v>
      </c>
      <c r="B2" s="57"/>
      <c r="C2" s="57"/>
      <c r="D2" s="57"/>
      <c r="E2" s="58"/>
      <c r="F2" s="55"/>
      <c r="G2" s="55"/>
      <c r="H2" s="55"/>
      <c r="I2" s="55"/>
      <c r="J2" s="55"/>
      <c r="M2" s="59"/>
      <c r="N2" s="55"/>
      <c r="O2" s="55"/>
      <c r="R2" s="59"/>
      <c r="S2" s="59"/>
      <c r="V2" s="60"/>
    </row>
    <row r="3" spans="1:22" ht="13.5" customHeight="1">
      <c r="A3" s="61" t="str">
        <f>'FY19-20'!A3</f>
        <v>Revised 08/06/20</v>
      </c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674"/>
      <c r="P3" s="674"/>
      <c r="Q3" s="674"/>
      <c r="R3" s="59"/>
      <c r="S3" s="674"/>
      <c r="V3" s="64"/>
    </row>
    <row r="4" spans="1:22" s="67" customFormat="1" ht="29.5" customHeight="1">
      <c r="C4" s="374" t="s">
        <v>280</v>
      </c>
      <c r="D4" s="372">
        <f>LCFF!N23</f>
        <v>3320.24</v>
      </c>
      <c r="E4" s="679">
        <v>44743</v>
      </c>
      <c r="F4" s="679">
        <f t="shared" ref="F4:P4" si="0">E4+31</f>
        <v>44774</v>
      </c>
      <c r="G4" s="679">
        <f t="shared" si="0"/>
        <v>44805</v>
      </c>
      <c r="H4" s="679">
        <f t="shared" si="0"/>
        <v>44836</v>
      </c>
      <c r="I4" s="679">
        <f t="shared" si="0"/>
        <v>44867</v>
      </c>
      <c r="J4" s="679">
        <f t="shared" si="0"/>
        <v>44898</v>
      </c>
      <c r="K4" s="679">
        <f t="shared" si="0"/>
        <v>44929</v>
      </c>
      <c r="L4" s="679">
        <f t="shared" si="0"/>
        <v>44960</v>
      </c>
      <c r="M4" s="679">
        <f t="shared" si="0"/>
        <v>44991</v>
      </c>
      <c r="N4" s="679">
        <f t="shared" si="0"/>
        <v>45022</v>
      </c>
      <c r="O4" s="679">
        <f t="shared" si="0"/>
        <v>45053</v>
      </c>
      <c r="P4" s="679">
        <f t="shared" si="0"/>
        <v>45084</v>
      </c>
      <c r="Q4" s="680" t="s">
        <v>345</v>
      </c>
      <c r="R4" s="65"/>
      <c r="S4" s="675" t="s">
        <v>396</v>
      </c>
      <c r="T4" s="66"/>
      <c r="U4" s="680" t="s">
        <v>254</v>
      </c>
      <c r="V4" s="680" t="s">
        <v>383</v>
      </c>
    </row>
    <row r="5" spans="1:22" s="293" customFormat="1" ht="12" customHeight="1">
      <c r="A5" s="286" t="s">
        <v>258</v>
      </c>
      <c r="B5" s="286"/>
      <c r="C5" s="287"/>
      <c r="D5" s="287"/>
      <c r="E5" s="288">
        <v>0.05</v>
      </c>
      <c r="F5" s="289">
        <v>0.05</v>
      </c>
      <c r="G5" s="289">
        <v>0.09</v>
      </c>
      <c r="H5" s="289">
        <v>0.09</v>
      </c>
      <c r="I5" s="289">
        <v>0.09</v>
      </c>
      <c r="J5" s="289">
        <v>0.09</v>
      </c>
      <c r="K5" s="510">
        <v>0.09</v>
      </c>
      <c r="L5" s="590">
        <v>0.2</v>
      </c>
      <c r="M5" s="510">
        <v>0.19999999999999998</v>
      </c>
      <c r="N5" s="510">
        <v>0.19999999999999998</v>
      </c>
      <c r="O5" s="591">
        <v>0.19999999999999998</v>
      </c>
      <c r="P5" s="510">
        <v>0.19999999999999998</v>
      </c>
      <c r="Q5" s="609">
        <v>0</v>
      </c>
      <c r="R5" s="290"/>
      <c r="S5" s="621"/>
      <c r="T5" s="55"/>
      <c r="U5" s="280"/>
      <c r="V5" s="280"/>
    </row>
    <row r="6" spans="1:22" s="293" customFormat="1" ht="12" customHeight="1">
      <c r="A6" s="286" t="s">
        <v>7</v>
      </c>
      <c r="B6" s="286"/>
      <c r="C6" s="287"/>
      <c r="D6" s="287"/>
      <c r="E6" s="288">
        <v>0</v>
      </c>
      <c r="F6" s="289">
        <v>0</v>
      </c>
      <c r="G6" s="289">
        <v>0.37</v>
      </c>
      <c r="H6" s="289">
        <v>0</v>
      </c>
      <c r="I6" s="289">
        <v>0</v>
      </c>
      <c r="J6" s="289">
        <v>0.18</v>
      </c>
      <c r="K6" s="289">
        <v>0</v>
      </c>
      <c r="L6" s="294" t="s">
        <v>229</v>
      </c>
      <c r="M6" s="295" t="s">
        <v>229</v>
      </c>
      <c r="N6" s="295" t="s">
        <v>229</v>
      </c>
      <c r="O6" s="296" t="s">
        <v>229</v>
      </c>
      <c r="P6" s="510" t="s">
        <v>229</v>
      </c>
      <c r="Q6" s="609" t="s">
        <v>229</v>
      </c>
      <c r="R6" s="290"/>
      <c r="S6" s="621"/>
      <c r="T6" s="292"/>
      <c r="U6" s="290"/>
      <c r="V6" s="290"/>
    </row>
    <row r="7" spans="1:22" s="302" customFormat="1" ht="12" customHeight="1">
      <c r="A7" s="286" t="s">
        <v>8</v>
      </c>
      <c r="B7" s="297"/>
      <c r="C7" s="298"/>
      <c r="D7" s="298"/>
      <c r="E7" s="299">
        <v>0.06</v>
      </c>
      <c r="F7" s="300">
        <v>0.12</v>
      </c>
      <c r="G7" s="300">
        <v>0.08</v>
      </c>
      <c r="H7" s="300">
        <v>0.08</v>
      </c>
      <c r="I7" s="300">
        <v>0.08</v>
      </c>
      <c r="J7" s="300">
        <v>0.08</v>
      </c>
      <c r="K7" s="510">
        <v>0.08</v>
      </c>
      <c r="L7" s="294">
        <v>0.33333333333333331</v>
      </c>
      <c r="M7" s="295">
        <v>0.16666666666666666</v>
      </c>
      <c r="N7" s="295">
        <v>0.16666666666666666</v>
      </c>
      <c r="O7" s="296">
        <v>0.16666666666666666</v>
      </c>
      <c r="P7" s="295">
        <v>0.16666666666666666</v>
      </c>
      <c r="Q7" s="610">
        <v>0</v>
      </c>
      <c r="R7" s="301"/>
      <c r="S7" s="621"/>
      <c r="U7" s="301"/>
      <c r="V7" s="301"/>
    </row>
    <row r="8" spans="1:22" s="302" customFormat="1" ht="12" customHeight="1">
      <c r="A8" s="286" t="s">
        <v>281</v>
      </c>
      <c r="B8" s="297"/>
      <c r="C8" s="298"/>
      <c r="D8" s="298"/>
      <c r="E8" s="299">
        <v>0</v>
      </c>
      <c r="F8" s="300">
        <v>0</v>
      </c>
      <c r="G8" s="300">
        <v>0.26</v>
      </c>
      <c r="H8" s="300">
        <v>0.08</v>
      </c>
      <c r="I8" s="300">
        <v>0.08</v>
      </c>
      <c r="J8" s="300">
        <v>0.08</v>
      </c>
      <c r="K8" s="510">
        <v>0.08</v>
      </c>
      <c r="L8" s="294" t="s">
        <v>229</v>
      </c>
      <c r="M8" s="295" t="s">
        <v>229</v>
      </c>
      <c r="N8" s="295" t="s">
        <v>229</v>
      </c>
      <c r="O8" s="296" t="s">
        <v>229</v>
      </c>
      <c r="P8" s="510" t="s">
        <v>229</v>
      </c>
      <c r="Q8" s="609" t="s">
        <v>229</v>
      </c>
      <c r="R8" s="301"/>
      <c r="S8" s="621"/>
      <c r="U8" s="301"/>
      <c r="V8" s="301"/>
    </row>
    <row r="9" spans="1:22" s="302" customFormat="1" ht="12" customHeight="1">
      <c r="A9" s="286" t="s">
        <v>142</v>
      </c>
      <c r="B9" s="286"/>
      <c r="C9" s="298"/>
      <c r="D9" s="298"/>
      <c r="E9" s="473">
        <v>0.05</v>
      </c>
      <c r="F9" s="474">
        <v>0.05</v>
      </c>
      <c r="G9" s="474">
        <v>0.09</v>
      </c>
      <c r="H9" s="474">
        <v>0.09</v>
      </c>
      <c r="I9" s="474">
        <v>0.09</v>
      </c>
      <c r="J9" s="474">
        <v>0.09</v>
      </c>
      <c r="K9" s="474">
        <v>0.09</v>
      </c>
      <c r="L9" s="473">
        <v>0.2</v>
      </c>
      <c r="M9" s="474">
        <v>0.2</v>
      </c>
      <c r="N9" s="474">
        <v>0.2</v>
      </c>
      <c r="O9" s="511">
        <v>0.2</v>
      </c>
      <c r="P9" s="474">
        <v>0.2</v>
      </c>
      <c r="Q9" s="611">
        <v>0</v>
      </c>
      <c r="R9" s="290"/>
      <c r="S9" s="621"/>
      <c r="U9" s="290"/>
      <c r="V9" s="290"/>
    </row>
    <row r="10" spans="1:22" s="95" customFormat="1" ht="12" customHeight="1">
      <c r="A10" s="91"/>
      <c r="B10" s="91"/>
      <c r="C10" s="91"/>
      <c r="D10" s="91"/>
      <c r="E10" s="92"/>
      <c r="F10" s="92"/>
      <c r="G10" s="92"/>
      <c r="H10" s="92"/>
      <c r="I10" s="92"/>
      <c r="J10" s="92"/>
      <c r="K10" s="92"/>
      <c r="L10" s="303"/>
      <c r="M10" s="303"/>
      <c r="N10" s="303"/>
      <c r="O10" s="303"/>
      <c r="P10" s="303"/>
      <c r="Q10" s="612"/>
      <c r="R10" s="303"/>
      <c r="S10" s="622"/>
      <c r="T10" s="303"/>
    </row>
    <row r="11" spans="1:22" s="95" customFormat="1" ht="12" customHeight="1">
      <c r="A11" s="96" t="s">
        <v>9</v>
      </c>
      <c r="B11" s="96"/>
      <c r="C11" s="97"/>
      <c r="D11" s="98"/>
      <c r="E11" s="304"/>
      <c r="F11" s="304" t="s">
        <v>25</v>
      </c>
      <c r="G11" s="304"/>
      <c r="H11" s="304"/>
      <c r="I11" s="304"/>
      <c r="J11" s="304"/>
      <c r="K11" s="304"/>
      <c r="L11" s="305"/>
      <c r="M11" s="305"/>
      <c r="N11" s="305"/>
      <c r="O11" s="305"/>
      <c r="P11" s="305"/>
      <c r="Q11" s="613"/>
      <c r="R11" s="305"/>
      <c r="S11" s="623"/>
      <c r="T11" s="305"/>
      <c r="U11" s="375" t="s">
        <v>280</v>
      </c>
      <c r="V11" s="372">
        <f>'FY21-22'!D4</f>
        <v>3161.4799999999996</v>
      </c>
    </row>
    <row r="12" spans="1:22" s="95" customFormat="1" ht="12" customHeight="1">
      <c r="A12" s="96"/>
      <c r="B12" s="96" t="s">
        <v>255</v>
      </c>
      <c r="C12" s="97"/>
      <c r="D12" s="98"/>
      <c r="E12" s="304"/>
      <c r="F12" s="304"/>
      <c r="G12" s="304"/>
      <c r="H12" s="304"/>
      <c r="I12" s="304"/>
      <c r="J12" s="304"/>
      <c r="K12" s="304"/>
      <c r="L12" s="306"/>
      <c r="M12" s="306"/>
      <c r="N12" s="306"/>
      <c r="O12" s="306"/>
      <c r="P12" s="306"/>
      <c r="Q12" s="614"/>
      <c r="R12" s="306"/>
      <c r="S12" s="624"/>
      <c r="T12" s="306"/>
    </row>
    <row r="13" spans="1:22" s="95" customFormat="1" ht="12" customHeight="1">
      <c r="A13" s="114"/>
      <c r="B13" s="114" t="s">
        <v>186</v>
      </c>
      <c r="C13" s="115"/>
      <c r="D13" s="116" t="s">
        <v>176</v>
      </c>
      <c r="E13" s="118">
        <f>(LCFF!$N$25*(LCFF!N47*(1-'Revenue Inputs'!$D$9)-'Revenue Inputs'!$G$31))*D6</f>
        <v>0</v>
      </c>
      <c r="F13" s="118">
        <f>(LCFF!$N$25*(LCFF!N47*(1-'Revenue Inputs'!$D$9)-'Revenue Inputs'!$G$31))*E6</f>
        <v>0</v>
      </c>
      <c r="G13" s="118">
        <f>(LCFF!$N$25*(LCFF!N47*(1-'Revenue Inputs'!$D$9)-'Revenue Inputs'!$G$31))*F6</f>
        <v>0</v>
      </c>
      <c r="H13" s="118">
        <f>(LCFF!$N$25*(LCFF!N47*(1-'Revenue Inputs'!$D$9)-'Revenue Inputs'!$G$31))*G6</f>
        <v>0</v>
      </c>
      <c r="I13" s="118">
        <f>(LCFF!$N$25*(LCFF!N47*(1-'Revenue Inputs'!$D$9)-'Revenue Inputs'!$G$31))*H6</f>
        <v>0</v>
      </c>
      <c r="J13" s="118">
        <f>(LCFF!$N$25*(LCFF!N47*(1-'Revenue Inputs'!$D$9)-'Revenue Inputs'!$G$31))*I6</f>
        <v>0</v>
      </c>
      <c r="K13" s="118">
        <f>(LCFF!$N$25*(LCFF!N47*(1-'Revenue Inputs'!$D$9)-'Revenue Inputs'!$G$31))*J6</f>
        <v>0</v>
      </c>
      <c r="L13" s="118">
        <f>(LCFF!$N$25*(LCFF!N47*(1-'Revenue Inputs'!$D$9)-'Revenue Inputs'!$G$31))*K6</f>
        <v>0</v>
      </c>
      <c r="M13" s="117"/>
      <c r="N13" s="117"/>
      <c r="O13" s="117"/>
      <c r="P13" s="117"/>
      <c r="Q13" s="599"/>
      <c r="R13" s="310"/>
      <c r="S13" s="311">
        <f>SUM(E13:Q13)</f>
        <v>0</v>
      </c>
      <c r="T13" s="341"/>
      <c r="U13" s="94">
        <f>'FY21-22'!S13</f>
        <v>0</v>
      </c>
      <c r="V13" s="94">
        <f>S13-U13</f>
        <v>0</v>
      </c>
    </row>
    <row r="14" spans="1:22" s="112" customFormat="1" ht="12" customHeight="1">
      <c r="A14" s="114"/>
      <c r="B14" s="114" t="s">
        <v>186</v>
      </c>
      <c r="C14" s="115"/>
      <c r="D14" s="116" t="s">
        <v>177</v>
      </c>
      <c r="E14" s="118">
        <v>0</v>
      </c>
      <c r="F14" s="118">
        <f>((LCFF!$N$47-'Revenue Inputs'!$G$31-('Multi-Year'!$N$16/'Multi-Year'!$N$11))*LCFF!$L$23)*E5</f>
        <v>1475986.4786023183</v>
      </c>
      <c r="G14" s="118">
        <f>((LCFF!$N$47-'Revenue Inputs'!$G$31-('Multi-Year'!$N$16/'Multi-Year'!$N$11))*LCFF!$L$23)*F5</f>
        <v>1475986.4786023183</v>
      </c>
      <c r="H14" s="118">
        <f>((LCFF!$N$47-'Revenue Inputs'!$G$31-('Multi-Year'!$N$16/'Multi-Year'!$N$11))*LCFF!$L$23)*G5</f>
        <v>2656775.661484173</v>
      </c>
      <c r="I14" s="118">
        <f>((LCFF!$N$47-'Revenue Inputs'!$G$31-('Multi-Year'!$N$16/'Multi-Year'!$N$11))*LCFF!$L$23)*H5</f>
        <v>2656775.661484173</v>
      </c>
      <c r="J14" s="118">
        <f>((LCFF!$N$47-'Revenue Inputs'!$G$31-('Multi-Year'!$N$16/'Multi-Year'!$N$11))*LCFF!$L$23)*I5</f>
        <v>2656775.661484173</v>
      </c>
      <c r="K14" s="118">
        <f>((LCFF!$N$47-'Revenue Inputs'!$G$31-('Multi-Year'!$N$16/'Multi-Year'!$N$11))*LCFF!$L$23)*J5</f>
        <v>2656775.661484173</v>
      </c>
      <c r="L14" s="118">
        <f>((LCFF!$N$47-'Revenue Inputs'!$G$31-('Multi-Year'!$N$16/'Multi-Year'!$N$11))*LCFF!$L$23)*K5</f>
        <v>2656775.661484173</v>
      </c>
      <c r="M14" s="117">
        <f>(LCFF!N46-$S$16-$S$18-SUM($E$13:$L$14))*L5</f>
        <v>2962664.5944756144</v>
      </c>
      <c r="N14" s="117">
        <f>(LCFF!N46-$S$16-$S$18-SUM($E$13:$L$14))*M5</f>
        <v>2962664.5944756139</v>
      </c>
      <c r="O14" s="117">
        <f>(LCFF!N46-$S$16-$S$18-SUM($E$13:$L$14))*N5</f>
        <v>2962664.5944756139</v>
      </c>
      <c r="P14" s="117">
        <f>(LCFF!N46-$S$16-$S$18-SUM($E$13:$L$14))*O5</f>
        <v>2962664.5944756139</v>
      </c>
      <c r="Q14" s="599">
        <f>LCFF!N46-S16-S18-SUM(E13:P14)</f>
        <v>2962664.5944756195</v>
      </c>
      <c r="R14" s="312"/>
      <c r="S14" s="311">
        <f>SUM(E14:Q14)</f>
        <v>31049174.237003572</v>
      </c>
      <c r="T14" s="304"/>
      <c r="U14" s="94">
        <f>'FY21-22'!S14</f>
        <v>28712906.867562208</v>
      </c>
      <c r="V14" s="94">
        <f>S14-U14</f>
        <v>2336267.369441364</v>
      </c>
    </row>
    <row r="15" spans="1:22" s="112" customFormat="1" ht="12" customHeight="1">
      <c r="A15" s="109"/>
      <c r="B15" s="109" t="s">
        <v>186</v>
      </c>
      <c r="C15" s="102">
        <v>8011</v>
      </c>
      <c r="D15" s="104" t="s">
        <v>258</v>
      </c>
      <c r="E15" s="94">
        <f t="shared" ref="E15:Q15" si="1">SUM(E13:E14)</f>
        <v>0</v>
      </c>
      <c r="F15" s="94">
        <f t="shared" si="1"/>
        <v>1475986.4786023183</v>
      </c>
      <c r="G15" s="94">
        <f t="shared" si="1"/>
        <v>1475986.4786023183</v>
      </c>
      <c r="H15" s="94">
        <f t="shared" si="1"/>
        <v>2656775.661484173</v>
      </c>
      <c r="I15" s="94">
        <f t="shared" si="1"/>
        <v>2656775.661484173</v>
      </c>
      <c r="J15" s="94">
        <f t="shared" si="1"/>
        <v>2656775.661484173</v>
      </c>
      <c r="K15" s="94">
        <f t="shared" si="1"/>
        <v>2656775.661484173</v>
      </c>
      <c r="L15" s="94">
        <f t="shared" si="1"/>
        <v>2656775.661484173</v>
      </c>
      <c r="M15" s="94">
        <f t="shared" si="1"/>
        <v>2962664.5944756144</v>
      </c>
      <c r="N15" s="94">
        <f t="shared" si="1"/>
        <v>2962664.5944756139</v>
      </c>
      <c r="O15" s="94">
        <f t="shared" si="1"/>
        <v>2962664.5944756139</v>
      </c>
      <c r="P15" s="94">
        <f t="shared" si="1"/>
        <v>2962664.5944756139</v>
      </c>
      <c r="Q15" s="606">
        <f t="shared" si="1"/>
        <v>2962664.5944756195</v>
      </c>
      <c r="R15" s="304"/>
      <c r="S15" s="625">
        <f>SUM(E15:Q15)</f>
        <v>31049174.237003572</v>
      </c>
      <c r="T15" s="304"/>
      <c r="U15" s="94">
        <f>'FY21-22'!S15</f>
        <v>28712906.867562208</v>
      </c>
      <c r="V15" s="94">
        <f>S15-U15</f>
        <v>2336267.369441364</v>
      </c>
    </row>
    <row r="16" spans="1:22" s="112" customFormat="1" ht="12" customHeight="1">
      <c r="A16" s="109"/>
      <c r="B16" s="109" t="s">
        <v>186</v>
      </c>
      <c r="C16" s="102">
        <v>8012</v>
      </c>
      <c r="D16" s="104" t="s">
        <v>257</v>
      </c>
      <c r="E16" s="94">
        <v>0</v>
      </c>
      <c r="F16" s="94">
        <v>0</v>
      </c>
      <c r="G16" s="94">
        <v>0</v>
      </c>
      <c r="H16" s="94">
        <f>'Multi-Year'!$L$16*0.25</f>
        <v>158073.99999999997</v>
      </c>
      <c r="I16" s="94">
        <v>0</v>
      </c>
      <c r="J16" s="94">
        <v>0</v>
      </c>
      <c r="K16" s="94">
        <f>'Multi-Year'!$L$16*0.25</f>
        <v>158073.99999999997</v>
      </c>
      <c r="L16" s="94">
        <v>0</v>
      </c>
      <c r="M16" s="94">
        <v>0</v>
      </c>
      <c r="N16" s="94">
        <f>'Multi-Year'!$N$16*0.75-SUM(E16:M16)</f>
        <v>181888.00000000006</v>
      </c>
      <c r="O16" s="94">
        <v>0</v>
      </c>
      <c r="P16" s="94">
        <v>0</v>
      </c>
      <c r="Q16" s="606">
        <f>'Multi-Year'!$N$16-SUM(E16:P16)</f>
        <v>166012</v>
      </c>
      <c r="R16" s="304"/>
      <c r="S16" s="625">
        <f t="shared" ref="S16:S18" si="2">SUM(E16:Q16)</f>
        <v>664048</v>
      </c>
      <c r="T16" s="304"/>
      <c r="U16" s="94">
        <f>'FY21-22'!S16</f>
        <v>632295.99999999988</v>
      </c>
      <c r="V16" s="94">
        <f>S16-U16</f>
        <v>31752.000000000116</v>
      </c>
    </row>
    <row r="17" spans="1:23" s="112" customFormat="1" ht="12" customHeight="1">
      <c r="A17" s="109"/>
      <c r="B17" s="109" t="s">
        <v>186</v>
      </c>
      <c r="C17" s="102">
        <v>8019</v>
      </c>
      <c r="D17" s="104" t="s">
        <v>259</v>
      </c>
      <c r="E17" s="94">
        <f>IF('FY21-22'!$S17&gt;0,'FY21-22'!E17/'FY21-22'!$S17*'Multi-Year'!$N17,0)+IF('FY21-22'!$S17&lt;0,'FY21-22'!E17/'FY21-22'!$S17*'Multi-Year'!$N17,0)</f>
        <v>0</v>
      </c>
      <c r="F17" s="94">
        <f>IF('FY21-22'!$S17&gt;0,'FY21-22'!F17/'FY21-22'!$S17*'Multi-Year'!$N17,0)+IF('FY21-22'!$S17&lt;0,'FY21-22'!F17/'FY21-22'!$S17*'Multi-Year'!$N17,0)</f>
        <v>0</v>
      </c>
      <c r="G17" s="94">
        <f>IF('FY21-22'!$S17&gt;0,'FY21-22'!G17/'FY21-22'!$S17*'Multi-Year'!$N17,0)+IF('FY21-22'!$S17&lt;0,'FY21-22'!G17/'FY21-22'!$S17*'Multi-Year'!$N17,0)</f>
        <v>0</v>
      </c>
      <c r="H17" s="94">
        <f>IF('FY21-22'!$S17&gt;0,'FY21-22'!H17/'FY21-22'!$S17*'Multi-Year'!$N17,0)+IF('FY21-22'!$S17&lt;0,'FY21-22'!H17/'FY21-22'!$S17*'Multi-Year'!$N17,0)</f>
        <v>0</v>
      </c>
      <c r="I17" s="94">
        <f>IF('FY21-22'!$S17&gt;0,'FY21-22'!I17/'FY21-22'!$S17*'Multi-Year'!$N17,0)+IF('FY21-22'!$S17&lt;0,'FY21-22'!I17/'FY21-22'!$S17*'Multi-Year'!$N17,0)</f>
        <v>0</v>
      </c>
      <c r="J17" s="94">
        <f>IF('FY21-22'!$S17&gt;0,'FY21-22'!J17/'FY21-22'!$S17*'Multi-Year'!$N17,0)+IF('FY21-22'!$S17&lt;0,'FY21-22'!J17/'FY21-22'!$S17*'Multi-Year'!$N17,0)</f>
        <v>0</v>
      </c>
      <c r="K17" s="94">
        <f>IF('FY21-22'!$S17&gt;0,'FY21-22'!K17/'FY21-22'!$S17*'Multi-Year'!$N17,0)+IF('FY21-22'!$S17&lt;0,'FY21-22'!K17/'FY21-22'!$S17*'Multi-Year'!$N17,0)</f>
        <v>0</v>
      </c>
      <c r="L17" s="94">
        <f>IF('FY21-22'!$S17&gt;0,'FY21-22'!L17/'FY21-22'!$S17*'Multi-Year'!$N17,0)+IF('FY21-22'!$S17&lt;0,'FY21-22'!L17/'FY21-22'!$S17*'Multi-Year'!$N17,0)</f>
        <v>0</v>
      </c>
      <c r="M17" s="94">
        <f>IF('FY21-22'!$S17&gt;0,'FY21-22'!M17/'FY21-22'!$S17*'Multi-Year'!$N17,0)+IF('FY21-22'!$S17&lt;0,'FY21-22'!M17/'FY21-22'!$S17*'Multi-Year'!$N17,0)</f>
        <v>0</v>
      </c>
      <c r="N17" s="94">
        <f>IF('FY21-22'!$S17&gt;0,'FY21-22'!N17/'FY21-22'!$S17*'Multi-Year'!$N17,0)+IF('FY21-22'!$S17&lt;0,'FY21-22'!N17/'FY21-22'!$S17*'Multi-Year'!$N17,0)</f>
        <v>0</v>
      </c>
      <c r="O17" s="94">
        <f>IF('FY21-22'!$S17&gt;0,'FY21-22'!O17/'FY21-22'!$S17*'Multi-Year'!$N17,0)+IF('FY21-22'!$S17&lt;0,'FY21-22'!O17/'FY21-22'!$S17*'Multi-Year'!$N17,0)</f>
        <v>0</v>
      </c>
      <c r="P17" s="94">
        <f>IF('FY21-22'!$S17&gt;0,'FY21-22'!P17/'FY21-22'!$S17*'Multi-Year'!$N17,0)+IF('FY21-22'!$S17&lt;0,'FY21-22'!P17/'FY21-22'!$S17*'Multi-Year'!$N17,0)</f>
        <v>0</v>
      </c>
      <c r="Q17" s="606">
        <f>IF('FY21-22'!$S17&gt;0,'FY21-22'!Q17/'FY21-22'!$S17*'Multi-Year'!$N17,0)+IF('FY21-22'!$S17&lt;0,'FY21-22'!Q17/'FY21-22'!$S17*'Multi-Year'!$N17,0)</f>
        <v>0</v>
      </c>
      <c r="R17" s="92"/>
      <c r="S17" s="625">
        <f t="shared" si="2"/>
        <v>0</v>
      </c>
      <c r="T17" s="92"/>
      <c r="U17" s="94">
        <f>'FY21-22'!S17</f>
        <v>0</v>
      </c>
      <c r="V17" s="94">
        <f t="shared" ref="V17" si="3">S17-U17</f>
        <v>0</v>
      </c>
    </row>
    <row r="18" spans="1:23" s="112" customFormat="1" ht="12" customHeight="1">
      <c r="A18" s="109"/>
      <c r="B18" s="109" t="s">
        <v>186</v>
      </c>
      <c r="C18" s="102">
        <v>8096</v>
      </c>
      <c r="D18" s="103" t="s">
        <v>8</v>
      </c>
      <c r="E18" s="356">
        <f>(E$7*(LCFF!$N$23-LCFF!$N$25)*('Multi-Year'!$N18/LCFF!$N$23))+(E$8*(LCFF!$N$25)*('Multi-Year'!$N18/LCFF!$N$23))</f>
        <v>52687.925198305442</v>
      </c>
      <c r="F18" s="356">
        <f>(F$7*(LCFF!$N$23-LCFF!$N$25)*('Multi-Year'!$N18/LCFF!$N$23))+(F$8*(LCFF!$N$25)*('Multi-Year'!$N18/LCFF!$N$23))</f>
        <v>105375.85039661088</v>
      </c>
      <c r="G18" s="356">
        <f>(G$7*(LCFF!$N$23-LCFF!$N$25)*('Multi-Year'!$N18/LCFF!$N$23))+(G$8*(LCFF!$N$25)*('Multi-Year'!$N18/LCFF!$N$23))</f>
        <v>70250.566931073918</v>
      </c>
      <c r="H18" s="356">
        <f>(H$7*(LCFF!$N$23-LCFF!$N$25)*('Multi-Year'!$N18/LCFF!$N$23))+(H$8*(LCFF!$N$25)*('Multi-Year'!$N18/LCFF!$N$23))</f>
        <v>70250.566931073918</v>
      </c>
      <c r="I18" s="356">
        <f>(I$7*(LCFF!$N$23-LCFF!$N$25)*('Multi-Year'!$N18/LCFF!$N$23))+(I$8*(LCFF!$N$25)*('Multi-Year'!$N18/LCFF!$N$23))</f>
        <v>70250.566931073918</v>
      </c>
      <c r="J18" s="356">
        <f>(J$7*(LCFF!$N$23-LCFF!$N$25)*('Multi-Year'!$N18/LCFF!$N$23))+(J$8*(LCFF!$N$25)*('Multi-Year'!$N18/LCFF!$N$23))</f>
        <v>70250.566931073918</v>
      </c>
      <c r="K18" s="356">
        <f>(K$7*(LCFF!$N$23-LCFF!$N$25)*('Multi-Year'!$N18/LCFF!$N$23))+(K$8*(LCFF!$N$25)*('Multi-Year'!$N18/LCFF!$N$23))</f>
        <v>70250.566931073918</v>
      </c>
      <c r="L18" s="94">
        <f>('Multi-Year'!$N18-SUM('FY22-23'!$E18:$K18))*L$7</f>
        <v>122938.49212937942</v>
      </c>
      <c r="M18" s="94">
        <f>('Multi-Year'!$N18-SUM('FY22-23'!$E18:$K18))*M$7</f>
        <v>61469.246064689709</v>
      </c>
      <c r="N18" s="94">
        <f>('Multi-Year'!$N18-SUM('FY22-23'!$E18:$K18))*N$7</f>
        <v>61469.246064689709</v>
      </c>
      <c r="O18" s="94">
        <f>('Multi-Year'!$N18-SUM('FY22-23'!$E18:$K18))*O$7</f>
        <v>61469.246064689709</v>
      </c>
      <c r="P18" s="94">
        <f>('Multi-Year'!$N18-SUM('FY22-23'!$E18:$K18))*P$7</f>
        <v>61469.246064689709</v>
      </c>
      <c r="Q18" s="606">
        <f>'Multi-Year'!N18-SUM('FY22-23'!E18:P18)</f>
        <v>0</v>
      </c>
      <c r="R18" s="304"/>
      <c r="S18" s="625">
        <f t="shared" si="2"/>
        <v>878132.08663842408</v>
      </c>
      <c r="T18" s="304"/>
      <c r="U18" s="94">
        <f>'FY21-22'!S18</f>
        <v>836143.48037058918</v>
      </c>
      <c r="V18" s="94">
        <f>S18-U18</f>
        <v>41988.606267834897</v>
      </c>
    </row>
    <row r="19" spans="1:23" s="95" customFormat="1" ht="12" customHeight="1">
      <c r="A19" s="96"/>
      <c r="B19" s="96" t="s">
        <v>186</v>
      </c>
      <c r="C19" s="102"/>
      <c r="D19" s="103"/>
      <c r="E19" s="215">
        <f>SUM(E15:E18)</f>
        <v>52687.925198305442</v>
      </c>
      <c r="F19" s="215">
        <f t="shared" ref="F19:Q19" si="4">SUM(F15:F18)</f>
        <v>1581362.3289989291</v>
      </c>
      <c r="G19" s="215">
        <f t="shared" si="4"/>
        <v>1546237.0455333923</v>
      </c>
      <c r="H19" s="215">
        <f t="shared" si="4"/>
        <v>2885100.2284152471</v>
      </c>
      <c r="I19" s="215">
        <f t="shared" si="4"/>
        <v>2727026.2284152471</v>
      </c>
      <c r="J19" s="215">
        <f t="shared" si="4"/>
        <v>2727026.2284152471</v>
      </c>
      <c r="K19" s="215">
        <f t="shared" si="4"/>
        <v>2885100.2284152471</v>
      </c>
      <c r="L19" s="215">
        <f t="shared" si="4"/>
        <v>2779714.1536135525</v>
      </c>
      <c r="M19" s="215">
        <f t="shared" si="4"/>
        <v>3024133.8405403038</v>
      </c>
      <c r="N19" s="215">
        <f t="shared" si="4"/>
        <v>3206021.8405403038</v>
      </c>
      <c r="O19" s="215">
        <f t="shared" si="4"/>
        <v>3024133.8405403038</v>
      </c>
      <c r="P19" s="215">
        <f t="shared" si="4"/>
        <v>3024133.8405403038</v>
      </c>
      <c r="Q19" s="603">
        <f t="shared" si="4"/>
        <v>3128676.5944756195</v>
      </c>
      <c r="R19" s="306"/>
      <c r="S19" s="626">
        <f>SUM(E19:R19)</f>
        <v>32591354.323642008</v>
      </c>
      <c r="T19" s="306"/>
      <c r="U19" s="216">
        <f>SUM(U15:U18)</f>
        <v>30181346.347932797</v>
      </c>
      <c r="V19" s="216">
        <f>SUM(V15:V18)</f>
        <v>2410007.975709199</v>
      </c>
    </row>
    <row r="20" spans="1:23" s="95" customFormat="1" ht="12.5" customHeight="1">
      <c r="A20" s="91"/>
      <c r="B20" s="91" t="s">
        <v>282</v>
      </c>
      <c r="C20" s="91"/>
      <c r="D20" s="91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602"/>
      <c r="R20" s="92"/>
      <c r="S20" s="627"/>
      <c r="T20" s="92"/>
      <c r="U20" s="92"/>
      <c r="V20" s="92"/>
    </row>
    <row r="21" spans="1:23" s="95" customFormat="1" ht="12" customHeight="1">
      <c r="A21" s="91"/>
      <c r="B21" s="91" t="s">
        <v>186</v>
      </c>
      <c r="C21" s="102">
        <v>8181</v>
      </c>
      <c r="D21" s="105" t="s">
        <v>315</v>
      </c>
      <c r="E21" s="94">
        <v>0</v>
      </c>
      <c r="F21" s="94">
        <f>LCFF!$L$23*'Revenue Inputs'!$G$7*'FY22-23'!E$9+LCFF!$N$25*'Revenue Inputs'!$G$7*'FY22-23'!E$8</f>
        <v>16439.695999999996</v>
      </c>
      <c r="G21" s="94">
        <f>LCFF!$L$23*'Revenue Inputs'!$G$7*'FY22-23'!F$9+LCFF!$N$25*'Revenue Inputs'!$G$7*'FY22-23'!F$8</f>
        <v>16439.695999999996</v>
      </c>
      <c r="H21" s="94">
        <f>LCFF!$L$23*'Revenue Inputs'!$G$7*'FY22-23'!G$9+LCFF!$N$25*'Revenue Inputs'!$G$7*'FY22-23'!G$8</f>
        <v>29591.452799999992</v>
      </c>
      <c r="I21" s="94">
        <f>LCFF!$L$23*'Revenue Inputs'!$G$7*'FY22-23'!H$9+LCFF!$N$25*'Revenue Inputs'!$G$7*'FY22-23'!H$8</f>
        <v>29591.452799999992</v>
      </c>
      <c r="J21" s="94">
        <f>LCFF!$L$23*'Revenue Inputs'!$G$7*'FY22-23'!I$9+LCFF!$N$25*'Revenue Inputs'!$G$7*'FY22-23'!I$8</f>
        <v>29591.452799999992</v>
      </c>
      <c r="K21" s="94">
        <f>LCFF!$L$23*'Revenue Inputs'!$G$7*'FY22-23'!J$9+LCFF!$N$25*'Revenue Inputs'!$G$7*'FY22-23'!J$8</f>
        <v>29591.452799999992</v>
      </c>
      <c r="L21" s="94">
        <f>LCFF!$L$23*'Revenue Inputs'!$G$7*'FY22-23'!K$9+LCFF!$N$25*'Revenue Inputs'!$G$7*'FY22-23'!K$8</f>
        <v>29591.452799999992</v>
      </c>
      <c r="M21" s="94">
        <f>(LCFF!$N$23*'Revenue Inputs'!$G$7-SUM($E$21:$L$21))*'FY22-23'!L$9</f>
        <v>32893.660800000005</v>
      </c>
      <c r="N21" s="94">
        <f>(LCFF!$N$23*'Revenue Inputs'!$G$7-SUM($E$21:$L$21))*'FY22-23'!M$9</f>
        <v>32893.660800000005</v>
      </c>
      <c r="O21" s="94">
        <f>(LCFF!$N$23*'Revenue Inputs'!$G$7-SUM($E$21:$L$21))*'FY22-23'!N$9</f>
        <v>32893.660800000005</v>
      </c>
      <c r="P21" s="94">
        <f>(LCFF!$N$23*'Revenue Inputs'!$G$7-SUM($E$21:$L$21))*'FY22-23'!O$9</f>
        <v>32893.660800000005</v>
      </c>
      <c r="Q21" s="606">
        <f>'Multi-Year'!N21-SUM('FY22-23'!E21:P21)</f>
        <v>32893.660799999896</v>
      </c>
      <c r="R21" s="304"/>
      <c r="S21" s="625">
        <f t="shared" ref="S21:S29" si="5">SUM(E21:Q21)</f>
        <v>345304.9599999999</v>
      </c>
      <c r="T21" s="304"/>
      <c r="U21" s="94">
        <f>'FY21-22'!S21</f>
        <v>328793.91999999993</v>
      </c>
      <c r="V21" s="94">
        <f t="shared" ref="V21:V52" si="6">S21-U21</f>
        <v>16511.039999999979</v>
      </c>
    </row>
    <row r="22" spans="1:23" s="95" customFormat="1" ht="12" customHeight="1">
      <c r="A22" s="91"/>
      <c r="B22" s="91" t="s">
        <v>186</v>
      </c>
      <c r="C22" s="102">
        <v>8182</v>
      </c>
      <c r="D22" s="105" t="s">
        <v>270</v>
      </c>
      <c r="E22" s="94">
        <f>IF('FY21-22'!$S22&gt;0,'FY21-22'!E22/'FY21-22'!$S22*'Multi-Year'!$N22,0)+IF('FY21-22'!$S22&lt;0,'FY21-22'!E22/'FY21-22'!$S22*'Multi-Year'!$N22,0)</f>
        <v>0</v>
      </c>
      <c r="F22" s="94">
        <f>IF('FY21-22'!$S22&gt;0,'FY21-22'!F22/'FY21-22'!$S22*'Multi-Year'!$N22,0)+IF('FY21-22'!$S22&lt;0,'FY21-22'!F22/'FY21-22'!$S22*'Multi-Year'!$N22,0)</f>
        <v>0</v>
      </c>
      <c r="G22" s="94">
        <f>IF('FY21-22'!$S22&gt;0,'FY21-22'!G22/'FY21-22'!$S22*'Multi-Year'!$N22,0)+IF('FY21-22'!$S22&lt;0,'FY21-22'!G22/'FY21-22'!$S22*'Multi-Year'!$N22,0)</f>
        <v>0</v>
      </c>
      <c r="H22" s="94">
        <f>IF('FY21-22'!$S22&gt;0,'FY21-22'!H22/'FY21-22'!$S22*'Multi-Year'!$N22,0)+IF('FY21-22'!$S22&lt;0,'FY21-22'!H22/'FY21-22'!$S22*'Multi-Year'!$N22,0)</f>
        <v>0</v>
      </c>
      <c r="I22" s="94">
        <f>IF('FY21-22'!$S22&gt;0,'FY21-22'!I22/'FY21-22'!$S22*'Multi-Year'!$N22,0)+IF('FY21-22'!$S22&lt;0,'FY21-22'!I22/'FY21-22'!$S22*'Multi-Year'!$N22,0)</f>
        <v>0</v>
      </c>
      <c r="J22" s="94">
        <f>IF('FY21-22'!$S22&gt;0,'FY21-22'!J22/'FY21-22'!$S22*'Multi-Year'!$N22,0)+IF('FY21-22'!$S22&lt;0,'FY21-22'!J22/'FY21-22'!$S22*'Multi-Year'!$N22,0)</f>
        <v>0</v>
      </c>
      <c r="K22" s="94">
        <f>IF('FY21-22'!$S22&gt;0,'FY21-22'!K22/'FY21-22'!$S22*'Multi-Year'!$N22,0)+IF('FY21-22'!$S22&lt;0,'FY21-22'!K22/'FY21-22'!$S22*'Multi-Year'!$N22,0)</f>
        <v>0</v>
      </c>
      <c r="L22" s="94">
        <f>IF('FY21-22'!$S22&gt;0,'FY21-22'!L22/'FY21-22'!$S22*'Multi-Year'!$N22,0)+IF('FY21-22'!$S22&lt;0,'FY21-22'!L22/'FY21-22'!$S22*'Multi-Year'!$N22,0)</f>
        <v>0</v>
      </c>
      <c r="M22" s="94">
        <f>IF('FY21-22'!$S22&gt;0,'FY21-22'!M22/'FY21-22'!$S22*'Multi-Year'!$N22,0)+IF('FY21-22'!$S22&lt;0,'FY21-22'!M22/'FY21-22'!$S22*'Multi-Year'!$N22,0)</f>
        <v>0</v>
      </c>
      <c r="N22" s="94">
        <f>IF('FY21-22'!$S22&gt;0,'FY21-22'!N22/'FY21-22'!$S22*'Multi-Year'!$N22,0)+IF('FY21-22'!$S22&lt;0,'FY21-22'!N22/'FY21-22'!$S22*'Multi-Year'!$N22,0)</f>
        <v>0</v>
      </c>
      <c r="O22" s="94">
        <f>IF('FY21-22'!$S22&gt;0,'FY21-22'!O22/'FY21-22'!$S22*'Multi-Year'!$N22,0)+IF('FY21-22'!$S22&lt;0,'FY21-22'!O22/'FY21-22'!$S22*'Multi-Year'!$N22,0)</f>
        <v>0</v>
      </c>
      <c r="P22" s="94">
        <f>IF('FY21-22'!$S22&gt;0,'FY21-22'!P22/'FY21-22'!$S22*'Multi-Year'!$N22,0)+IF('FY21-22'!$S22&lt;0,'FY21-22'!P22/'FY21-22'!$S22*'Multi-Year'!$N22,0)</f>
        <v>0</v>
      </c>
      <c r="Q22" s="606">
        <f>IF('FY21-22'!$S22&gt;0,'FY21-22'!Q22/'FY21-22'!$S22*'Multi-Year'!$N22,0)+IF('FY21-22'!$S22&lt;0,'FY21-22'!Q22/'FY21-22'!$S22*'Multi-Year'!$N22,0)</f>
        <v>0</v>
      </c>
      <c r="R22" s="304"/>
      <c r="S22" s="625">
        <f t="shared" si="5"/>
        <v>0</v>
      </c>
      <c r="T22" s="304"/>
      <c r="U22" s="94">
        <f>'FY21-22'!S22</f>
        <v>0</v>
      </c>
      <c r="V22" s="94">
        <f t="shared" si="6"/>
        <v>0</v>
      </c>
    </row>
    <row r="23" spans="1:23" s="95" customFormat="1" ht="12" customHeight="1">
      <c r="A23" s="91"/>
      <c r="B23" s="91" t="s">
        <v>186</v>
      </c>
      <c r="C23" s="102">
        <v>8220</v>
      </c>
      <c r="D23" s="103" t="s">
        <v>12</v>
      </c>
      <c r="E23" s="94">
        <v>0</v>
      </c>
      <c r="F23" s="94">
        <v>0</v>
      </c>
      <c r="G23" s="94">
        <f>'Multi-Year'!$N23*0.05</f>
        <v>0</v>
      </c>
      <c r="H23" s="94">
        <f>'Multi-Year'!$N23*0.05</f>
        <v>0</v>
      </c>
      <c r="I23" s="94">
        <f>'Multi-Year'!$N23*0.1</f>
        <v>0</v>
      </c>
      <c r="J23" s="94">
        <f>'Multi-Year'!$N23*0.1</f>
        <v>0</v>
      </c>
      <c r="K23" s="94">
        <f>'Multi-Year'!$N23*0.1</f>
        <v>0</v>
      </c>
      <c r="L23" s="94">
        <f>'Multi-Year'!$N23*0.1</f>
        <v>0</v>
      </c>
      <c r="M23" s="94">
        <f>'Multi-Year'!$N23*0.1</f>
        <v>0</v>
      </c>
      <c r="N23" s="94">
        <f>'Multi-Year'!$N23*0.1</f>
        <v>0</v>
      </c>
      <c r="O23" s="94">
        <f>'Multi-Year'!$N23*0.1</f>
        <v>0</v>
      </c>
      <c r="P23" s="94">
        <f>'Multi-Year'!$N23*0.1</f>
        <v>0</v>
      </c>
      <c r="Q23" s="606">
        <f>'Multi-Year'!N23-SUM('FY22-23'!E23:P23)</f>
        <v>0</v>
      </c>
      <c r="R23" s="92"/>
      <c r="S23" s="625">
        <f t="shared" si="5"/>
        <v>0</v>
      </c>
      <c r="T23" s="92"/>
      <c r="U23" s="94">
        <f>'FY21-22'!S23</f>
        <v>0</v>
      </c>
      <c r="V23" s="94">
        <f t="shared" si="6"/>
        <v>0</v>
      </c>
    </row>
    <row r="24" spans="1:23" s="95" customFormat="1" ht="12" customHeight="1">
      <c r="A24" s="91"/>
      <c r="B24" s="91" t="s">
        <v>186</v>
      </c>
      <c r="C24" s="102">
        <v>8290</v>
      </c>
      <c r="D24" s="103" t="s">
        <v>116</v>
      </c>
      <c r="E24" s="94">
        <v>0</v>
      </c>
      <c r="F24" s="94">
        <v>0</v>
      </c>
      <c r="G24" s="94">
        <f>'Multi-Year'!$N24*0.25</f>
        <v>0</v>
      </c>
      <c r="H24" s="94">
        <v>0</v>
      </c>
      <c r="I24" s="94">
        <v>0</v>
      </c>
      <c r="J24" s="94">
        <f>'Multi-Year'!$N24*0.25</f>
        <v>0</v>
      </c>
      <c r="K24" s="94">
        <v>0</v>
      </c>
      <c r="L24" s="94">
        <v>0</v>
      </c>
      <c r="M24" s="94">
        <f>'Multi-Year'!$N24*0.25</f>
        <v>0</v>
      </c>
      <c r="N24" s="94">
        <v>0</v>
      </c>
      <c r="O24" s="94">
        <v>0</v>
      </c>
      <c r="P24" s="94">
        <v>0</v>
      </c>
      <c r="Q24" s="606">
        <f>'Multi-Year'!N24-SUM('FY22-23'!E24:P24)</f>
        <v>0</v>
      </c>
      <c r="R24" s="107"/>
      <c r="S24" s="625">
        <f t="shared" si="5"/>
        <v>0</v>
      </c>
      <c r="T24" s="107"/>
      <c r="U24" s="94">
        <f>'FY21-22'!S24</f>
        <v>0</v>
      </c>
      <c r="V24" s="94">
        <f t="shared" si="6"/>
        <v>0</v>
      </c>
    </row>
    <row r="25" spans="1:23" s="95" customFormat="1" ht="12" customHeight="1">
      <c r="A25" s="91"/>
      <c r="B25" s="91" t="s">
        <v>186</v>
      </c>
      <c r="C25" s="102">
        <v>8291</v>
      </c>
      <c r="D25" s="103" t="s">
        <v>117</v>
      </c>
      <c r="E25" s="94">
        <f>IF('FY19-20'!E25&gt;0,'FY19-20'!E25/'FY19-20'!$S25*'Multi-Year'!$J25,0)</f>
        <v>0</v>
      </c>
      <c r="F25" s="94">
        <f>IF('FY19-20'!F25&gt;0,'FY19-20'!F25/'FY19-20'!$S25*'Multi-Year'!$J25,0)</f>
        <v>0</v>
      </c>
      <c r="G25" s="94">
        <f>'Multi-Year'!$N25*0.25</f>
        <v>0</v>
      </c>
      <c r="H25" s="94">
        <f>IF('FY19-20'!H25&gt;0,'FY19-20'!H25/'FY19-20'!$S25*'Multi-Year'!$J25,0)</f>
        <v>0</v>
      </c>
      <c r="I25" s="94">
        <f>IF('FY19-20'!I25&gt;0,'FY19-20'!I25/'FY19-20'!$S25*'Multi-Year'!$J25,0)</f>
        <v>0</v>
      </c>
      <c r="J25" s="94">
        <f>'Multi-Year'!$N25*0.25</f>
        <v>0</v>
      </c>
      <c r="K25" s="94">
        <f>IF('FY19-20'!K25&gt;0,'FY19-20'!K25/'FY19-20'!$S25*'Multi-Year'!$J25,0)</f>
        <v>0</v>
      </c>
      <c r="L25" s="94">
        <f>IF('FY19-20'!L25&gt;0,'FY19-20'!L25/'FY19-20'!$S25*'Multi-Year'!$J25,0)</f>
        <v>0</v>
      </c>
      <c r="M25" s="94">
        <f>'Multi-Year'!$N25*0.25</f>
        <v>0</v>
      </c>
      <c r="N25" s="94">
        <f>IF('FY19-20'!N25&gt;0,'FY19-20'!N25/'FY19-20'!$S25*'Multi-Year'!$J25,0)</f>
        <v>0</v>
      </c>
      <c r="O25" s="94">
        <f>IF('FY19-20'!O25&gt;0,'FY19-20'!O25/'FY19-20'!$S25*'Multi-Year'!$J25,0)</f>
        <v>0</v>
      </c>
      <c r="P25" s="94">
        <v>0</v>
      </c>
      <c r="Q25" s="606">
        <f>'Multi-Year'!N25-SUM('FY22-23'!E25:P25)</f>
        <v>0</v>
      </c>
      <c r="R25" s="92"/>
      <c r="S25" s="625">
        <f t="shared" si="5"/>
        <v>0</v>
      </c>
      <c r="T25" s="92"/>
      <c r="U25" s="94">
        <f>'FY21-22'!S25</f>
        <v>0</v>
      </c>
      <c r="V25" s="94">
        <f t="shared" si="6"/>
        <v>0</v>
      </c>
    </row>
    <row r="26" spans="1:23" s="95" customFormat="1" ht="12" customHeight="1">
      <c r="A26" s="91"/>
      <c r="B26" s="91" t="s">
        <v>186</v>
      </c>
      <c r="C26" s="102">
        <v>8293</v>
      </c>
      <c r="D26" s="103" t="s">
        <v>118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f>'Multi-Year'!L26</f>
        <v>0</v>
      </c>
      <c r="Q26" s="606">
        <f>'Multi-Year'!N26-SUM('FY22-23'!E26:P26)</f>
        <v>0</v>
      </c>
      <c r="R26" s="92"/>
      <c r="S26" s="625">
        <f t="shared" si="5"/>
        <v>0</v>
      </c>
      <c r="T26" s="92"/>
      <c r="U26" s="94">
        <f>'FY21-22'!S26</f>
        <v>0</v>
      </c>
      <c r="V26" s="94">
        <f t="shared" si="6"/>
        <v>0</v>
      </c>
    </row>
    <row r="27" spans="1:23" s="95" customFormat="1" ht="12" customHeight="1">
      <c r="A27" s="91"/>
      <c r="B27" s="91" t="s">
        <v>186</v>
      </c>
      <c r="C27" s="102">
        <v>8294</v>
      </c>
      <c r="D27" s="108" t="s">
        <v>263</v>
      </c>
      <c r="E27" s="94">
        <v>0</v>
      </c>
      <c r="F27" s="94">
        <v>0</v>
      </c>
      <c r="G27" s="94">
        <f>'Multi-Year'!$N27*0.25</f>
        <v>0</v>
      </c>
      <c r="H27" s="94">
        <v>0</v>
      </c>
      <c r="I27" s="94">
        <v>0</v>
      </c>
      <c r="J27" s="94">
        <f>'Multi-Year'!$N27*0.25</f>
        <v>0</v>
      </c>
      <c r="K27" s="94">
        <v>0</v>
      </c>
      <c r="L27" s="94">
        <v>0</v>
      </c>
      <c r="M27" s="94">
        <f>'Multi-Year'!$N27*0.25</f>
        <v>0</v>
      </c>
      <c r="N27" s="94">
        <v>0</v>
      </c>
      <c r="O27" s="94">
        <v>0</v>
      </c>
      <c r="P27" s="94">
        <f>'Multi-Year'!$N27*0.25</f>
        <v>0</v>
      </c>
      <c r="Q27" s="606">
        <f>'Multi-Year'!N27-SUM('FY22-23'!E27:P27)</f>
        <v>0</v>
      </c>
      <c r="R27" s="92"/>
      <c r="S27" s="625">
        <f t="shared" si="5"/>
        <v>0</v>
      </c>
      <c r="T27" s="92"/>
      <c r="U27" s="94">
        <f>'FY21-22'!S27</f>
        <v>0</v>
      </c>
      <c r="V27" s="94">
        <f t="shared" si="6"/>
        <v>0</v>
      </c>
    </row>
    <row r="28" spans="1:23" s="95" customFormat="1" ht="12" customHeight="1">
      <c r="A28" s="91"/>
      <c r="B28" s="91" t="s">
        <v>186</v>
      </c>
      <c r="C28" s="102">
        <v>8295</v>
      </c>
      <c r="D28" s="103" t="s">
        <v>264</v>
      </c>
      <c r="E28" s="94">
        <f>'Multi-Year'!$N$28/12</f>
        <v>0</v>
      </c>
      <c r="F28" s="94">
        <f>'Multi-Year'!$N$28/12</f>
        <v>0</v>
      </c>
      <c r="G28" s="94">
        <f>'Multi-Year'!$N$28/12</f>
        <v>0</v>
      </c>
      <c r="H28" s="94">
        <f>'Multi-Year'!$N$28/12</f>
        <v>0</v>
      </c>
      <c r="I28" s="94">
        <f>'Multi-Year'!$N$28/12</f>
        <v>0</v>
      </c>
      <c r="J28" s="94">
        <f>'Multi-Year'!$N$28/12</f>
        <v>0</v>
      </c>
      <c r="K28" s="94">
        <f>'Multi-Year'!$N$28/12</f>
        <v>0</v>
      </c>
      <c r="L28" s="94">
        <f>'Multi-Year'!$N$28/12</f>
        <v>0</v>
      </c>
      <c r="M28" s="94">
        <f>'Multi-Year'!$N$28/12</f>
        <v>0</v>
      </c>
      <c r="N28" s="94">
        <f>'Multi-Year'!$N$28/12</f>
        <v>0</v>
      </c>
      <c r="O28" s="94">
        <f>'Multi-Year'!$N$28/12</f>
        <v>0</v>
      </c>
      <c r="P28" s="94">
        <f>'Multi-Year'!$N$28/12</f>
        <v>0</v>
      </c>
      <c r="Q28" s="606">
        <f>'Multi-Year'!N28-SUM('FY22-23'!E28:P28)</f>
        <v>0</v>
      </c>
      <c r="R28" s="92"/>
      <c r="S28" s="625">
        <f t="shared" si="5"/>
        <v>0</v>
      </c>
      <c r="T28" s="92"/>
      <c r="U28" s="94">
        <f>'FY21-22'!S28</f>
        <v>0</v>
      </c>
      <c r="V28" s="94">
        <f t="shared" si="6"/>
        <v>0</v>
      </c>
    </row>
    <row r="29" spans="1:23" s="95" customFormat="1" ht="12" customHeight="1">
      <c r="A29" s="91"/>
      <c r="B29" s="91" t="s">
        <v>186</v>
      </c>
      <c r="C29" s="102">
        <v>8296</v>
      </c>
      <c r="D29" s="103" t="s">
        <v>133</v>
      </c>
      <c r="E29" s="94">
        <f>IF('FY21-22'!$S29&gt;0,'FY21-22'!E29/'FY21-22'!$S29*'Multi-Year'!$N29,0)+IF('FY21-22'!$S29&lt;0,'FY21-22'!E29/'FY21-22'!$S29*'Multi-Year'!$N29,0)</f>
        <v>0</v>
      </c>
      <c r="F29" s="94">
        <f>IF('FY21-22'!$S29&gt;0,'FY21-22'!F29/'FY21-22'!$S29*'Multi-Year'!$N29,0)+IF('FY21-22'!$S29&lt;0,'FY21-22'!F29/'FY21-22'!$S29*'Multi-Year'!$N29,0)</f>
        <v>0</v>
      </c>
      <c r="G29" s="94">
        <f>IF('FY21-22'!$S29&gt;0,'FY21-22'!G29/'FY21-22'!$S29*'Multi-Year'!$N29,0)+IF('FY21-22'!$S29&lt;0,'FY21-22'!G29/'FY21-22'!$S29*'Multi-Year'!$N29,0)</f>
        <v>0</v>
      </c>
      <c r="H29" s="94">
        <f>IF('FY21-22'!$S29&gt;0,'FY21-22'!H29/'FY21-22'!$S29*'Multi-Year'!$N29,0)+IF('FY21-22'!$S29&lt;0,'FY21-22'!H29/'FY21-22'!$S29*'Multi-Year'!$N29,0)</f>
        <v>0</v>
      </c>
      <c r="I29" s="94">
        <f>IF('FY21-22'!$S29&gt;0,'FY21-22'!I29/'FY21-22'!$S29*'Multi-Year'!$N29,0)+IF('FY21-22'!$S29&lt;0,'FY21-22'!I29/'FY21-22'!$S29*'Multi-Year'!$N29,0)</f>
        <v>0</v>
      </c>
      <c r="J29" s="94">
        <f>IF('FY21-22'!$S29&gt;0,'FY21-22'!J29/'FY21-22'!$S29*'Multi-Year'!$N29,0)+IF('FY21-22'!$S29&lt;0,'FY21-22'!J29/'FY21-22'!$S29*'Multi-Year'!$N29,0)</f>
        <v>0</v>
      </c>
      <c r="K29" s="94">
        <f>IF('FY21-22'!$S29&gt;0,'FY21-22'!K29/'FY21-22'!$S29*'Multi-Year'!$N29,0)+IF('FY21-22'!$S29&lt;0,'FY21-22'!K29/'FY21-22'!$S29*'Multi-Year'!$N29,0)</f>
        <v>0</v>
      </c>
      <c r="L29" s="94">
        <f>IF('FY21-22'!$S29&gt;0,'FY21-22'!L29/'FY21-22'!$S29*'Multi-Year'!$N29,0)+IF('FY21-22'!$S29&lt;0,'FY21-22'!L29/'FY21-22'!$S29*'Multi-Year'!$N29,0)</f>
        <v>0</v>
      </c>
      <c r="M29" s="94">
        <f>IF('FY21-22'!$S29&gt;0,'FY21-22'!M29/'FY21-22'!$S29*'Multi-Year'!$N29,0)+IF('FY21-22'!$S29&lt;0,'FY21-22'!M29/'FY21-22'!$S29*'Multi-Year'!$N29,0)</f>
        <v>0</v>
      </c>
      <c r="N29" s="94">
        <f>IF('FY21-22'!$S29&gt;0,'FY21-22'!N29/'FY21-22'!$S29*'Multi-Year'!$N29,0)+IF('FY21-22'!$S29&lt;0,'FY21-22'!N29/'FY21-22'!$S29*'Multi-Year'!$N29,0)</f>
        <v>143626.88382028684</v>
      </c>
      <c r="O29" s="94">
        <f>IF('FY21-22'!$S29&gt;0,'FY21-22'!O29/'FY21-22'!$S29*'Multi-Year'!$N29,0)+IF('FY21-22'!$S29&lt;0,'FY21-22'!O29/'FY21-22'!$S29*'Multi-Year'!$N29,0)</f>
        <v>0</v>
      </c>
      <c r="P29" s="94">
        <f>IF('FY21-22'!$S29&gt;0,'FY21-22'!P29/'FY21-22'!$S29*'Multi-Year'!$N29,0)+IF('FY21-22'!$S29&lt;0,'FY21-22'!P29/'FY21-22'!$S29*'Multi-Year'!$N29,0)</f>
        <v>62751.644887302158</v>
      </c>
      <c r="Q29" s="606">
        <f>IF('FY21-22'!$S29&gt;0,'FY21-22'!Q29/'FY21-22'!$S29*'Multi-Year'!$N29,0)+IF('FY21-22'!$S29&lt;0,'FY21-22'!Q29/'FY21-22'!$S29*'Multi-Year'!$N29,0)</f>
        <v>0</v>
      </c>
      <c r="R29" s="92"/>
      <c r="S29" s="625">
        <f t="shared" si="5"/>
        <v>206378.52870758899</v>
      </c>
      <c r="T29" s="92"/>
      <c r="U29" s="94">
        <f>'FY21-22'!S29</f>
        <v>196510.37001495931</v>
      </c>
      <c r="V29" s="94">
        <f t="shared" si="6"/>
        <v>9868.1586926296877</v>
      </c>
    </row>
    <row r="30" spans="1:23" s="95" customFormat="1" ht="12" customHeight="1">
      <c r="A30" s="91"/>
      <c r="B30" s="91"/>
      <c r="C30" s="102">
        <v>8299</v>
      </c>
      <c r="D30" s="103" t="s">
        <v>385</v>
      </c>
      <c r="E30" s="94">
        <f>IF('FY21-22'!$S30&gt;0,'FY21-22'!E30/'FY21-22'!$S30*'Multi-Year'!$N30,0)+IF('FY21-22'!$S30&lt;0,'FY21-22'!E30/'FY21-22'!$S30*'Multi-Year'!$N30,0)</f>
        <v>0</v>
      </c>
      <c r="F30" s="94">
        <f>IF('FY21-22'!$S30&gt;0,'FY21-22'!F30/'FY21-22'!$S30*'Multi-Year'!$N30,0)+IF('FY21-22'!$S30&lt;0,'FY21-22'!F30/'FY21-22'!$S30*'Multi-Year'!$N30,0)</f>
        <v>0</v>
      </c>
      <c r="G30" s="94">
        <f>IF('FY21-22'!$S30&gt;0,'FY21-22'!G30/'FY21-22'!$S30*'Multi-Year'!$N30,0)+IF('FY21-22'!$S30&lt;0,'FY21-22'!G30/'FY21-22'!$S30*'Multi-Year'!$N30,0)</f>
        <v>0</v>
      </c>
      <c r="H30" s="94">
        <f>IF('FY21-22'!$S30&gt;0,'FY21-22'!H30/'FY21-22'!$S30*'Multi-Year'!$N30,0)+IF('FY21-22'!$S30&lt;0,'FY21-22'!H30/'FY21-22'!$S30*'Multi-Year'!$N30,0)</f>
        <v>0</v>
      </c>
      <c r="I30" s="94">
        <f>IF('FY21-22'!$S30&gt;0,'FY21-22'!I30/'FY21-22'!$S30*'Multi-Year'!$N30,0)+IF('FY21-22'!$S30&lt;0,'FY21-22'!I30/'FY21-22'!$S30*'Multi-Year'!$N30,0)</f>
        <v>0</v>
      </c>
      <c r="J30" s="94">
        <f>IF('FY21-22'!$S30&gt;0,'FY21-22'!J30/'FY21-22'!$S30*'Multi-Year'!$N30,0)+IF('FY21-22'!$S30&lt;0,'FY21-22'!J30/'FY21-22'!$S30*'Multi-Year'!$N30,0)</f>
        <v>0</v>
      </c>
      <c r="K30" s="94">
        <f>IF('FY21-22'!$S30&gt;0,'FY21-22'!K30/'FY21-22'!$S30*'Multi-Year'!$N30,0)+IF('FY21-22'!$S30&lt;0,'FY21-22'!K30/'FY21-22'!$S30*'Multi-Year'!$N30,0)</f>
        <v>0</v>
      </c>
      <c r="L30" s="94">
        <f>IF('FY21-22'!$S30&gt;0,'FY21-22'!L30/'FY21-22'!$S30*'Multi-Year'!$N30,0)+IF('FY21-22'!$S30&lt;0,'FY21-22'!L30/'FY21-22'!$S30*'Multi-Year'!$N30,0)</f>
        <v>0</v>
      </c>
      <c r="M30" s="94">
        <f>IF('FY21-22'!$S30&gt;0,'FY21-22'!M30/'FY21-22'!$S30*'Multi-Year'!$N30,0)+IF('FY21-22'!$S30&lt;0,'FY21-22'!M30/'FY21-22'!$S30*'Multi-Year'!$N30,0)</f>
        <v>0</v>
      </c>
      <c r="N30" s="94">
        <f>IF('FY21-22'!$S30&gt;0,'FY21-22'!N30/'FY21-22'!$S30*'Multi-Year'!$N30,0)+IF('FY21-22'!$S30&lt;0,'FY21-22'!N30/'FY21-22'!$S30*'Multi-Year'!$N30,0)</f>
        <v>0</v>
      </c>
      <c r="O30" s="94">
        <f>IF('FY21-22'!$S30&gt;0,'FY21-22'!O30/'FY21-22'!$S30*'Multi-Year'!$N30,0)+IF('FY21-22'!$S30&lt;0,'FY21-22'!O30/'FY21-22'!$S30*'Multi-Year'!$N30,0)</f>
        <v>0</v>
      </c>
      <c r="P30" s="94">
        <f>IF('FY21-22'!$S30&gt;0,'FY21-22'!P30/'FY21-22'!$S30*'Multi-Year'!$N30,0)+IF('FY21-22'!$S30&lt;0,'FY21-22'!P30/'FY21-22'!$S30*'Multi-Year'!$N30,0)</f>
        <v>0</v>
      </c>
      <c r="Q30" s="606">
        <f>IF('FY21-22'!$S30&gt;0,'FY21-22'!Q30/'FY21-22'!$S30*'Multi-Year'!$N30,0)+IF('FY21-22'!$S30&lt;0,'FY21-22'!Q30/'FY21-22'!$S30*'Multi-Year'!$N30,0)</f>
        <v>0</v>
      </c>
      <c r="R30" s="92"/>
      <c r="S30" s="625">
        <f t="shared" ref="S30" si="7">SUM(E30:Q30)</f>
        <v>0</v>
      </c>
      <c r="T30" s="92"/>
      <c r="U30" s="94">
        <f>'FY21-22'!S30</f>
        <v>0</v>
      </c>
      <c r="V30" s="94">
        <f t="shared" ref="V30" si="8">S30-U30</f>
        <v>0</v>
      </c>
    </row>
    <row r="31" spans="1:23" s="112" customFormat="1" ht="12" customHeight="1">
      <c r="A31" s="109"/>
      <c r="B31" s="109" t="s">
        <v>186</v>
      </c>
      <c r="C31" s="109"/>
      <c r="D31" s="110"/>
      <c r="E31" s="307">
        <f>SUM(E21:E30)</f>
        <v>0</v>
      </c>
      <c r="F31" s="307">
        <f t="shared" ref="F31:P31" si="9">SUM(F21:F30)</f>
        <v>16439.695999999996</v>
      </c>
      <c r="G31" s="307">
        <f t="shared" si="9"/>
        <v>16439.695999999996</v>
      </c>
      <c r="H31" s="307">
        <f t="shared" si="9"/>
        <v>29591.452799999992</v>
      </c>
      <c r="I31" s="307">
        <f t="shared" si="9"/>
        <v>29591.452799999992</v>
      </c>
      <c r="J31" s="307">
        <f t="shared" si="9"/>
        <v>29591.452799999992</v>
      </c>
      <c r="K31" s="307">
        <f t="shared" si="9"/>
        <v>29591.452799999992</v>
      </c>
      <c r="L31" s="307">
        <f t="shared" si="9"/>
        <v>29591.452799999992</v>
      </c>
      <c r="M31" s="307">
        <f t="shared" si="9"/>
        <v>32893.660800000005</v>
      </c>
      <c r="N31" s="307">
        <f t="shared" si="9"/>
        <v>176520.54462028685</v>
      </c>
      <c r="O31" s="307">
        <f t="shared" si="9"/>
        <v>32893.660800000005</v>
      </c>
      <c r="P31" s="307">
        <f t="shared" si="9"/>
        <v>95645.305687302171</v>
      </c>
      <c r="Q31" s="615">
        <f>SUM(Q21:Q30)</f>
        <v>32893.660799999896</v>
      </c>
      <c r="R31" s="304"/>
      <c r="S31" s="628">
        <f>SUM(S21:S30)</f>
        <v>551683.48870758887</v>
      </c>
      <c r="T31" s="304"/>
      <c r="U31" s="308">
        <f>SUM(U21:U30)</f>
        <v>525304.29001495917</v>
      </c>
      <c r="V31" s="308">
        <f>SUM(V21:V30)</f>
        <v>26379.198692629667</v>
      </c>
      <c r="W31" s="95"/>
    </row>
    <row r="32" spans="1:23" s="95" customFormat="1" ht="12" customHeight="1">
      <c r="A32" s="91"/>
      <c r="B32" s="96" t="s">
        <v>168</v>
      </c>
      <c r="C32" s="91"/>
      <c r="D32" s="91"/>
      <c r="E32" s="304"/>
      <c r="F32" s="304"/>
      <c r="G32" s="304"/>
      <c r="H32" s="304"/>
      <c r="I32" s="304"/>
      <c r="J32" s="304"/>
      <c r="K32" s="304"/>
      <c r="L32" s="306"/>
      <c r="M32" s="306"/>
      <c r="N32" s="306"/>
      <c r="O32" s="306"/>
      <c r="P32" s="306"/>
      <c r="Q32" s="614"/>
      <c r="R32" s="306"/>
      <c r="S32" s="624"/>
      <c r="T32" s="306"/>
      <c r="U32" s="306"/>
      <c r="V32" s="306"/>
    </row>
    <row r="33" spans="1:22" s="95" customFormat="1" ht="12" customHeight="1">
      <c r="A33" s="91"/>
      <c r="B33" s="91" t="s">
        <v>186</v>
      </c>
      <c r="C33" s="102">
        <v>8311</v>
      </c>
      <c r="D33" s="105" t="s">
        <v>261</v>
      </c>
      <c r="E33" s="94">
        <v>0</v>
      </c>
      <c r="F33" s="356">
        <f>LCFF!$L$23*'Revenue Inputs'!$G$18*'FY22-23'!E$9+LCFF!$N$25*'Revenue Inputs'!$G$18*'FY22-23'!E$8</f>
        <v>80260.541431003294</v>
      </c>
      <c r="G33" s="356">
        <f>LCFF!$L$23*'Revenue Inputs'!$G$18*'FY22-23'!F$9+LCFF!$N$25*'Revenue Inputs'!$G$18*'FY22-23'!F$8</f>
        <v>80260.541431003294</v>
      </c>
      <c r="H33" s="356">
        <f>LCFF!$L$23*'Revenue Inputs'!$G$18*'FY22-23'!G$9+LCFF!$N$25*'Revenue Inputs'!$G$18*'FY22-23'!G$8</f>
        <v>144468.97457580591</v>
      </c>
      <c r="I33" s="356">
        <f>LCFF!$L$23*'Revenue Inputs'!$G$18*'FY22-23'!H$9+LCFF!$N$25*'Revenue Inputs'!$G$18*'FY22-23'!H$8</f>
        <v>144468.97457580591</v>
      </c>
      <c r="J33" s="356">
        <f>LCFF!$L$23*'Revenue Inputs'!$G$18*'FY22-23'!I$9+LCFF!$N$25*'Revenue Inputs'!$G$18*'FY22-23'!I$8</f>
        <v>144468.97457580591</v>
      </c>
      <c r="K33" s="356">
        <f>LCFF!$L$23*'Revenue Inputs'!$G$18*'FY22-23'!J$9+LCFF!$N$25*'Revenue Inputs'!$G$18*'FY22-23'!J$8</f>
        <v>144468.97457580591</v>
      </c>
      <c r="L33" s="356">
        <f>LCFF!$L$23*'Revenue Inputs'!$G$18*'FY22-23'!K$9+LCFF!$N$25*'Revenue Inputs'!$G$18*'FY22-23'!K$8</f>
        <v>144468.97457580591</v>
      </c>
      <c r="M33" s="356">
        <f>(LCFF!$N$23*'Revenue Inputs'!$G$18-SUM($E$33:$L$33))*'FY22-23'!L$9</f>
        <v>160590.74483225044</v>
      </c>
      <c r="N33" s="356">
        <f>(LCFF!$N$23*'Revenue Inputs'!$G$18-SUM($E$33:$L$33))*'FY22-23'!M$9</f>
        <v>160590.74483225044</v>
      </c>
      <c r="O33" s="356">
        <f>(LCFF!$N$23*'Revenue Inputs'!$G$18-SUM($E$33:$L$33))*'FY22-23'!N$9</f>
        <v>160590.74483225044</v>
      </c>
      <c r="P33" s="356">
        <f>(LCFF!$N$23*'Revenue Inputs'!$G$18-SUM($E$33:$L$33))*'FY22-23'!O$9</f>
        <v>160590.74483225044</v>
      </c>
      <c r="Q33" s="616">
        <f>'Multi-Year'!N33-SUM('FY22-23'!E33:P33)</f>
        <v>160590.74483225052</v>
      </c>
      <c r="R33" s="304"/>
      <c r="S33" s="625">
        <f t="shared" ref="S33:S39" si="10">SUM(E33:Q33)</f>
        <v>1685819.6799022886</v>
      </c>
      <c r="T33" s="304"/>
      <c r="U33" s="94">
        <f>'FY21-22'!S33</f>
        <v>1605210.8286200657</v>
      </c>
      <c r="V33" s="94">
        <f t="shared" si="6"/>
        <v>80608.851282222895</v>
      </c>
    </row>
    <row r="34" spans="1:22" s="95" customFormat="1" ht="12" customHeight="1">
      <c r="A34" s="91"/>
      <c r="B34" s="91" t="s">
        <v>186</v>
      </c>
      <c r="C34" s="102">
        <v>8520</v>
      </c>
      <c r="D34" s="103" t="s">
        <v>121</v>
      </c>
      <c r="E34" s="94">
        <f>IF('FY21-22'!E34&gt;0,'FY21-22'!E34/'FY21-22'!$S34*'Multi-Year'!$N34,0)</f>
        <v>0</v>
      </c>
      <c r="F34" s="94">
        <f>IF('FY21-22'!F34&gt;0,'FY21-22'!F34/'FY21-22'!$S34*'Multi-Year'!$N34,0)</f>
        <v>0</v>
      </c>
      <c r="G34" s="94">
        <f>IF('FY21-22'!G34&gt;0,'FY21-22'!G34/'FY21-22'!$S34*'Multi-Year'!$N34,0)</f>
        <v>0</v>
      </c>
      <c r="H34" s="94">
        <f>IF('FY21-22'!H34&gt;0,'FY21-22'!H34/'FY21-22'!$S34*'Multi-Year'!$N34,0)</f>
        <v>0</v>
      </c>
      <c r="I34" s="94">
        <f>IF('FY21-22'!I34&gt;0,'FY21-22'!I34/'FY21-22'!$S34*'Multi-Year'!$N34,0)</f>
        <v>0</v>
      </c>
      <c r="J34" s="94">
        <f>IF('FY21-22'!J34&gt;0,'FY21-22'!J34/'FY21-22'!$S34*'Multi-Year'!$N34,0)</f>
        <v>0</v>
      </c>
      <c r="K34" s="94">
        <f>IF('FY21-22'!K34&gt;0,'FY21-22'!K34/'FY21-22'!$S34*'Multi-Year'!$N34,0)</f>
        <v>0</v>
      </c>
      <c r="L34" s="94">
        <f>IF('FY21-22'!L34&gt;0,'FY21-22'!L34/'FY21-22'!$S34*'Multi-Year'!$N34,0)</f>
        <v>0</v>
      </c>
      <c r="M34" s="94">
        <f>IF('FY21-22'!M34&gt;0,'FY21-22'!M34/'FY21-22'!$S34*'Multi-Year'!$N34,0)</f>
        <v>0</v>
      </c>
      <c r="N34" s="94">
        <f>IF('FY21-22'!N34&gt;0,'FY21-22'!N34/'FY21-22'!$S34*'Multi-Year'!$N34,0)</f>
        <v>0</v>
      </c>
      <c r="O34" s="94">
        <f>IF('FY21-22'!O34&gt;0,'FY21-22'!O34/'FY21-22'!$S34*'Multi-Year'!$N34,0)</f>
        <v>0</v>
      </c>
      <c r="P34" s="94">
        <f>IF('FY21-22'!P34&gt;0,'FY21-22'!P34/'FY21-22'!$S34*'Multi-Year'!$N34,0)</f>
        <v>0</v>
      </c>
      <c r="Q34" s="606">
        <f>'Multi-Year'!N34-SUM('FY22-23'!E34:P34)</f>
        <v>0</v>
      </c>
      <c r="R34" s="92"/>
      <c r="S34" s="625">
        <f t="shared" si="10"/>
        <v>0</v>
      </c>
      <c r="T34" s="92"/>
      <c r="U34" s="94">
        <f>'FY21-22'!S34</f>
        <v>0</v>
      </c>
      <c r="V34" s="94">
        <f t="shared" si="6"/>
        <v>0</v>
      </c>
    </row>
    <row r="35" spans="1:22" s="95" customFormat="1" ht="12" customHeight="1">
      <c r="A35" s="91"/>
      <c r="B35" s="91" t="s">
        <v>186</v>
      </c>
      <c r="C35" s="102">
        <v>8545</v>
      </c>
      <c r="D35" s="103" t="s">
        <v>260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f>'Multi-Year'!$N35*0.5</f>
        <v>0</v>
      </c>
      <c r="L35" s="94">
        <v>0</v>
      </c>
      <c r="M35" s="94">
        <v>0</v>
      </c>
      <c r="N35" s="94">
        <v>0</v>
      </c>
      <c r="O35" s="94">
        <f>'Multi-Year'!$N35*0.25</f>
        <v>0</v>
      </c>
      <c r="P35" s="94">
        <v>0</v>
      </c>
      <c r="Q35" s="606">
        <f>'Multi-Year'!N35-SUM('FY22-23'!E35:P35)</f>
        <v>0</v>
      </c>
      <c r="R35" s="92"/>
      <c r="S35" s="625">
        <f t="shared" si="10"/>
        <v>0</v>
      </c>
      <c r="T35" s="92"/>
      <c r="U35" s="94">
        <f>'FY21-22'!S35</f>
        <v>0</v>
      </c>
      <c r="V35" s="94" t="s">
        <v>25</v>
      </c>
    </row>
    <row r="36" spans="1:22" s="95" customFormat="1" ht="12" customHeight="1">
      <c r="A36" s="91"/>
      <c r="B36" s="91" t="s">
        <v>186</v>
      </c>
      <c r="C36" s="102">
        <v>8550</v>
      </c>
      <c r="D36" s="103" t="s">
        <v>262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f>'Multi-Year'!L36</f>
        <v>65419.390399999989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606">
        <f>'Multi-Year'!N36-SUM('FY22-23'!E36:P36)</f>
        <v>0</v>
      </c>
      <c r="R36" s="92"/>
      <c r="S36" s="625">
        <f t="shared" si="10"/>
        <v>65419.390399999989</v>
      </c>
      <c r="T36" s="92"/>
      <c r="U36" s="94">
        <f>'FY21-22'!S36</f>
        <v>65419.390399999989</v>
      </c>
      <c r="V36" s="94">
        <f t="shared" ref="V36" si="11">S36-U36</f>
        <v>0</v>
      </c>
    </row>
    <row r="37" spans="1:22" s="95" customFormat="1" ht="12" customHeight="1">
      <c r="A37" s="109"/>
      <c r="B37" s="109" t="s">
        <v>186</v>
      </c>
      <c r="C37" s="102">
        <v>8560</v>
      </c>
      <c r="D37" s="103" t="s">
        <v>120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f>'Multi-Year'!$N37*0.25</f>
        <v>163672.3309172334</v>
      </c>
      <c r="L37" s="94">
        <v>0</v>
      </c>
      <c r="M37" s="94">
        <v>0</v>
      </c>
      <c r="N37" s="94">
        <f>'Multi-Year'!$N37*0.25</f>
        <v>163672.3309172334</v>
      </c>
      <c r="O37" s="94">
        <f>IF('FY21-22'!O37&gt;0,'FY21-22'!O37/'FY21-22'!$S37*'Multi-Year'!$N37,0)</f>
        <v>0</v>
      </c>
      <c r="P37" s="94">
        <f>IF('FY21-22'!P37&gt;0,'FY21-22'!P37/'FY21-22'!$S37*'Multi-Year'!$N37,0)</f>
        <v>0</v>
      </c>
      <c r="Q37" s="606">
        <f>'Multi-Year'!N37-SUM('FY22-23'!E37:P37)</f>
        <v>327344.66183446679</v>
      </c>
      <c r="R37" s="92"/>
      <c r="S37" s="625">
        <f t="shared" si="10"/>
        <v>654689.32366893359</v>
      </c>
      <c r="T37" s="92"/>
      <c r="U37" s="94">
        <f>'FY21-22'!S37</f>
        <v>623384.81645690068</v>
      </c>
      <c r="V37" s="94">
        <f t="shared" si="6"/>
        <v>31304.507212032913</v>
      </c>
    </row>
    <row r="38" spans="1:22" s="95" customFormat="1" ht="12" customHeight="1">
      <c r="A38" s="109"/>
      <c r="B38" s="109" t="s">
        <v>186</v>
      </c>
      <c r="C38" s="102">
        <v>8598</v>
      </c>
      <c r="D38" s="103" t="s">
        <v>242</v>
      </c>
      <c r="E38" s="94">
        <f>IF('FY21-22'!$S38&gt;0,'FY21-22'!E38/'FY21-22'!$S38*'Multi-Year'!$N38,0)+IF('FY21-22'!$S38&lt;0,'FY21-22'!E38/'FY21-22'!$S38*'Multi-Year'!$N38,0)</f>
        <v>0</v>
      </c>
      <c r="F38" s="94">
        <f>IF('FY21-22'!$S38&gt;0,'FY21-22'!F38/'FY21-22'!$S38*'Multi-Year'!$N38,0)+IF('FY21-22'!$S38&lt;0,'FY21-22'!F38/'FY21-22'!$S38*'Multi-Year'!$N38,0)</f>
        <v>0</v>
      </c>
      <c r="G38" s="94">
        <f>IF('FY21-22'!$S38&gt;0,'FY21-22'!G38/'FY21-22'!$S38*'Multi-Year'!$N38,0)+IF('FY21-22'!$S38&lt;0,'FY21-22'!G38/'FY21-22'!$S38*'Multi-Year'!$N38,0)</f>
        <v>0</v>
      </c>
      <c r="H38" s="94">
        <f>IF('FY21-22'!$S38&gt;0,'FY21-22'!H38/'FY21-22'!$S38*'Multi-Year'!$N38,0)+IF('FY21-22'!$S38&lt;0,'FY21-22'!H38/'FY21-22'!$S38*'Multi-Year'!$N38,0)</f>
        <v>0</v>
      </c>
      <c r="I38" s="94">
        <f>IF('FY21-22'!$S38&gt;0,'FY21-22'!I38/'FY21-22'!$S38*'Multi-Year'!$N38,0)+IF('FY21-22'!$S38&lt;0,'FY21-22'!I38/'FY21-22'!$S38*'Multi-Year'!$N38,0)</f>
        <v>0</v>
      </c>
      <c r="J38" s="94">
        <f>IF('FY21-22'!$S38&gt;0,'FY21-22'!J38/'FY21-22'!$S38*'Multi-Year'!$N38,0)+IF('FY21-22'!$S38&lt;0,'FY21-22'!J38/'FY21-22'!$S38*'Multi-Year'!$N38,0)</f>
        <v>0</v>
      </c>
      <c r="K38" s="94">
        <f>IF('FY21-22'!$S38&gt;0,'FY21-22'!K38/'FY21-22'!$S38*'Multi-Year'!$N38,0)+IF('FY21-22'!$S38&lt;0,'FY21-22'!K38/'FY21-22'!$S38*'Multi-Year'!$N38,0)</f>
        <v>0</v>
      </c>
      <c r="L38" s="94">
        <f>IF('FY21-22'!$S38&gt;0,'FY21-22'!L38/'FY21-22'!$S38*'Multi-Year'!$N38,0)+IF('FY21-22'!$S38&lt;0,'FY21-22'!L38/'FY21-22'!$S38*'Multi-Year'!$N38,0)</f>
        <v>0</v>
      </c>
      <c r="M38" s="94">
        <f>IF('FY21-22'!$S38&gt;0,'FY21-22'!M38/'FY21-22'!$S38*'Multi-Year'!$N38,0)+IF('FY21-22'!$S38&lt;0,'FY21-22'!M38/'FY21-22'!$S38*'Multi-Year'!$N38,0)</f>
        <v>0</v>
      </c>
      <c r="N38" s="94">
        <f>IF('FY21-22'!$S38&gt;0,'FY21-22'!N38/'FY21-22'!$S38*'Multi-Year'!$N38,0)+IF('FY21-22'!$S38&lt;0,'FY21-22'!N38/'FY21-22'!$S38*'Multi-Year'!$N38,0)</f>
        <v>0</v>
      </c>
      <c r="O38" s="94">
        <f>IF('FY21-22'!$S38&gt;0,'FY21-22'!O38/'FY21-22'!$S38*'Multi-Year'!$N38,0)+IF('FY21-22'!$S38&lt;0,'FY21-22'!O38/'FY21-22'!$S38*'Multi-Year'!$N38,0)</f>
        <v>0</v>
      </c>
      <c r="P38" s="94">
        <f>IF('FY21-22'!$S38&gt;0,'FY21-22'!P38/'FY21-22'!$S38*'Multi-Year'!$N38,0)+IF('FY21-22'!$S38&lt;0,'FY21-22'!P38/'FY21-22'!$S38*'Multi-Year'!$N38,0)</f>
        <v>0</v>
      </c>
      <c r="Q38" s="606">
        <f>IF('FY21-22'!$S38&gt;0,'FY21-22'!Q38/'FY21-22'!$S38*'Multi-Year'!$N38,0)+IF('FY21-22'!$S38&lt;0,'FY21-22'!Q38/'FY21-22'!$S38*'Multi-Year'!$N38,0)</f>
        <v>0</v>
      </c>
      <c r="R38" s="92"/>
      <c r="S38" s="625">
        <f t="shared" si="10"/>
        <v>0</v>
      </c>
      <c r="T38" s="92"/>
      <c r="U38" s="94">
        <f>'FY21-22'!S38</f>
        <v>0</v>
      </c>
      <c r="V38" s="94">
        <f t="shared" si="6"/>
        <v>0</v>
      </c>
    </row>
    <row r="39" spans="1:22" s="95" customFormat="1" ht="12" customHeight="1">
      <c r="A39" s="91"/>
      <c r="B39" s="91" t="s">
        <v>186</v>
      </c>
      <c r="C39" s="102">
        <v>8599</v>
      </c>
      <c r="D39" s="103" t="s">
        <v>168</v>
      </c>
      <c r="E39" s="94">
        <v>0</v>
      </c>
      <c r="F39" s="94">
        <v>0</v>
      </c>
      <c r="G39" s="94">
        <v>0</v>
      </c>
      <c r="H39" s="94">
        <v>0</v>
      </c>
      <c r="I39" s="94">
        <f>'Multi-Year'!$N$39*0.65</f>
        <v>0</v>
      </c>
      <c r="J39" s="94">
        <v>0</v>
      </c>
      <c r="K39" s="94">
        <v>0</v>
      </c>
      <c r="L39" s="94">
        <v>0</v>
      </c>
      <c r="M39" s="94">
        <v>0</v>
      </c>
      <c r="N39" s="94">
        <f>'Multi-Year'!$N$39*0.25</f>
        <v>0</v>
      </c>
      <c r="O39" s="94">
        <v>0</v>
      </c>
      <c r="P39" s="94">
        <v>0</v>
      </c>
      <c r="Q39" s="606">
        <f>'Multi-Year'!N39-SUM('FY22-23'!E39:P39)</f>
        <v>0</v>
      </c>
      <c r="R39" s="92"/>
      <c r="S39" s="625">
        <f t="shared" si="10"/>
        <v>0</v>
      </c>
      <c r="T39" s="92"/>
      <c r="U39" s="94">
        <f>'FY21-22'!S39</f>
        <v>0</v>
      </c>
      <c r="V39" s="94">
        <f t="shared" si="6"/>
        <v>0</v>
      </c>
    </row>
    <row r="40" spans="1:22" s="112" customFormat="1" ht="12" customHeight="1">
      <c r="A40" s="109"/>
      <c r="B40" s="109" t="s">
        <v>186</v>
      </c>
      <c r="C40" s="109"/>
      <c r="D40" s="110"/>
      <c r="E40" s="307">
        <f>SUM(E33:E39)</f>
        <v>0</v>
      </c>
      <c r="F40" s="307">
        <f t="shared" ref="F40:Q40" si="12">SUM(F33:F39)</f>
        <v>80260.541431003294</v>
      </c>
      <c r="G40" s="307">
        <f t="shared" si="12"/>
        <v>80260.541431003294</v>
      </c>
      <c r="H40" s="307">
        <f t="shared" si="12"/>
        <v>144468.97457580591</v>
      </c>
      <c r="I40" s="307">
        <f t="shared" si="12"/>
        <v>144468.97457580591</v>
      </c>
      <c r="J40" s="307">
        <f t="shared" si="12"/>
        <v>209888.36497580592</v>
      </c>
      <c r="K40" s="307">
        <f t="shared" si="12"/>
        <v>308141.30549303931</v>
      </c>
      <c r="L40" s="307">
        <f t="shared" si="12"/>
        <v>144468.97457580591</v>
      </c>
      <c r="M40" s="307">
        <f t="shared" si="12"/>
        <v>160590.74483225044</v>
      </c>
      <c r="N40" s="307">
        <f t="shared" si="12"/>
        <v>324263.07574948383</v>
      </c>
      <c r="O40" s="307">
        <f t="shared" si="12"/>
        <v>160590.74483225044</v>
      </c>
      <c r="P40" s="307">
        <f t="shared" si="12"/>
        <v>160590.74483225044</v>
      </c>
      <c r="Q40" s="615">
        <f t="shared" si="12"/>
        <v>487935.40666671732</v>
      </c>
      <c r="R40" s="304"/>
      <c r="S40" s="626">
        <f>SUM(E40:R40)</f>
        <v>2405928.3939712225</v>
      </c>
      <c r="T40" s="304"/>
      <c r="U40" s="307">
        <f>SUM(U33:U39)</f>
        <v>2294015.0354769663</v>
      </c>
      <c r="V40" s="307">
        <f>SUM(V33:V39)</f>
        <v>111913.35849425581</v>
      </c>
    </row>
    <row r="41" spans="1:22" s="112" customFormat="1" ht="12" customHeight="1">
      <c r="A41" s="109"/>
      <c r="B41" s="120" t="s">
        <v>283</v>
      </c>
      <c r="C41" s="102"/>
      <c r="D41" s="103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617"/>
      <c r="R41" s="304"/>
      <c r="S41" s="625"/>
      <c r="T41" s="304"/>
      <c r="U41" s="304"/>
      <c r="V41" s="304"/>
    </row>
    <row r="42" spans="1:22" s="95" customFormat="1" ht="12" customHeight="1">
      <c r="A42" s="91"/>
      <c r="B42" s="91" t="s">
        <v>186</v>
      </c>
      <c r="C42" s="102">
        <v>8634</v>
      </c>
      <c r="D42" s="104" t="s">
        <v>14</v>
      </c>
      <c r="E42" s="94">
        <f>IF('FY21-22'!$S42&gt;0,'FY21-22'!E42/'FY21-22'!$S42*'Multi-Year'!$N42,0)+IF('FY21-22'!$S42&lt;0,'FY21-22'!E42/'FY21-22'!$S42*'Multi-Year'!$N42,0)</f>
        <v>0</v>
      </c>
      <c r="F42" s="94">
        <f>IF('FY21-22'!$S42&gt;0,'FY21-22'!F42/'FY21-22'!$S42*'Multi-Year'!$N42,0)+IF('FY21-22'!$S42&lt;0,'FY21-22'!F42/'FY21-22'!$S42*'Multi-Year'!$N42,0)</f>
        <v>0</v>
      </c>
      <c r="G42" s="94">
        <f>IF('FY21-22'!$S42&gt;0,'FY21-22'!G42/'FY21-22'!$S42*'Multi-Year'!$N42,0)+IF('FY21-22'!$S42&lt;0,'FY21-22'!G42/'FY21-22'!$S42*'Multi-Year'!$N42,0)</f>
        <v>0</v>
      </c>
      <c r="H42" s="94">
        <f>IF('FY21-22'!$S42&gt;0,'FY21-22'!H42/'FY21-22'!$S42*'Multi-Year'!$N42,0)+IF('FY21-22'!$S42&lt;0,'FY21-22'!H42/'FY21-22'!$S42*'Multi-Year'!$N42,0)</f>
        <v>0</v>
      </c>
      <c r="I42" s="94">
        <f>IF('FY21-22'!$S42&gt;0,'FY21-22'!I42/'FY21-22'!$S42*'Multi-Year'!$N42,0)+IF('FY21-22'!$S42&lt;0,'FY21-22'!I42/'FY21-22'!$S42*'Multi-Year'!$N42,0)</f>
        <v>0</v>
      </c>
      <c r="J42" s="94">
        <f>IF('FY21-22'!$S42&gt;0,'FY21-22'!J42/'FY21-22'!$S42*'Multi-Year'!$N42,0)+IF('FY21-22'!$S42&lt;0,'FY21-22'!J42/'FY21-22'!$S42*'Multi-Year'!$N42,0)</f>
        <v>0</v>
      </c>
      <c r="K42" s="94">
        <f>IF('FY21-22'!$S42&gt;0,'FY21-22'!K42/'FY21-22'!$S42*'Multi-Year'!$N42,0)+IF('FY21-22'!$S42&lt;0,'FY21-22'!K42/'FY21-22'!$S42*'Multi-Year'!$N42,0)</f>
        <v>0</v>
      </c>
      <c r="L42" s="94">
        <f>IF('FY21-22'!$S42&gt;0,'FY21-22'!L42/'FY21-22'!$S42*'Multi-Year'!$N42,0)+IF('FY21-22'!$S42&lt;0,'FY21-22'!L42/'FY21-22'!$S42*'Multi-Year'!$N42,0)</f>
        <v>0</v>
      </c>
      <c r="M42" s="94">
        <f>IF('FY21-22'!$S42&gt;0,'FY21-22'!M42/'FY21-22'!$S42*'Multi-Year'!$N42,0)+IF('FY21-22'!$S42&lt;0,'FY21-22'!M42/'FY21-22'!$S42*'Multi-Year'!$N42,0)</f>
        <v>0</v>
      </c>
      <c r="N42" s="94">
        <f>IF('FY21-22'!$S42&gt;0,'FY21-22'!N42/'FY21-22'!$S42*'Multi-Year'!$N42,0)+IF('FY21-22'!$S42&lt;0,'FY21-22'!N42/'FY21-22'!$S42*'Multi-Year'!$N42,0)</f>
        <v>0</v>
      </c>
      <c r="O42" s="94">
        <f>IF('FY21-22'!$S42&gt;0,'FY21-22'!O42/'FY21-22'!$S42*'Multi-Year'!$N42,0)+IF('FY21-22'!$S42&lt;0,'FY21-22'!O42/'FY21-22'!$S42*'Multi-Year'!$N42,0)</f>
        <v>0</v>
      </c>
      <c r="P42" s="94">
        <f>IF('FY21-22'!$S42&gt;0,'FY21-22'!P42/'FY21-22'!$S42*'Multi-Year'!$N42,0)+IF('FY21-22'!$S42&lt;0,'FY21-22'!P42/'FY21-22'!$S42*'Multi-Year'!$N42,0)</f>
        <v>0</v>
      </c>
      <c r="Q42" s="606">
        <f>IF('FY21-22'!$S42&gt;0,'FY21-22'!Q42/'FY21-22'!$S42*'Multi-Year'!$N42,0)+IF('FY21-22'!$S42&lt;0,'FY21-22'!Q42/'FY21-22'!$S42*'Multi-Year'!$N42,0)</f>
        <v>0</v>
      </c>
      <c r="R42" s="92"/>
      <c r="S42" s="625">
        <f t="shared" ref="S42:S49" si="13">SUM(E42:Q42)</f>
        <v>0</v>
      </c>
      <c r="T42" s="92"/>
      <c r="U42" s="94">
        <f>'FY21-22'!S42</f>
        <v>0</v>
      </c>
      <c r="V42" s="94">
        <f t="shared" ref="V42" si="14">S42-U42</f>
        <v>0</v>
      </c>
    </row>
    <row r="43" spans="1:22" s="95" customFormat="1" ht="12" customHeight="1">
      <c r="A43" s="91"/>
      <c r="B43" s="91" t="s">
        <v>186</v>
      </c>
      <c r="C43" s="102">
        <v>8650</v>
      </c>
      <c r="D43" s="104" t="s">
        <v>15</v>
      </c>
      <c r="E43" s="94">
        <f>IF('FY21-22'!$S43&gt;0,'FY21-22'!E43/'FY21-22'!$S43*'Multi-Year'!$N43,0)+IF('FY21-22'!$S43&lt;0,'FY21-22'!E43/'FY21-22'!$S43*'Multi-Year'!$N43,0)</f>
        <v>0</v>
      </c>
      <c r="F43" s="94">
        <f>IF('FY21-22'!$S43&gt;0,'FY21-22'!F43/'FY21-22'!$S43*'Multi-Year'!$N43,0)+IF('FY21-22'!$S43&lt;0,'FY21-22'!F43/'FY21-22'!$S43*'Multi-Year'!$N43,0)</f>
        <v>0</v>
      </c>
      <c r="G43" s="94">
        <f>IF('FY21-22'!$S43&gt;0,'FY21-22'!G43/'FY21-22'!$S43*'Multi-Year'!$N43,0)+IF('FY21-22'!$S43&lt;0,'FY21-22'!G43/'FY21-22'!$S43*'Multi-Year'!$N43,0)</f>
        <v>0</v>
      </c>
      <c r="H43" s="94">
        <f>IF('FY21-22'!$S43&gt;0,'FY21-22'!H43/'FY21-22'!$S43*'Multi-Year'!$N43,0)+IF('FY21-22'!$S43&lt;0,'FY21-22'!H43/'FY21-22'!$S43*'Multi-Year'!$N43,0)</f>
        <v>0</v>
      </c>
      <c r="I43" s="94">
        <f>IF('FY21-22'!$S43&gt;0,'FY21-22'!I43/'FY21-22'!$S43*'Multi-Year'!$N43,0)+IF('FY21-22'!$S43&lt;0,'FY21-22'!I43/'FY21-22'!$S43*'Multi-Year'!$N43,0)</f>
        <v>0</v>
      </c>
      <c r="J43" s="94">
        <f>IF('FY21-22'!$S43&gt;0,'FY21-22'!J43/'FY21-22'!$S43*'Multi-Year'!$N43,0)+IF('FY21-22'!$S43&lt;0,'FY21-22'!J43/'FY21-22'!$S43*'Multi-Year'!$N43,0)</f>
        <v>0</v>
      </c>
      <c r="K43" s="94">
        <f>IF('FY21-22'!$S43&gt;0,'FY21-22'!K43/'FY21-22'!$S43*'Multi-Year'!$N43,0)+IF('FY21-22'!$S43&lt;0,'FY21-22'!K43/'FY21-22'!$S43*'Multi-Year'!$N43,0)</f>
        <v>0</v>
      </c>
      <c r="L43" s="94">
        <f>IF('FY21-22'!$S43&gt;0,'FY21-22'!L43/'FY21-22'!$S43*'Multi-Year'!$N43,0)+IF('FY21-22'!$S43&lt;0,'FY21-22'!L43/'FY21-22'!$S43*'Multi-Year'!$N43,0)</f>
        <v>0</v>
      </c>
      <c r="M43" s="94">
        <f>IF('FY21-22'!$S43&gt;0,'FY21-22'!M43/'FY21-22'!$S43*'Multi-Year'!$N43,0)+IF('FY21-22'!$S43&lt;0,'FY21-22'!M43/'FY21-22'!$S43*'Multi-Year'!$N43,0)</f>
        <v>0</v>
      </c>
      <c r="N43" s="94">
        <f>IF('FY21-22'!$S43&gt;0,'FY21-22'!N43/'FY21-22'!$S43*'Multi-Year'!$N43,0)+IF('FY21-22'!$S43&lt;0,'FY21-22'!N43/'FY21-22'!$S43*'Multi-Year'!$N43,0)</f>
        <v>0</v>
      </c>
      <c r="O43" s="94">
        <f>IF('FY21-22'!$S43&gt;0,'FY21-22'!O43/'FY21-22'!$S43*'Multi-Year'!$N43,0)+IF('FY21-22'!$S43&lt;0,'FY21-22'!O43/'FY21-22'!$S43*'Multi-Year'!$N43,0)</f>
        <v>0</v>
      </c>
      <c r="P43" s="94">
        <f>IF('FY21-22'!$S43&gt;0,'FY21-22'!P43/'FY21-22'!$S43*'Multi-Year'!$N43,0)+IF('FY21-22'!$S43&lt;0,'FY21-22'!P43/'FY21-22'!$S43*'Multi-Year'!$N43,0)</f>
        <v>0</v>
      </c>
      <c r="Q43" s="606">
        <f>IF('FY21-22'!$S43&gt;0,'FY21-22'!Q43/'FY21-22'!$S43*'Multi-Year'!$N43,0)+IF('FY21-22'!$S43&lt;0,'FY21-22'!Q43/'FY21-22'!$S43*'Multi-Year'!$N43,0)</f>
        <v>0</v>
      </c>
      <c r="R43" s="92"/>
      <c r="S43" s="625">
        <f t="shared" si="13"/>
        <v>0</v>
      </c>
      <c r="T43" s="92"/>
      <c r="U43" s="94">
        <f>'FY21-22'!S43</f>
        <v>0</v>
      </c>
      <c r="V43" s="94">
        <f t="shared" si="6"/>
        <v>0</v>
      </c>
    </row>
    <row r="44" spans="1:22" s="95" customFormat="1" ht="12" customHeight="1">
      <c r="A44" s="91"/>
      <c r="B44" s="91" t="s">
        <v>186</v>
      </c>
      <c r="C44" s="102">
        <v>8660</v>
      </c>
      <c r="D44" s="104" t="s">
        <v>16</v>
      </c>
      <c r="E44" s="94">
        <f>IF('FY21-22'!$S44&gt;0,'FY21-22'!E44/'FY21-22'!$S44*'Multi-Year'!$N44,0)+IF('FY21-22'!$S44&lt;0,'FY21-22'!E44/'FY21-22'!$S44*'Multi-Year'!$N44,0)</f>
        <v>0</v>
      </c>
      <c r="F44" s="94">
        <f>IF('FY21-22'!$S44&gt;0,'FY21-22'!F44/'FY21-22'!$S44*'Multi-Year'!$N44,0)+IF('FY21-22'!$S44&lt;0,'FY21-22'!F44/'FY21-22'!$S44*'Multi-Year'!$N44,0)</f>
        <v>0</v>
      </c>
      <c r="G44" s="94">
        <f>IF('FY21-22'!$S44&gt;0,'FY21-22'!G44/'FY21-22'!$S44*'Multi-Year'!$N44,0)+IF('FY21-22'!$S44&lt;0,'FY21-22'!G44/'FY21-22'!$S44*'Multi-Year'!$N44,0)</f>
        <v>0</v>
      </c>
      <c r="H44" s="94">
        <f>IF('FY21-22'!$S44&gt;0,'FY21-22'!H44/'FY21-22'!$S44*'Multi-Year'!$N44,0)+IF('FY21-22'!$S44&lt;0,'FY21-22'!H44/'FY21-22'!$S44*'Multi-Year'!$N44,0)</f>
        <v>0</v>
      </c>
      <c r="I44" s="94">
        <f>IF('FY21-22'!$S44&gt;0,'FY21-22'!I44/'FY21-22'!$S44*'Multi-Year'!$N44,0)+IF('FY21-22'!$S44&lt;0,'FY21-22'!I44/'FY21-22'!$S44*'Multi-Year'!$N44,0)</f>
        <v>0</v>
      </c>
      <c r="J44" s="94">
        <f>IF('FY21-22'!$S44&gt;0,'FY21-22'!J44/'FY21-22'!$S44*'Multi-Year'!$N44,0)+IF('FY21-22'!$S44&lt;0,'FY21-22'!J44/'FY21-22'!$S44*'Multi-Year'!$N44,0)</f>
        <v>0</v>
      </c>
      <c r="K44" s="94">
        <f>IF('FY21-22'!$S44&gt;0,'FY21-22'!K44/'FY21-22'!$S44*'Multi-Year'!$N44,0)+IF('FY21-22'!$S44&lt;0,'FY21-22'!K44/'FY21-22'!$S44*'Multi-Year'!$N44,0)</f>
        <v>0</v>
      </c>
      <c r="L44" s="94">
        <f>IF('FY21-22'!$S44&gt;0,'FY21-22'!L44/'FY21-22'!$S44*'Multi-Year'!$N44,0)+IF('FY21-22'!$S44&lt;0,'FY21-22'!L44/'FY21-22'!$S44*'Multi-Year'!$N44,0)</f>
        <v>0</v>
      </c>
      <c r="M44" s="94">
        <f>IF('FY21-22'!$S44&gt;0,'FY21-22'!M44/'FY21-22'!$S44*'Multi-Year'!$N44,0)+IF('FY21-22'!$S44&lt;0,'FY21-22'!M44/'FY21-22'!$S44*'Multi-Year'!$N44,0)</f>
        <v>0</v>
      </c>
      <c r="N44" s="94">
        <f>IF('FY21-22'!$S44&gt;0,'FY21-22'!N44/'FY21-22'!$S44*'Multi-Year'!$N44,0)+IF('FY21-22'!$S44&lt;0,'FY21-22'!N44/'FY21-22'!$S44*'Multi-Year'!$N44,0)</f>
        <v>0</v>
      </c>
      <c r="O44" s="94">
        <f>IF('FY21-22'!$S44&gt;0,'FY21-22'!O44/'FY21-22'!$S44*'Multi-Year'!$N44,0)+IF('FY21-22'!$S44&lt;0,'FY21-22'!O44/'FY21-22'!$S44*'Multi-Year'!$N44,0)</f>
        <v>0</v>
      </c>
      <c r="P44" s="94">
        <f>IF('FY21-22'!$S44&gt;0,'FY21-22'!P44/'FY21-22'!$S44*'Multi-Year'!$N44,0)+IF('FY21-22'!$S44&lt;0,'FY21-22'!P44/'FY21-22'!$S44*'Multi-Year'!$N44,0)</f>
        <v>0</v>
      </c>
      <c r="Q44" s="606">
        <f>IF('FY21-22'!$S44&gt;0,'FY21-22'!Q44/'FY21-22'!$S44*'Multi-Year'!$N44,0)+IF('FY21-22'!$S44&lt;0,'FY21-22'!Q44/'FY21-22'!$S44*'Multi-Year'!$N44,0)</f>
        <v>0</v>
      </c>
      <c r="R44" s="92"/>
      <c r="S44" s="625">
        <f t="shared" si="13"/>
        <v>0</v>
      </c>
      <c r="T44" s="92"/>
      <c r="U44" s="94">
        <f>'FY21-22'!S44</f>
        <v>0</v>
      </c>
      <c r="V44" s="94">
        <f t="shared" si="6"/>
        <v>0</v>
      </c>
    </row>
    <row r="45" spans="1:22" s="95" customFormat="1" ht="12" customHeight="1">
      <c r="A45" s="96"/>
      <c r="B45" s="96" t="s">
        <v>186</v>
      </c>
      <c r="C45" s="102">
        <v>8689</v>
      </c>
      <c r="D45" s="104" t="s">
        <v>105</v>
      </c>
      <c r="E45" s="94">
        <f>IF('FY21-22'!$S45&gt;0,'FY21-22'!E45/'FY21-22'!$S45*'Multi-Year'!$N45,0)+IF('FY21-22'!$S45&lt;0,'FY21-22'!E45/'FY21-22'!$S45*'Multi-Year'!$N45,0)</f>
        <v>0</v>
      </c>
      <c r="F45" s="94">
        <f>IF('FY21-22'!$S45&gt;0,'FY21-22'!F45/'FY21-22'!$S45*'Multi-Year'!$N45,0)+IF('FY21-22'!$S45&lt;0,'FY21-22'!F45/'FY21-22'!$S45*'Multi-Year'!$N45,0)</f>
        <v>0</v>
      </c>
      <c r="G45" s="94">
        <f>IF('FY21-22'!$S45&gt;0,'FY21-22'!G45/'FY21-22'!$S45*'Multi-Year'!$N45,0)+IF('FY21-22'!$S45&lt;0,'FY21-22'!G45/'FY21-22'!$S45*'Multi-Year'!$N45,0)</f>
        <v>0</v>
      </c>
      <c r="H45" s="94">
        <f>IF('FY21-22'!$S45&gt;0,'FY21-22'!H45/'FY21-22'!$S45*'Multi-Year'!$N45,0)+IF('FY21-22'!$S45&lt;0,'FY21-22'!H45/'FY21-22'!$S45*'Multi-Year'!$N45,0)</f>
        <v>0</v>
      </c>
      <c r="I45" s="94">
        <f>IF('FY21-22'!$S45&gt;0,'FY21-22'!I45/'FY21-22'!$S45*'Multi-Year'!$N45,0)+IF('FY21-22'!$S45&lt;0,'FY21-22'!I45/'FY21-22'!$S45*'Multi-Year'!$N45,0)</f>
        <v>0</v>
      </c>
      <c r="J45" s="94">
        <f>IF('FY21-22'!$S45&gt;0,'FY21-22'!J45/'FY21-22'!$S45*'Multi-Year'!$N45,0)+IF('FY21-22'!$S45&lt;0,'FY21-22'!J45/'FY21-22'!$S45*'Multi-Year'!$N45,0)</f>
        <v>0</v>
      </c>
      <c r="K45" s="94">
        <f>IF('FY21-22'!$S45&gt;0,'FY21-22'!K45/'FY21-22'!$S45*'Multi-Year'!$N45,0)+IF('FY21-22'!$S45&lt;0,'FY21-22'!K45/'FY21-22'!$S45*'Multi-Year'!$N45,0)</f>
        <v>0</v>
      </c>
      <c r="L45" s="94">
        <f>IF('FY21-22'!$S45&gt;0,'FY21-22'!L45/'FY21-22'!$S45*'Multi-Year'!$N45,0)+IF('FY21-22'!$S45&lt;0,'FY21-22'!L45/'FY21-22'!$S45*'Multi-Year'!$N45,0)</f>
        <v>0</v>
      </c>
      <c r="M45" s="94">
        <f>IF('FY21-22'!$S45&gt;0,'FY21-22'!M45/'FY21-22'!$S45*'Multi-Year'!$N45,0)+IF('FY21-22'!$S45&lt;0,'FY21-22'!M45/'FY21-22'!$S45*'Multi-Year'!$N45,0)</f>
        <v>0</v>
      </c>
      <c r="N45" s="94">
        <f>IF('FY21-22'!$S45&gt;0,'FY21-22'!N45/'FY21-22'!$S45*'Multi-Year'!$N45,0)+IF('FY21-22'!$S45&lt;0,'FY21-22'!N45/'FY21-22'!$S45*'Multi-Year'!$N45,0)</f>
        <v>0</v>
      </c>
      <c r="O45" s="94">
        <f>IF('FY21-22'!$S45&gt;0,'FY21-22'!O45/'FY21-22'!$S45*'Multi-Year'!$N45,0)+IF('FY21-22'!$S45&lt;0,'FY21-22'!O45/'FY21-22'!$S45*'Multi-Year'!$N45,0)</f>
        <v>0</v>
      </c>
      <c r="P45" s="94">
        <f>IF('FY21-22'!$S45&gt;0,'FY21-22'!P45/'FY21-22'!$S45*'Multi-Year'!$N45,0)+IF('FY21-22'!$S45&lt;0,'FY21-22'!P45/'FY21-22'!$S45*'Multi-Year'!$N45,0)</f>
        <v>0</v>
      </c>
      <c r="Q45" s="606">
        <f>IF('FY21-22'!$S45&gt;0,'FY21-22'!Q45/'FY21-22'!$S45*'Multi-Year'!$N45,0)+IF('FY21-22'!$S45&lt;0,'FY21-22'!Q45/'FY21-22'!$S45*'Multi-Year'!$N45,0)</f>
        <v>0</v>
      </c>
      <c r="R45" s="306"/>
      <c r="S45" s="625">
        <f t="shared" si="13"/>
        <v>0</v>
      </c>
      <c r="T45" s="306"/>
      <c r="U45" s="94">
        <f>'FY21-22'!S45</f>
        <v>0</v>
      </c>
      <c r="V45" s="94">
        <f>S45-U45</f>
        <v>0</v>
      </c>
    </row>
    <row r="46" spans="1:22" s="95" customFormat="1" ht="12" customHeight="1">
      <c r="A46" s="96"/>
      <c r="B46" s="96" t="s">
        <v>186</v>
      </c>
      <c r="C46" s="102">
        <v>8698</v>
      </c>
      <c r="D46" s="104" t="s">
        <v>265</v>
      </c>
      <c r="E46" s="94">
        <f>IF('FY21-22'!$S46&gt;0,'FY21-22'!E46/'FY21-22'!$S46*'Multi-Year'!$N46,0)+IF('FY21-22'!$S46&lt;0,'FY21-22'!E46/'FY21-22'!$S46*'Multi-Year'!$N46,0)</f>
        <v>0</v>
      </c>
      <c r="F46" s="94">
        <f>IF('FY21-22'!$S46&gt;0,'FY21-22'!F46/'FY21-22'!$S46*'Multi-Year'!$N46,0)+IF('FY21-22'!$S46&lt;0,'FY21-22'!F46/'FY21-22'!$S46*'Multi-Year'!$N46,0)</f>
        <v>0</v>
      </c>
      <c r="G46" s="94">
        <f>IF('FY21-22'!$S46&gt;0,'FY21-22'!G46/'FY21-22'!$S46*'Multi-Year'!$N46,0)+IF('FY21-22'!$S46&lt;0,'FY21-22'!G46/'FY21-22'!$S46*'Multi-Year'!$N46,0)</f>
        <v>0</v>
      </c>
      <c r="H46" s="94">
        <f>IF('FY21-22'!$S46&gt;0,'FY21-22'!H46/'FY21-22'!$S46*'Multi-Year'!$N46,0)+IF('FY21-22'!$S46&lt;0,'FY21-22'!H46/'FY21-22'!$S46*'Multi-Year'!$N46,0)</f>
        <v>0</v>
      </c>
      <c r="I46" s="94">
        <f>IF('FY21-22'!$S46&gt;0,'FY21-22'!I46/'FY21-22'!$S46*'Multi-Year'!$N46,0)+IF('FY21-22'!$S46&lt;0,'FY21-22'!I46/'FY21-22'!$S46*'Multi-Year'!$N46,0)</f>
        <v>0</v>
      </c>
      <c r="J46" s="94">
        <f>IF('FY21-22'!$S46&gt;0,'FY21-22'!J46/'FY21-22'!$S46*'Multi-Year'!$N46,0)+IF('FY21-22'!$S46&lt;0,'FY21-22'!J46/'FY21-22'!$S46*'Multi-Year'!$N46,0)</f>
        <v>0</v>
      </c>
      <c r="K46" s="94">
        <f>IF('FY21-22'!$S46&gt;0,'FY21-22'!K46/'FY21-22'!$S46*'Multi-Year'!$N46,0)+IF('FY21-22'!$S46&lt;0,'FY21-22'!K46/'FY21-22'!$S46*'Multi-Year'!$N46,0)</f>
        <v>0</v>
      </c>
      <c r="L46" s="94">
        <f>IF('FY21-22'!$S46&gt;0,'FY21-22'!L46/'FY21-22'!$S46*'Multi-Year'!$N46,0)+IF('FY21-22'!$S46&lt;0,'FY21-22'!L46/'FY21-22'!$S46*'Multi-Year'!$N46,0)</f>
        <v>0</v>
      </c>
      <c r="M46" s="94">
        <f>IF('FY21-22'!$S46&gt;0,'FY21-22'!M46/'FY21-22'!$S46*'Multi-Year'!$N46,0)+IF('FY21-22'!$S46&lt;0,'FY21-22'!M46/'FY21-22'!$S46*'Multi-Year'!$N46,0)</f>
        <v>0</v>
      </c>
      <c r="N46" s="94">
        <f>IF('FY21-22'!$S46&gt;0,'FY21-22'!N46/'FY21-22'!$S46*'Multi-Year'!$N46,0)+IF('FY21-22'!$S46&lt;0,'FY21-22'!N46/'FY21-22'!$S46*'Multi-Year'!$N46,0)</f>
        <v>0</v>
      </c>
      <c r="O46" s="94">
        <f>IF('FY21-22'!$S46&gt;0,'FY21-22'!O46/'FY21-22'!$S46*'Multi-Year'!$N46,0)+IF('FY21-22'!$S46&lt;0,'FY21-22'!O46/'FY21-22'!$S46*'Multi-Year'!$N46,0)</f>
        <v>0</v>
      </c>
      <c r="P46" s="94">
        <f>IF('FY21-22'!$S46&gt;0,'FY21-22'!P46/'FY21-22'!$S46*'Multi-Year'!$N46,0)+IF('FY21-22'!$S46&lt;0,'FY21-22'!P46/'FY21-22'!$S46*'Multi-Year'!$N46,0)</f>
        <v>0</v>
      </c>
      <c r="Q46" s="606">
        <f>IF('FY21-22'!$S46&gt;0,'FY21-22'!Q46/'FY21-22'!$S46*'Multi-Year'!$N46,0)+IF('FY21-22'!$S46&lt;0,'FY21-22'!Q46/'FY21-22'!$S46*'Multi-Year'!$N46,0)</f>
        <v>0</v>
      </c>
      <c r="R46" s="306"/>
      <c r="S46" s="625">
        <f t="shared" si="13"/>
        <v>0</v>
      </c>
      <c r="T46" s="306"/>
      <c r="U46" s="94">
        <f>'FY21-22'!S46</f>
        <v>0</v>
      </c>
      <c r="V46" s="94">
        <f>S46-U46</f>
        <v>0</v>
      </c>
    </row>
    <row r="47" spans="1:22" s="95" customFormat="1" ht="12" customHeight="1">
      <c r="A47" s="91"/>
      <c r="B47" s="91" t="s">
        <v>186</v>
      </c>
      <c r="C47" s="102">
        <v>8699</v>
      </c>
      <c r="D47" s="104" t="s">
        <v>106</v>
      </c>
      <c r="E47" s="284">
        <v>0</v>
      </c>
      <c r="F47" s="284">
        <f>'Multi-Year'!N47*0.05</f>
        <v>0</v>
      </c>
      <c r="G47" s="284">
        <f>'Multi-Year'!N47*0.05</f>
        <v>0</v>
      </c>
      <c r="H47" s="284">
        <f>'Multi-Year'!N47*0.13</f>
        <v>0</v>
      </c>
      <c r="I47" s="284">
        <f>'Multi-Year'!N47*0.11</f>
        <v>0</v>
      </c>
      <c r="J47" s="284">
        <f>'Multi-Year'!N47*0.11</f>
        <v>0</v>
      </c>
      <c r="K47" s="284">
        <f>'Multi-Year'!N47*0.11</f>
        <v>0</v>
      </c>
      <c r="L47" s="284">
        <f>'Multi-Year'!N47*0.11</f>
        <v>0</v>
      </c>
      <c r="M47" s="284">
        <f>'Multi-Year'!N47*0.11</f>
        <v>0</v>
      </c>
      <c r="N47" s="284">
        <f>'Multi-Year'!N47*0.11</f>
        <v>0</v>
      </c>
      <c r="O47" s="284">
        <f>'Multi-Year'!N47*0.11</f>
        <v>0</v>
      </c>
      <c r="P47" s="284">
        <v>0</v>
      </c>
      <c r="Q47" s="606">
        <f>'Multi-Year'!N47-SUM('FY22-23'!E47:P47)</f>
        <v>0</v>
      </c>
      <c r="R47" s="92"/>
      <c r="S47" s="625">
        <f t="shared" si="13"/>
        <v>0</v>
      </c>
      <c r="T47" s="92"/>
      <c r="U47" s="94">
        <f>'FY21-22'!S47</f>
        <v>0</v>
      </c>
      <c r="V47" s="94">
        <f>S47-U47</f>
        <v>0</v>
      </c>
    </row>
    <row r="48" spans="1:22" s="95" customFormat="1" ht="12" customHeight="1">
      <c r="A48" s="96"/>
      <c r="B48" s="96" t="s">
        <v>186</v>
      </c>
      <c r="C48" s="102">
        <v>8980</v>
      </c>
      <c r="D48" s="103" t="s">
        <v>10</v>
      </c>
      <c r="E48" s="94">
        <f>IF('FY21-22'!$S48&gt;0,'FY21-22'!E48/'FY21-22'!$S48*'Multi-Year'!$N48,0)+IF('FY21-22'!$S48&lt;0,'FY21-22'!E48/'FY21-22'!$S48*'Multi-Year'!$N48,0)</f>
        <v>0</v>
      </c>
      <c r="F48" s="94">
        <f>IF('FY21-22'!$S48&gt;0,'FY21-22'!F48/'FY21-22'!$S48*'Multi-Year'!$N48,0)+IF('FY21-22'!$S48&lt;0,'FY21-22'!F48/'FY21-22'!$S48*'Multi-Year'!$N48,0)</f>
        <v>0</v>
      </c>
      <c r="G48" s="94">
        <f>IF('FY21-22'!$S48&gt;0,'FY21-22'!G48/'FY21-22'!$S48*'Multi-Year'!$N48,0)+IF('FY21-22'!$S48&lt;0,'FY21-22'!G48/'FY21-22'!$S48*'Multi-Year'!$N48,0)</f>
        <v>0</v>
      </c>
      <c r="H48" s="94">
        <f>IF('FY21-22'!$S48&gt;0,'FY21-22'!H48/'FY21-22'!$S48*'Multi-Year'!$N48,0)+IF('FY21-22'!$S48&lt;0,'FY21-22'!H48/'FY21-22'!$S48*'Multi-Year'!$N48,0)</f>
        <v>0</v>
      </c>
      <c r="I48" s="94">
        <f>IF('FY21-22'!$S48&gt;0,'FY21-22'!I48/'FY21-22'!$S48*'Multi-Year'!$N48,0)+IF('FY21-22'!$S48&lt;0,'FY21-22'!I48/'FY21-22'!$S48*'Multi-Year'!$N48,0)</f>
        <v>0</v>
      </c>
      <c r="J48" s="94">
        <f>IF('FY21-22'!$S48&gt;0,'FY21-22'!J48/'FY21-22'!$S48*'Multi-Year'!$N48,0)+IF('FY21-22'!$S48&lt;0,'FY21-22'!J48/'FY21-22'!$S48*'Multi-Year'!$N48,0)</f>
        <v>0</v>
      </c>
      <c r="K48" s="94">
        <f>IF('FY21-22'!$S48&gt;0,'FY21-22'!K48/'FY21-22'!$S48*'Multi-Year'!$N48,0)+IF('FY21-22'!$S48&lt;0,'FY21-22'!K48/'FY21-22'!$S48*'Multi-Year'!$N48,0)</f>
        <v>0</v>
      </c>
      <c r="L48" s="94">
        <f>IF('FY21-22'!$S48&gt;0,'FY21-22'!L48/'FY21-22'!$S48*'Multi-Year'!$N48,0)+IF('FY21-22'!$S48&lt;0,'FY21-22'!L48/'FY21-22'!$S48*'Multi-Year'!$N48,0)</f>
        <v>0</v>
      </c>
      <c r="M48" s="94">
        <f>IF('FY21-22'!$S48&gt;0,'FY21-22'!M48/'FY21-22'!$S48*'Multi-Year'!$N48,0)+IF('FY21-22'!$S48&lt;0,'FY21-22'!M48/'FY21-22'!$S48*'Multi-Year'!$N48,0)</f>
        <v>0</v>
      </c>
      <c r="N48" s="94">
        <f>IF('FY21-22'!$S48&gt;0,'FY21-22'!N48/'FY21-22'!$S48*'Multi-Year'!$N48,0)+IF('FY21-22'!$S48&lt;0,'FY21-22'!N48/'FY21-22'!$S48*'Multi-Year'!$N48,0)</f>
        <v>0</v>
      </c>
      <c r="O48" s="94">
        <f>IF('FY21-22'!$S48&gt;0,'FY21-22'!O48/'FY21-22'!$S48*'Multi-Year'!$N48,0)+IF('FY21-22'!$S48&lt;0,'FY21-22'!O48/'FY21-22'!$S48*'Multi-Year'!$N48,0)</f>
        <v>0</v>
      </c>
      <c r="P48" s="94">
        <f>IF('FY21-22'!$S48&gt;0,'FY21-22'!P48/'FY21-22'!$S48*'Multi-Year'!$N48,0)+IF('FY21-22'!$S48&lt;0,'FY21-22'!P48/'FY21-22'!$S48*'Multi-Year'!$N48,0)</f>
        <v>0</v>
      </c>
      <c r="Q48" s="606">
        <f>IF('FY21-22'!$S48&gt;0,'FY21-22'!Q48/'FY21-22'!$S48*'Multi-Year'!$N48,0)+IF('FY21-22'!$S48&lt;0,'FY21-22'!Q48/'FY21-22'!$S48*'Multi-Year'!$N48,0)</f>
        <v>0</v>
      </c>
      <c r="R48" s="306"/>
      <c r="S48" s="625">
        <f t="shared" si="13"/>
        <v>0</v>
      </c>
      <c r="T48" s="306"/>
      <c r="U48" s="94">
        <f>'FY21-22'!S48</f>
        <v>0</v>
      </c>
      <c r="V48" s="94">
        <f>S48-U48</f>
        <v>0</v>
      </c>
    </row>
    <row r="49" spans="1:22" s="95" customFormat="1" ht="12" customHeight="1">
      <c r="A49" s="91"/>
      <c r="B49" s="91" t="s">
        <v>186</v>
      </c>
      <c r="C49" s="102">
        <v>8990</v>
      </c>
      <c r="D49" s="103" t="s">
        <v>11</v>
      </c>
      <c r="E49" s="94">
        <f>IF('FY21-22'!$S49&gt;0,'FY21-22'!E49/'FY21-22'!$S49*'Multi-Year'!$N49,0)+IF('FY21-22'!$S49&lt;0,'FY21-22'!E49/'FY21-22'!$S49*'Multi-Year'!$N49,0)</f>
        <v>0</v>
      </c>
      <c r="F49" s="94">
        <f>IF('FY21-22'!$S49&gt;0,'FY21-22'!F49/'FY21-22'!$S49*'Multi-Year'!$N49,0)+IF('FY21-22'!$S49&lt;0,'FY21-22'!F49/'FY21-22'!$S49*'Multi-Year'!$N49,0)</f>
        <v>0</v>
      </c>
      <c r="G49" s="94">
        <f>IF('FY21-22'!$S49&gt;0,'FY21-22'!G49/'FY21-22'!$S49*'Multi-Year'!$N49,0)+IF('FY21-22'!$S49&lt;0,'FY21-22'!G49/'FY21-22'!$S49*'Multi-Year'!$N49,0)</f>
        <v>0</v>
      </c>
      <c r="H49" s="94">
        <f>IF('FY21-22'!$S49&gt;0,'FY21-22'!H49/'FY21-22'!$S49*'Multi-Year'!$N49,0)+IF('FY21-22'!$S49&lt;0,'FY21-22'!H49/'FY21-22'!$S49*'Multi-Year'!$N49,0)</f>
        <v>0</v>
      </c>
      <c r="I49" s="94">
        <f>IF('FY21-22'!$S49&gt;0,'FY21-22'!I49/'FY21-22'!$S49*'Multi-Year'!$N49,0)+IF('FY21-22'!$S49&lt;0,'FY21-22'!I49/'FY21-22'!$S49*'Multi-Year'!$N49,0)</f>
        <v>0</v>
      </c>
      <c r="J49" s="94">
        <f>IF('FY21-22'!$S49&gt;0,'FY21-22'!J49/'FY21-22'!$S49*'Multi-Year'!$N49,0)+IF('FY21-22'!$S49&lt;0,'FY21-22'!J49/'FY21-22'!$S49*'Multi-Year'!$N49,0)</f>
        <v>0</v>
      </c>
      <c r="K49" s="94">
        <f>IF('FY21-22'!$S49&gt;0,'FY21-22'!K49/'FY21-22'!$S49*'Multi-Year'!$N49,0)+IF('FY21-22'!$S49&lt;0,'FY21-22'!K49/'FY21-22'!$S49*'Multi-Year'!$N49,0)</f>
        <v>0</v>
      </c>
      <c r="L49" s="94">
        <f>IF('FY21-22'!$S49&gt;0,'FY21-22'!L49/'FY21-22'!$S49*'Multi-Year'!$N49,0)+IF('FY21-22'!$S49&lt;0,'FY21-22'!L49/'FY21-22'!$S49*'Multi-Year'!$N49,0)</f>
        <v>0</v>
      </c>
      <c r="M49" s="94">
        <f>IF('FY21-22'!$S49&gt;0,'FY21-22'!M49/'FY21-22'!$S49*'Multi-Year'!$N49,0)+IF('FY21-22'!$S49&lt;0,'FY21-22'!M49/'FY21-22'!$S49*'Multi-Year'!$N49,0)</f>
        <v>0</v>
      </c>
      <c r="N49" s="94">
        <f>IF('FY21-22'!$S49&gt;0,'FY21-22'!N49/'FY21-22'!$S49*'Multi-Year'!$N49,0)+IF('FY21-22'!$S49&lt;0,'FY21-22'!N49/'FY21-22'!$S49*'Multi-Year'!$N49,0)</f>
        <v>0</v>
      </c>
      <c r="O49" s="94">
        <f>IF('FY21-22'!$S49&gt;0,'FY21-22'!O49/'FY21-22'!$S49*'Multi-Year'!$N49,0)+IF('FY21-22'!$S49&lt;0,'FY21-22'!O49/'FY21-22'!$S49*'Multi-Year'!$N49,0)</f>
        <v>0</v>
      </c>
      <c r="P49" s="94">
        <f>IF('FY21-22'!$S49&gt;0,'FY21-22'!P49/'FY21-22'!$S49*'Multi-Year'!$N49,0)+IF('FY21-22'!$S49&lt;0,'FY21-22'!P49/'FY21-22'!$S49*'Multi-Year'!$N49,0)</f>
        <v>0</v>
      </c>
      <c r="Q49" s="606">
        <f>IF('FY21-22'!$S49&gt;0,'FY21-22'!Q49/'FY21-22'!$S49*'Multi-Year'!$N49,0)+IF('FY21-22'!$S49&lt;0,'FY21-22'!Q49/'FY21-22'!$S49*'Multi-Year'!$N49,0)</f>
        <v>0</v>
      </c>
      <c r="R49" s="92"/>
      <c r="S49" s="625">
        <f t="shared" si="13"/>
        <v>0</v>
      </c>
      <c r="T49" s="92"/>
      <c r="U49" s="94">
        <f>'FY21-22'!S49</f>
        <v>0</v>
      </c>
      <c r="V49" s="94">
        <f>S49-U49</f>
        <v>0</v>
      </c>
    </row>
    <row r="50" spans="1:22" s="95" customFormat="1" ht="12" customHeight="1">
      <c r="A50" s="96"/>
      <c r="B50" s="96" t="s">
        <v>186</v>
      </c>
      <c r="C50" s="102"/>
      <c r="D50" s="103"/>
      <c r="E50" s="215">
        <f>SUM(E42:E49)</f>
        <v>0</v>
      </c>
      <c r="F50" s="215">
        <f t="shared" ref="F50:P50" si="15">SUM(F42:F49)</f>
        <v>0</v>
      </c>
      <c r="G50" s="215">
        <f t="shared" si="15"/>
        <v>0</v>
      </c>
      <c r="H50" s="215">
        <f t="shared" si="15"/>
        <v>0</v>
      </c>
      <c r="I50" s="215">
        <f t="shared" si="15"/>
        <v>0</v>
      </c>
      <c r="J50" s="215">
        <f t="shared" si="15"/>
        <v>0</v>
      </c>
      <c r="K50" s="215">
        <f t="shared" si="15"/>
        <v>0</v>
      </c>
      <c r="L50" s="215">
        <f t="shared" si="15"/>
        <v>0</v>
      </c>
      <c r="M50" s="215">
        <f t="shared" si="15"/>
        <v>0</v>
      </c>
      <c r="N50" s="215">
        <f t="shared" si="15"/>
        <v>0</v>
      </c>
      <c r="O50" s="215">
        <f t="shared" si="15"/>
        <v>0</v>
      </c>
      <c r="P50" s="215">
        <f t="shared" si="15"/>
        <v>0</v>
      </c>
      <c r="Q50" s="603">
        <f>SUM(Q42:Q49)</f>
        <v>0</v>
      </c>
      <c r="R50" s="306"/>
      <c r="S50" s="626">
        <f>(SUM(E50:R50))</f>
        <v>0</v>
      </c>
      <c r="T50" s="306"/>
      <c r="U50" s="216">
        <f>SUM(U42:U49)</f>
        <v>0</v>
      </c>
      <c r="V50" s="216">
        <f>SUM(V42:V49)</f>
        <v>0</v>
      </c>
    </row>
    <row r="51" spans="1:22" s="95" customFormat="1" ht="12" customHeight="1">
      <c r="A51" s="91"/>
      <c r="B51" s="91" t="s">
        <v>186</v>
      </c>
      <c r="C51" s="91"/>
      <c r="D51" s="91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602"/>
      <c r="R51" s="92"/>
      <c r="S51" s="627"/>
      <c r="T51" s="92"/>
      <c r="U51" s="92"/>
      <c r="V51" s="92"/>
    </row>
    <row r="52" spans="1:22" s="112" customFormat="1" ht="12" customHeight="1">
      <c r="A52" s="91" t="s">
        <v>1</v>
      </c>
      <c r="B52" s="91"/>
      <c r="C52" s="91"/>
      <c r="E52" s="121">
        <f t="shared" ref="E52:Q52" si="16">E50+E40+E31+E19</f>
        <v>52687.925198305442</v>
      </c>
      <c r="F52" s="121">
        <f t="shared" si="16"/>
        <v>1678062.5664299324</v>
      </c>
      <c r="G52" s="121">
        <f t="shared" si="16"/>
        <v>1642937.2829643956</v>
      </c>
      <c r="H52" s="121">
        <f t="shared" si="16"/>
        <v>3059160.6557910531</v>
      </c>
      <c r="I52" s="121">
        <f t="shared" si="16"/>
        <v>2901086.6557910531</v>
      </c>
      <c r="J52" s="121">
        <f t="shared" si="16"/>
        <v>2966506.046191053</v>
      </c>
      <c r="K52" s="121">
        <f t="shared" si="16"/>
        <v>3222832.9867082862</v>
      </c>
      <c r="L52" s="121">
        <f t="shared" si="16"/>
        <v>2953774.5809893585</v>
      </c>
      <c r="M52" s="121">
        <f t="shared" si="16"/>
        <v>3217618.2461725543</v>
      </c>
      <c r="N52" s="121">
        <f t="shared" si="16"/>
        <v>3706805.4609100744</v>
      </c>
      <c r="O52" s="121">
        <f t="shared" si="16"/>
        <v>3217618.2461725543</v>
      </c>
      <c r="P52" s="121">
        <f t="shared" si="16"/>
        <v>3280369.8910598564</v>
      </c>
      <c r="Q52" s="605">
        <f t="shared" si="16"/>
        <v>3649505.6619423367</v>
      </c>
      <c r="R52" s="122"/>
      <c r="S52" s="629">
        <f>S50+S40+S31+S19</f>
        <v>35548966.206320822</v>
      </c>
      <c r="T52" s="113"/>
      <c r="U52" s="220">
        <f>U50+U40+U31+U19</f>
        <v>33000665.673424721</v>
      </c>
      <c r="V52" s="220">
        <f t="shared" si="6"/>
        <v>2548300.5328961015</v>
      </c>
    </row>
    <row r="53" spans="1:22" s="95" customFormat="1" ht="12" customHeight="1">
      <c r="A53" s="112"/>
      <c r="B53" s="112" t="s">
        <v>186</v>
      </c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606"/>
      <c r="R53" s="94"/>
      <c r="S53" s="630"/>
      <c r="T53" s="94"/>
      <c r="U53" s="94"/>
      <c r="V53" s="94"/>
    </row>
    <row r="54" spans="1:22" s="95" customFormat="1" ht="12" customHeight="1">
      <c r="A54" s="112" t="s">
        <v>2</v>
      </c>
      <c r="B54" s="112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606"/>
      <c r="R54" s="94"/>
      <c r="S54" s="627"/>
      <c r="T54" s="94"/>
      <c r="U54" s="94"/>
      <c r="V54" s="94"/>
    </row>
    <row r="55" spans="1:22" s="95" customFormat="1" ht="12" customHeight="1">
      <c r="A55" s="112"/>
      <c r="B55" s="112" t="s">
        <v>244</v>
      </c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606"/>
      <c r="R55" s="94"/>
      <c r="S55" s="627"/>
      <c r="T55" s="94"/>
      <c r="U55" s="94"/>
      <c r="V55" s="94"/>
    </row>
    <row r="56" spans="1:22" s="95" customFormat="1" ht="12" customHeight="1">
      <c r="A56" s="123"/>
      <c r="B56" s="123" t="s">
        <v>186</v>
      </c>
      <c r="C56" s="102">
        <v>1100</v>
      </c>
      <c r="D56" s="103" t="s">
        <v>271</v>
      </c>
      <c r="E56" s="94">
        <f>IF('FY21-22'!$S56&gt;0,'FY21-22'!E56/'FY21-22'!$S56*'Multi-Year'!$N56,0)+IF('FY21-22'!$S56&lt;0,'FY21-22'!E56/'FY21-22'!$S56*'Multi-Year'!$N56,0)</f>
        <v>594594.32589829934</v>
      </c>
      <c r="F56" s="94">
        <f>IF('FY21-22'!$S56&gt;0,'FY21-22'!F56/'FY21-22'!$S56*'Multi-Year'!$N56,0)+IF('FY21-22'!$S56&lt;0,'FY21-22'!F56/'FY21-22'!$S56*'Multi-Year'!$N56,0)</f>
        <v>854811.44895321678</v>
      </c>
      <c r="G56" s="94">
        <f>IF('FY21-22'!$S56&gt;0,'FY21-22'!G56/'FY21-22'!$S56*'Multi-Year'!$N56,0)+IF('FY21-22'!$S56&lt;0,'FY21-22'!G56/'FY21-22'!$S56*'Multi-Year'!$N56,0)</f>
        <v>876603.4952446142</v>
      </c>
      <c r="H56" s="94">
        <f>IF('FY21-22'!$S56&gt;0,'FY21-22'!H56/'FY21-22'!$S56*'Multi-Year'!$N56,0)+IF('FY21-22'!$S56&lt;0,'FY21-22'!H56/'FY21-22'!$S56*'Multi-Year'!$N56,0)</f>
        <v>868131.29236458219</v>
      </c>
      <c r="I56" s="94">
        <f>IF('FY21-22'!$S56&gt;0,'FY21-22'!I56/'FY21-22'!$S56*'Multi-Year'!$N56,0)+IF('FY21-22'!$S56&lt;0,'FY21-22'!I56/'FY21-22'!$S56*'Multi-Year'!$N56,0)</f>
        <v>83107.901446866526</v>
      </c>
      <c r="J56" s="94">
        <f>IF('FY21-22'!$S56&gt;0,'FY21-22'!J56/'FY21-22'!$S56*'Multi-Year'!$N56,0)+IF('FY21-22'!$S56&lt;0,'FY21-22'!J56/'FY21-22'!$S56*'Multi-Year'!$N56,0)</f>
        <v>1463197.6900537522</v>
      </c>
      <c r="K56" s="94">
        <f>IF('FY21-22'!$S56&gt;0,'FY21-22'!K56/'FY21-22'!$S56*'Multi-Year'!$N56,0)+IF('FY21-22'!$S56&lt;0,'FY21-22'!K56/'FY21-22'!$S56*'Multi-Year'!$N56,0)</f>
        <v>804857.56211954472</v>
      </c>
      <c r="L56" s="94">
        <f>IF('FY21-22'!$S56&gt;0,'FY21-22'!L56/'FY21-22'!$S56*'Multi-Year'!$N56,0)+IF('FY21-22'!$S56&lt;0,'FY21-22'!L56/'FY21-22'!$S56*'Multi-Year'!$N56,0)</f>
        <v>825347.33071021829</v>
      </c>
      <c r="M56" s="94">
        <f>IF('FY21-22'!$S56&gt;0,'FY21-22'!M56/'FY21-22'!$S56*'Multi-Year'!$N56,0)+IF('FY21-22'!$S56&lt;0,'FY21-22'!M56/'FY21-22'!$S56*'Multi-Year'!$N56,0)</f>
        <v>739727.87686631083</v>
      </c>
      <c r="N56" s="94">
        <f>IF('FY21-22'!$S56&gt;0,'FY21-22'!N56/'FY21-22'!$S56*'Multi-Year'!$N56,0)+IF('FY21-22'!$S56&lt;0,'FY21-22'!N56/'FY21-22'!$S56*'Multi-Year'!$N56,0)</f>
        <v>766916.97468987142</v>
      </c>
      <c r="O56" s="94">
        <f>IF('FY21-22'!$S56&gt;0,'FY21-22'!O56/'FY21-22'!$S56*'Multi-Year'!$N56,0)+IF('FY21-22'!$S56&lt;0,'FY21-22'!O56/'FY21-22'!$S56*'Multi-Year'!$N56,0)</f>
        <v>812387.09726228472</v>
      </c>
      <c r="P56" s="94">
        <f>IF('FY21-22'!$S56&gt;0,'FY21-22'!P56/'FY21-22'!$S56*'Multi-Year'!$N56,0)+IF('FY21-22'!$S56&lt;0,'FY21-22'!P56/'FY21-22'!$S56*'Multi-Year'!$N56,0)</f>
        <v>683451.54682467761</v>
      </c>
      <c r="Q56" s="606">
        <f>IF('FY21-22'!$S56&gt;0,'FY21-22'!Q56/'FY21-22'!$S56*'Multi-Year'!$N56,0)+IF('FY21-22'!$S56&lt;0,'FY21-22'!Q56/'FY21-22'!$S56*'Multi-Year'!$N56,0)</f>
        <v>0</v>
      </c>
      <c r="R56" s="94"/>
      <c r="S56" s="625">
        <f t="shared" ref="S56:S61" si="17">SUM(E56:Q56)</f>
        <v>9373134.542434236</v>
      </c>
      <c r="T56" s="94"/>
      <c r="U56" s="94">
        <f>'FY21-22'!S56</f>
        <v>8751759.6101159975</v>
      </c>
      <c r="V56" s="94">
        <f>U56-S56</f>
        <v>-621374.93231823854</v>
      </c>
    </row>
    <row r="57" spans="1:22" s="95" customFormat="1" ht="12" customHeight="1">
      <c r="A57" s="123"/>
      <c r="B57" s="123" t="s">
        <v>186</v>
      </c>
      <c r="C57" s="102">
        <v>1170</v>
      </c>
      <c r="D57" s="103" t="s">
        <v>272</v>
      </c>
      <c r="E57" s="94">
        <f>IF('FY21-22'!$S57&gt;0,'FY21-22'!E57/'FY21-22'!$S57*'Multi-Year'!$N57,0)+IF('FY21-22'!$S57&lt;0,'FY21-22'!E57/'FY21-22'!$S57*'Multi-Year'!$N57,0)</f>
        <v>0</v>
      </c>
      <c r="F57" s="94">
        <f>IF('FY21-22'!$S57&gt;0,'FY21-22'!F57/'FY21-22'!$S57*'Multi-Year'!$N57,0)+IF('FY21-22'!$S57&lt;0,'FY21-22'!F57/'FY21-22'!$S57*'Multi-Year'!$N57,0)</f>
        <v>0</v>
      </c>
      <c r="G57" s="94">
        <f>IF('FY21-22'!$S57&gt;0,'FY21-22'!G57/'FY21-22'!$S57*'Multi-Year'!$N57,0)+IF('FY21-22'!$S57&lt;0,'FY21-22'!G57/'FY21-22'!$S57*'Multi-Year'!$N57,0)</f>
        <v>0</v>
      </c>
      <c r="H57" s="94">
        <f>IF('FY21-22'!$S57&gt;0,'FY21-22'!H57/'FY21-22'!$S57*'Multi-Year'!$N57,0)+IF('FY21-22'!$S57&lt;0,'FY21-22'!H57/'FY21-22'!$S57*'Multi-Year'!$N57,0)</f>
        <v>0</v>
      </c>
      <c r="I57" s="94">
        <f>IF('FY21-22'!$S57&gt;0,'FY21-22'!I57/'FY21-22'!$S57*'Multi-Year'!$N57,0)+IF('FY21-22'!$S57&lt;0,'FY21-22'!I57/'FY21-22'!$S57*'Multi-Year'!$N57,0)</f>
        <v>0</v>
      </c>
      <c r="J57" s="94">
        <f>IF('FY21-22'!$S57&gt;0,'FY21-22'!J57/'FY21-22'!$S57*'Multi-Year'!$N57,0)+IF('FY21-22'!$S57&lt;0,'FY21-22'!J57/'FY21-22'!$S57*'Multi-Year'!$N57,0)</f>
        <v>0</v>
      </c>
      <c r="K57" s="94">
        <f>IF('FY21-22'!$S57&gt;0,'FY21-22'!K57/'FY21-22'!$S57*'Multi-Year'!$N57,0)+IF('FY21-22'!$S57&lt;0,'FY21-22'!K57/'FY21-22'!$S57*'Multi-Year'!$N57,0)</f>
        <v>0</v>
      </c>
      <c r="L57" s="94">
        <f>IF('FY21-22'!$S57&gt;0,'FY21-22'!L57/'FY21-22'!$S57*'Multi-Year'!$N57,0)+IF('FY21-22'!$S57&lt;0,'FY21-22'!L57/'FY21-22'!$S57*'Multi-Year'!$N57,0)</f>
        <v>0</v>
      </c>
      <c r="M57" s="94">
        <f>IF('FY21-22'!$S57&gt;0,'FY21-22'!M57/'FY21-22'!$S57*'Multi-Year'!$N57,0)+IF('FY21-22'!$S57&lt;0,'FY21-22'!M57/'FY21-22'!$S57*'Multi-Year'!$N57,0)</f>
        <v>0</v>
      </c>
      <c r="N57" s="94">
        <f>IF('FY21-22'!$S57&gt;0,'FY21-22'!N57/'FY21-22'!$S57*'Multi-Year'!$N57,0)+IF('FY21-22'!$S57&lt;0,'FY21-22'!N57/'FY21-22'!$S57*'Multi-Year'!$N57,0)</f>
        <v>0</v>
      </c>
      <c r="O57" s="94">
        <f>IF('FY21-22'!$S57&gt;0,'FY21-22'!O57/'FY21-22'!$S57*'Multi-Year'!$N57,0)+IF('FY21-22'!$S57&lt;0,'FY21-22'!O57/'FY21-22'!$S57*'Multi-Year'!$N57,0)</f>
        <v>0</v>
      </c>
      <c r="P57" s="94">
        <f>IF('FY21-22'!$S57&gt;0,'FY21-22'!P57/'FY21-22'!$S57*'Multi-Year'!$N57,0)+IF('FY21-22'!$S57&lt;0,'FY21-22'!P57/'FY21-22'!$S57*'Multi-Year'!$N57,0)</f>
        <v>0</v>
      </c>
      <c r="Q57" s="606">
        <f>IF('FY21-22'!$S57&gt;0,'FY21-22'!Q57/'FY21-22'!$S57*'Multi-Year'!$N57,0)+IF('FY21-22'!$S57&lt;0,'FY21-22'!Q57/'FY21-22'!$S57*'Multi-Year'!$N57,0)</f>
        <v>0</v>
      </c>
      <c r="R57" s="94"/>
      <c r="S57" s="625">
        <f t="shared" si="17"/>
        <v>0</v>
      </c>
      <c r="T57" s="94"/>
      <c r="U57" s="94">
        <f>'FY21-22'!S57</f>
        <v>0</v>
      </c>
      <c r="V57" s="94">
        <f t="shared" ref="V57:V61" si="18">U57-S57</f>
        <v>0</v>
      </c>
    </row>
    <row r="58" spans="1:22" s="95" customFormat="1" ht="12" customHeight="1">
      <c r="A58" s="123"/>
      <c r="B58" s="123" t="s">
        <v>186</v>
      </c>
      <c r="C58" s="102">
        <v>1175</v>
      </c>
      <c r="D58" s="103" t="s">
        <v>273</v>
      </c>
      <c r="E58" s="94">
        <f>IF('FY21-22'!$S58&gt;0,'FY21-22'!E58/'FY21-22'!$S58*'Multi-Year'!$N58,0)+IF('FY21-22'!$S58&lt;0,'FY21-22'!E58/'FY21-22'!$S58*'Multi-Year'!$N58,0)</f>
        <v>5188.5063191362588</v>
      </c>
      <c r="F58" s="94">
        <f>IF('FY21-22'!$S58&gt;0,'FY21-22'!F58/'FY21-22'!$S58*'Multi-Year'!$N58,0)+IF('FY21-22'!$S58&lt;0,'FY21-22'!F58/'FY21-22'!$S58*'Multi-Year'!$N58,0)</f>
        <v>18469.150303321367</v>
      </c>
      <c r="G58" s="94">
        <f>IF('FY21-22'!$S58&gt;0,'FY21-22'!G58/'FY21-22'!$S58*'Multi-Year'!$N58,0)+IF('FY21-22'!$S58&lt;0,'FY21-22'!G58/'FY21-22'!$S58*'Multi-Year'!$N58,0)</f>
        <v>40245.314001742132</v>
      </c>
      <c r="H58" s="94">
        <f>IF('FY21-22'!$S58&gt;0,'FY21-22'!H58/'FY21-22'!$S58*'Multi-Year'!$N58,0)+IF('FY21-22'!$S58&lt;0,'FY21-22'!H58/'FY21-22'!$S58*'Multi-Year'!$N58,0)</f>
        <v>43751.354770904487</v>
      </c>
      <c r="I58" s="94">
        <f>IF('FY21-22'!$S58&gt;0,'FY21-22'!I58/'FY21-22'!$S58*'Multi-Year'!$N58,0)+IF('FY21-22'!$S58&lt;0,'FY21-22'!I58/'FY21-22'!$S58*'Multi-Year'!$N58,0)</f>
        <v>14154.095801131281</v>
      </c>
      <c r="J58" s="94">
        <f>IF('FY21-22'!$S58&gt;0,'FY21-22'!J58/'FY21-22'!$S58*'Multi-Year'!$N58,0)+IF('FY21-22'!$S58&lt;0,'FY21-22'!J58/'FY21-22'!$S58*'Multi-Year'!$N58,0)</f>
        <v>55511.370378847874</v>
      </c>
      <c r="K58" s="94">
        <f>IF('FY21-22'!$S58&gt;0,'FY21-22'!K58/'FY21-22'!$S58*'Multi-Year'!$N58,0)+IF('FY21-22'!$S58&lt;0,'FY21-22'!K58/'FY21-22'!$S58*'Multi-Year'!$N58,0)</f>
        <v>39067.262246199687</v>
      </c>
      <c r="L58" s="94">
        <f>IF('FY21-22'!$S58&gt;0,'FY21-22'!L58/'FY21-22'!$S58*'Multi-Year'!$N58,0)+IF('FY21-22'!$S58&lt;0,'FY21-22'!L58/'FY21-22'!$S58*'Multi-Year'!$N58,0)</f>
        <v>38341.841138063595</v>
      </c>
      <c r="M58" s="94">
        <f>IF('FY21-22'!$S58&gt;0,'FY21-22'!M58/'FY21-22'!$S58*'Multi-Year'!$N58,0)+IF('FY21-22'!$S58&lt;0,'FY21-22'!M58/'FY21-22'!$S58*'Multi-Year'!$N58,0)</f>
        <v>65464.315013396386</v>
      </c>
      <c r="N58" s="94">
        <f>IF('FY21-22'!$S58&gt;0,'FY21-22'!N58/'FY21-22'!$S58*'Multi-Year'!$N58,0)+IF('FY21-22'!$S58&lt;0,'FY21-22'!N58/'FY21-22'!$S58*'Multi-Year'!$N58,0)</f>
        <v>35598.052566823055</v>
      </c>
      <c r="O58" s="94">
        <f>IF('FY21-22'!$S58&gt;0,'FY21-22'!O58/'FY21-22'!$S58*'Multi-Year'!$N58,0)+IF('FY21-22'!$S58&lt;0,'FY21-22'!O58/'FY21-22'!$S58*'Multi-Year'!$N58,0)</f>
        <v>41199.880284033497</v>
      </c>
      <c r="P58" s="94">
        <f>IF('FY21-22'!$S58&gt;0,'FY21-22'!P58/'FY21-22'!$S58*'Multi-Year'!$N58,0)+IF('FY21-22'!$S58&lt;0,'FY21-22'!P58/'FY21-22'!$S58*'Multi-Year'!$N58,0)</f>
        <v>71665.584298112386</v>
      </c>
      <c r="Q58" s="606">
        <f>IF('FY21-22'!$S58&gt;0,'FY21-22'!Q58/'FY21-22'!$S58*'Multi-Year'!$N58,0)+IF('FY21-22'!$S58&lt;0,'FY21-22'!Q58/'FY21-22'!$S58*'Multi-Year'!$N58,0)</f>
        <v>0</v>
      </c>
      <c r="R58" s="94"/>
      <c r="S58" s="625">
        <f t="shared" si="17"/>
        <v>468656.727121712</v>
      </c>
      <c r="T58" s="94"/>
      <c r="U58" s="94">
        <f>'FY21-22'!S58</f>
        <v>437587.98050579993</v>
      </c>
      <c r="V58" s="94">
        <f t="shared" si="18"/>
        <v>-31068.746615912067</v>
      </c>
    </row>
    <row r="59" spans="1:22" s="95" customFormat="1" ht="12" customHeight="1">
      <c r="A59" s="124"/>
      <c r="B59" s="124" t="s">
        <v>186</v>
      </c>
      <c r="C59" s="102">
        <v>1200</v>
      </c>
      <c r="D59" s="103" t="s">
        <v>274</v>
      </c>
      <c r="E59" s="94">
        <f>IF('FY21-22'!$S59&gt;0,'FY21-22'!E59/'FY21-22'!$S59*'Multi-Year'!$N59,0)+IF('FY21-22'!$S59&lt;0,'FY21-22'!E59/'FY21-22'!$S59*'Multi-Year'!$N59,0)</f>
        <v>2047.8912793735526</v>
      </c>
      <c r="F59" s="94">
        <f>IF('FY21-22'!$S59&gt;0,'FY21-22'!F59/'FY21-22'!$S59*'Multi-Year'!$N59,0)+IF('FY21-22'!$S59&lt;0,'FY21-22'!F59/'FY21-22'!$S59*'Multi-Year'!$N59,0)</f>
        <v>19747.104783487208</v>
      </c>
      <c r="G59" s="94">
        <f>IF('FY21-22'!$S59&gt;0,'FY21-22'!G59/'FY21-22'!$S59*'Multi-Year'!$N59,0)+IF('FY21-22'!$S59&lt;0,'FY21-22'!G59/'FY21-22'!$S59*'Multi-Year'!$N59,0)</f>
        <v>21171.257796939863</v>
      </c>
      <c r="H59" s="94">
        <f>IF('FY21-22'!$S59&gt;0,'FY21-22'!H59/'FY21-22'!$S59*'Multi-Year'!$N59,0)+IF('FY21-22'!$S59&lt;0,'FY21-22'!H59/'FY21-22'!$S59*'Multi-Year'!$N59,0)</f>
        <v>21382.19967765388</v>
      </c>
      <c r="I59" s="94">
        <f>IF('FY21-22'!$S59&gt;0,'FY21-22'!I59/'FY21-22'!$S59*'Multi-Year'!$N59,0)+IF('FY21-22'!$S59&lt;0,'FY21-22'!I59/'FY21-22'!$S59*'Multi-Year'!$N59,0)</f>
        <v>18021.532697844683</v>
      </c>
      <c r="J59" s="94">
        <f>IF('FY21-22'!$S59&gt;0,'FY21-22'!J59/'FY21-22'!$S59*'Multi-Year'!$N59,0)+IF('FY21-22'!$S59&lt;0,'FY21-22'!J59/'FY21-22'!$S59*'Multi-Year'!$N59,0)</f>
        <v>16695.357969146087</v>
      </c>
      <c r="K59" s="94">
        <f>IF('FY21-22'!$S59&gt;0,'FY21-22'!K59/'FY21-22'!$S59*'Multi-Year'!$N59,0)+IF('FY21-22'!$S59&lt;0,'FY21-22'!K59/'FY21-22'!$S59*'Multi-Year'!$N59,0)</f>
        <v>15880.514796973506</v>
      </c>
      <c r="L59" s="94">
        <f>IF('FY21-22'!$S59&gt;0,'FY21-22'!L59/'FY21-22'!$S59*'Multi-Year'!$N59,0)+IF('FY21-22'!$S59&lt;0,'FY21-22'!L59/'FY21-22'!$S59*'Multi-Year'!$N59,0)</f>
        <v>10176.612591765441</v>
      </c>
      <c r="M59" s="94">
        <f>IF('FY21-22'!$S59&gt;0,'FY21-22'!M59/'FY21-22'!$S59*'Multi-Year'!$N59,0)+IF('FY21-22'!$S59&lt;0,'FY21-22'!M59/'FY21-22'!$S59*'Multi-Year'!$N59,0)</f>
        <v>10176.612591765441</v>
      </c>
      <c r="N59" s="94">
        <f>IF('FY21-22'!$S59&gt;0,'FY21-22'!N59/'FY21-22'!$S59*'Multi-Year'!$N59,0)+IF('FY21-22'!$S59&lt;0,'FY21-22'!N59/'FY21-22'!$S59*'Multi-Year'!$N59,0)</f>
        <v>11361.844393446159</v>
      </c>
      <c r="O59" s="94">
        <f>IF('FY21-22'!$S59&gt;0,'FY21-22'!O59/'FY21-22'!$S59*'Multi-Year'!$N59,0)+IF('FY21-22'!$S59&lt;0,'FY21-22'!O59/'FY21-22'!$S59*'Multi-Year'!$N59,0)</f>
        <v>16695.357969146087</v>
      </c>
      <c r="P59" s="94">
        <f>IF('FY21-22'!$S59&gt;0,'FY21-22'!P59/'FY21-22'!$S59*'Multi-Year'!$N59,0)+IF('FY21-22'!$S59&lt;0,'FY21-22'!P59/'FY21-22'!$S59*'Multi-Year'!$N59,0)</f>
        <v>16695.357969146087</v>
      </c>
      <c r="Q59" s="606">
        <f>IF('FY21-22'!$S59&gt;0,'FY21-22'!Q59/'FY21-22'!$S59*'Multi-Year'!$N59,0)+IF('FY21-22'!$S59&lt;0,'FY21-22'!Q59/'FY21-22'!$S59*'Multi-Year'!$N59,0)</f>
        <v>0</v>
      </c>
      <c r="R59" s="94"/>
      <c r="S59" s="625">
        <f t="shared" si="17"/>
        <v>180051.64451668799</v>
      </c>
      <c r="T59" s="94"/>
      <c r="U59" s="94">
        <f>'FY21-22'!S59</f>
        <v>168115.44772800003</v>
      </c>
      <c r="V59" s="94">
        <f t="shared" si="18"/>
        <v>-11936.196788687957</v>
      </c>
    </row>
    <row r="60" spans="1:22" s="95" customFormat="1" ht="12" customHeight="1">
      <c r="A60" s="123"/>
      <c r="B60" s="123" t="s">
        <v>186</v>
      </c>
      <c r="C60" s="102">
        <v>1300</v>
      </c>
      <c r="D60" s="103" t="s">
        <v>275</v>
      </c>
      <c r="E60" s="94">
        <f>IF('FY21-22'!$S60&gt;0,'FY21-22'!E60/'FY21-22'!$S60*'Multi-Year'!$N60,0)+IF('FY21-22'!$S60&lt;0,'FY21-22'!E60/'FY21-22'!$S60*'Multi-Year'!$N60,0)</f>
        <v>84117.14676541349</v>
      </c>
      <c r="F60" s="94">
        <f>IF('FY21-22'!$S60&gt;0,'FY21-22'!F60/'FY21-22'!$S60*'Multi-Year'!$N60,0)+IF('FY21-22'!$S60&lt;0,'FY21-22'!F60/'FY21-22'!$S60*'Multi-Year'!$N60,0)</f>
        <v>94530.930187052829</v>
      </c>
      <c r="G60" s="94">
        <f>IF('FY21-22'!$S60&gt;0,'FY21-22'!G60/'FY21-22'!$S60*'Multi-Year'!$N60,0)+IF('FY21-22'!$S60&lt;0,'FY21-22'!G60/'FY21-22'!$S60*'Multi-Year'!$N60,0)</f>
        <v>129826.27985181785</v>
      </c>
      <c r="H60" s="94">
        <f>IF('FY21-22'!$S60&gt;0,'FY21-22'!H60/'FY21-22'!$S60*'Multi-Year'!$N60,0)+IF('FY21-22'!$S60&lt;0,'FY21-22'!H60/'FY21-22'!$S60*'Multi-Year'!$N60,0)</f>
        <v>122136.72139469473</v>
      </c>
      <c r="I60" s="94">
        <f>IF('FY21-22'!$S60&gt;0,'FY21-22'!I60/'FY21-22'!$S60*'Multi-Year'!$N60,0)+IF('FY21-22'!$S60&lt;0,'FY21-22'!I60/'FY21-22'!$S60*'Multi-Year'!$N60,0)</f>
        <v>77194.234891143205</v>
      </c>
      <c r="J60" s="94">
        <f>IF('FY21-22'!$S60&gt;0,'FY21-22'!J60/'FY21-22'!$S60*'Multi-Year'!$N60,0)+IF('FY21-22'!$S60&lt;0,'FY21-22'!J60/'FY21-22'!$S60*'Multi-Year'!$N60,0)</f>
        <v>167908.46275676138</v>
      </c>
      <c r="K60" s="94">
        <f>IF('FY21-22'!$S60&gt;0,'FY21-22'!K60/'FY21-22'!$S60*'Multi-Year'!$N60,0)+IF('FY21-22'!$S60&lt;0,'FY21-22'!K60/'FY21-22'!$S60*'Multi-Year'!$N60,0)</f>
        <v>129846.2408713589</v>
      </c>
      <c r="L60" s="94">
        <f>IF('FY21-22'!$S60&gt;0,'FY21-22'!L60/'FY21-22'!$S60*'Multi-Year'!$N60,0)+IF('FY21-22'!$S60&lt;0,'FY21-22'!L60/'FY21-22'!$S60*'Multi-Year'!$N60,0)</f>
        <v>112136.29841544395</v>
      </c>
      <c r="M60" s="94">
        <f>IF('FY21-22'!$S60&gt;0,'FY21-22'!M60/'FY21-22'!$S60*'Multi-Year'!$N60,0)+IF('FY21-22'!$S60&lt;0,'FY21-22'!M60/'FY21-22'!$S60*'Multi-Year'!$N60,0)</f>
        <v>137458.62070382532</v>
      </c>
      <c r="N60" s="94">
        <f>IF('FY21-22'!$S60&gt;0,'FY21-22'!N60/'FY21-22'!$S60*'Multi-Year'!$N60,0)+IF('FY21-22'!$S60&lt;0,'FY21-22'!N60/'FY21-22'!$S60*'Multi-Year'!$N60,0)</f>
        <v>140992.13950731562</v>
      </c>
      <c r="O60" s="94">
        <f>IF('FY21-22'!$S60&gt;0,'FY21-22'!O60/'FY21-22'!$S60*'Multi-Year'!$N60,0)+IF('FY21-22'!$S60&lt;0,'FY21-22'!O60/'FY21-22'!$S60*'Multi-Year'!$N60,0)</f>
        <v>143503.40310347057</v>
      </c>
      <c r="P60" s="94">
        <f>IF('FY21-22'!$S60&gt;0,'FY21-22'!P60/'FY21-22'!$S60*'Multi-Year'!$N60,0)+IF('FY21-22'!$S60&lt;0,'FY21-22'!P60/'FY21-22'!$S60*'Multi-Year'!$N60,0)</f>
        <v>169334.15766024627</v>
      </c>
      <c r="Q60" s="606">
        <f>IF('FY21-22'!$S60&gt;0,'FY21-22'!Q60/'FY21-22'!$S60*'Multi-Year'!$N60,0)+IF('FY21-22'!$S60&lt;0,'FY21-22'!Q60/'FY21-22'!$S60*'Multi-Year'!$N60,0)</f>
        <v>0</v>
      </c>
      <c r="R60" s="94"/>
      <c r="S60" s="625">
        <f t="shared" si="17"/>
        <v>1508984.6361085442</v>
      </c>
      <c r="T60" s="94"/>
      <c r="U60" s="94">
        <f>'FY21-22'!S60</f>
        <v>1408949.2400640002</v>
      </c>
      <c r="V60" s="94">
        <f t="shared" si="18"/>
        <v>-100035.39604454394</v>
      </c>
    </row>
    <row r="61" spans="1:22" s="95" customFormat="1" ht="12" customHeight="1">
      <c r="A61" s="124"/>
      <c r="B61" s="124" t="s">
        <v>186</v>
      </c>
      <c r="C61" s="102">
        <v>1900</v>
      </c>
      <c r="D61" s="103" t="s">
        <v>19</v>
      </c>
      <c r="E61" s="94">
        <f>IF('FY21-22'!$S61&gt;0,'FY21-22'!E61/'FY21-22'!$S61*'Multi-Year'!$N61,0)+IF('FY21-22'!$S61&lt;0,'FY21-22'!E61/'FY21-22'!$S61*'Multi-Year'!$N61,0)</f>
        <v>0</v>
      </c>
      <c r="F61" s="94">
        <f>IF('FY21-22'!$S61&gt;0,'FY21-22'!F61/'FY21-22'!$S61*'Multi-Year'!$N61,0)+IF('FY21-22'!$S61&lt;0,'FY21-22'!F61/'FY21-22'!$S61*'Multi-Year'!$N61,0)</f>
        <v>0</v>
      </c>
      <c r="G61" s="94">
        <f>IF('FY21-22'!$S61&gt;0,'FY21-22'!G61/'FY21-22'!$S61*'Multi-Year'!$N61,0)+IF('FY21-22'!$S61&lt;0,'FY21-22'!G61/'FY21-22'!$S61*'Multi-Year'!$N61,0)</f>
        <v>0</v>
      </c>
      <c r="H61" s="94">
        <f>IF('FY21-22'!$S61&gt;0,'FY21-22'!H61/'FY21-22'!$S61*'Multi-Year'!$N61,0)+IF('FY21-22'!$S61&lt;0,'FY21-22'!H61/'FY21-22'!$S61*'Multi-Year'!$N61,0)</f>
        <v>0</v>
      </c>
      <c r="I61" s="94">
        <f>IF('FY21-22'!$S61&gt;0,'FY21-22'!I61/'FY21-22'!$S61*'Multi-Year'!$N61,0)+IF('FY21-22'!$S61&lt;0,'FY21-22'!I61/'FY21-22'!$S61*'Multi-Year'!$N61,0)</f>
        <v>0</v>
      </c>
      <c r="J61" s="94">
        <f>IF('FY21-22'!$S61&gt;0,'FY21-22'!J61/'FY21-22'!$S61*'Multi-Year'!$N61,0)+IF('FY21-22'!$S61&lt;0,'FY21-22'!J61/'FY21-22'!$S61*'Multi-Year'!$N61,0)</f>
        <v>0</v>
      </c>
      <c r="K61" s="94">
        <f>IF('FY21-22'!$S61&gt;0,'FY21-22'!K61/'FY21-22'!$S61*'Multi-Year'!$N61,0)+IF('FY21-22'!$S61&lt;0,'FY21-22'!K61/'FY21-22'!$S61*'Multi-Year'!$N61,0)</f>
        <v>0</v>
      </c>
      <c r="L61" s="94">
        <f>IF('FY21-22'!$S61&gt;0,'FY21-22'!L61/'FY21-22'!$S61*'Multi-Year'!$N61,0)+IF('FY21-22'!$S61&lt;0,'FY21-22'!L61/'FY21-22'!$S61*'Multi-Year'!$N61,0)</f>
        <v>0</v>
      </c>
      <c r="M61" s="94">
        <f>IF('FY21-22'!$S61&gt;0,'FY21-22'!M61/'FY21-22'!$S61*'Multi-Year'!$N61,0)+IF('FY21-22'!$S61&lt;0,'FY21-22'!M61/'FY21-22'!$S61*'Multi-Year'!$N61,0)</f>
        <v>0</v>
      </c>
      <c r="N61" s="94">
        <f>IF('FY21-22'!$S61&gt;0,'FY21-22'!N61/'FY21-22'!$S61*'Multi-Year'!$N61,0)+IF('FY21-22'!$S61&lt;0,'FY21-22'!N61/'FY21-22'!$S61*'Multi-Year'!$N61,0)</f>
        <v>0</v>
      </c>
      <c r="O61" s="94">
        <f>IF('FY21-22'!$S61&gt;0,'FY21-22'!O61/'FY21-22'!$S61*'Multi-Year'!$N61,0)+IF('FY21-22'!$S61&lt;0,'FY21-22'!O61/'FY21-22'!$S61*'Multi-Year'!$N61,0)</f>
        <v>0</v>
      </c>
      <c r="P61" s="94">
        <f>IF('FY21-22'!$S61&gt;0,'FY21-22'!P61/'FY21-22'!$S61*'Multi-Year'!$N61,0)+IF('FY21-22'!$S61&lt;0,'FY21-22'!P61/'FY21-22'!$S61*'Multi-Year'!$N61,0)</f>
        <v>0</v>
      </c>
      <c r="Q61" s="606">
        <f>IF('FY21-22'!$S61&gt;0,'FY21-22'!Q61/'FY21-22'!$S61*'Multi-Year'!$N61,0)+IF('FY21-22'!$S61&lt;0,'FY21-22'!Q61/'FY21-22'!$S61*'Multi-Year'!$N61,0)</f>
        <v>0</v>
      </c>
      <c r="R61" s="94"/>
      <c r="S61" s="625">
        <f t="shared" si="17"/>
        <v>0</v>
      </c>
      <c r="T61" s="94"/>
      <c r="U61" s="94">
        <f>'FY21-22'!S61</f>
        <v>0</v>
      </c>
      <c r="V61" s="94">
        <f t="shared" si="18"/>
        <v>0</v>
      </c>
    </row>
    <row r="62" spans="1:22" s="95" customFormat="1" ht="12" customHeight="1">
      <c r="A62" s="124"/>
      <c r="B62" s="124" t="s">
        <v>186</v>
      </c>
      <c r="C62" s="102"/>
      <c r="D62" s="103"/>
      <c r="E62" s="215">
        <f>SUM(E56:E61)</f>
        <v>685947.8702622226</v>
      </c>
      <c r="F62" s="215">
        <f t="shared" ref="F62:S62" si="19">SUM(F56:F61)</f>
        <v>987558.63422707806</v>
      </c>
      <c r="G62" s="215">
        <f t="shared" si="19"/>
        <v>1067846.3468951141</v>
      </c>
      <c r="H62" s="215">
        <f t="shared" si="19"/>
        <v>1055401.5682078353</v>
      </c>
      <c r="I62" s="215">
        <f t="shared" si="19"/>
        <v>192477.76483698568</v>
      </c>
      <c r="J62" s="215">
        <f t="shared" si="19"/>
        <v>1703312.8811585074</v>
      </c>
      <c r="K62" s="215">
        <f t="shared" si="19"/>
        <v>989651.58003407682</v>
      </c>
      <c r="L62" s="215">
        <f t="shared" si="19"/>
        <v>986002.08285549132</v>
      </c>
      <c r="M62" s="215">
        <f t="shared" si="19"/>
        <v>952827.42517529801</v>
      </c>
      <c r="N62" s="215">
        <f t="shared" si="19"/>
        <v>954869.0111574562</v>
      </c>
      <c r="O62" s="215">
        <f t="shared" si="19"/>
        <v>1013785.7386189349</v>
      </c>
      <c r="P62" s="215">
        <f t="shared" si="19"/>
        <v>941146.64675218239</v>
      </c>
      <c r="Q62" s="603">
        <f t="shared" si="19"/>
        <v>0</v>
      </c>
      <c r="R62" s="94">
        <f t="shared" si="19"/>
        <v>0</v>
      </c>
      <c r="S62" s="626">
        <f t="shared" si="19"/>
        <v>11530827.55018118</v>
      </c>
      <c r="T62" s="94"/>
      <c r="U62" s="216">
        <f>SUM(U56:U61)</f>
        <v>10766412.278413799</v>
      </c>
      <c r="V62" s="216">
        <f>SUM(V56:V61)</f>
        <v>-764415.27176738251</v>
      </c>
    </row>
    <row r="63" spans="1:22" s="95" customFormat="1" ht="12" customHeight="1">
      <c r="A63" s="124"/>
      <c r="B63" s="124" t="s">
        <v>245</v>
      </c>
      <c r="C63" s="102"/>
      <c r="D63" s="103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606"/>
      <c r="R63" s="94"/>
      <c r="S63" s="625"/>
      <c r="T63" s="94"/>
      <c r="U63" s="94"/>
      <c r="V63" s="94"/>
    </row>
    <row r="64" spans="1:22" s="95" customFormat="1" ht="12" customHeight="1">
      <c r="A64" s="124"/>
      <c r="B64" s="124" t="s">
        <v>186</v>
      </c>
      <c r="C64" s="102">
        <v>2100</v>
      </c>
      <c r="D64" s="103" t="s">
        <v>276</v>
      </c>
      <c r="E64" s="94">
        <f>IF('FY21-22'!$S64&gt;0,'FY21-22'!E64/'FY21-22'!$S64*'Multi-Year'!$N64,0)+IF('FY21-22'!$S64&lt;0,'FY21-22'!E64/'FY21-22'!$S64*'Multi-Year'!$N64,0)</f>
        <v>8992.5955336130683</v>
      </c>
      <c r="F64" s="94">
        <f>IF('FY21-22'!$S64&gt;0,'FY21-22'!F64/'FY21-22'!$S64*'Multi-Year'!$N64,0)+IF('FY21-22'!$S64&lt;0,'FY21-22'!F64/'FY21-22'!$S64*'Multi-Year'!$N64,0)</f>
        <v>24481.2969086788</v>
      </c>
      <c r="G64" s="94">
        <f>IF('FY21-22'!$S64&gt;0,'FY21-22'!G64/'FY21-22'!$S64*'Multi-Year'!$N64,0)+IF('FY21-22'!$S64&lt;0,'FY21-22'!G64/'FY21-22'!$S64*'Multi-Year'!$N64,0)</f>
        <v>26959.847445837277</v>
      </c>
      <c r="H64" s="94">
        <f>IF('FY21-22'!$S64&gt;0,'FY21-22'!H64/'FY21-22'!$S64*'Multi-Year'!$N64,0)+IF('FY21-22'!$S64&lt;0,'FY21-22'!H64/'FY21-22'!$S64*'Multi-Year'!$N64,0)</f>
        <v>28813.556246435284</v>
      </c>
      <c r="I64" s="94">
        <f>IF('FY21-22'!$S64&gt;0,'FY21-22'!I64/'FY21-22'!$S64*'Multi-Year'!$N64,0)+IF('FY21-22'!$S64&lt;0,'FY21-22'!I64/'FY21-22'!$S64*'Multi-Year'!$N64,0)</f>
        <v>25820.023823900188</v>
      </c>
      <c r="J64" s="94">
        <f>IF('FY21-22'!$S64&gt;0,'FY21-22'!J64/'FY21-22'!$S64*'Multi-Year'!$N64,0)+IF('FY21-22'!$S64&lt;0,'FY21-22'!J64/'FY21-22'!$S64*'Multi-Year'!$N64,0)</f>
        <v>67386.618551617779</v>
      </c>
      <c r="K64" s="94">
        <f>IF('FY21-22'!$S64&gt;0,'FY21-22'!K64/'FY21-22'!$S64*'Multi-Year'!$N64,0)+IF('FY21-22'!$S64&lt;0,'FY21-22'!K64/'FY21-22'!$S64*'Multi-Year'!$N64,0)</f>
        <v>38424.237211478234</v>
      </c>
      <c r="L64" s="94">
        <f>IF('FY21-22'!$S64&gt;0,'FY21-22'!L64/'FY21-22'!$S64*'Multi-Year'!$N64,0)+IF('FY21-22'!$S64&lt;0,'FY21-22'!L64/'FY21-22'!$S64*'Multi-Year'!$N64,0)</f>
        <v>66335.850020583093</v>
      </c>
      <c r="M64" s="94">
        <f>IF('FY21-22'!$S64&gt;0,'FY21-22'!M64/'FY21-22'!$S64*'Multi-Year'!$N64,0)+IF('FY21-22'!$S64&lt;0,'FY21-22'!M64/'FY21-22'!$S64*'Multi-Year'!$N64,0)</f>
        <v>26710.912548180731</v>
      </c>
      <c r="N64" s="94">
        <f>IF('FY21-22'!$S64&gt;0,'FY21-22'!N64/'FY21-22'!$S64*'Multi-Year'!$N64,0)+IF('FY21-22'!$S64&lt;0,'FY21-22'!N64/'FY21-22'!$S64*'Multi-Year'!$N64,0)</f>
        <v>25420.213643396302</v>
      </c>
      <c r="O64" s="94">
        <f>IF('FY21-22'!$S64&gt;0,'FY21-22'!O64/'FY21-22'!$S64*'Multi-Year'!$N64,0)+IF('FY21-22'!$S64&lt;0,'FY21-22'!O64/'FY21-22'!$S64*'Multi-Year'!$N64,0)</f>
        <v>16229.716613466575</v>
      </c>
      <c r="P64" s="94">
        <f>IF('FY21-22'!$S64&gt;0,'FY21-22'!P64/'FY21-22'!$S64*'Multi-Year'!$N64,0)+IF('FY21-22'!$S64&lt;0,'FY21-22'!P64/'FY21-22'!$S64*'Multi-Year'!$N64,0)</f>
        <v>19179.810653532724</v>
      </c>
      <c r="Q64" s="606">
        <f>IF('FY21-22'!$S64&gt;0,'FY21-22'!Q64/'FY21-22'!$S64*'Multi-Year'!$N64,0)+IF('FY21-22'!$S64&lt;0,'FY21-22'!Q64/'FY21-22'!$S64*'Multi-Year'!$N64,0)</f>
        <v>0</v>
      </c>
      <c r="R64" s="94"/>
      <c r="S64" s="625">
        <f t="shared" ref="S64:S68" si="20">SUM(E64:Q64)</f>
        <v>374754.6792007201</v>
      </c>
      <c r="T64" s="94"/>
      <c r="U64" s="94">
        <f>'FY21-22'!S64</f>
        <v>349910.99832000001</v>
      </c>
      <c r="V64" s="94">
        <f t="shared" ref="V64:V68" si="21">U64-S64</f>
        <v>-24843.680880720087</v>
      </c>
    </row>
    <row r="65" spans="1:22" s="95" customFormat="1" ht="12" customHeight="1">
      <c r="A65" s="124"/>
      <c r="B65" s="124" t="s">
        <v>186</v>
      </c>
      <c r="C65" s="102">
        <v>2200</v>
      </c>
      <c r="D65" s="103" t="s">
        <v>277</v>
      </c>
      <c r="E65" s="94">
        <f>IF('FY21-22'!$S65&gt;0,'FY21-22'!E65/'FY21-22'!$S65*'Multi-Year'!$N65,0)+IF('FY21-22'!$S65&lt;0,'FY21-22'!E65/'FY21-22'!$S65*'Multi-Year'!$N65,0)</f>
        <v>0</v>
      </c>
      <c r="F65" s="94">
        <f>IF('FY21-22'!$S65&gt;0,'FY21-22'!F65/'FY21-22'!$S65*'Multi-Year'!$N65,0)+IF('FY21-22'!$S65&lt;0,'FY21-22'!F65/'FY21-22'!$S65*'Multi-Year'!$N65,0)</f>
        <v>0</v>
      </c>
      <c r="G65" s="94">
        <f>IF('FY21-22'!$S65&gt;0,'FY21-22'!G65/'FY21-22'!$S65*'Multi-Year'!$N65,0)+IF('FY21-22'!$S65&lt;0,'FY21-22'!G65/'FY21-22'!$S65*'Multi-Year'!$N65,0)</f>
        <v>0</v>
      </c>
      <c r="H65" s="94">
        <f>IF('FY21-22'!$S65&gt;0,'FY21-22'!H65/'FY21-22'!$S65*'Multi-Year'!$N65,0)+IF('FY21-22'!$S65&lt;0,'FY21-22'!H65/'FY21-22'!$S65*'Multi-Year'!$N65,0)</f>
        <v>0</v>
      </c>
      <c r="I65" s="94">
        <f>IF('FY21-22'!$S65&gt;0,'FY21-22'!I65/'FY21-22'!$S65*'Multi-Year'!$N65,0)+IF('FY21-22'!$S65&lt;0,'FY21-22'!I65/'FY21-22'!$S65*'Multi-Year'!$N65,0)</f>
        <v>0</v>
      </c>
      <c r="J65" s="94">
        <f>IF('FY21-22'!$S65&gt;0,'FY21-22'!J65/'FY21-22'!$S65*'Multi-Year'!$N65,0)+IF('FY21-22'!$S65&lt;0,'FY21-22'!J65/'FY21-22'!$S65*'Multi-Year'!$N65,0)</f>
        <v>0</v>
      </c>
      <c r="K65" s="94">
        <f>IF('FY21-22'!$S65&gt;0,'FY21-22'!K65/'FY21-22'!$S65*'Multi-Year'!$N65,0)+IF('FY21-22'!$S65&lt;0,'FY21-22'!K65/'FY21-22'!$S65*'Multi-Year'!$N65,0)</f>
        <v>0</v>
      </c>
      <c r="L65" s="94">
        <f>IF('FY21-22'!$S65&gt;0,'FY21-22'!L65/'FY21-22'!$S65*'Multi-Year'!$N65,0)+IF('FY21-22'!$S65&lt;0,'FY21-22'!L65/'FY21-22'!$S65*'Multi-Year'!$N65,0)</f>
        <v>0</v>
      </c>
      <c r="M65" s="94">
        <f>IF('FY21-22'!$S65&gt;0,'FY21-22'!M65/'FY21-22'!$S65*'Multi-Year'!$N65,0)+IF('FY21-22'!$S65&lt;0,'FY21-22'!M65/'FY21-22'!$S65*'Multi-Year'!$N65,0)</f>
        <v>0</v>
      </c>
      <c r="N65" s="94">
        <f>IF('FY21-22'!$S65&gt;0,'FY21-22'!N65/'FY21-22'!$S65*'Multi-Year'!$N65,0)+IF('FY21-22'!$S65&lt;0,'FY21-22'!N65/'FY21-22'!$S65*'Multi-Year'!$N65,0)</f>
        <v>0</v>
      </c>
      <c r="O65" s="94">
        <f>IF('FY21-22'!$S65&gt;0,'FY21-22'!O65/'FY21-22'!$S65*'Multi-Year'!$N65,0)+IF('FY21-22'!$S65&lt;0,'FY21-22'!O65/'FY21-22'!$S65*'Multi-Year'!$N65,0)</f>
        <v>0</v>
      </c>
      <c r="P65" s="94">
        <f>IF('FY21-22'!$S65&gt;0,'FY21-22'!P65/'FY21-22'!$S65*'Multi-Year'!$N65,0)+IF('FY21-22'!$S65&lt;0,'FY21-22'!P65/'FY21-22'!$S65*'Multi-Year'!$N65,0)</f>
        <v>0</v>
      </c>
      <c r="Q65" s="606">
        <f>IF('FY21-22'!$S65&gt;0,'FY21-22'!Q65/'FY21-22'!$S65*'Multi-Year'!$N65,0)+IF('FY21-22'!$S65&lt;0,'FY21-22'!Q65/'FY21-22'!$S65*'Multi-Year'!$N65,0)</f>
        <v>0</v>
      </c>
      <c r="R65" s="94"/>
      <c r="S65" s="625">
        <f t="shared" si="20"/>
        <v>0</v>
      </c>
      <c r="T65" s="94"/>
      <c r="U65" s="94">
        <f>'FY21-22'!S65</f>
        <v>0</v>
      </c>
      <c r="V65" s="94">
        <f t="shared" si="21"/>
        <v>0</v>
      </c>
    </row>
    <row r="66" spans="1:22" s="95" customFormat="1" ht="12" customHeight="1">
      <c r="A66" s="124"/>
      <c r="B66" s="124" t="s">
        <v>186</v>
      </c>
      <c r="C66" s="102">
        <v>2300</v>
      </c>
      <c r="D66" s="103" t="s">
        <v>22</v>
      </c>
      <c r="E66" s="94">
        <f>IF('FY21-22'!$S66&gt;0,'FY21-22'!E66/'FY21-22'!$S66*'Multi-Year'!$N66,0)+IF('FY21-22'!$S66&lt;0,'FY21-22'!E66/'FY21-22'!$S66*'Multi-Year'!$N66,0)</f>
        <v>0</v>
      </c>
      <c r="F66" s="94">
        <f>IF('FY21-22'!$S66&gt;0,'FY21-22'!F66/'FY21-22'!$S66*'Multi-Year'!$N66,0)+IF('FY21-22'!$S66&lt;0,'FY21-22'!F66/'FY21-22'!$S66*'Multi-Year'!$N66,0)</f>
        <v>0</v>
      </c>
      <c r="G66" s="94">
        <f>IF('FY21-22'!$S66&gt;0,'FY21-22'!G66/'FY21-22'!$S66*'Multi-Year'!$N66,0)+IF('FY21-22'!$S66&lt;0,'FY21-22'!G66/'FY21-22'!$S66*'Multi-Year'!$N66,0)</f>
        <v>0</v>
      </c>
      <c r="H66" s="94">
        <f>IF('FY21-22'!$S66&gt;0,'FY21-22'!H66/'FY21-22'!$S66*'Multi-Year'!$N66,0)+IF('FY21-22'!$S66&lt;0,'FY21-22'!H66/'FY21-22'!$S66*'Multi-Year'!$N66,0)</f>
        <v>0</v>
      </c>
      <c r="I66" s="94">
        <f>IF('FY21-22'!$S66&gt;0,'FY21-22'!I66/'FY21-22'!$S66*'Multi-Year'!$N66,0)+IF('FY21-22'!$S66&lt;0,'FY21-22'!I66/'FY21-22'!$S66*'Multi-Year'!$N66,0)</f>
        <v>0</v>
      </c>
      <c r="J66" s="94">
        <f>IF('FY21-22'!$S66&gt;0,'FY21-22'!J66/'FY21-22'!$S66*'Multi-Year'!$N66,0)+IF('FY21-22'!$S66&lt;0,'FY21-22'!J66/'FY21-22'!$S66*'Multi-Year'!$N66,0)</f>
        <v>0</v>
      </c>
      <c r="K66" s="94">
        <f>IF('FY21-22'!$S66&gt;0,'FY21-22'!K66/'FY21-22'!$S66*'Multi-Year'!$N66,0)+IF('FY21-22'!$S66&lt;0,'FY21-22'!K66/'FY21-22'!$S66*'Multi-Year'!$N66,0)</f>
        <v>0</v>
      </c>
      <c r="L66" s="94">
        <f>IF('FY21-22'!$S66&gt;0,'FY21-22'!L66/'FY21-22'!$S66*'Multi-Year'!$N66,0)+IF('FY21-22'!$S66&lt;0,'FY21-22'!L66/'FY21-22'!$S66*'Multi-Year'!$N66,0)</f>
        <v>0</v>
      </c>
      <c r="M66" s="94">
        <f>IF('FY21-22'!$S66&gt;0,'FY21-22'!M66/'FY21-22'!$S66*'Multi-Year'!$N66,0)+IF('FY21-22'!$S66&lt;0,'FY21-22'!M66/'FY21-22'!$S66*'Multi-Year'!$N66,0)</f>
        <v>0</v>
      </c>
      <c r="N66" s="94">
        <f>IF('FY21-22'!$S66&gt;0,'FY21-22'!N66/'FY21-22'!$S66*'Multi-Year'!$N66,0)+IF('FY21-22'!$S66&lt;0,'FY21-22'!N66/'FY21-22'!$S66*'Multi-Year'!$N66,0)</f>
        <v>0</v>
      </c>
      <c r="O66" s="94">
        <f>IF('FY21-22'!$S66&gt;0,'FY21-22'!O66/'FY21-22'!$S66*'Multi-Year'!$N66,0)+IF('FY21-22'!$S66&lt;0,'FY21-22'!O66/'FY21-22'!$S66*'Multi-Year'!$N66,0)</f>
        <v>0</v>
      </c>
      <c r="P66" s="94">
        <f>IF('FY21-22'!$S66&gt;0,'FY21-22'!P66/'FY21-22'!$S66*'Multi-Year'!$N66,0)+IF('FY21-22'!$S66&lt;0,'FY21-22'!P66/'FY21-22'!$S66*'Multi-Year'!$N66,0)</f>
        <v>0</v>
      </c>
      <c r="Q66" s="606">
        <f>IF('FY21-22'!$S66&gt;0,'FY21-22'!Q66/'FY21-22'!$S66*'Multi-Year'!$N66,0)+IF('FY21-22'!$S66&lt;0,'FY21-22'!Q66/'FY21-22'!$S66*'Multi-Year'!$N66,0)</f>
        <v>0</v>
      </c>
      <c r="R66" s="94"/>
      <c r="S66" s="625">
        <f t="shared" si="20"/>
        <v>0</v>
      </c>
      <c r="T66" s="94"/>
      <c r="U66" s="94">
        <f>'FY21-22'!S66</f>
        <v>0</v>
      </c>
      <c r="V66" s="94">
        <f t="shared" si="21"/>
        <v>0</v>
      </c>
    </row>
    <row r="67" spans="1:22" s="95" customFormat="1" ht="12" customHeight="1">
      <c r="A67" s="124"/>
      <c r="B67" s="124" t="s">
        <v>186</v>
      </c>
      <c r="C67" s="102">
        <v>2400</v>
      </c>
      <c r="D67" s="105" t="s">
        <v>241</v>
      </c>
      <c r="E67" s="94">
        <f>IF('FY21-22'!$S67&gt;0,'FY21-22'!E67/'FY21-22'!$S67*'Multi-Year'!$N67,0)+IF('FY21-22'!$S67&lt;0,'FY21-22'!E67/'FY21-22'!$S67*'Multi-Year'!$N67,0)</f>
        <v>0</v>
      </c>
      <c r="F67" s="94">
        <f>IF('FY21-22'!$S67&gt;0,'FY21-22'!F67/'FY21-22'!$S67*'Multi-Year'!$N67,0)+IF('FY21-22'!$S67&lt;0,'FY21-22'!F67/'FY21-22'!$S67*'Multi-Year'!$N67,0)</f>
        <v>0</v>
      </c>
      <c r="G67" s="94">
        <f>IF('FY21-22'!$S67&gt;0,'FY21-22'!G67/'FY21-22'!$S67*'Multi-Year'!$N67,0)+IF('FY21-22'!$S67&lt;0,'FY21-22'!G67/'FY21-22'!$S67*'Multi-Year'!$N67,0)</f>
        <v>0</v>
      </c>
      <c r="H67" s="94">
        <f>IF('FY21-22'!$S67&gt;0,'FY21-22'!H67/'FY21-22'!$S67*'Multi-Year'!$N67,0)+IF('FY21-22'!$S67&lt;0,'FY21-22'!H67/'FY21-22'!$S67*'Multi-Year'!$N67,0)</f>
        <v>0</v>
      </c>
      <c r="I67" s="94">
        <f>IF('FY21-22'!$S67&gt;0,'FY21-22'!I67/'FY21-22'!$S67*'Multi-Year'!$N67,0)+IF('FY21-22'!$S67&lt;0,'FY21-22'!I67/'FY21-22'!$S67*'Multi-Year'!$N67,0)</f>
        <v>0</v>
      </c>
      <c r="J67" s="94">
        <f>IF('FY21-22'!$S67&gt;0,'FY21-22'!J67/'FY21-22'!$S67*'Multi-Year'!$N67,0)+IF('FY21-22'!$S67&lt;0,'FY21-22'!J67/'FY21-22'!$S67*'Multi-Year'!$N67,0)</f>
        <v>0</v>
      </c>
      <c r="K67" s="94">
        <f>IF('FY21-22'!$S67&gt;0,'FY21-22'!K67/'FY21-22'!$S67*'Multi-Year'!$N67,0)+IF('FY21-22'!$S67&lt;0,'FY21-22'!K67/'FY21-22'!$S67*'Multi-Year'!$N67,0)</f>
        <v>0</v>
      </c>
      <c r="L67" s="94">
        <f>IF('FY21-22'!$S67&gt;0,'FY21-22'!L67/'FY21-22'!$S67*'Multi-Year'!$N67,0)+IF('FY21-22'!$S67&lt;0,'FY21-22'!L67/'FY21-22'!$S67*'Multi-Year'!$N67,0)</f>
        <v>10535.024535897073</v>
      </c>
      <c r="M67" s="94">
        <f>IF('FY21-22'!$S67&gt;0,'FY21-22'!M67/'FY21-22'!$S67*'Multi-Year'!$N67,0)+IF('FY21-22'!$S67&lt;0,'FY21-22'!M67/'FY21-22'!$S67*'Multi-Year'!$N67,0)</f>
        <v>23177.044848886773</v>
      </c>
      <c r="N67" s="94">
        <f>IF('FY21-22'!$S67&gt;0,'FY21-22'!N67/'FY21-22'!$S67*'Multi-Year'!$N67,0)+IF('FY21-22'!$S67&lt;0,'FY21-22'!N67/'FY21-22'!$S67*'Multi-Year'!$N67,0)</f>
        <v>38355.63152205744</v>
      </c>
      <c r="O67" s="94">
        <f>IF('FY21-22'!$S67&gt;0,'FY21-22'!O67/'FY21-22'!$S67*'Multi-Year'!$N67,0)+IF('FY21-22'!$S67&lt;0,'FY21-22'!O67/'FY21-22'!$S67*'Multi-Year'!$N67,0)</f>
        <v>25599.530774727915</v>
      </c>
      <c r="P67" s="94">
        <f>IF('FY21-22'!$S67&gt;0,'FY21-22'!P67/'FY21-22'!$S67*'Multi-Year'!$N67,0)+IF('FY21-22'!$S67&lt;0,'FY21-22'!P67/'FY21-22'!$S67*'Multi-Year'!$N67,0)</f>
        <v>14678.166616654806</v>
      </c>
      <c r="Q67" s="606">
        <f>IF('FY21-22'!$S67&gt;0,'FY21-22'!Q67/'FY21-22'!$S67*'Multi-Year'!$N67,0)+IF('FY21-22'!$S67&lt;0,'FY21-22'!Q67/'FY21-22'!$S67*'Multi-Year'!$N67,0)</f>
        <v>0</v>
      </c>
      <c r="R67" s="125"/>
      <c r="S67" s="625">
        <f t="shared" si="20"/>
        <v>112345.39829822401</v>
      </c>
      <c r="T67" s="94"/>
      <c r="U67" s="94">
        <f>'FY21-22'!S67</f>
        <v>104897.66414400001</v>
      </c>
      <c r="V67" s="94">
        <f t="shared" si="21"/>
        <v>-7447.7341542240029</v>
      </c>
    </row>
    <row r="68" spans="1:22" s="95" customFormat="1" ht="12" customHeight="1">
      <c r="A68" s="124"/>
      <c r="B68" s="124" t="s">
        <v>186</v>
      </c>
      <c r="C68" s="102">
        <v>2900</v>
      </c>
      <c r="D68" s="103" t="s">
        <v>24</v>
      </c>
      <c r="E68" s="94">
        <f>IF('FY21-22'!$S68&gt;0,'FY21-22'!E68/'FY21-22'!$S68*'Multi-Year'!$N68,0)+IF('FY21-22'!$S68&lt;0,'FY21-22'!E68/'FY21-22'!$S68*'Multi-Year'!$N68,0)</f>
        <v>0</v>
      </c>
      <c r="F68" s="94">
        <f>IF('FY21-22'!$S68&gt;0,'FY21-22'!F68/'FY21-22'!$S68*'Multi-Year'!$N68,0)+IF('FY21-22'!$S68&lt;0,'FY21-22'!F68/'FY21-22'!$S68*'Multi-Year'!$N68,0)</f>
        <v>0</v>
      </c>
      <c r="G68" s="94">
        <f>IF('FY21-22'!$S68&gt;0,'FY21-22'!G68/'FY21-22'!$S68*'Multi-Year'!$N68,0)+IF('FY21-22'!$S68&lt;0,'FY21-22'!G68/'FY21-22'!$S68*'Multi-Year'!$N68,0)</f>
        <v>0</v>
      </c>
      <c r="H68" s="94">
        <f>IF('FY21-22'!$S68&gt;0,'FY21-22'!H68/'FY21-22'!$S68*'Multi-Year'!$N68,0)+IF('FY21-22'!$S68&lt;0,'FY21-22'!H68/'FY21-22'!$S68*'Multi-Year'!$N68,0)</f>
        <v>0</v>
      </c>
      <c r="I68" s="94">
        <f>IF('FY21-22'!$S68&gt;0,'FY21-22'!I68/'FY21-22'!$S68*'Multi-Year'!$N68,0)+IF('FY21-22'!$S68&lt;0,'FY21-22'!I68/'FY21-22'!$S68*'Multi-Year'!$N68,0)</f>
        <v>0</v>
      </c>
      <c r="J68" s="94">
        <f>IF('FY21-22'!$S68&gt;0,'FY21-22'!J68/'FY21-22'!$S68*'Multi-Year'!$N68,0)+IF('FY21-22'!$S68&lt;0,'FY21-22'!J68/'FY21-22'!$S68*'Multi-Year'!$N68,0)</f>
        <v>0</v>
      </c>
      <c r="K68" s="94">
        <f>IF('FY21-22'!$S68&gt;0,'FY21-22'!K68/'FY21-22'!$S68*'Multi-Year'!$N68,0)+IF('FY21-22'!$S68&lt;0,'FY21-22'!K68/'FY21-22'!$S68*'Multi-Year'!$N68,0)</f>
        <v>0</v>
      </c>
      <c r="L68" s="94">
        <f>IF('FY21-22'!$S68&gt;0,'FY21-22'!L68/'FY21-22'!$S68*'Multi-Year'!$N68,0)+IF('FY21-22'!$S68&lt;0,'FY21-22'!L68/'FY21-22'!$S68*'Multi-Year'!$N68,0)</f>
        <v>0</v>
      </c>
      <c r="M68" s="94">
        <f>IF('FY21-22'!$S68&gt;0,'FY21-22'!M68/'FY21-22'!$S68*'Multi-Year'!$N68,0)+IF('FY21-22'!$S68&lt;0,'FY21-22'!M68/'FY21-22'!$S68*'Multi-Year'!$N68,0)</f>
        <v>0</v>
      </c>
      <c r="N68" s="94">
        <f>IF('FY21-22'!$S68&gt;0,'FY21-22'!N68/'FY21-22'!$S68*'Multi-Year'!$N68,0)+IF('FY21-22'!$S68&lt;0,'FY21-22'!N68/'FY21-22'!$S68*'Multi-Year'!$N68,0)</f>
        <v>5996.3733195616969</v>
      </c>
      <c r="O68" s="94">
        <f>IF('FY21-22'!$S68&gt;0,'FY21-22'!O68/'FY21-22'!$S68*'Multi-Year'!$N68,0)+IF('FY21-22'!$S68&lt;0,'FY21-22'!O68/'FY21-22'!$S68*'Multi-Year'!$N68,0)</f>
        <v>14049.466748387344</v>
      </c>
      <c r="P68" s="94">
        <f>IF('FY21-22'!$S68&gt;0,'FY21-22'!P68/'FY21-22'!$S68*'Multi-Year'!$N68,0)+IF('FY21-22'!$S68&lt;0,'FY21-22'!P68/'FY21-22'!$S68*'Multi-Year'!$N68,0)</f>
        <v>24429.684350290965</v>
      </c>
      <c r="Q68" s="606">
        <f>IF('FY21-22'!$S68&gt;0,'FY21-22'!Q68/'FY21-22'!$S68*'Multi-Year'!$N68,0)+IF('FY21-22'!$S68&lt;0,'FY21-22'!Q68/'FY21-22'!$S68*'Multi-Year'!$N68,0)</f>
        <v>0</v>
      </c>
      <c r="R68" s="94"/>
      <c r="S68" s="625">
        <f t="shared" si="20"/>
        <v>44475.524418240006</v>
      </c>
      <c r="T68" s="94"/>
      <c r="U68" s="94">
        <f>'FY21-22'!S68</f>
        <v>43603.455311999991</v>
      </c>
      <c r="V68" s="94">
        <f t="shared" si="21"/>
        <v>-872.06910624001466</v>
      </c>
    </row>
    <row r="69" spans="1:22" s="95" customFormat="1" ht="12" customHeight="1">
      <c r="A69" s="124"/>
      <c r="B69" s="124" t="s">
        <v>186</v>
      </c>
      <c r="C69" s="126"/>
      <c r="D69" s="126"/>
      <c r="E69" s="215">
        <f>SUM(E64:E68)</f>
        <v>8992.5955336130683</v>
      </c>
      <c r="F69" s="215">
        <f t="shared" ref="F69:S69" si="22">SUM(F64:F68)</f>
        <v>24481.2969086788</v>
      </c>
      <c r="G69" s="215">
        <f t="shared" si="22"/>
        <v>26959.847445837277</v>
      </c>
      <c r="H69" s="215">
        <f t="shared" si="22"/>
        <v>28813.556246435284</v>
      </c>
      <c r="I69" s="215">
        <f t="shared" si="22"/>
        <v>25820.023823900188</v>
      </c>
      <c r="J69" s="215">
        <f t="shared" si="22"/>
        <v>67386.618551617779</v>
      </c>
      <c r="K69" s="215">
        <f t="shared" si="22"/>
        <v>38424.237211478234</v>
      </c>
      <c r="L69" s="215">
        <f t="shared" si="22"/>
        <v>76870.874556480165</v>
      </c>
      <c r="M69" s="215">
        <f t="shared" si="22"/>
        <v>49887.957397067505</v>
      </c>
      <c r="N69" s="215">
        <f t="shared" si="22"/>
        <v>69772.218485015444</v>
      </c>
      <c r="O69" s="215">
        <f t="shared" si="22"/>
        <v>55878.714136581832</v>
      </c>
      <c r="P69" s="215">
        <f t="shared" si="22"/>
        <v>58287.661620478495</v>
      </c>
      <c r="Q69" s="603">
        <f t="shared" si="22"/>
        <v>0</v>
      </c>
      <c r="R69" s="94">
        <f t="shared" si="22"/>
        <v>0</v>
      </c>
      <c r="S69" s="626">
        <f t="shared" si="22"/>
        <v>531575.60191718419</v>
      </c>
      <c r="T69" s="94"/>
      <c r="U69" s="216">
        <f>SUM(U64:U68)</f>
        <v>498412.11777600006</v>
      </c>
      <c r="V69" s="216">
        <f>SUM(V64:V68)</f>
        <v>-33163.484141184104</v>
      </c>
    </row>
    <row r="70" spans="1:22" s="95" customFormat="1" ht="12" customHeight="1">
      <c r="A70" s="124"/>
      <c r="B70" s="124" t="s">
        <v>3</v>
      </c>
      <c r="C70" s="126"/>
      <c r="D70" s="126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606"/>
      <c r="R70" s="94"/>
      <c r="S70" s="627"/>
      <c r="T70" s="94"/>
      <c r="U70" s="94"/>
      <c r="V70" s="94"/>
    </row>
    <row r="71" spans="1:22" s="95" customFormat="1" ht="12" customHeight="1">
      <c r="A71" s="124"/>
      <c r="B71" s="124" t="s">
        <v>186</v>
      </c>
      <c r="C71" s="102">
        <v>3101</v>
      </c>
      <c r="D71" s="105" t="s">
        <v>69</v>
      </c>
      <c r="E71" s="94">
        <f>IF('FY21-22'!$S71&gt;0,'FY21-22'!E71/'FY21-22'!$S71*'Multi-Year'!$N71,0)+IF('FY21-22'!$S71&lt;0,'FY21-22'!E71/'FY21-22'!$S71*'Multi-Year'!$N71,0)</f>
        <v>113857.94832367045</v>
      </c>
      <c r="F71" s="94">
        <f>IF('FY21-22'!$S71&gt;0,'FY21-22'!F71/'FY21-22'!$S71*'Multi-Year'!$N71,0)+IF('FY21-22'!$S71&lt;0,'FY21-22'!F71/'FY21-22'!$S71*'Multi-Year'!$N71,0)</f>
        <v>170109.8054366424</v>
      </c>
      <c r="G71" s="94">
        <f>IF('FY21-22'!$S71&gt;0,'FY21-22'!G71/'FY21-22'!$S71*'Multi-Year'!$N71,0)+IF('FY21-22'!$S71&lt;0,'FY21-22'!G71/'FY21-22'!$S71*'Multi-Year'!$N71,0)</f>
        <v>194144.94975972036</v>
      </c>
      <c r="H71" s="94">
        <f>IF('FY21-22'!$S71&gt;0,'FY21-22'!H71/'FY21-22'!$S71*'Multi-Year'!$N71,0)+IF('FY21-22'!$S71&lt;0,'FY21-22'!H71/'FY21-22'!$S71*'Multi-Year'!$N71,0)</f>
        <v>194753.27730675053</v>
      </c>
      <c r="I71" s="94">
        <f>IF('FY21-22'!$S71&gt;0,'FY21-22'!I71/'FY21-22'!$S71*'Multi-Year'!$N71,0)+IF('FY21-22'!$S71&lt;0,'FY21-22'!I71/'FY21-22'!$S71*'Multi-Year'!$N71,0)</f>
        <v>40822.104179160968</v>
      </c>
      <c r="J71" s="94">
        <f>IF('FY21-22'!$S71&gt;0,'FY21-22'!J71/'FY21-22'!$S71*'Multi-Year'!$N71,0)+IF('FY21-22'!$S71&lt;0,'FY21-22'!J71/'FY21-22'!$S71*'Multi-Year'!$N71,0)</f>
        <v>303670.55705076002</v>
      </c>
      <c r="K71" s="94">
        <f>IF('FY21-22'!$S71&gt;0,'FY21-22'!K71/'FY21-22'!$S71*'Multi-Year'!$N71,0)+IF('FY21-22'!$S71&lt;0,'FY21-22'!K71/'FY21-22'!$S71*'Multi-Year'!$N71,0)</f>
        <v>182148.40648256577</v>
      </c>
      <c r="L71" s="94">
        <f>IF('FY21-22'!$S71&gt;0,'FY21-22'!L71/'FY21-22'!$S71*'Multi-Year'!$N71,0)+IF('FY21-22'!$S71&lt;0,'FY21-22'!L71/'FY21-22'!$S71*'Multi-Year'!$N71,0)</f>
        <v>179221.47713674913</v>
      </c>
      <c r="M71" s="94">
        <f>IF('FY21-22'!$S71&gt;0,'FY21-22'!M71/'FY21-22'!$S71*'Multi-Year'!$N71,0)+IF('FY21-22'!$S71&lt;0,'FY21-22'!M71/'FY21-22'!$S71*'Multi-Year'!$N71,0)</f>
        <v>174409.85993656018</v>
      </c>
      <c r="N71" s="94">
        <f>IF('FY21-22'!$S71&gt;0,'FY21-22'!N71/'FY21-22'!$S71*'Multi-Year'!$N71,0)+IF('FY21-22'!$S71&lt;0,'FY21-22'!N71/'FY21-22'!$S71*'Multi-Year'!$N71,0)</f>
        <v>172757.3603387195</v>
      </c>
      <c r="O71" s="94">
        <f>IF('FY21-22'!$S71&gt;0,'FY21-22'!O71/'FY21-22'!$S71*'Multi-Year'!$N71,0)+IF('FY21-22'!$S71&lt;0,'FY21-22'!O71/'FY21-22'!$S71*'Multi-Year'!$N71,0)</f>
        <v>184962.42771526691</v>
      </c>
      <c r="P71" s="94">
        <f>IF('FY21-22'!$S71&gt;0,'FY21-22'!P71/'FY21-22'!$S71*'Multi-Year'!$N71,0)+IF('FY21-22'!$S71&lt;0,'FY21-22'!P71/'FY21-22'!$S71*'Multi-Year'!$N71,0)</f>
        <v>176221.61291622726</v>
      </c>
      <c r="Q71" s="606">
        <f>IF('FY21-22'!$S71&gt;0,'FY21-22'!Q71/'FY21-22'!$S71*'Multi-Year'!$N71,0)+IF('FY21-22'!$S71&lt;0,'FY21-22'!Q71/'FY21-22'!$S71*'Multi-Year'!$N71,0)</f>
        <v>0</v>
      </c>
      <c r="R71" s="94"/>
      <c r="S71" s="625">
        <f t="shared" ref="S71:S78" si="23">SUM(E71:Q71)</f>
        <v>2087079.7865827933</v>
      </c>
      <c r="T71" s="94"/>
      <c r="U71" s="94">
        <f>'FY21-22'!S71</f>
        <v>1948720.6223928975</v>
      </c>
      <c r="V71" s="94">
        <f t="shared" ref="V71:V78" si="24">U71-S71</f>
        <v>-138359.16418989585</v>
      </c>
    </row>
    <row r="72" spans="1:22" s="95" customFormat="1" ht="12" customHeight="1">
      <c r="A72" s="124"/>
      <c r="B72" s="124" t="s">
        <v>186</v>
      </c>
      <c r="C72" s="102">
        <v>3202</v>
      </c>
      <c r="D72" s="105" t="s">
        <v>70</v>
      </c>
      <c r="E72" s="94">
        <f>IF('FY21-22'!$S72&gt;0,'FY21-22'!E72/'FY21-22'!$S72*'Multi-Year'!$N72,0)+IF('FY21-22'!$S72&lt;0,'FY21-22'!E72/'FY21-22'!$S72*'Multi-Year'!$N72,0)</f>
        <v>0</v>
      </c>
      <c r="F72" s="94">
        <f>IF('FY21-22'!$S72&gt;0,'FY21-22'!F72/'FY21-22'!$S72*'Multi-Year'!$N72,0)+IF('FY21-22'!$S72&lt;0,'FY21-22'!F72/'FY21-22'!$S72*'Multi-Year'!$N72,0)</f>
        <v>0</v>
      </c>
      <c r="G72" s="94">
        <f>IF('FY21-22'!$S72&gt;0,'FY21-22'!G72/'FY21-22'!$S72*'Multi-Year'!$N72,0)+IF('FY21-22'!$S72&lt;0,'FY21-22'!G72/'FY21-22'!$S72*'Multi-Year'!$N72,0)</f>
        <v>0</v>
      </c>
      <c r="H72" s="94">
        <f>IF('FY21-22'!$S72&gt;0,'FY21-22'!H72/'FY21-22'!$S72*'Multi-Year'!$N72,0)+IF('FY21-22'!$S72&lt;0,'FY21-22'!H72/'FY21-22'!$S72*'Multi-Year'!$N72,0)</f>
        <v>0</v>
      </c>
      <c r="I72" s="94">
        <f>IF('FY21-22'!$S72&gt;0,'FY21-22'!I72/'FY21-22'!$S72*'Multi-Year'!$N72,0)+IF('FY21-22'!$S72&lt;0,'FY21-22'!I72/'FY21-22'!$S72*'Multi-Year'!$N72,0)</f>
        <v>0</v>
      </c>
      <c r="J72" s="94">
        <f>IF('FY21-22'!$S72&gt;0,'FY21-22'!J72/'FY21-22'!$S72*'Multi-Year'!$N72,0)+IF('FY21-22'!$S72&lt;0,'FY21-22'!J72/'FY21-22'!$S72*'Multi-Year'!$N72,0)</f>
        <v>0</v>
      </c>
      <c r="K72" s="94">
        <f>IF('FY21-22'!$S72&gt;0,'FY21-22'!K72/'FY21-22'!$S72*'Multi-Year'!$N72,0)+IF('FY21-22'!$S72&lt;0,'FY21-22'!K72/'FY21-22'!$S72*'Multi-Year'!$N72,0)</f>
        <v>0</v>
      </c>
      <c r="L72" s="94">
        <f>IF('FY21-22'!$S72&gt;0,'FY21-22'!L72/'FY21-22'!$S72*'Multi-Year'!$N72,0)+IF('FY21-22'!$S72&lt;0,'FY21-22'!L72/'FY21-22'!$S72*'Multi-Year'!$N72,0)</f>
        <v>0</v>
      </c>
      <c r="M72" s="94">
        <f>IF('FY21-22'!$S72&gt;0,'FY21-22'!M72/'FY21-22'!$S72*'Multi-Year'!$N72,0)+IF('FY21-22'!$S72&lt;0,'FY21-22'!M72/'FY21-22'!$S72*'Multi-Year'!$N72,0)</f>
        <v>0</v>
      </c>
      <c r="N72" s="94">
        <f>IF('FY21-22'!$S72&gt;0,'FY21-22'!N72/'FY21-22'!$S72*'Multi-Year'!$N72,0)+IF('FY21-22'!$S72&lt;0,'FY21-22'!N72/'FY21-22'!$S72*'Multi-Year'!$N72,0)</f>
        <v>0</v>
      </c>
      <c r="O72" s="94">
        <f>IF('FY21-22'!$S72&gt;0,'FY21-22'!O72/'FY21-22'!$S72*'Multi-Year'!$N72,0)+IF('FY21-22'!$S72&lt;0,'FY21-22'!O72/'FY21-22'!$S72*'Multi-Year'!$N72,0)</f>
        <v>0</v>
      </c>
      <c r="P72" s="94">
        <f>IF('FY21-22'!$S72&gt;0,'FY21-22'!P72/'FY21-22'!$S72*'Multi-Year'!$N72,0)+IF('FY21-22'!$S72&lt;0,'FY21-22'!P72/'FY21-22'!$S72*'Multi-Year'!$N72,0)</f>
        <v>0</v>
      </c>
      <c r="Q72" s="606">
        <f>IF('FY21-22'!$S72&gt;0,'FY21-22'!Q72/'FY21-22'!$S72*'Multi-Year'!$N72,0)+IF('FY21-22'!$S72&lt;0,'FY21-22'!Q72/'FY21-22'!$S72*'Multi-Year'!$N72,0)</f>
        <v>0</v>
      </c>
      <c r="R72" s="94"/>
      <c r="S72" s="625">
        <f t="shared" si="23"/>
        <v>0</v>
      </c>
      <c r="T72" s="94"/>
      <c r="U72" s="94">
        <f>'FY21-22'!S72</f>
        <v>0</v>
      </c>
      <c r="V72" s="94">
        <f t="shared" si="24"/>
        <v>0</v>
      </c>
    </row>
    <row r="73" spans="1:22" s="95" customFormat="1" ht="12" customHeight="1">
      <c r="A73" s="124"/>
      <c r="B73" s="124" t="s">
        <v>186</v>
      </c>
      <c r="C73" s="102">
        <v>3301</v>
      </c>
      <c r="D73" s="105" t="s">
        <v>239</v>
      </c>
      <c r="E73" s="94">
        <f>IF('FY21-22'!$S73&gt;0,'FY21-22'!E73/'FY21-22'!$S73*'Multi-Year'!$N73,0)+IF('FY21-22'!$S73&lt;0,'FY21-22'!E73/'FY21-22'!$S73*'Multi-Year'!$N73,0)</f>
        <v>623.87826763461851</v>
      </c>
      <c r="F73" s="94">
        <f>IF('FY21-22'!$S73&gt;0,'FY21-22'!F73/'FY21-22'!$S73*'Multi-Year'!$N73,0)+IF('FY21-22'!$S73&lt;0,'FY21-22'!F73/'FY21-22'!$S73*'Multi-Year'!$N73,0)</f>
        <v>1690.4575234759975</v>
      </c>
      <c r="G73" s="94">
        <f>IF('FY21-22'!$S73&gt;0,'FY21-22'!G73/'FY21-22'!$S73*'Multi-Year'!$N73,0)+IF('FY21-22'!$S73&lt;0,'FY21-22'!G73/'FY21-22'!$S73*'Multi-Year'!$N73,0)</f>
        <v>1808.9702880227642</v>
      </c>
      <c r="H73" s="94">
        <f>IF('FY21-22'!$S73&gt;0,'FY21-22'!H73/'FY21-22'!$S73*'Multi-Year'!$N73,0)+IF('FY21-22'!$S73&lt;0,'FY21-22'!H73/'FY21-22'!$S73*'Multi-Year'!$N73,0)</f>
        <v>1774.8533368661649</v>
      </c>
      <c r="I73" s="94">
        <f>IF('FY21-22'!$S73&gt;0,'FY21-22'!I73/'FY21-22'!$S73*'Multi-Year'!$N73,0)+IF('FY21-22'!$S73&lt;0,'FY21-22'!I73/'FY21-22'!$S73*'Multi-Year'!$N73,0)</f>
        <v>1585.6247894660917</v>
      </c>
      <c r="J73" s="94">
        <f>IF('FY21-22'!$S73&gt;0,'FY21-22'!J73/'FY21-22'!$S73*'Multi-Year'!$N73,0)+IF('FY21-22'!$S73&lt;0,'FY21-22'!J73/'FY21-22'!$S73*'Multi-Year'!$N73,0)</f>
        <v>4077.9078527944735</v>
      </c>
      <c r="K73" s="94">
        <f>IF('FY21-22'!$S73&gt;0,'FY21-22'!K73/'FY21-22'!$S73*'Multi-Year'!$N73,0)+IF('FY21-22'!$S73&lt;0,'FY21-22'!K73/'FY21-22'!$S73*'Multi-Year'!$N73,0)</f>
        <v>2359.769642529046</v>
      </c>
      <c r="L73" s="94">
        <f>IF('FY21-22'!$S73&gt;0,'FY21-22'!L73/'FY21-22'!$S73*'Multi-Year'!$N73,0)+IF('FY21-22'!$S73&lt;0,'FY21-22'!L73/'FY21-22'!$S73*'Multi-Year'!$N73,0)</f>
        <v>4163.9305448161949</v>
      </c>
      <c r="M73" s="94">
        <f>IF('FY21-22'!$S73&gt;0,'FY21-22'!M73/'FY21-22'!$S73*'Multi-Year'!$N73,0)+IF('FY21-22'!$S73&lt;0,'FY21-22'!M73/'FY21-22'!$S73*'Multi-Year'!$N73,0)</f>
        <v>2003.4357221127295</v>
      </c>
      <c r="N73" s="94">
        <f>IF('FY21-22'!$S73&gt;0,'FY21-22'!N73/'FY21-22'!$S73*'Multi-Year'!$N73,0)+IF('FY21-22'!$S73&lt;0,'FY21-22'!N73/'FY21-22'!$S73*'Multi-Year'!$N73,0)</f>
        <v>2439.0948196004288</v>
      </c>
      <c r="O73" s="94">
        <f>IF('FY21-22'!$S73&gt;0,'FY21-22'!O73/'FY21-22'!$S73*'Multi-Year'!$N73,0)+IF('FY21-22'!$S73&lt;0,'FY21-22'!O73/'FY21-22'!$S73*'Multi-Year'!$N73,0)</f>
        <v>4641.0216097892317</v>
      </c>
      <c r="P73" s="94">
        <f>IF('FY21-22'!$S73&gt;0,'FY21-22'!P73/'FY21-22'!$S73*'Multi-Year'!$N73,0)+IF('FY21-22'!$S73&lt;0,'FY21-22'!P73/'FY21-22'!$S73*'Multi-Year'!$N73,0)</f>
        <v>5788.74292175767</v>
      </c>
      <c r="Q73" s="606">
        <f>IF('FY21-22'!$S73&gt;0,'FY21-22'!Q73/'FY21-22'!$S73*'Multi-Year'!$N73,0)+IF('FY21-22'!$S73&lt;0,'FY21-22'!Q73/'FY21-22'!$S73*'Multi-Year'!$N73,0)</f>
        <v>0</v>
      </c>
      <c r="R73" s="94"/>
      <c r="S73" s="625">
        <f t="shared" si="23"/>
        <v>32957.687318865414</v>
      </c>
      <c r="T73" s="94"/>
      <c r="U73" s="94">
        <f>'FY21-22'!S73</f>
        <v>30901.551302111999</v>
      </c>
      <c r="V73" s="94">
        <f t="shared" si="24"/>
        <v>-2056.1360167534149</v>
      </c>
    </row>
    <row r="74" spans="1:22" s="95" customFormat="1" ht="12" customHeight="1">
      <c r="A74" s="124"/>
      <c r="B74" s="124" t="s">
        <v>186</v>
      </c>
      <c r="C74" s="102">
        <v>3311</v>
      </c>
      <c r="D74" s="105" t="s">
        <v>240</v>
      </c>
      <c r="E74" s="94">
        <f>IF('FY21-22'!$S74&gt;0,'FY21-22'!E74/'FY21-22'!$S74*'Multi-Year'!$N74,0)+IF('FY21-22'!$S74&lt;0,'FY21-22'!E74/'FY21-22'!$S74*'Multi-Year'!$N74,0)</f>
        <v>9119.5747643824416</v>
      </c>
      <c r="F74" s="94">
        <f>IF('FY21-22'!$S74&gt;0,'FY21-22'!F74/'FY21-22'!$S74*'Multi-Year'!$N74,0)+IF('FY21-22'!$S74&lt;0,'FY21-22'!F74/'FY21-22'!$S74*'Multi-Year'!$N74,0)</f>
        <v>13923.273874010472</v>
      </c>
      <c r="G74" s="94">
        <f>IF('FY21-22'!$S74&gt;0,'FY21-22'!G74/'FY21-22'!$S74*'Multi-Year'!$N74,0)+IF('FY21-22'!$S74&lt;0,'FY21-22'!G74/'FY21-22'!$S74*'Multi-Year'!$N74,0)</f>
        <v>15789.464466371503</v>
      </c>
      <c r="H74" s="94">
        <f>IF('FY21-22'!$S74&gt;0,'FY21-22'!H74/'FY21-22'!$S74*'Multi-Year'!$N74,0)+IF('FY21-22'!$S74&lt;0,'FY21-22'!H74/'FY21-22'!$S74*'Multi-Year'!$N74,0)</f>
        <v>15812.26037429863</v>
      </c>
      <c r="I74" s="94">
        <f>IF('FY21-22'!$S74&gt;0,'FY21-22'!I74/'FY21-22'!$S74*'Multi-Year'!$N74,0)+IF('FY21-22'!$S74&lt;0,'FY21-22'!I74/'FY21-22'!$S74*'Multi-Year'!$N74,0)</f>
        <v>3892.2330016775863</v>
      </c>
      <c r="J74" s="94">
        <f>IF('FY21-22'!$S74&gt;0,'FY21-22'!J74/'FY21-22'!$S74*'Multi-Year'!$N74,0)+IF('FY21-22'!$S74&lt;0,'FY21-22'!J74/'FY21-22'!$S74*'Multi-Year'!$N74,0)</f>
        <v>24741.132560505266</v>
      </c>
      <c r="K74" s="94">
        <f>IF('FY21-22'!$S74&gt;0,'FY21-22'!K74/'FY21-22'!$S74*'Multi-Year'!$N74,0)+IF('FY21-22'!$S74&lt;0,'FY21-22'!K74/'FY21-22'!$S74*'Multi-Year'!$N74,0)</f>
        <v>14939.026773344072</v>
      </c>
      <c r="L74" s="94">
        <f>IF('FY21-22'!$S74&gt;0,'FY21-22'!L74/'FY21-22'!$S74*'Multi-Year'!$N74,0)+IF('FY21-22'!$S74&lt;0,'FY21-22'!L74/'FY21-22'!$S74*'Multi-Year'!$N74,0)</f>
        <v>15210.042296820224</v>
      </c>
      <c r="M74" s="94">
        <f>IF('FY21-22'!$S74&gt;0,'FY21-22'!M74/'FY21-22'!$S74*'Multi-Year'!$N74,0)+IF('FY21-22'!$S74&lt;0,'FY21-22'!M74/'FY21-22'!$S74*'Multi-Year'!$N74,0)</f>
        <v>15469.289657198167</v>
      </c>
      <c r="N74" s="94">
        <f>IF('FY21-22'!$S74&gt;0,'FY21-22'!N74/'FY21-22'!$S74*'Multi-Year'!$N74,0)+IF('FY21-22'!$S74&lt;0,'FY21-22'!N74/'FY21-22'!$S74*'Multi-Year'!$N74,0)</f>
        <v>14339.747932025566</v>
      </c>
      <c r="O74" s="94">
        <f>IF('FY21-22'!$S74&gt;0,'FY21-22'!O74/'FY21-22'!$S74*'Multi-Year'!$N74,0)+IF('FY21-22'!$S74&lt;0,'FY21-22'!O74/'FY21-22'!$S74*'Multi-Year'!$N74,0)</f>
        <v>15130.380022120162</v>
      </c>
      <c r="P74" s="94">
        <f>IF('FY21-22'!$S74&gt;0,'FY21-22'!P74/'FY21-22'!$S74*'Multi-Year'!$N74,0)+IF('FY21-22'!$S74&lt;0,'FY21-22'!P74/'FY21-22'!$S74*'Multi-Year'!$N74,0)</f>
        <v>16538.41998267216</v>
      </c>
      <c r="Q74" s="606">
        <f>IF('FY21-22'!$S74&gt;0,'FY21-22'!Q74/'FY21-22'!$S74*'Multi-Year'!$N74,0)+IF('FY21-22'!$S74&lt;0,'FY21-22'!Q74/'FY21-22'!$S74*'Multi-Year'!$N74,0)</f>
        <v>0</v>
      </c>
      <c r="R74" s="94"/>
      <c r="S74" s="625">
        <f t="shared" si="23"/>
        <v>174904.84570542624</v>
      </c>
      <c r="T74" s="94"/>
      <c r="U74" s="94">
        <f>'FY21-22'!S74</f>
        <v>163339.95374475213</v>
      </c>
      <c r="V74" s="94">
        <f t="shared" si="24"/>
        <v>-11564.891960674111</v>
      </c>
    </row>
    <row r="75" spans="1:22" s="95" customFormat="1" ht="12" customHeight="1">
      <c r="A75" s="124"/>
      <c r="B75" s="124" t="s">
        <v>186</v>
      </c>
      <c r="C75" s="102">
        <v>3401</v>
      </c>
      <c r="D75" s="105" t="s">
        <v>235</v>
      </c>
      <c r="E75" s="94">
        <f>IF('FY21-22'!$S75&gt;0,'FY21-22'!E75/'FY21-22'!$S75*'Multi-Year'!$N75,0)+IF('FY21-22'!$S75&lt;0,'FY21-22'!E75/'FY21-22'!$S75*'Multi-Year'!$N75,0)</f>
        <v>-23581.104838022533</v>
      </c>
      <c r="F75" s="94">
        <f>IF('FY21-22'!$S75&gt;0,'FY21-22'!F75/'FY21-22'!$S75*'Multi-Year'!$N75,0)+IF('FY21-22'!$S75&lt;0,'FY21-22'!F75/'FY21-22'!$S75*'Multi-Year'!$N75,0)</f>
        <v>155154.3475266397</v>
      </c>
      <c r="G75" s="94">
        <f>IF('FY21-22'!$S75&gt;0,'FY21-22'!G75/'FY21-22'!$S75*'Multi-Year'!$N75,0)+IF('FY21-22'!$S75&lt;0,'FY21-22'!G75/'FY21-22'!$S75*'Multi-Year'!$N75,0)</f>
        <v>115761.16677489223</v>
      </c>
      <c r="H75" s="94">
        <f>IF('FY21-22'!$S75&gt;0,'FY21-22'!H75/'FY21-22'!$S75*'Multi-Year'!$N75,0)+IF('FY21-22'!$S75&lt;0,'FY21-22'!H75/'FY21-22'!$S75*'Multi-Year'!$N75,0)</f>
        <v>132432.73846360599</v>
      </c>
      <c r="I75" s="94">
        <f>IF('FY21-22'!$S75&gt;0,'FY21-22'!I75/'FY21-22'!$S75*'Multi-Year'!$N75,0)+IF('FY21-22'!$S75&lt;0,'FY21-22'!I75/'FY21-22'!$S75*'Multi-Year'!$N75,0)</f>
        <v>140758.25126632338</v>
      </c>
      <c r="J75" s="94">
        <f>IF('FY21-22'!$S75&gt;0,'FY21-22'!J75/'FY21-22'!$S75*'Multi-Year'!$N75,0)+IF('FY21-22'!$S75&lt;0,'FY21-22'!J75/'FY21-22'!$S75*'Multi-Year'!$N75,0)</f>
        <v>136197.13938951041</v>
      </c>
      <c r="K75" s="94">
        <f>IF('FY21-22'!$S75&gt;0,'FY21-22'!K75/'FY21-22'!$S75*'Multi-Year'!$N75,0)+IF('FY21-22'!$S75&lt;0,'FY21-22'!K75/'FY21-22'!$S75*'Multi-Year'!$N75,0)</f>
        <v>127596.1983671342</v>
      </c>
      <c r="L75" s="94">
        <f>IF('FY21-22'!$S75&gt;0,'FY21-22'!L75/'FY21-22'!$S75*'Multi-Year'!$N75,0)+IF('FY21-22'!$S75&lt;0,'FY21-22'!L75/'FY21-22'!$S75*'Multi-Year'!$N75,0)</f>
        <v>118921.63937093079</v>
      </c>
      <c r="M75" s="94">
        <f>IF('FY21-22'!$S75&gt;0,'FY21-22'!M75/'FY21-22'!$S75*'Multi-Year'!$N75,0)+IF('FY21-22'!$S75&lt;0,'FY21-22'!M75/'FY21-22'!$S75*'Multi-Year'!$N75,0)</f>
        <v>124307.15130767672</v>
      </c>
      <c r="N75" s="94">
        <f>IF('FY21-22'!$S75&gt;0,'FY21-22'!N75/'FY21-22'!$S75*'Multi-Year'!$N75,0)+IF('FY21-22'!$S75&lt;0,'FY21-22'!N75/'FY21-22'!$S75*'Multi-Year'!$N75,0)</f>
        <v>123085.83887435429</v>
      </c>
      <c r="O75" s="94">
        <f>IF('FY21-22'!$S75&gt;0,'FY21-22'!O75/'FY21-22'!$S75*'Multi-Year'!$N75,0)+IF('FY21-22'!$S75&lt;0,'FY21-22'!O75/'FY21-22'!$S75*'Multi-Year'!$N75,0)</f>
        <v>126300.62218828431</v>
      </c>
      <c r="P75" s="94">
        <f>IF('FY21-22'!$S75&gt;0,'FY21-22'!P75/'FY21-22'!$S75*'Multi-Year'!$N75,0)+IF('FY21-22'!$S75&lt;0,'FY21-22'!P75/'FY21-22'!$S75*'Multi-Year'!$N75,0)</f>
        <v>148934.0241086712</v>
      </c>
      <c r="Q75" s="606">
        <f>IF('FY21-22'!$S75&gt;0,'FY21-22'!Q75/'FY21-22'!$S75*'Multi-Year'!$N75,0)+IF('FY21-22'!$S75&lt;0,'FY21-22'!Q75/'FY21-22'!$S75*'Multi-Year'!$N75,0)</f>
        <v>0</v>
      </c>
      <c r="R75" s="94"/>
      <c r="S75" s="625">
        <f t="shared" si="23"/>
        <v>1425868.0128000006</v>
      </c>
      <c r="T75" s="94"/>
      <c r="U75" s="94">
        <f>'FY21-22'!S75</f>
        <v>1257379.2000000002</v>
      </c>
      <c r="V75" s="94">
        <f t="shared" si="24"/>
        <v>-168488.81280000042</v>
      </c>
    </row>
    <row r="76" spans="1:22" s="95" customFormat="1" ht="12" customHeight="1">
      <c r="A76" s="124"/>
      <c r="B76" s="124" t="s">
        <v>186</v>
      </c>
      <c r="C76" s="102">
        <v>3501</v>
      </c>
      <c r="D76" s="105" t="s">
        <v>236</v>
      </c>
      <c r="E76" s="94">
        <f>IF('FY21-22'!$S76&gt;0,'FY21-22'!E76/'FY21-22'!$S76*'Multi-Year'!$N76,0)+IF('FY21-22'!$S76&lt;0,'FY21-22'!E76/'FY21-22'!$S76*'Multi-Year'!$N76,0)</f>
        <v>19130.135694509318</v>
      </c>
      <c r="F76" s="94">
        <f>IF('FY21-22'!$S76&gt;0,'FY21-22'!F76/'FY21-22'!$S76*'Multi-Year'!$N76,0)+IF('FY21-22'!$S76&lt;0,'FY21-22'!F76/'FY21-22'!$S76*'Multi-Year'!$N76,0)</f>
        <v>16261.729029727268</v>
      </c>
      <c r="G76" s="94">
        <f>IF('FY21-22'!$S76&gt;0,'FY21-22'!G76/'FY21-22'!$S76*'Multi-Year'!$N76,0)+IF('FY21-22'!$S76&lt;0,'FY21-22'!G76/'FY21-22'!$S76*'Multi-Year'!$N76,0)</f>
        <v>5486.8793925297205</v>
      </c>
      <c r="H76" s="94">
        <f>IF('FY21-22'!$S76&gt;0,'FY21-22'!H76/'FY21-22'!$S76*'Multi-Year'!$N76,0)+IF('FY21-22'!$S76&lt;0,'FY21-22'!H76/'FY21-22'!$S76*'Multi-Year'!$N76,0)</f>
        <v>2629.892806696671</v>
      </c>
      <c r="I76" s="94">
        <f>IF('FY21-22'!$S76&gt;0,'FY21-22'!I76/'FY21-22'!$S76*'Multi-Year'!$N76,0)+IF('FY21-22'!$S76&lt;0,'FY21-22'!I76/'FY21-22'!$S76*'Multi-Year'!$N76,0)</f>
        <v>-5975.2448065569642</v>
      </c>
      <c r="J76" s="94">
        <f>IF('FY21-22'!$S76&gt;0,'FY21-22'!J76/'FY21-22'!$S76*'Multi-Year'!$N76,0)+IF('FY21-22'!$S76&lt;0,'FY21-22'!J76/'FY21-22'!$S76*'Multi-Year'!$N76,0)</f>
        <v>5900.8855729314355</v>
      </c>
      <c r="K76" s="94">
        <f>IF('FY21-22'!$S76&gt;0,'FY21-22'!K76/'FY21-22'!$S76*'Multi-Year'!$N76,0)+IF('FY21-22'!$S76&lt;0,'FY21-22'!K76/'FY21-22'!$S76*'Multi-Year'!$N76,0)</f>
        <v>30345.147508980048</v>
      </c>
      <c r="L76" s="94">
        <f>IF('FY21-22'!$S76&gt;0,'FY21-22'!L76/'FY21-22'!$S76*'Multi-Year'!$N76,0)+IF('FY21-22'!$S76&lt;0,'FY21-22'!L76/'FY21-22'!$S76*'Multi-Year'!$N76,0)</f>
        <v>7754.4086661909741</v>
      </c>
      <c r="M76" s="94">
        <f>IF('FY21-22'!$S76&gt;0,'FY21-22'!M76/'FY21-22'!$S76*'Multi-Year'!$N76,0)+IF('FY21-22'!$S76&lt;0,'FY21-22'!M76/'FY21-22'!$S76*'Multi-Year'!$N76,0)</f>
        <v>1080.119099152716</v>
      </c>
      <c r="N76" s="94">
        <f>IF('FY21-22'!$S76&gt;0,'FY21-22'!N76/'FY21-22'!$S76*'Multi-Year'!$N76,0)+IF('FY21-22'!$S76&lt;0,'FY21-22'!N76/'FY21-22'!$S76*'Multi-Year'!$N76,0)</f>
        <v>2929.9453408859345</v>
      </c>
      <c r="O76" s="94">
        <f>IF('FY21-22'!$S76&gt;0,'FY21-22'!O76/'FY21-22'!$S76*'Multi-Year'!$N76,0)+IF('FY21-22'!$S76&lt;0,'FY21-22'!O76/'FY21-22'!$S76*'Multi-Year'!$N76,0)</f>
        <v>2437.9551587883147</v>
      </c>
      <c r="P76" s="94">
        <f>IF('FY21-22'!$S76&gt;0,'FY21-22'!P76/'FY21-22'!$S76*'Multi-Year'!$N76,0)+IF('FY21-22'!$S76&lt;0,'FY21-22'!P76/'FY21-22'!$S76*'Multi-Year'!$N76,0)</f>
        <v>-1157.4234568354259</v>
      </c>
      <c r="Q76" s="606">
        <f>IF('FY21-22'!$S76&gt;0,'FY21-22'!Q76/'FY21-22'!$S76*'Multi-Year'!$N76,0)+IF('FY21-22'!$S76&lt;0,'FY21-22'!Q76/'FY21-22'!$S76*'Multi-Year'!$N76,0)</f>
        <v>0</v>
      </c>
      <c r="R76" s="94"/>
      <c r="S76" s="625">
        <f t="shared" si="23"/>
        <v>86824.430007000003</v>
      </c>
      <c r="T76" s="94"/>
      <c r="U76" s="94">
        <f>'FY21-22'!S76</f>
        <v>82405.540000000008</v>
      </c>
      <c r="V76" s="94">
        <f t="shared" si="24"/>
        <v>-4418.8900069999945</v>
      </c>
    </row>
    <row r="77" spans="1:22" s="95" customFormat="1" ht="12" customHeight="1">
      <c r="A77" s="124"/>
      <c r="B77" s="124" t="s">
        <v>186</v>
      </c>
      <c r="C77" s="102">
        <v>3601</v>
      </c>
      <c r="D77" s="105" t="s">
        <v>237</v>
      </c>
      <c r="E77" s="94">
        <f>IF('FY21-22'!$S77&gt;0,'FY21-22'!E77/'FY21-22'!$S77*'Multi-Year'!$N77,0)+IF('FY21-22'!$S77&lt;0,'FY21-22'!E77/'FY21-22'!$S77*'Multi-Year'!$N77,0)</f>
        <v>0</v>
      </c>
      <c r="F77" s="94">
        <f>IF('FY21-22'!$S77&gt;0,'FY21-22'!F77/'FY21-22'!$S77*'Multi-Year'!$N77,0)+IF('FY21-22'!$S77&lt;0,'FY21-22'!F77/'FY21-22'!$S77*'Multi-Year'!$N77,0)</f>
        <v>38763.889318620095</v>
      </c>
      <c r="G77" s="94">
        <f>IF('FY21-22'!$S77&gt;0,'FY21-22'!G77/'FY21-22'!$S77*'Multi-Year'!$N77,0)+IF('FY21-22'!$S77&lt;0,'FY21-22'!G77/'FY21-22'!$S77*'Multi-Year'!$N77,0)</f>
        <v>19381.944659310047</v>
      </c>
      <c r="H77" s="94">
        <f>IF('FY21-22'!$S77&gt;0,'FY21-22'!H77/'FY21-22'!$S77*'Multi-Year'!$N77,0)+IF('FY21-22'!$S77&lt;0,'FY21-22'!H77/'FY21-22'!$S77*'Multi-Year'!$N77,0)</f>
        <v>19381.944659310047</v>
      </c>
      <c r="I77" s="94">
        <f>IF('FY21-22'!$S77&gt;0,'FY21-22'!I77/'FY21-22'!$S77*'Multi-Year'!$N77,0)+IF('FY21-22'!$S77&lt;0,'FY21-22'!I77/'FY21-22'!$S77*'Multi-Year'!$N77,0)</f>
        <v>19381.944659310047</v>
      </c>
      <c r="J77" s="94">
        <f>IF('FY21-22'!$S77&gt;0,'FY21-22'!J77/'FY21-22'!$S77*'Multi-Year'!$N77,0)+IF('FY21-22'!$S77&lt;0,'FY21-22'!J77/'FY21-22'!$S77*'Multi-Year'!$N77,0)</f>
        <v>19381.944659310047</v>
      </c>
      <c r="K77" s="94">
        <f>IF('FY21-22'!$S77&gt;0,'FY21-22'!K77/'FY21-22'!$S77*'Multi-Year'!$N77,0)+IF('FY21-22'!$S77&lt;0,'FY21-22'!K77/'FY21-22'!$S77*'Multi-Year'!$N77,0)</f>
        <v>19780.57146345864</v>
      </c>
      <c r="L77" s="94">
        <f>IF('FY21-22'!$S77&gt;0,'FY21-22'!L77/'FY21-22'!$S77*'Multi-Year'!$N77,0)+IF('FY21-22'!$S77&lt;0,'FY21-22'!L77/'FY21-22'!$S77*'Multi-Year'!$N77,0)</f>
        <v>19381.944659310047</v>
      </c>
      <c r="M77" s="94">
        <f>IF('FY21-22'!$S77&gt;0,'FY21-22'!M77/'FY21-22'!$S77*'Multi-Year'!$N77,0)+IF('FY21-22'!$S77&lt;0,'FY21-22'!M77/'FY21-22'!$S77*'Multi-Year'!$N77,0)</f>
        <v>19381.944659310047</v>
      </c>
      <c r="N77" s="94">
        <f>IF('FY21-22'!$S77&gt;0,'FY21-22'!N77/'FY21-22'!$S77*'Multi-Year'!$N77,0)+IF('FY21-22'!$S77&lt;0,'FY21-22'!N77/'FY21-22'!$S77*'Multi-Year'!$N77,0)</f>
        <v>11367.139747821097</v>
      </c>
      <c r="O77" s="94">
        <f>IF('FY21-22'!$S77&gt;0,'FY21-22'!O77/'FY21-22'!$S77*'Multi-Year'!$N77,0)+IF('FY21-22'!$S77&lt;0,'FY21-22'!O77/'FY21-22'!$S77*'Multi-Year'!$N77,0)</f>
        <v>20109.246333089563</v>
      </c>
      <c r="P77" s="94">
        <f>IF('FY21-22'!$S77&gt;0,'FY21-22'!P77/'FY21-22'!$S77*'Multi-Year'!$N77,0)+IF('FY21-22'!$S77&lt;0,'FY21-22'!P77/'FY21-22'!$S77*'Multi-Year'!$N77,0)</f>
        <v>-37438.870689472533</v>
      </c>
      <c r="Q77" s="606">
        <f>IF('FY21-22'!$S77&gt;0,'FY21-22'!Q77/'FY21-22'!$S77*'Multi-Year'!$N77,0)+IF('FY21-22'!$S77&lt;0,'FY21-22'!Q77/'FY21-22'!$S77*'Multi-Year'!$N77,0)</f>
        <v>0</v>
      </c>
      <c r="R77" s="94"/>
      <c r="S77" s="625">
        <f t="shared" si="23"/>
        <v>168873.64412937712</v>
      </c>
      <c r="T77" s="94"/>
      <c r="U77" s="94">
        <f>'FY21-22'!S77</f>
        <v>157707.54154665727</v>
      </c>
      <c r="V77" s="94">
        <f t="shared" si="24"/>
        <v>-11166.102582719846</v>
      </c>
    </row>
    <row r="78" spans="1:22" s="95" customFormat="1" ht="12" customHeight="1">
      <c r="A78" s="124"/>
      <c r="B78" s="124" t="s">
        <v>186</v>
      </c>
      <c r="C78" s="102">
        <v>3901</v>
      </c>
      <c r="D78" s="105" t="s">
        <v>238</v>
      </c>
      <c r="E78" s="94">
        <f>IF('FY21-22'!$S78&gt;0,'FY21-22'!E78/'FY21-22'!$S78*'Multi-Year'!$N78,0)+IF('FY21-22'!$S78&lt;0,'FY21-22'!E78/'FY21-22'!$S78*'Multi-Year'!$N78,0)</f>
        <v>0</v>
      </c>
      <c r="F78" s="94">
        <f>IF('FY21-22'!$S78&gt;0,'FY21-22'!F78/'FY21-22'!$S78*'Multi-Year'!$N78,0)+IF('FY21-22'!$S78&lt;0,'FY21-22'!F78/'FY21-22'!$S78*'Multi-Year'!$N78,0)</f>
        <v>0</v>
      </c>
      <c r="G78" s="94">
        <f>IF('FY21-22'!$S78&gt;0,'FY21-22'!G78/'FY21-22'!$S78*'Multi-Year'!$N78,0)+IF('FY21-22'!$S78&lt;0,'FY21-22'!G78/'FY21-22'!$S78*'Multi-Year'!$N78,0)</f>
        <v>0</v>
      </c>
      <c r="H78" s="94">
        <f>IF('FY21-22'!$S78&gt;0,'FY21-22'!H78/'FY21-22'!$S78*'Multi-Year'!$N78,0)+IF('FY21-22'!$S78&lt;0,'FY21-22'!H78/'FY21-22'!$S78*'Multi-Year'!$N78,0)</f>
        <v>0</v>
      </c>
      <c r="I78" s="94">
        <f>IF('FY21-22'!$S78&gt;0,'FY21-22'!I78/'FY21-22'!$S78*'Multi-Year'!$N78,0)+IF('FY21-22'!$S78&lt;0,'FY21-22'!I78/'FY21-22'!$S78*'Multi-Year'!$N78,0)</f>
        <v>-124.9531330711031</v>
      </c>
      <c r="J78" s="94">
        <f>IF('FY21-22'!$S78&gt;0,'FY21-22'!J78/'FY21-22'!$S78*'Multi-Year'!$N78,0)+IF('FY21-22'!$S78&lt;0,'FY21-22'!J78/'FY21-22'!$S78*'Multi-Year'!$N78,0)</f>
        <v>0</v>
      </c>
      <c r="K78" s="94">
        <f>IF('FY21-22'!$S78&gt;0,'FY21-22'!K78/'FY21-22'!$S78*'Multi-Year'!$N78,0)+IF('FY21-22'!$S78&lt;0,'FY21-22'!K78/'FY21-22'!$S78*'Multi-Year'!$N78,0)</f>
        <v>0</v>
      </c>
      <c r="L78" s="94">
        <f>IF('FY21-22'!$S78&gt;0,'FY21-22'!L78/'FY21-22'!$S78*'Multi-Year'!$N78,0)+IF('FY21-22'!$S78&lt;0,'FY21-22'!L78/'FY21-22'!$S78*'Multi-Year'!$N78,0)</f>
        <v>0</v>
      </c>
      <c r="M78" s="94">
        <f>IF('FY21-22'!$S78&gt;0,'FY21-22'!M78/'FY21-22'!$S78*'Multi-Year'!$N78,0)+IF('FY21-22'!$S78&lt;0,'FY21-22'!M78/'FY21-22'!$S78*'Multi-Year'!$N78,0)</f>
        <v>0</v>
      </c>
      <c r="N78" s="94">
        <f>IF('FY21-22'!$S78&gt;0,'FY21-22'!N78/'FY21-22'!$S78*'Multi-Year'!$N78,0)+IF('FY21-22'!$S78&lt;0,'FY21-22'!N78/'FY21-22'!$S78*'Multi-Year'!$N78,0)</f>
        <v>0</v>
      </c>
      <c r="O78" s="94">
        <f>IF('FY21-22'!$S78&gt;0,'FY21-22'!O78/'FY21-22'!$S78*'Multi-Year'!$N78,0)+IF('FY21-22'!$S78&lt;0,'FY21-22'!O78/'FY21-22'!$S78*'Multi-Year'!$N78,0)</f>
        <v>0</v>
      </c>
      <c r="P78" s="94">
        <f>IF('FY21-22'!$S78&gt;0,'FY21-22'!P78/'FY21-22'!$S78*'Multi-Year'!$N78,0)+IF('FY21-22'!$S78&lt;0,'FY21-22'!P78/'FY21-22'!$S78*'Multi-Year'!$N78,0)</f>
        <v>0</v>
      </c>
      <c r="Q78" s="606">
        <f>IF('FY21-22'!$S78&gt;0,'FY21-22'!Q78/'FY21-22'!$S78*'Multi-Year'!$N78,0)+IF('FY21-22'!$S78&lt;0,'FY21-22'!Q78/'FY21-22'!$S78*'Multi-Year'!$N78,0)</f>
        <v>0</v>
      </c>
      <c r="R78" s="94"/>
      <c r="S78" s="625">
        <f t="shared" si="23"/>
        <v>-124.9531330711031</v>
      </c>
      <c r="T78" s="94"/>
      <c r="U78" s="94">
        <f>'FY21-22'!S78</f>
        <v>-116.69110077413157</v>
      </c>
      <c r="V78" s="94">
        <f t="shared" si="24"/>
        <v>8.2620322969715261</v>
      </c>
    </row>
    <row r="79" spans="1:22" s="95" customFormat="1" ht="12" customHeight="1">
      <c r="A79" s="124"/>
      <c r="B79" s="124" t="s">
        <v>186</v>
      </c>
      <c r="C79" s="126"/>
      <c r="D79" s="126"/>
      <c r="E79" s="215">
        <f t="shared" ref="E79:Q79" si="25">SUM(E71:E78)</f>
        <v>119150.43221217429</v>
      </c>
      <c r="F79" s="215">
        <f t="shared" si="25"/>
        <v>395903.50270911597</v>
      </c>
      <c r="G79" s="215">
        <f t="shared" si="25"/>
        <v>352373.37534084666</v>
      </c>
      <c r="H79" s="215">
        <f t="shared" si="25"/>
        <v>366784.96694752801</v>
      </c>
      <c r="I79" s="215">
        <f t="shared" si="25"/>
        <v>200339.95995631002</v>
      </c>
      <c r="J79" s="215">
        <f t="shared" si="25"/>
        <v>493969.56708581158</v>
      </c>
      <c r="K79" s="215">
        <f t="shared" si="25"/>
        <v>377169.12023801182</v>
      </c>
      <c r="L79" s="215">
        <f t="shared" si="25"/>
        <v>344653.44267481734</v>
      </c>
      <c r="M79" s="215">
        <f t="shared" si="25"/>
        <v>336651.80038201058</v>
      </c>
      <c r="N79" s="215">
        <f t="shared" si="25"/>
        <v>326919.12705340679</v>
      </c>
      <c r="O79" s="215">
        <f t="shared" si="25"/>
        <v>353581.65302733844</v>
      </c>
      <c r="P79" s="215">
        <f t="shared" si="25"/>
        <v>308886.50578302029</v>
      </c>
      <c r="Q79" s="603">
        <f t="shared" si="25"/>
        <v>0</v>
      </c>
      <c r="R79" s="94"/>
      <c r="S79" s="626">
        <f>SUM(E79:R79)</f>
        <v>3976383.4534103917</v>
      </c>
      <c r="T79" s="94"/>
      <c r="U79" s="216">
        <f>SUM(U71:U78)</f>
        <v>3640337.7178856446</v>
      </c>
      <c r="V79" s="216">
        <f>SUM(V71:V78)</f>
        <v>-336045.73552474671</v>
      </c>
    </row>
    <row r="80" spans="1:22" s="95" customFormat="1" ht="12" customHeight="1">
      <c r="A80" s="124"/>
      <c r="B80" s="124" t="s">
        <v>288</v>
      </c>
      <c r="C80" s="126"/>
      <c r="D80" s="12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606"/>
      <c r="R80" s="94"/>
      <c r="S80" s="627"/>
      <c r="T80" s="94"/>
      <c r="U80" s="94"/>
      <c r="V80" s="94"/>
    </row>
    <row r="81" spans="1:24" s="95" customFormat="1" ht="12" customHeight="1">
      <c r="A81" s="124"/>
      <c r="B81" s="124" t="s">
        <v>186</v>
      </c>
      <c r="C81" s="102">
        <v>4100</v>
      </c>
      <c r="D81" s="127" t="s">
        <v>78</v>
      </c>
      <c r="E81" s="94">
        <f>IF('FY21-22'!$S81&gt;0,'FY21-22'!E81/'FY21-22'!$S81*'Multi-Year'!$N81,0)+IF('FY21-22'!$S81&lt;0,'FY21-22'!E81/'FY21-22'!$S81*'Multi-Year'!$N81,0)</f>
        <v>0</v>
      </c>
      <c r="F81" s="94">
        <f>IF('FY21-22'!$S81&gt;0,'FY21-22'!F81/'FY21-22'!$S81*'Multi-Year'!$N81,0)+IF('FY21-22'!$S81&lt;0,'FY21-22'!F81/'FY21-22'!$S81*'Multi-Year'!$N81,0)</f>
        <v>0</v>
      </c>
      <c r="G81" s="94">
        <f>IF('FY21-22'!$S81&gt;0,'FY21-22'!G81/'FY21-22'!$S81*'Multi-Year'!$N81,0)+IF('FY21-22'!$S81&lt;0,'FY21-22'!G81/'FY21-22'!$S81*'Multi-Year'!$N81,0)</f>
        <v>0</v>
      </c>
      <c r="H81" s="94">
        <f>IF('FY21-22'!$S81&gt;0,'FY21-22'!H81/'FY21-22'!$S81*'Multi-Year'!$N81,0)+IF('FY21-22'!$S81&lt;0,'FY21-22'!H81/'FY21-22'!$S81*'Multi-Year'!$N81,0)</f>
        <v>0</v>
      </c>
      <c r="I81" s="94">
        <f>IF('FY21-22'!$S81&gt;0,'FY21-22'!I81/'FY21-22'!$S81*'Multi-Year'!$N81,0)+IF('FY21-22'!$S81&lt;0,'FY21-22'!I81/'FY21-22'!$S81*'Multi-Year'!$N81,0)</f>
        <v>0</v>
      </c>
      <c r="J81" s="94">
        <f>IF('FY21-22'!$S81&gt;0,'FY21-22'!J81/'FY21-22'!$S81*'Multi-Year'!$N81,0)+IF('FY21-22'!$S81&lt;0,'FY21-22'!J81/'FY21-22'!$S81*'Multi-Year'!$N81,0)</f>
        <v>0</v>
      </c>
      <c r="K81" s="94">
        <f>IF('FY21-22'!$S81&gt;0,'FY21-22'!K81/'FY21-22'!$S81*'Multi-Year'!$N81,0)+IF('FY21-22'!$S81&lt;0,'FY21-22'!K81/'FY21-22'!$S81*'Multi-Year'!$N81,0)</f>
        <v>0</v>
      </c>
      <c r="L81" s="94">
        <f>IF('FY21-22'!$S81&gt;0,'FY21-22'!L81/'FY21-22'!$S81*'Multi-Year'!$N81,0)+IF('FY21-22'!$S81&lt;0,'FY21-22'!L81/'FY21-22'!$S81*'Multi-Year'!$N81,0)</f>
        <v>0</v>
      </c>
      <c r="M81" s="94">
        <f>IF('FY21-22'!$S81&gt;0,'FY21-22'!M81/'FY21-22'!$S81*'Multi-Year'!$N81,0)+IF('FY21-22'!$S81&lt;0,'FY21-22'!M81/'FY21-22'!$S81*'Multi-Year'!$N81,0)</f>
        <v>0</v>
      </c>
      <c r="N81" s="94">
        <f>IF('FY21-22'!$S81&gt;0,'FY21-22'!N81/'FY21-22'!$S81*'Multi-Year'!$N81,0)+IF('FY21-22'!$S81&lt;0,'FY21-22'!N81/'FY21-22'!$S81*'Multi-Year'!$N81,0)</f>
        <v>0</v>
      </c>
      <c r="O81" s="94">
        <f>IF('FY21-22'!$S81&gt;0,'FY21-22'!O81/'FY21-22'!$S81*'Multi-Year'!$N81,0)+IF('FY21-22'!$S81&lt;0,'FY21-22'!O81/'FY21-22'!$S81*'Multi-Year'!$N81,0)</f>
        <v>0</v>
      </c>
      <c r="P81" s="94">
        <f>IF('FY21-22'!$S81&gt;0,'FY21-22'!P81/'FY21-22'!$S81*'Multi-Year'!$N81,0)+IF('FY21-22'!$S81&lt;0,'FY21-22'!P81/'FY21-22'!$S81*'Multi-Year'!$N81,0)</f>
        <v>0</v>
      </c>
      <c r="Q81" s="606">
        <f>IF('FY21-22'!$S81&gt;0,'FY21-22'!Q81/'FY21-22'!$S81*'Multi-Year'!$N81,0)+IF('FY21-22'!$S81&lt;0,'FY21-22'!Q81/'FY21-22'!$S81*'Multi-Year'!$N81,0)</f>
        <v>0</v>
      </c>
      <c r="R81" s="94"/>
      <c r="S81" s="625">
        <f t="shared" ref="S81:S89" si="26">SUM(E81:Q81)</f>
        <v>0</v>
      </c>
      <c r="T81" s="94"/>
      <c r="U81" s="94">
        <f>'FY21-22'!S81</f>
        <v>0</v>
      </c>
      <c r="V81" s="94">
        <f t="shared" ref="V81:V89" si="27">U81-S81</f>
        <v>0</v>
      </c>
    </row>
    <row r="82" spans="1:24" s="95" customFormat="1" ht="12" customHeight="1">
      <c r="A82" s="124"/>
      <c r="B82" s="124" t="s">
        <v>186</v>
      </c>
      <c r="C82" s="102">
        <v>4200</v>
      </c>
      <c r="D82" s="127" t="s">
        <v>79</v>
      </c>
      <c r="E82" s="94">
        <f>IF('FY21-22'!$S82&gt;0,'FY21-22'!E82/'FY21-22'!$S82*'Multi-Year'!$N82,0)+IF('FY21-22'!$S82&lt;0,'FY21-22'!E82/'FY21-22'!$S82*'Multi-Year'!$N82,0)</f>
        <v>0</v>
      </c>
      <c r="F82" s="94">
        <f>IF('FY21-22'!$S82&gt;0,'FY21-22'!F82/'FY21-22'!$S82*'Multi-Year'!$N82,0)+IF('FY21-22'!$S82&lt;0,'FY21-22'!F82/'FY21-22'!$S82*'Multi-Year'!$N82,0)</f>
        <v>0</v>
      </c>
      <c r="G82" s="94">
        <f>IF('FY21-22'!$S82&gt;0,'FY21-22'!G82/'FY21-22'!$S82*'Multi-Year'!$N82,0)+IF('FY21-22'!$S82&lt;0,'FY21-22'!G82/'FY21-22'!$S82*'Multi-Year'!$N82,0)</f>
        <v>0</v>
      </c>
      <c r="H82" s="94">
        <f>IF('FY21-22'!$S82&gt;0,'FY21-22'!H82/'FY21-22'!$S82*'Multi-Year'!$N82,0)+IF('FY21-22'!$S82&lt;0,'FY21-22'!H82/'FY21-22'!$S82*'Multi-Year'!$N82,0)</f>
        <v>0</v>
      </c>
      <c r="I82" s="94">
        <f>IF('FY21-22'!$S82&gt;0,'FY21-22'!I82/'FY21-22'!$S82*'Multi-Year'!$N82,0)+IF('FY21-22'!$S82&lt;0,'FY21-22'!I82/'FY21-22'!$S82*'Multi-Year'!$N82,0)</f>
        <v>0</v>
      </c>
      <c r="J82" s="94">
        <f>IF('FY21-22'!$S82&gt;0,'FY21-22'!J82/'FY21-22'!$S82*'Multi-Year'!$N82,0)+IF('FY21-22'!$S82&lt;0,'FY21-22'!J82/'FY21-22'!$S82*'Multi-Year'!$N82,0)</f>
        <v>0</v>
      </c>
      <c r="K82" s="94">
        <f>IF('FY21-22'!$S82&gt;0,'FY21-22'!K82/'FY21-22'!$S82*'Multi-Year'!$N82,0)+IF('FY21-22'!$S82&lt;0,'FY21-22'!K82/'FY21-22'!$S82*'Multi-Year'!$N82,0)</f>
        <v>0</v>
      </c>
      <c r="L82" s="94">
        <f>IF('FY21-22'!$S82&gt;0,'FY21-22'!L82/'FY21-22'!$S82*'Multi-Year'!$N82,0)+IF('FY21-22'!$S82&lt;0,'FY21-22'!L82/'FY21-22'!$S82*'Multi-Year'!$N82,0)</f>
        <v>0</v>
      </c>
      <c r="M82" s="94">
        <f>IF('FY21-22'!$S82&gt;0,'FY21-22'!M82/'FY21-22'!$S82*'Multi-Year'!$N82,0)+IF('FY21-22'!$S82&lt;0,'FY21-22'!M82/'FY21-22'!$S82*'Multi-Year'!$N82,0)</f>
        <v>0</v>
      </c>
      <c r="N82" s="94">
        <f>IF('FY21-22'!$S82&gt;0,'FY21-22'!N82/'FY21-22'!$S82*'Multi-Year'!$N82,0)+IF('FY21-22'!$S82&lt;0,'FY21-22'!N82/'FY21-22'!$S82*'Multi-Year'!$N82,0)</f>
        <v>0</v>
      </c>
      <c r="O82" s="94">
        <f>IF('FY21-22'!$S82&gt;0,'FY21-22'!O82/'FY21-22'!$S82*'Multi-Year'!$N82,0)+IF('FY21-22'!$S82&lt;0,'FY21-22'!O82/'FY21-22'!$S82*'Multi-Year'!$N82,0)</f>
        <v>0</v>
      </c>
      <c r="P82" s="94">
        <f>IF('FY21-22'!$S82&gt;0,'FY21-22'!P82/'FY21-22'!$S82*'Multi-Year'!$N82,0)+IF('FY21-22'!$S82&lt;0,'FY21-22'!P82/'FY21-22'!$S82*'Multi-Year'!$N82,0)</f>
        <v>0</v>
      </c>
      <c r="Q82" s="606">
        <f>IF('FY21-22'!$S82&gt;0,'FY21-22'!Q82/'FY21-22'!$S82*'Multi-Year'!$N82,0)+IF('FY21-22'!$S82&lt;0,'FY21-22'!Q82/'FY21-22'!$S82*'Multi-Year'!$N82,0)</f>
        <v>0</v>
      </c>
      <c r="R82" s="94"/>
      <c r="S82" s="625">
        <f t="shared" si="26"/>
        <v>0</v>
      </c>
      <c r="T82" s="94"/>
      <c r="U82" s="94">
        <f>'FY21-22'!S82</f>
        <v>0</v>
      </c>
      <c r="V82" s="94">
        <f t="shared" si="27"/>
        <v>0</v>
      </c>
    </row>
    <row r="83" spans="1:24" s="95" customFormat="1" ht="12" customHeight="1">
      <c r="A83" s="124"/>
      <c r="B83" s="124" t="s">
        <v>186</v>
      </c>
      <c r="C83" s="102">
        <v>4302</v>
      </c>
      <c r="D83" s="127" t="s">
        <v>80</v>
      </c>
      <c r="E83" s="94">
        <f>IF('FY21-22'!$S83&gt;0,'FY21-22'!E83/'FY21-22'!$S83*'Multi-Year'!$N83,0)+IF('FY21-22'!$S83&lt;0,'FY21-22'!E83/'FY21-22'!$S83*'Multi-Year'!$N83,0)</f>
        <v>117737.8831319325</v>
      </c>
      <c r="F83" s="94">
        <f>IF('FY21-22'!$S83&gt;0,'FY21-22'!F83/'FY21-22'!$S83*'Multi-Year'!$N83,0)+IF('FY21-22'!$S83&lt;0,'FY21-22'!F83/'FY21-22'!$S83*'Multi-Year'!$N83,0)</f>
        <v>267605.67755417776</v>
      </c>
      <c r="G83" s="94">
        <f>IF('FY21-22'!$S83&gt;0,'FY21-22'!G83/'FY21-22'!$S83*'Multi-Year'!$N83,0)+IF('FY21-22'!$S83&lt;0,'FY21-22'!G83/'FY21-22'!$S83*'Multi-Year'!$N83,0)</f>
        <v>353865.99695768795</v>
      </c>
      <c r="H83" s="94">
        <f>IF('FY21-22'!$S83&gt;0,'FY21-22'!H83/'FY21-22'!$S83*'Multi-Year'!$N83,0)+IF('FY21-22'!$S83&lt;0,'FY21-22'!H83/'FY21-22'!$S83*'Multi-Year'!$N83,0)</f>
        <v>376359.49721196981</v>
      </c>
      <c r="I83" s="94">
        <f>IF('FY21-22'!$S83&gt;0,'FY21-22'!I83/'FY21-22'!$S83*'Multi-Year'!$N83,0)+IF('FY21-22'!$S83&lt;0,'FY21-22'!I83/'FY21-22'!$S83*'Multi-Year'!$N83,0)</f>
        <v>211532.06832328116</v>
      </c>
      <c r="J83" s="94">
        <f>IF('FY21-22'!$S83&gt;0,'FY21-22'!J83/'FY21-22'!$S83*'Multi-Year'!$N83,0)+IF('FY21-22'!$S83&lt;0,'FY21-22'!J83/'FY21-22'!$S83*'Multi-Year'!$N83,0)</f>
        <v>187522.03051572139</v>
      </c>
      <c r="K83" s="94">
        <f>IF('FY21-22'!$S83&gt;0,'FY21-22'!K83/'FY21-22'!$S83*'Multi-Year'!$N83,0)+IF('FY21-22'!$S83&lt;0,'FY21-22'!K83/'FY21-22'!$S83*'Multi-Year'!$N83,0)</f>
        <v>226621.17127990688</v>
      </c>
      <c r="L83" s="94">
        <f>IF('FY21-22'!$S83&gt;0,'FY21-22'!L83/'FY21-22'!$S83*'Multi-Year'!$N83,0)+IF('FY21-22'!$S83&lt;0,'FY21-22'!L83/'FY21-22'!$S83*'Multi-Year'!$N83,0)</f>
        <v>194070.50954301021</v>
      </c>
      <c r="M83" s="94">
        <f>IF('FY21-22'!$S83&gt;0,'FY21-22'!M83/'FY21-22'!$S83*'Multi-Year'!$N83,0)+IF('FY21-22'!$S83&lt;0,'FY21-22'!M83/'FY21-22'!$S83*'Multi-Year'!$N83,0)</f>
        <v>235687.26542247628</v>
      </c>
      <c r="N83" s="94">
        <f>IF('FY21-22'!$S83&gt;0,'FY21-22'!N83/'FY21-22'!$S83*'Multi-Year'!$N83,0)+IF('FY21-22'!$S83&lt;0,'FY21-22'!N83/'FY21-22'!$S83*'Multi-Year'!$N83,0)</f>
        <v>224381.28445766974</v>
      </c>
      <c r="O83" s="94">
        <f>IF('FY21-22'!$S83&gt;0,'FY21-22'!O83/'FY21-22'!$S83*'Multi-Year'!$N83,0)+IF('FY21-22'!$S83&lt;0,'FY21-22'!O83/'FY21-22'!$S83*'Multi-Year'!$N83,0)</f>
        <v>267959.41266526876</v>
      </c>
      <c r="P83" s="94">
        <f>IF('FY21-22'!$S83&gt;0,'FY21-22'!P83/'FY21-22'!$S83*'Multi-Year'!$N83,0)+IF('FY21-22'!$S83&lt;0,'FY21-22'!P83/'FY21-22'!$S83*'Multi-Year'!$N83,0)</f>
        <v>383172.10657592642</v>
      </c>
      <c r="Q83" s="606">
        <f>IF('FY21-22'!$S83&gt;0,'FY21-22'!Q83/'FY21-22'!$S83*'Multi-Year'!$N83,0)+IF('FY21-22'!$S83&lt;0,'FY21-22'!Q83/'FY21-22'!$S83*'Multi-Year'!$N83,0)</f>
        <v>0</v>
      </c>
      <c r="R83" s="94"/>
      <c r="S83" s="625">
        <f t="shared" si="26"/>
        <v>3046514.9036390288</v>
      </c>
      <c r="T83" s="94"/>
      <c r="U83" s="94">
        <f>'FY21-22'!S83</f>
        <v>2843964.0134556526</v>
      </c>
      <c r="V83" s="94">
        <f t="shared" si="27"/>
        <v>-202550.89018337615</v>
      </c>
      <c r="X83" s="94"/>
    </row>
    <row r="84" spans="1:24" s="95" customFormat="1" ht="12" customHeight="1">
      <c r="A84" s="124"/>
      <c r="B84" s="124" t="s">
        <v>186</v>
      </c>
      <c r="C84" s="102">
        <v>4305</v>
      </c>
      <c r="D84" s="127" t="s">
        <v>97</v>
      </c>
      <c r="E84" s="94">
        <f>IF('FY21-22'!$S84&gt;0,'FY21-22'!E84/'FY21-22'!$S84*'Multi-Year'!$N84,0)+IF('FY21-22'!$S84&lt;0,'FY21-22'!E84/'FY21-22'!$S84*'Multi-Year'!$N84,0)</f>
        <v>11138.907702757975</v>
      </c>
      <c r="F84" s="94">
        <f>IF('FY21-22'!$S84&gt;0,'FY21-22'!F84/'FY21-22'!$S84*'Multi-Year'!$N84,0)+IF('FY21-22'!$S84&lt;0,'FY21-22'!F84/'FY21-22'!$S84*'Multi-Year'!$N84,0)</f>
        <v>12848.230614749013</v>
      </c>
      <c r="G84" s="94">
        <f>IF('FY21-22'!$S84&gt;0,'FY21-22'!G84/'FY21-22'!$S84*'Multi-Year'!$N84,0)+IF('FY21-22'!$S84&lt;0,'FY21-22'!G84/'FY21-22'!$S84*'Multi-Year'!$N84,0)</f>
        <v>18901.580145799893</v>
      </c>
      <c r="H84" s="94">
        <f>IF('FY21-22'!$S84&gt;0,'FY21-22'!H84/'FY21-22'!$S84*'Multi-Year'!$N84,0)+IF('FY21-22'!$S84&lt;0,'FY21-22'!H84/'FY21-22'!$S84*'Multi-Year'!$N84,0)</f>
        <v>11622.133450540026</v>
      </c>
      <c r="I84" s="94">
        <f>IF('FY21-22'!$S84&gt;0,'FY21-22'!I84/'FY21-22'!$S84*'Multi-Year'!$N84,0)+IF('FY21-22'!$S84&lt;0,'FY21-22'!I84/'FY21-22'!$S84*'Multi-Year'!$N84,0)</f>
        <v>12637.22975258473</v>
      </c>
      <c r="J84" s="94">
        <f>IF('FY21-22'!$S84&gt;0,'FY21-22'!J84/'FY21-22'!$S84*'Multi-Year'!$N84,0)+IF('FY21-22'!$S84&lt;0,'FY21-22'!J84/'FY21-22'!$S84*'Multi-Year'!$N84,0)</f>
        <v>2361.7147668989792</v>
      </c>
      <c r="K84" s="94">
        <f>IF('FY21-22'!$S84&gt;0,'FY21-22'!K84/'FY21-22'!$S84*'Multi-Year'!$N84,0)+IF('FY21-22'!$S84&lt;0,'FY21-22'!K84/'FY21-22'!$S84*'Multi-Year'!$N84,0)</f>
        <v>14909.28437878866</v>
      </c>
      <c r="L84" s="94">
        <f>IF('FY21-22'!$S84&gt;0,'FY21-22'!L84/'FY21-22'!$S84*'Multi-Year'!$N84,0)+IF('FY21-22'!$S84&lt;0,'FY21-22'!L84/'FY21-22'!$S84*'Multi-Year'!$N84,0)</f>
        <v>27326.599299435176</v>
      </c>
      <c r="M84" s="94">
        <f>IF('FY21-22'!$S84&gt;0,'FY21-22'!M84/'FY21-22'!$S84*'Multi-Year'!$N84,0)+IF('FY21-22'!$S84&lt;0,'FY21-22'!M84/'FY21-22'!$S84*'Multi-Year'!$N84,0)</f>
        <v>10891.2986616215</v>
      </c>
      <c r="N84" s="94">
        <f>IF('FY21-22'!$S84&gt;0,'FY21-22'!N84/'FY21-22'!$S84*'Multi-Year'!$N84,0)+IF('FY21-22'!$S84&lt;0,'FY21-22'!N84/'FY21-22'!$S84*'Multi-Year'!$N84,0)</f>
        <v>12581.032986618646</v>
      </c>
      <c r="O84" s="94">
        <f>IF('FY21-22'!$S84&gt;0,'FY21-22'!O84/'FY21-22'!$S84*'Multi-Year'!$N84,0)+IF('FY21-22'!$S84&lt;0,'FY21-22'!O84/'FY21-22'!$S84*'Multi-Year'!$N84,0)</f>
        <v>76703.812971067659</v>
      </c>
      <c r="P84" s="94">
        <f>IF('FY21-22'!$S84&gt;0,'FY21-22'!P84/'FY21-22'!$S84*'Multi-Year'!$N84,0)+IF('FY21-22'!$S84&lt;0,'FY21-22'!P84/'FY21-22'!$S84*'Multi-Year'!$N84,0)</f>
        <v>307493.2451032995</v>
      </c>
      <c r="Q84" s="606">
        <f>IF('FY21-22'!$S84&gt;0,'FY21-22'!Q84/'FY21-22'!$S84*'Multi-Year'!$N84,0)+IF('FY21-22'!$S84&lt;0,'FY21-22'!Q84/'FY21-22'!$S84*'Multi-Year'!$N84,0)</f>
        <v>0</v>
      </c>
      <c r="R84" s="94"/>
      <c r="S84" s="625">
        <f t="shared" si="26"/>
        <v>519415.06983416178</v>
      </c>
      <c r="T84" s="94"/>
      <c r="U84" s="94">
        <f>'FY21-22'!S84</f>
        <v>484881.18830156198</v>
      </c>
      <c r="V84" s="94">
        <f t="shared" si="27"/>
        <v>-34533.8815325998</v>
      </c>
    </row>
    <row r="85" spans="1:24" s="95" customFormat="1" ht="12" customHeight="1">
      <c r="A85" s="124"/>
      <c r="B85" s="124" t="s">
        <v>186</v>
      </c>
      <c r="C85" s="102">
        <f>'Multi-Year'!D85</f>
        <v>4310</v>
      </c>
      <c r="D85" s="127" t="s">
        <v>39</v>
      </c>
      <c r="E85" s="94">
        <f>IF('FY21-22'!$S85&gt;0,'FY21-22'!E85/'FY21-22'!$S85*'Multi-Year'!$N85,0)+IF('FY21-22'!$S85&lt;0,'FY21-22'!E85/'FY21-22'!$S85*'Multi-Year'!$N85,0)</f>
        <v>1273.6567917605764</v>
      </c>
      <c r="F85" s="94">
        <f>IF('FY21-22'!$S85&gt;0,'FY21-22'!F85/'FY21-22'!$S85*'Multi-Year'!$N85,0)+IF('FY21-22'!$S85&lt;0,'FY21-22'!F85/'FY21-22'!$S85*'Multi-Year'!$N85,0)</f>
        <v>2068.6167967795168</v>
      </c>
      <c r="G85" s="94">
        <f>IF('FY21-22'!$S85&gt;0,'FY21-22'!G85/'FY21-22'!$S85*'Multi-Year'!$N85,0)+IF('FY21-22'!$S85&lt;0,'FY21-22'!G85/'FY21-22'!$S85*'Multi-Year'!$N85,0)</f>
        <v>1396.3041572463585</v>
      </c>
      <c r="H85" s="94">
        <f>IF('FY21-22'!$S85&gt;0,'FY21-22'!H85/'FY21-22'!$S85*'Multi-Year'!$N85,0)+IF('FY21-22'!$S85&lt;0,'FY21-22'!H85/'FY21-22'!$S85*'Multi-Year'!$N85,0)</f>
        <v>2702.5606098944518</v>
      </c>
      <c r="I85" s="94">
        <f>IF('FY21-22'!$S85&gt;0,'FY21-22'!I85/'FY21-22'!$S85*'Multi-Year'!$N85,0)+IF('FY21-22'!$S85&lt;0,'FY21-22'!I85/'FY21-22'!$S85*'Multi-Year'!$N85,0)</f>
        <v>2335.0614436122073</v>
      </c>
      <c r="J85" s="94">
        <f>IF('FY21-22'!$S85&gt;0,'FY21-22'!J85/'FY21-22'!$S85*'Multi-Year'!$N85,0)+IF('FY21-22'!$S85&lt;0,'FY21-22'!J85/'FY21-22'!$S85*'Multi-Year'!$N85,0)</f>
        <v>20476.817020533137</v>
      </c>
      <c r="K85" s="94">
        <f>IF('FY21-22'!$S85&gt;0,'FY21-22'!K85/'FY21-22'!$S85*'Multi-Year'!$N85,0)+IF('FY21-22'!$S85&lt;0,'FY21-22'!K85/'FY21-22'!$S85*'Multi-Year'!$N85,0)</f>
        <v>-13644.076480118158</v>
      </c>
      <c r="L85" s="94">
        <f>IF('FY21-22'!$S85&gt;0,'FY21-22'!L85/'FY21-22'!$S85*'Multi-Year'!$N85,0)+IF('FY21-22'!$S85&lt;0,'FY21-22'!L85/'FY21-22'!$S85*'Multi-Year'!$N85,0)</f>
        <v>2885.003549019023</v>
      </c>
      <c r="M85" s="94">
        <f>IF('FY21-22'!$S85&gt;0,'FY21-22'!M85/'FY21-22'!$S85*'Multi-Year'!$N85,0)+IF('FY21-22'!$S85&lt;0,'FY21-22'!M85/'FY21-22'!$S85*'Multi-Year'!$N85,0)</f>
        <v>2333.4336752187073</v>
      </c>
      <c r="N85" s="94">
        <f>IF('FY21-22'!$S85&gt;0,'FY21-22'!N85/'FY21-22'!$S85*'Multi-Year'!$N85,0)+IF('FY21-22'!$S85&lt;0,'FY21-22'!N85/'FY21-22'!$S85*'Multi-Year'!$N85,0)</f>
        <v>3190.4592710238348</v>
      </c>
      <c r="O85" s="94">
        <f>IF('FY21-22'!$S85&gt;0,'FY21-22'!O85/'FY21-22'!$S85*'Multi-Year'!$N85,0)+IF('FY21-22'!$S85&lt;0,'FY21-22'!O85/'FY21-22'!$S85*'Multi-Year'!$N85,0)</f>
        <v>4356.7719348484088</v>
      </c>
      <c r="P85" s="94">
        <f>IF('FY21-22'!$S85&gt;0,'FY21-22'!P85/'FY21-22'!$S85*'Multi-Year'!$N85,0)+IF('FY21-22'!$S85&lt;0,'FY21-22'!P85/'FY21-22'!$S85*'Multi-Year'!$N85,0)</f>
        <v>80738.364276783643</v>
      </c>
      <c r="Q85" s="606">
        <f>IF('FY21-22'!$S85&gt;0,'FY21-22'!Q85/'FY21-22'!$S85*'Multi-Year'!$N85,0)+IF('FY21-22'!$S85&lt;0,'FY21-22'!Q85/'FY21-22'!$S85*'Multi-Year'!$N85,0)</f>
        <v>0</v>
      </c>
      <c r="R85" s="94"/>
      <c r="S85" s="625">
        <f>SUM(E85:Q85)</f>
        <v>110112.97304660171</v>
      </c>
      <c r="T85" s="94"/>
      <c r="U85" s="94">
        <f>'FY21-22'!S85</f>
        <v>102791.9910666068</v>
      </c>
      <c r="V85" s="94">
        <f>U85-S85</f>
        <v>-7320.9819799949037</v>
      </c>
    </row>
    <row r="86" spans="1:24" s="95" customFormat="1" ht="12" customHeight="1">
      <c r="A86" s="124"/>
      <c r="B86" s="124" t="s">
        <v>186</v>
      </c>
      <c r="C86" s="102">
        <f>'Multi-Year'!D86</f>
        <v>4311</v>
      </c>
      <c r="D86" s="127" t="s">
        <v>36</v>
      </c>
      <c r="E86" s="94">
        <f>IF('FY21-22'!$S86&gt;0,'FY21-22'!E86/'FY21-22'!$S86*'Multi-Year'!$N86,0)+IF('FY21-22'!$S86&lt;0,'FY21-22'!E86/'FY21-22'!$S86*'Multi-Year'!$N86,0)</f>
        <v>0</v>
      </c>
      <c r="F86" s="94">
        <f>IF('FY21-22'!$S86&gt;0,'FY21-22'!F86/'FY21-22'!$S86*'Multi-Year'!$N86,0)+IF('FY21-22'!$S86&lt;0,'FY21-22'!F86/'FY21-22'!$S86*'Multi-Year'!$N86,0)</f>
        <v>536.74278618877133</v>
      </c>
      <c r="G86" s="94">
        <f>IF('FY21-22'!$S86&gt;0,'FY21-22'!G86/'FY21-22'!$S86*'Multi-Year'!$N86,0)+IF('FY21-22'!$S86&lt;0,'FY21-22'!G86/'FY21-22'!$S86*'Multi-Year'!$N86,0)</f>
        <v>508.95999095548962</v>
      </c>
      <c r="H86" s="94">
        <f>IF('FY21-22'!$S86&gt;0,'FY21-22'!H86/'FY21-22'!$S86*'Multi-Year'!$N86,0)+IF('FY21-22'!$S86&lt;0,'FY21-22'!H86/'FY21-22'!$S86*'Multi-Year'!$N86,0)</f>
        <v>79.505966430833823</v>
      </c>
      <c r="I86" s="94">
        <f>IF('FY21-22'!$S86&gt;0,'FY21-22'!I86/'FY21-22'!$S86*'Multi-Year'!$N86,0)+IF('FY21-22'!$S86&lt;0,'FY21-22'!I86/'FY21-22'!$S86*'Multi-Year'!$N86,0)</f>
        <v>1765.3535791414602</v>
      </c>
      <c r="J86" s="94">
        <f>IF('FY21-22'!$S86&gt;0,'FY21-22'!J86/'FY21-22'!$S86*'Multi-Year'!$N86,0)+IF('FY21-22'!$S86&lt;0,'FY21-22'!J86/'FY21-22'!$S86*'Multi-Year'!$N86,0)</f>
        <v>0</v>
      </c>
      <c r="K86" s="94">
        <f>IF('FY21-22'!$S86&gt;0,'FY21-22'!K86/'FY21-22'!$S86*'Multi-Year'!$N86,0)+IF('FY21-22'!$S86&lt;0,'FY21-22'!K86/'FY21-22'!$S86*'Multi-Year'!$N86,0)</f>
        <v>1232.1542343535061</v>
      </c>
      <c r="L86" s="94">
        <f>IF('FY21-22'!$S86&gt;0,'FY21-22'!L86/'FY21-22'!$S86*'Multi-Year'!$N86,0)+IF('FY21-22'!$S86&lt;0,'FY21-22'!L86/'FY21-22'!$S86*'Multi-Year'!$N86,0)</f>
        <v>0</v>
      </c>
      <c r="M86" s="94">
        <f>IF('FY21-22'!$S86&gt;0,'FY21-22'!M86/'FY21-22'!$S86*'Multi-Year'!$N86,0)+IF('FY21-22'!$S86&lt;0,'FY21-22'!M86/'FY21-22'!$S86*'Multi-Year'!$N86,0)</f>
        <v>2003.9711377233596</v>
      </c>
      <c r="N86" s="94">
        <f>IF('FY21-22'!$S86&gt;0,'FY21-22'!N86/'FY21-22'!$S86*'Multi-Year'!$N86,0)+IF('FY21-22'!$S86&lt;0,'FY21-22'!N86/'FY21-22'!$S86*'Multi-Year'!$N86,0)</f>
        <v>0</v>
      </c>
      <c r="O86" s="94">
        <f>IF('FY21-22'!$S86&gt;0,'FY21-22'!O86/'FY21-22'!$S86*'Multi-Year'!$N86,0)+IF('FY21-22'!$S86&lt;0,'FY21-22'!O86/'FY21-22'!$S86*'Multi-Year'!$N86,0)</f>
        <v>0</v>
      </c>
      <c r="P86" s="94">
        <f>IF('FY21-22'!$S86&gt;0,'FY21-22'!P86/'FY21-22'!$S86*'Multi-Year'!$N86,0)+IF('FY21-22'!$S86&lt;0,'FY21-22'!P86/'FY21-22'!$S86*'Multi-Year'!$N86,0)</f>
        <v>0</v>
      </c>
      <c r="Q86" s="606">
        <f>IF('FY21-22'!$S86&gt;0,'FY21-22'!Q86/'FY21-22'!$S86*'Multi-Year'!$N86,0)+IF('FY21-22'!$S86&lt;0,'FY21-22'!Q86/'FY21-22'!$S86*'Multi-Year'!$N86,0)</f>
        <v>0</v>
      </c>
      <c r="R86" s="94"/>
      <c r="S86" s="625">
        <f>SUM(E86:Q86)</f>
        <v>6126.6876947934206</v>
      </c>
      <c r="T86" s="94"/>
      <c r="U86" s="94">
        <f>'FY21-22'!S86</f>
        <v>5719.3481327996069</v>
      </c>
      <c r="V86" s="94">
        <f>U86-S86</f>
        <v>-407.33956199381373</v>
      </c>
    </row>
    <row r="87" spans="1:24" s="95" customFormat="1" ht="12" customHeight="1">
      <c r="A87" s="124"/>
      <c r="B87" s="124" t="s">
        <v>186</v>
      </c>
      <c r="C87" s="102">
        <f>'Multi-Year'!D87</f>
        <v>4312</v>
      </c>
      <c r="D87" s="127" t="s">
        <v>34</v>
      </c>
      <c r="E87" s="94">
        <f>IF('FY21-22'!$S87&gt;0,'FY21-22'!E87/'FY21-22'!$S87*'Multi-Year'!$N87,0)+IF('FY21-22'!$S87&lt;0,'FY21-22'!E87/'FY21-22'!$S87*'Multi-Year'!$N87,0)</f>
        <v>0</v>
      </c>
      <c r="F87" s="94">
        <f>IF('FY21-22'!$S87&gt;0,'FY21-22'!F87/'FY21-22'!$S87*'Multi-Year'!$N87,0)+IF('FY21-22'!$S87&lt;0,'FY21-22'!F87/'FY21-22'!$S87*'Multi-Year'!$N87,0)</f>
        <v>0</v>
      </c>
      <c r="G87" s="94">
        <f>IF('FY21-22'!$S87&gt;0,'FY21-22'!G87/'FY21-22'!$S87*'Multi-Year'!$N87,0)+IF('FY21-22'!$S87&lt;0,'FY21-22'!G87/'FY21-22'!$S87*'Multi-Year'!$N87,0)</f>
        <v>0</v>
      </c>
      <c r="H87" s="94">
        <f>IF('FY21-22'!$S87&gt;0,'FY21-22'!H87/'FY21-22'!$S87*'Multi-Year'!$N87,0)+IF('FY21-22'!$S87&lt;0,'FY21-22'!H87/'FY21-22'!$S87*'Multi-Year'!$N87,0)</f>
        <v>0</v>
      </c>
      <c r="I87" s="94">
        <f>IF('FY21-22'!$S87&gt;0,'FY21-22'!I87/'FY21-22'!$S87*'Multi-Year'!$N87,0)+IF('FY21-22'!$S87&lt;0,'FY21-22'!I87/'FY21-22'!$S87*'Multi-Year'!$N87,0)</f>
        <v>0</v>
      </c>
      <c r="J87" s="94">
        <f>IF('FY21-22'!$S87&gt;0,'FY21-22'!J87/'FY21-22'!$S87*'Multi-Year'!$N87,0)+IF('FY21-22'!$S87&lt;0,'FY21-22'!J87/'FY21-22'!$S87*'Multi-Year'!$N87,0)</f>
        <v>0</v>
      </c>
      <c r="K87" s="94">
        <f>IF('FY21-22'!$S87&gt;0,'FY21-22'!K87/'FY21-22'!$S87*'Multi-Year'!$N87,0)+IF('FY21-22'!$S87&lt;0,'FY21-22'!K87/'FY21-22'!$S87*'Multi-Year'!$N87,0)</f>
        <v>0</v>
      </c>
      <c r="L87" s="94">
        <f>IF('FY21-22'!$S87&gt;0,'FY21-22'!L87/'FY21-22'!$S87*'Multi-Year'!$N87,0)+IF('FY21-22'!$S87&lt;0,'FY21-22'!L87/'FY21-22'!$S87*'Multi-Year'!$N87,0)</f>
        <v>0</v>
      </c>
      <c r="M87" s="94">
        <f>IF('FY21-22'!$S87&gt;0,'FY21-22'!M87/'FY21-22'!$S87*'Multi-Year'!$N87,0)+IF('FY21-22'!$S87&lt;0,'FY21-22'!M87/'FY21-22'!$S87*'Multi-Year'!$N87,0)</f>
        <v>0</v>
      </c>
      <c r="N87" s="94">
        <f>IF('FY21-22'!$S87&gt;0,'FY21-22'!N87/'FY21-22'!$S87*'Multi-Year'!$N87,0)+IF('FY21-22'!$S87&lt;0,'FY21-22'!N87/'FY21-22'!$S87*'Multi-Year'!$N87,0)</f>
        <v>0</v>
      </c>
      <c r="O87" s="94">
        <f>IF('FY21-22'!$S87&gt;0,'FY21-22'!O87/'FY21-22'!$S87*'Multi-Year'!$N87,0)+IF('FY21-22'!$S87&lt;0,'FY21-22'!O87/'FY21-22'!$S87*'Multi-Year'!$N87,0)</f>
        <v>0</v>
      </c>
      <c r="P87" s="94">
        <f>IF('FY21-22'!$S87&gt;0,'FY21-22'!P87/'FY21-22'!$S87*'Multi-Year'!$N87,0)+IF('FY21-22'!$S87&lt;0,'FY21-22'!P87/'FY21-22'!$S87*'Multi-Year'!$N87,0)</f>
        <v>0</v>
      </c>
      <c r="Q87" s="606">
        <f>IF('FY21-22'!$S87&gt;0,'FY21-22'!Q87/'FY21-22'!$S87*'Multi-Year'!$N87,0)+IF('FY21-22'!$S87&lt;0,'FY21-22'!Q87/'FY21-22'!$S87*'Multi-Year'!$N87,0)</f>
        <v>0</v>
      </c>
      <c r="R87" s="94"/>
      <c r="S87" s="625">
        <f>SUM(E87:Q87)</f>
        <v>0</v>
      </c>
      <c r="T87" s="94"/>
      <c r="U87" s="94">
        <f>'FY21-22'!S87</f>
        <v>0</v>
      </c>
      <c r="V87" s="94">
        <f>U87-S87</f>
        <v>0</v>
      </c>
    </row>
    <row r="88" spans="1:24" s="95" customFormat="1" ht="12" customHeight="1">
      <c r="A88" s="124"/>
      <c r="B88" s="124" t="s">
        <v>186</v>
      </c>
      <c r="C88" s="102">
        <v>4400</v>
      </c>
      <c r="D88" s="127" t="s">
        <v>83</v>
      </c>
      <c r="E88" s="94">
        <f>IF('FY21-22'!$S88&gt;0,'FY21-22'!E88/'FY21-22'!$S88*'Multi-Year'!$N88,0)+IF('FY21-22'!$S88&lt;0,'FY21-22'!E88/'FY21-22'!$S88*'Multi-Year'!$N88,0)</f>
        <v>0</v>
      </c>
      <c r="F88" s="94">
        <f>IF('FY21-22'!$S88&gt;0,'FY21-22'!F88/'FY21-22'!$S88*'Multi-Year'!$N88,0)+IF('FY21-22'!$S88&lt;0,'FY21-22'!F88/'FY21-22'!$S88*'Multi-Year'!$N88,0)</f>
        <v>0</v>
      </c>
      <c r="G88" s="94">
        <f>IF('FY21-22'!$S88&gt;0,'FY21-22'!G88/'FY21-22'!$S88*'Multi-Year'!$N88,0)+IF('FY21-22'!$S88&lt;0,'FY21-22'!G88/'FY21-22'!$S88*'Multi-Year'!$N88,0)</f>
        <v>0</v>
      </c>
      <c r="H88" s="94">
        <f>IF('FY21-22'!$S88&gt;0,'FY21-22'!H88/'FY21-22'!$S88*'Multi-Year'!$N88,0)+IF('FY21-22'!$S88&lt;0,'FY21-22'!H88/'FY21-22'!$S88*'Multi-Year'!$N88,0)</f>
        <v>0</v>
      </c>
      <c r="I88" s="94">
        <f>IF('FY21-22'!$S88&gt;0,'FY21-22'!I88/'FY21-22'!$S88*'Multi-Year'!$N88,0)+IF('FY21-22'!$S88&lt;0,'FY21-22'!I88/'FY21-22'!$S88*'Multi-Year'!$N88,0)</f>
        <v>0</v>
      </c>
      <c r="J88" s="94">
        <f>IF('FY21-22'!$S88&gt;0,'FY21-22'!J88/'FY21-22'!$S88*'Multi-Year'!$N88,0)+IF('FY21-22'!$S88&lt;0,'FY21-22'!J88/'FY21-22'!$S88*'Multi-Year'!$N88,0)</f>
        <v>75657.858660720012</v>
      </c>
      <c r="K88" s="94">
        <f>IF('FY21-22'!$S88&gt;0,'FY21-22'!K88/'FY21-22'!$S88*'Multi-Year'!$N88,0)+IF('FY21-22'!$S88&lt;0,'FY21-22'!K88/'FY21-22'!$S88*'Multi-Year'!$N88,0)</f>
        <v>84.875415840000031</v>
      </c>
      <c r="L88" s="94">
        <f>IF('FY21-22'!$S88&gt;0,'FY21-22'!L88/'FY21-22'!$S88*'Multi-Year'!$N88,0)+IF('FY21-22'!$S88&lt;0,'FY21-22'!L88/'FY21-22'!$S88*'Multi-Year'!$N88,0)</f>
        <v>21.213547920000003</v>
      </c>
      <c r="M88" s="94">
        <f>IF('FY21-22'!$S88&gt;0,'FY21-22'!M88/'FY21-22'!$S88*'Multi-Year'!$N88,0)+IF('FY21-22'!$S88&lt;0,'FY21-22'!M88/'FY21-22'!$S88*'Multi-Year'!$N88,0)</f>
        <v>0</v>
      </c>
      <c r="N88" s="94">
        <f>IF('FY21-22'!$S88&gt;0,'FY21-22'!N88/'FY21-22'!$S88*'Multi-Year'!$N88,0)+IF('FY21-22'!$S88&lt;0,'FY21-22'!N88/'FY21-22'!$S88*'Multi-Year'!$N88,0)</f>
        <v>226.00546776000007</v>
      </c>
      <c r="O88" s="94">
        <f>IF('FY21-22'!$S88&gt;0,'FY21-22'!O88/'FY21-22'!$S88*'Multi-Year'!$N88,0)+IF('FY21-22'!$S88&lt;0,'FY21-22'!O88/'FY21-22'!$S88*'Multi-Year'!$N88,0)</f>
        <v>0</v>
      </c>
      <c r="P88" s="94">
        <f>IF('FY21-22'!$S88&gt;0,'FY21-22'!P88/'FY21-22'!$S88*'Multi-Year'!$N88,0)+IF('FY21-22'!$S88&lt;0,'FY21-22'!P88/'FY21-22'!$S88*'Multi-Year'!$N88,0)</f>
        <v>391093.24536720011</v>
      </c>
      <c r="Q88" s="606">
        <f>IF('FY21-22'!$S88&gt;0,'FY21-22'!Q88/'FY21-22'!$S88*'Multi-Year'!$N88,0)+IF('FY21-22'!$S88&lt;0,'FY21-22'!Q88/'FY21-22'!$S88*'Multi-Year'!$N88,0)</f>
        <v>0</v>
      </c>
      <c r="R88" s="94"/>
      <c r="S88" s="625">
        <f t="shared" si="26"/>
        <v>467083.19845944014</v>
      </c>
      <c r="T88" s="94"/>
      <c r="U88" s="94">
        <f>'FY21-22'!S88</f>
        <v>457924.70437200012</v>
      </c>
      <c r="V88" s="94">
        <f t="shared" si="27"/>
        <v>-9158.4940874400199</v>
      </c>
    </row>
    <row r="89" spans="1:24" s="95" customFormat="1" ht="12" customHeight="1">
      <c r="A89" s="124"/>
      <c r="B89" s="124" t="s">
        <v>186</v>
      </c>
      <c r="C89" s="102">
        <v>4700</v>
      </c>
      <c r="D89" s="127" t="s">
        <v>84</v>
      </c>
      <c r="E89" s="94">
        <f>IF('FY21-22'!$S89&gt;0,'FY21-22'!E89/'FY21-22'!$S89*'Multi-Year'!$N89,0)+IF('FY21-22'!$S89&lt;0,'FY21-22'!E89/'FY21-22'!$S89*'Multi-Year'!$N89,0)</f>
        <v>0</v>
      </c>
      <c r="F89" s="94">
        <f>IF('FY21-22'!$S89&gt;0,'FY21-22'!F89/'FY21-22'!$S89*'Multi-Year'!$N89,0)+IF('FY21-22'!$S89&lt;0,'FY21-22'!F89/'FY21-22'!$S89*'Multi-Year'!$N89,0)</f>
        <v>0</v>
      </c>
      <c r="G89" s="94">
        <f>IF('FY21-22'!$S89&gt;0,'FY21-22'!G89/'FY21-22'!$S89*'Multi-Year'!$N89,0)+IF('FY21-22'!$S89&lt;0,'FY21-22'!G89/'FY21-22'!$S89*'Multi-Year'!$N89,0)</f>
        <v>0</v>
      </c>
      <c r="H89" s="94">
        <f>IF('FY21-22'!$S89&gt;0,'FY21-22'!H89/'FY21-22'!$S89*'Multi-Year'!$N89,0)+IF('FY21-22'!$S89&lt;0,'FY21-22'!H89/'FY21-22'!$S89*'Multi-Year'!$N89,0)</f>
        <v>0</v>
      </c>
      <c r="I89" s="94">
        <f>IF('FY21-22'!$S89&gt;0,'FY21-22'!I89/'FY21-22'!$S89*'Multi-Year'!$N89,0)+IF('FY21-22'!$S89&lt;0,'FY21-22'!I89/'FY21-22'!$S89*'Multi-Year'!$N89,0)</f>
        <v>0</v>
      </c>
      <c r="J89" s="94">
        <f>IF('FY21-22'!$S89&gt;0,'FY21-22'!J89/'FY21-22'!$S89*'Multi-Year'!$N89,0)+IF('FY21-22'!$S89&lt;0,'FY21-22'!J89/'FY21-22'!$S89*'Multi-Year'!$N89,0)</f>
        <v>0</v>
      </c>
      <c r="K89" s="94">
        <f>IF('FY21-22'!$S89&gt;0,'FY21-22'!K89/'FY21-22'!$S89*'Multi-Year'!$N89,0)+IF('FY21-22'!$S89&lt;0,'FY21-22'!K89/'FY21-22'!$S89*'Multi-Year'!$N89,0)</f>
        <v>0</v>
      </c>
      <c r="L89" s="94">
        <f>IF('FY21-22'!$S89&gt;0,'FY21-22'!L89/'FY21-22'!$S89*'Multi-Year'!$N89,0)+IF('FY21-22'!$S89&lt;0,'FY21-22'!L89/'FY21-22'!$S89*'Multi-Year'!$N89,0)</f>
        <v>0</v>
      </c>
      <c r="M89" s="94">
        <f>IF('FY21-22'!$S89&gt;0,'FY21-22'!M89/'FY21-22'!$S89*'Multi-Year'!$N89,0)+IF('FY21-22'!$S89&lt;0,'FY21-22'!M89/'FY21-22'!$S89*'Multi-Year'!$N89,0)</f>
        <v>0</v>
      </c>
      <c r="N89" s="94">
        <f>IF('FY21-22'!$S89&gt;0,'FY21-22'!N89/'FY21-22'!$S89*'Multi-Year'!$N89,0)+IF('FY21-22'!$S89&lt;0,'FY21-22'!N89/'FY21-22'!$S89*'Multi-Year'!$N89,0)</f>
        <v>138309.06642627114</v>
      </c>
      <c r="O89" s="94">
        <f>IF('FY21-22'!$S89&gt;0,'FY21-22'!O89/'FY21-22'!$S89*'Multi-Year'!$N89,0)+IF('FY21-22'!$S89&lt;0,'FY21-22'!O89/'FY21-22'!$S89*'Multi-Year'!$N89,0)</f>
        <v>0</v>
      </c>
      <c r="P89" s="94">
        <f>IF('FY21-22'!$S89&gt;0,'FY21-22'!P89/'FY21-22'!$S89*'Multi-Year'!$N89,0)+IF('FY21-22'!$S89&lt;0,'FY21-22'!P89/'FY21-22'!$S89*'Multi-Year'!$N89,0)</f>
        <v>0</v>
      </c>
      <c r="Q89" s="606">
        <f>IF('FY21-22'!$S89&gt;0,'FY21-22'!Q89/'FY21-22'!$S89*'Multi-Year'!$N89,0)+IF('FY21-22'!$S89&lt;0,'FY21-22'!Q89/'FY21-22'!$S89*'Multi-Year'!$N89,0)</f>
        <v>0</v>
      </c>
      <c r="R89" s="94"/>
      <c r="S89" s="625">
        <f t="shared" si="26"/>
        <v>138309.06642627114</v>
      </c>
      <c r="T89" s="94"/>
      <c r="U89" s="94">
        <f>'FY21-22'!S89</f>
        <v>129113.43620249978</v>
      </c>
      <c r="V89" s="94">
        <f t="shared" si="27"/>
        <v>-9195.6302237713535</v>
      </c>
    </row>
    <row r="90" spans="1:24" s="95" customFormat="1" ht="12" customHeight="1">
      <c r="A90" s="124"/>
      <c r="B90" s="124" t="s">
        <v>186</v>
      </c>
      <c r="C90" s="126"/>
      <c r="D90" s="126"/>
      <c r="E90" s="215">
        <f t="shared" ref="E90:Q90" si="28">SUM(E81:E89)</f>
        <v>130150.44762645104</v>
      </c>
      <c r="F90" s="215">
        <f t="shared" si="28"/>
        <v>283059.26775189507</v>
      </c>
      <c r="G90" s="215">
        <f t="shared" si="28"/>
        <v>374672.84125168971</v>
      </c>
      <c r="H90" s="215">
        <f t="shared" si="28"/>
        <v>390763.6972388351</v>
      </c>
      <c r="I90" s="215">
        <f t="shared" si="28"/>
        <v>228269.71309861957</v>
      </c>
      <c r="J90" s="215">
        <f t="shared" si="28"/>
        <v>286018.4209638735</v>
      </c>
      <c r="K90" s="215">
        <f t="shared" si="28"/>
        <v>229203.40882877092</v>
      </c>
      <c r="L90" s="215">
        <f t="shared" si="28"/>
        <v>224303.32593938441</v>
      </c>
      <c r="M90" s="215">
        <f t="shared" si="28"/>
        <v>250915.96889703983</v>
      </c>
      <c r="N90" s="215">
        <f t="shared" si="28"/>
        <v>378687.84860934335</v>
      </c>
      <c r="O90" s="215">
        <f t="shared" si="28"/>
        <v>349019.99757118482</v>
      </c>
      <c r="P90" s="215">
        <f t="shared" si="28"/>
        <v>1162496.9613232096</v>
      </c>
      <c r="Q90" s="603">
        <f t="shared" si="28"/>
        <v>0</v>
      </c>
      <c r="R90" s="94"/>
      <c r="S90" s="626">
        <f>SUM(E90:R90)</f>
        <v>4287561.8991002971</v>
      </c>
      <c r="T90" s="94"/>
      <c r="U90" s="216">
        <f>SUM(U81:U89)</f>
        <v>4024394.6815311201</v>
      </c>
      <c r="V90" s="216">
        <f>SUM(V81:V89)</f>
        <v>-263167.21756917605</v>
      </c>
    </row>
    <row r="91" spans="1:24" s="95" customFormat="1" ht="12" customHeight="1">
      <c r="A91" s="124"/>
      <c r="B91" s="124" t="s">
        <v>284</v>
      </c>
      <c r="C91" s="126"/>
      <c r="D91" s="126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606"/>
      <c r="R91" s="94"/>
      <c r="S91" s="627"/>
      <c r="T91" s="94"/>
      <c r="U91" s="94"/>
      <c r="V91" s="94"/>
    </row>
    <row r="92" spans="1:24" s="95" customFormat="1" ht="12" customHeight="1">
      <c r="A92" s="124"/>
      <c r="B92" s="124" t="s">
        <v>186</v>
      </c>
      <c r="C92" s="102">
        <v>5101</v>
      </c>
      <c r="D92" s="127" t="s">
        <v>85</v>
      </c>
      <c r="E92" s="94">
        <f>IF('FY21-22'!$S92&gt;0,'FY21-22'!E92/'FY21-22'!$S92*'Multi-Year'!$N92,0)+IF('FY21-22'!$S92&lt;0,'FY21-22'!E92/'FY21-22'!$S92*'Multi-Year'!$N92,0)</f>
        <v>0</v>
      </c>
      <c r="F92" s="94">
        <f>IF('FY21-22'!$S92&gt;0,'FY21-22'!F92/'FY21-22'!$S92*'Multi-Year'!$N92,0)+IF('FY21-22'!$S92&lt;0,'FY21-22'!F92/'FY21-22'!$S92*'Multi-Year'!$N92,0)</f>
        <v>0</v>
      </c>
      <c r="G92" s="94">
        <f>IF('FY21-22'!$S92&gt;0,'FY21-22'!G92/'FY21-22'!$S92*'Multi-Year'!$N92,0)+IF('FY21-22'!$S92&lt;0,'FY21-22'!G92/'FY21-22'!$S92*'Multi-Year'!$N92,0)</f>
        <v>0</v>
      </c>
      <c r="H92" s="94">
        <f>IF('FY21-22'!$S92&gt;0,'FY21-22'!H92/'FY21-22'!$S92*'Multi-Year'!$N92,0)+IF('FY21-22'!$S92&lt;0,'FY21-22'!H92/'FY21-22'!$S92*'Multi-Year'!$N92,0)</f>
        <v>0</v>
      </c>
      <c r="I92" s="94">
        <f>IF('FY21-22'!$S92&gt;0,'FY21-22'!I92/'FY21-22'!$S92*'Multi-Year'!$N92,0)+IF('FY21-22'!$S92&lt;0,'FY21-22'!I92/'FY21-22'!$S92*'Multi-Year'!$N92,0)</f>
        <v>0</v>
      </c>
      <c r="J92" s="94">
        <f>IF('FY21-22'!$S92&gt;0,'FY21-22'!J92/'FY21-22'!$S92*'Multi-Year'!$N92,0)+IF('FY21-22'!$S92&lt;0,'FY21-22'!J92/'FY21-22'!$S92*'Multi-Year'!$N92,0)</f>
        <v>0</v>
      </c>
      <c r="K92" s="94">
        <f>IF('FY21-22'!$S92&gt;0,'FY21-22'!K92/'FY21-22'!$S92*'Multi-Year'!$N92,0)+IF('FY21-22'!$S92&lt;0,'FY21-22'!K92/'FY21-22'!$S92*'Multi-Year'!$N92,0)</f>
        <v>0</v>
      </c>
      <c r="L92" s="94">
        <f>IF('FY21-22'!$S92&gt;0,'FY21-22'!L92/'FY21-22'!$S92*'Multi-Year'!$N92,0)+IF('FY21-22'!$S92&lt;0,'FY21-22'!L92/'FY21-22'!$S92*'Multi-Year'!$N92,0)</f>
        <v>0</v>
      </c>
      <c r="M92" s="94">
        <f>IF('FY21-22'!$S92&gt;0,'FY21-22'!M92/'FY21-22'!$S92*'Multi-Year'!$N92,0)+IF('FY21-22'!$S92&lt;0,'FY21-22'!M92/'FY21-22'!$S92*'Multi-Year'!$N92,0)</f>
        <v>0</v>
      </c>
      <c r="N92" s="94">
        <f>IF('FY21-22'!$S92&gt;0,'FY21-22'!N92/'FY21-22'!$S92*'Multi-Year'!$N92,0)+IF('FY21-22'!$S92&lt;0,'FY21-22'!N92/'FY21-22'!$S92*'Multi-Year'!$N92,0)</f>
        <v>0</v>
      </c>
      <c r="O92" s="94">
        <f>IF('FY21-22'!$S92&gt;0,'FY21-22'!O92/'FY21-22'!$S92*'Multi-Year'!$N92,0)+IF('FY21-22'!$S92&lt;0,'FY21-22'!O92/'FY21-22'!$S92*'Multi-Year'!$N92,0)</f>
        <v>0</v>
      </c>
      <c r="P92" s="94">
        <f>IF('FY21-22'!$S92&gt;0,'FY21-22'!P92/'FY21-22'!$S92*'Multi-Year'!$N92,0)+IF('FY21-22'!$S92&lt;0,'FY21-22'!P92/'FY21-22'!$S92*'Multi-Year'!$N92,0)</f>
        <v>0</v>
      </c>
      <c r="Q92" s="606">
        <f>IF('FY21-22'!$S92&gt;0,'FY21-22'!Q92/'FY21-22'!$S92*'Multi-Year'!$N92,0)+IF('FY21-22'!$S92&lt;0,'FY21-22'!Q92/'FY21-22'!$S92*'Multi-Year'!$N92,0)</f>
        <v>0</v>
      </c>
      <c r="R92" s="94"/>
      <c r="S92" s="625">
        <f t="shared" ref="S92:S95" si="29">SUM(E92:Q92)</f>
        <v>0</v>
      </c>
      <c r="T92" s="94"/>
      <c r="U92" s="94">
        <f>'FY21-22'!S92</f>
        <v>0</v>
      </c>
      <c r="V92" s="94">
        <f t="shared" ref="V92:V95" si="30">U92-S92</f>
        <v>0</v>
      </c>
    </row>
    <row r="93" spans="1:24" s="95" customFormat="1" ht="12" customHeight="1">
      <c r="A93" s="124"/>
      <c r="B93" s="124" t="s">
        <v>186</v>
      </c>
      <c r="C93" s="102">
        <v>5102</v>
      </c>
      <c r="D93" s="127" t="s">
        <v>86</v>
      </c>
      <c r="E93" s="94">
        <f>IF('FY21-22'!$S93&gt;0,'FY21-22'!E93/'FY21-22'!$S93*'Multi-Year'!$N93,0)+IF('FY21-22'!$S93&lt;0,'FY21-22'!E93/'FY21-22'!$S93*'Multi-Year'!$N93,0)</f>
        <v>1079.6423018114619</v>
      </c>
      <c r="F93" s="94">
        <f>IF('FY21-22'!$S93&gt;0,'FY21-22'!F93/'FY21-22'!$S93*'Multi-Year'!$N93,0)+IF('FY21-22'!$S93&lt;0,'FY21-22'!F93/'FY21-22'!$S93*'Multi-Year'!$N93,0)</f>
        <v>18128.689136755416</v>
      </c>
      <c r="G93" s="94">
        <f>IF('FY21-22'!$S93&gt;0,'FY21-22'!G93/'FY21-22'!$S93*'Multi-Year'!$N93,0)+IF('FY21-22'!$S93&lt;0,'FY21-22'!G93/'FY21-22'!$S93*'Multi-Year'!$N93,0)</f>
        <v>47544.423973331701</v>
      </c>
      <c r="H93" s="94">
        <f>IF('FY21-22'!$S93&gt;0,'FY21-22'!H93/'FY21-22'!$S93*'Multi-Year'!$N93,0)+IF('FY21-22'!$S93&lt;0,'FY21-22'!H93/'FY21-22'!$S93*'Multi-Year'!$N93,0)</f>
        <v>58421.482429823671</v>
      </c>
      <c r="I93" s="94">
        <f>IF('FY21-22'!$S93&gt;0,'FY21-22'!I93/'FY21-22'!$S93*'Multi-Year'!$N93,0)+IF('FY21-22'!$S93&lt;0,'FY21-22'!I93/'FY21-22'!$S93*'Multi-Year'!$N93,0)</f>
        <v>214682.34275416881</v>
      </c>
      <c r="J93" s="94">
        <f>IF('FY21-22'!$S93&gt;0,'FY21-22'!J93/'FY21-22'!$S93*'Multi-Year'!$N93,0)+IF('FY21-22'!$S93&lt;0,'FY21-22'!J93/'FY21-22'!$S93*'Multi-Year'!$N93,0)</f>
        <v>52062.256393101634</v>
      </c>
      <c r="K93" s="94">
        <f>IF('FY21-22'!$S93&gt;0,'FY21-22'!K93/'FY21-22'!$S93*'Multi-Year'!$N93,0)+IF('FY21-22'!$S93&lt;0,'FY21-22'!K93/'FY21-22'!$S93*'Multi-Year'!$N93,0)</f>
        <v>162173.47986551165</v>
      </c>
      <c r="L93" s="94">
        <f>IF('FY21-22'!$S93&gt;0,'FY21-22'!L93/'FY21-22'!$S93*'Multi-Year'!$N93,0)+IF('FY21-22'!$S93&lt;0,'FY21-22'!L93/'FY21-22'!$S93*'Multi-Year'!$N93,0)</f>
        <v>72217.450740238724</v>
      </c>
      <c r="M93" s="94">
        <f>IF('FY21-22'!$S93&gt;0,'FY21-22'!M93/'FY21-22'!$S93*'Multi-Year'!$N93,0)+IF('FY21-22'!$S93&lt;0,'FY21-22'!M93/'FY21-22'!$S93*'Multi-Year'!$N93,0)</f>
        <v>101457.25371126445</v>
      </c>
      <c r="N93" s="94">
        <f>IF('FY21-22'!$S93&gt;0,'FY21-22'!N93/'FY21-22'!$S93*'Multi-Year'!$N93,0)+IF('FY21-22'!$S93&lt;0,'FY21-22'!N93/'FY21-22'!$S93*'Multi-Year'!$N93,0)</f>
        <v>208517.96170147415</v>
      </c>
      <c r="O93" s="94">
        <f>IF('FY21-22'!$S93&gt;0,'FY21-22'!O93/'FY21-22'!$S93*'Multi-Year'!$N93,0)+IF('FY21-22'!$S93&lt;0,'FY21-22'!O93/'FY21-22'!$S93*'Multi-Year'!$N93,0)</f>
        <v>249438.99608165293</v>
      </c>
      <c r="P93" s="94">
        <f>IF('FY21-22'!$S93&gt;0,'FY21-22'!P93/'FY21-22'!$S93*'Multi-Year'!$N93,0)+IF('FY21-22'!$S93&lt;0,'FY21-22'!P93/'FY21-22'!$S93*'Multi-Year'!$N93,0)</f>
        <v>188244.74860918112</v>
      </c>
      <c r="Q93" s="606">
        <f>IF('FY21-22'!$S93&gt;0,'FY21-22'!Q93/'FY21-22'!$S93*'Multi-Year'!$N93,0)+IF('FY21-22'!$S93&lt;0,'FY21-22'!Q93/'FY21-22'!$S93*'Multi-Year'!$N93,0)</f>
        <v>0</v>
      </c>
      <c r="R93" s="94"/>
      <c r="S93" s="625">
        <f t="shared" si="29"/>
        <v>1373968.7276983159</v>
      </c>
      <c r="T93" s="94"/>
      <c r="U93" s="94">
        <f>'FY21-22'!S93</f>
        <v>1282618.9074341867</v>
      </c>
      <c r="V93" s="94">
        <f t="shared" si="30"/>
        <v>-91349.820264129201</v>
      </c>
    </row>
    <row r="94" spans="1:24" s="95" customFormat="1" ht="12" customHeight="1">
      <c r="A94" s="124"/>
      <c r="B94" s="124" t="s">
        <v>186</v>
      </c>
      <c r="C94" s="102">
        <v>5103</v>
      </c>
      <c r="D94" s="127" t="s">
        <v>87</v>
      </c>
      <c r="E94" s="94">
        <f>IF('FY21-22'!$S94&gt;0,'FY21-22'!E94/'FY21-22'!$S94*'Multi-Year'!$N94,0)+IF('FY21-22'!$S94&lt;0,'FY21-22'!E94/'FY21-22'!$S94*'Multi-Year'!$N94,0)</f>
        <v>0</v>
      </c>
      <c r="F94" s="94">
        <f>IF('FY21-22'!$S94&gt;0,'FY21-22'!F94/'FY21-22'!$S94*'Multi-Year'!$N94,0)+IF('FY21-22'!$S94&lt;0,'FY21-22'!F94/'FY21-22'!$S94*'Multi-Year'!$N94,0)</f>
        <v>0</v>
      </c>
      <c r="G94" s="94">
        <f>IF('FY21-22'!$S94&gt;0,'FY21-22'!G94/'FY21-22'!$S94*'Multi-Year'!$N94,0)+IF('FY21-22'!$S94&lt;0,'FY21-22'!G94/'FY21-22'!$S94*'Multi-Year'!$N94,0)</f>
        <v>0</v>
      </c>
      <c r="H94" s="94">
        <f>IF('FY21-22'!$S94&gt;0,'FY21-22'!H94/'FY21-22'!$S94*'Multi-Year'!$N94,0)+IF('FY21-22'!$S94&lt;0,'FY21-22'!H94/'FY21-22'!$S94*'Multi-Year'!$N94,0)</f>
        <v>0</v>
      </c>
      <c r="I94" s="94">
        <f>IF('FY21-22'!$S94&gt;0,'FY21-22'!I94/'FY21-22'!$S94*'Multi-Year'!$N94,0)+IF('FY21-22'!$S94&lt;0,'FY21-22'!I94/'FY21-22'!$S94*'Multi-Year'!$N94,0)</f>
        <v>0</v>
      </c>
      <c r="J94" s="94">
        <f>IF('FY21-22'!$S94&gt;0,'FY21-22'!J94/'FY21-22'!$S94*'Multi-Year'!$N94,0)+IF('FY21-22'!$S94&lt;0,'FY21-22'!J94/'FY21-22'!$S94*'Multi-Year'!$N94,0)</f>
        <v>0</v>
      </c>
      <c r="K94" s="94">
        <f>IF('FY21-22'!$S94&gt;0,'FY21-22'!K94/'FY21-22'!$S94*'Multi-Year'!$N94,0)+IF('FY21-22'!$S94&lt;0,'FY21-22'!K94/'FY21-22'!$S94*'Multi-Year'!$N94,0)</f>
        <v>0</v>
      </c>
      <c r="L94" s="94">
        <f>IF('FY21-22'!$S94&gt;0,'FY21-22'!L94/'FY21-22'!$S94*'Multi-Year'!$N94,0)+IF('FY21-22'!$S94&lt;0,'FY21-22'!L94/'FY21-22'!$S94*'Multi-Year'!$N94,0)</f>
        <v>0</v>
      </c>
      <c r="M94" s="94">
        <f>IF('FY21-22'!$S94&gt;0,'FY21-22'!M94/'FY21-22'!$S94*'Multi-Year'!$N94,0)+IF('FY21-22'!$S94&lt;0,'FY21-22'!M94/'FY21-22'!$S94*'Multi-Year'!$N94,0)</f>
        <v>0</v>
      </c>
      <c r="N94" s="94">
        <f>IF('FY21-22'!$S94&gt;0,'FY21-22'!N94/'FY21-22'!$S94*'Multi-Year'!$N94,0)+IF('FY21-22'!$S94&lt;0,'FY21-22'!N94/'FY21-22'!$S94*'Multi-Year'!$N94,0)</f>
        <v>0</v>
      </c>
      <c r="O94" s="94">
        <f>IF('FY21-22'!$S94&gt;0,'FY21-22'!O94/'FY21-22'!$S94*'Multi-Year'!$N94,0)+IF('FY21-22'!$S94&lt;0,'FY21-22'!O94/'FY21-22'!$S94*'Multi-Year'!$N94,0)</f>
        <v>0</v>
      </c>
      <c r="P94" s="94">
        <f>IF('FY21-22'!$S94&gt;0,'FY21-22'!P94/'FY21-22'!$S94*'Multi-Year'!$N94,0)+IF('FY21-22'!$S94&lt;0,'FY21-22'!P94/'FY21-22'!$S94*'Multi-Year'!$N94,0)</f>
        <v>0</v>
      </c>
      <c r="Q94" s="606">
        <f>IF('FY21-22'!$S94&gt;0,'FY21-22'!Q94/'FY21-22'!$S94*'Multi-Year'!$N94,0)+IF('FY21-22'!$S94&lt;0,'FY21-22'!Q94/'FY21-22'!$S94*'Multi-Year'!$N94,0)</f>
        <v>0</v>
      </c>
      <c r="R94" s="94"/>
      <c r="S94" s="625">
        <f t="shared" si="29"/>
        <v>0</v>
      </c>
      <c r="T94" s="94"/>
      <c r="U94" s="94">
        <f>'FY21-22'!S94</f>
        <v>0</v>
      </c>
      <c r="V94" s="94">
        <f t="shared" si="30"/>
        <v>0</v>
      </c>
    </row>
    <row r="95" spans="1:24" s="95" customFormat="1" ht="12" customHeight="1">
      <c r="A95" s="124"/>
      <c r="B95" s="124" t="s">
        <v>186</v>
      </c>
      <c r="C95" s="102">
        <v>5104</v>
      </c>
      <c r="D95" s="127" t="s">
        <v>88</v>
      </c>
      <c r="E95" s="94">
        <f>IF('FY21-22'!$S95&gt;0,'FY21-22'!E95/'FY21-22'!$S95*'Multi-Year'!$N95,0)+IF('FY21-22'!$S95&lt;0,'FY21-22'!E95/'FY21-22'!$S95*'Multi-Year'!$N95,0)</f>
        <v>0</v>
      </c>
      <c r="F95" s="94">
        <f>IF('FY21-22'!$S95&gt;0,'FY21-22'!F95/'FY21-22'!$S95*'Multi-Year'!$N95,0)+IF('FY21-22'!$S95&lt;0,'FY21-22'!F95/'FY21-22'!$S95*'Multi-Year'!$N95,0)</f>
        <v>0</v>
      </c>
      <c r="G95" s="94">
        <f>IF('FY21-22'!$S95&gt;0,'FY21-22'!G95/'FY21-22'!$S95*'Multi-Year'!$N95,0)+IF('FY21-22'!$S95&lt;0,'FY21-22'!G95/'FY21-22'!$S95*'Multi-Year'!$N95,0)</f>
        <v>0</v>
      </c>
      <c r="H95" s="94">
        <f>IF('FY21-22'!$S95&gt;0,'FY21-22'!H95/'FY21-22'!$S95*'Multi-Year'!$N95,0)+IF('FY21-22'!$S95&lt;0,'FY21-22'!H95/'FY21-22'!$S95*'Multi-Year'!$N95,0)</f>
        <v>0</v>
      </c>
      <c r="I95" s="94">
        <f>IF('FY21-22'!$S95&gt;0,'FY21-22'!I95/'FY21-22'!$S95*'Multi-Year'!$N95,0)+IF('FY21-22'!$S95&lt;0,'FY21-22'!I95/'FY21-22'!$S95*'Multi-Year'!$N95,0)</f>
        <v>0</v>
      </c>
      <c r="J95" s="94">
        <f>IF('FY21-22'!$S95&gt;0,'FY21-22'!J95/'FY21-22'!$S95*'Multi-Year'!$N95,0)+IF('FY21-22'!$S95&lt;0,'FY21-22'!J95/'FY21-22'!$S95*'Multi-Year'!$N95,0)</f>
        <v>0</v>
      </c>
      <c r="K95" s="94">
        <f>IF('FY21-22'!$S95&gt;0,'FY21-22'!K95/'FY21-22'!$S95*'Multi-Year'!$N95,0)+IF('FY21-22'!$S95&lt;0,'FY21-22'!K95/'FY21-22'!$S95*'Multi-Year'!$N95,0)</f>
        <v>0</v>
      </c>
      <c r="L95" s="94">
        <f>IF('FY21-22'!$S95&gt;0,'FY21-22'!L95/'FY21-22'!$S95*'Multi-Year'!$N95,0)+IF('FY21-22'!$S95&lt;0,'FY21-22'!L95/'FY21-22'!$S95*'Multi-Year'!$N95,0)</f>
        <v>0</v>
      </c>
      <c r="M95" s="94">
        <f>IF('FY21-22'!$S95&gt;0,'FY21-22'!M95/'FY21-22'!$S95*'Multi-Year'!$N95,0)+IF('FY21-22'!$S95&lt;0,'FY21-22'!M95/'FY21-22'!$S95*'Multi-Year'!$N95,0)</f>
        <v>0</v>
      </c>
      <c r="N95" s="94">
        <f>IF('FY21-22'!$S95&gt;0,'FY21-22'!N95/'FY21-22'!$S95*'Multi-Year'!$N95,0)+IF('FY21-22'!$S95&lt;0,'FY21-22'!N95/'FY21-22'!$S95*'Multi-Year'!$N95,0)</f>
        <v>0</v>
      </c>
      <c r="O95" s="94">
        <f>IF('FY21-22'!$S95&gt;0,'FY21-22'!O95/'FY21-22'!$S95*'Multi-Year'!$N95,0)+IF('FY21-22'!$S95&lt;0,'FY21-22'!O95/'FY21-22'!$S95*'Multi-Year'!$N95,0)</f>
        <v>0</v>
      </c>
      <c r="P95" s="94">
        <f>IF('FY21-22'!$S95&gt;0,'FY21-22'!P95/'FY21-22'!$S95*'Multi-Year'!$N95,0)+IF('FY21-22'!$S95&lt;0,'FY21-22'!P95/'FY21-22'!$S95*'Multi-Year'!$N95,0)</f>
        <v>0</v>
      </c>
      <c r="Q95" s="606">
        <f>IF('FY21-22'!$S95&gt;0,'FY21-22'!Q95/'FY21-22'!$S95*'Multi-Year'!$N95,0)+IF('FY21-22'!$S95&lt;0,'FY21-22'!Q95/'FY21-22'!$S95*'Multi-Year'!$N95,0)</f>
        <v>0</v>
      </c>
      <c r="R95" s="94"/>
      <c r="S95" s="625">
        <f t="shared" si="29"/>
        <v>0</v>
      </c>
      <c r="T95" s="94"/>
      <c r="U95" s="94">
        <f>'FY21-22'!S95</f>
        <v>0</v>
      </c>
      <c r="V95" s="94">
        <f t="shared" si="30"/>
        <v>0</v>
      </c>
    </row>
    <row r="96" spans="1:24" s="95" customFormat="1" ht="12" customHeight="1">
      <c r="A96" s="124"/>
      <c r="B96" s="124" t="s">
        <v>186</v>
      </c>
      <c r="C96" s="102">
        <v>5105</v>
      </c>
      <c r="D96" s="127" t="s">
        <v>89</v>
      </c>
      <c r="E96" s="94">
        <f>IF('FY21-22'!$S96&gt;0,'FY21-22'!E96/'FY21-22'!$S96*'Multi-Year'!$N96,0)+IF('FY21-22'!$S96&lt;0,'FY21-22'!E96/'FY21-22'!$S96*'Multi-Year'!$N96,0)</f>
        <v>0</v>
      </c>
      <c r="F96" s="94">
        <f>IF('FY21-22'!$S96&gt;0,'FY21-22'!F96/'FY21-22'!$S96*'Multi-Year'!$N96,0)+IF('FY21-22'!$S96&lt;0,'FY21-22'!F96/'FY21-22'!$S96*'Multi-Year'!$N96,0)</f>
        <v>64.213802135432516</v>
      </c>
      <c r="G96" s="94">
        <f>IF('FY21-22'!$S96&gt;0,'FY21-22'!G96/'FY21-22'!$S96*'Multi-Year'!$N96,0)+IF('FY21-22'!$S96&lt;0,'FY21-22'!G96/'FY21-22'!$S96*'Multi-Year'!$N96,0)</f>
        <v>64.213802135432516</v>
      </c>
      <c r="H96" s="94">
        <f>IF('FY21-22'!$S96&gt;0,'FY21-22'!H96/'FY21-22'!$S96*'Multi-Year'!$N96,0)+IF('FY21-22'!$S96&lt;0,'FY21-22'!H96/'FY21-22'!$S96*'Multi-Year'!$N96,0)</f>
        <v>0</v>
      </c>
      <c r="I96" s="94">
        <f>IF('FY21-22'!$S96&gt;0,'FY21-22'!I96/'FY21-22'!$S96*'Multi-Year'!$N96,0)+IF('FY21-22'!$S96&lt;0,'FY21-22'!I96/'FY21-22'!$S96*'Multi-Year'!$N96,0)</f>
        <v>0</v>
      </c>
      <c r="J96" s="94">
        <f>IF('FY21-22'!$S96&gt;0,'FY21-22'!J96/'FY21-22'!$S96*'Multi-Year'!$N96,0)+IF('FY21-22'!$S96&lt;0,'FY21-22'!J96/'FY21-22'!$S96*'Multi-Year'!$N96,0)</f>
        <v>0</v>
      </c>
      <c r="K96" s="94">
        <f>IF('FY21-22'!$S96&gt;0,'FY21-22'!K96/'FY21-22'!$S96*'Multi-Year'!$N96,0)+IF('FY21-22'!$S96&lt;0,'FY21-22'!K96/'FY21-22'!$S96*'Multi-Year'!$N96,0)</f>
        <v>64.213802135432516</v>
      </c>
      <c r="L96" s="94">
        <f>IF('FY21-22'!$S96&gt;0,'FY21-22'!L96/'FY21-22'!$S96*'Multi-Year'!$N96,0)+IF('FY21-22'!$S96&lt;0,'FY21-22'!L96/'FY21-22'!$S96*'Multi-Year'!$N96,0)</f>
        <v>0</v>
      </c>
      <c r="M96" s="94">
        <f>IF('FY21-22'!$S96&gt;0,'FY21-22'!M96/'FY21-22'!$S96*'Multi-Year'!$N96,0)+IF('FY21-22'!$S96&lt;0,'FY21-22'!M96/'FY21-22'!$S96*'Multi-Year'!$N96,0)</f>
        <v>0</v>
      </c>
      <c r="N96" s="94">
        <f>IF('FY21-22'!$S96&gt;0,'FY21-22'!N96/'FY21-22'!$S96*'Multi-Year'!$N96,0)+IF('FY21-22'!$S96&lt;0,'FY21-22'!N96/'FY21-22'!$S96*'Multi-Year'!$N96,0)</f>
        <v>0</v>
      </c>
      <c r="O96" s="94">
        <f>IF('FY21-22'!$S96&gt;0,'FY21-22'!O96/'FY21-22'!$S96*'Multi-Year'!$N96,0)+IF('FY21-22'!$S96&lt;0,'FY21-22'!O96/'FY21-22'!$S96*'Multi-Year'!$N96,0)</f>
        <v>0</v>
      </c>
      <c r="P96" s="94">
        <f>IF('FY21-22'!$S96&gt;0,'FY21-22'!P96/'FY21-22'!$S96*'Multi-Year'!$N96,0)+IF('FY21-22'!$S96&lt;0,'FY21-22'!P96/'FY21-22'!$S96*'Multi-Year'!$N96,0)</f>
        <v>0</v>
      </c>
      <c r="Q96" s="606">
        <f>IF('FY21-22'!$S96&gt;0,'FY21-22'!Q96/'FY21-22'!$S96*'Multi-Year'!$N96,0)+IF('FY21-22'!$S96&lt;0,'FY21-22'!Q96/'FY21-22'!$S96*'Multi-Year'!$N96,0)</f>
        <v>0</v>
      </c>
      <c r="R96" s="94"/>
      <c r="S96" s="625">
        <f t="shared" ref="S96:S97" si="31">SUM(E96:Q96)</f>
        <v>192.64140640629756</v>
      </c>
      <c r="T96" s="94"/>
      <c r="U96" s="94">
        <f>'FY21-22'!S96</f>
        <v>179.83343087098513</v>
      </c>
      <c r="V96" s="94">
        <f t="shared" ref="V96:V97" si="32">U96-S96</f>
        <v>-12.807975535312437</v>
      </c>
    </row>
    <row r="97" spans="1:22" s="95" customFormat="1" ht="12" customHeight="1">
      <c r="A97" s="124"/>
      <c r="B97" s="124" t="s">
        <v>186</v>
      </c>
      <c r="C97" s="102">
        <v>5106</v>
      </c>
      <c r="D97" s="127" t="s">
        <v>169</v>
      </c>
      <c r="E97" s="94">
        <f>IF('FY21-22'!$S97&gt;0,'FY21-22'!E97/'FY21-22'!$S97*'Multi-Year'!$N97,0)+IF('FY21-22'!$S97&lt;0,'FY21-22'!E97/'FY21-22'!$S97*'Multi-Year'!$N97,0)</f>
        <v>46317.175190667484</v>
      </c>
      <c r="F97" s="94">
        <f>IF('FY21-22'!$S97&gt;0,'FY21-22'!F97/'FY21-22'!$S97*'Multi-Year'!$N97,0)+IF('FY21-22'!$S97&lt;0,'FY21-22'!F97/'FY21-22'!$S97*'Multi-Year'!$N97,0)</f>
        <v>56087.838362771821</v>
      </c>
      <c r="G97" s="94">
        <f>IF('FY21-22'!$S97&gt;0,'FY21-22'!G97/'FY21-22'!$S97*'Multi-Year'!$N97,0)+IF('FY21-22'!$S97&lt;0,'FY21-22'!G97/'FY21-22'!$S97*'Multi-Year'!$N97,0)</f>
        <v>101544.45558948774</v>
      </c>
      <c r="H97" s="94">
        <f>IF('FY21-22'!$S97&gt;0,'FY21-22'!H97/'FY21-22'!$S97*'Multi-Year'!$N97,0)+IF('FY21-22'!$S97&lt;0,'FY21-22'!H97/'FY21-22'!$S97*'Multi-Year'!$N97,0)</f>
        <v>453412.5606261057</v>
      </c>
      <c r="I97" s="94">
        <f>IF('FY21-22'!$S97&gt;0,'FY21-22'!I97/'FY21-22'!$S97*'Multi-Year'!$N97,0)+IF('FY21-22'!$S97&lt;0,'FY21-22'!I97/'FY21-22'!$S97*'Multi-Year'!$N97,0)</f>
        <v>256520.33118284409</v>
      </c>
      <c r="J97" s="94">
        <f>IF('FY21-22'!$S97&gt;0,'FY21-22'!J97/'FY21-22'!$S97*'Multi-Year'!$N97,0)+IF('FY21-22'!$S97&lt;0,'FY21-22'!J97/'FY21-22'!$S97*'Multi-Year'!$N97,0)</f>
        <v>361008.03563937685</v>
      </c>
      <c r="K97" s="94">
        <f>IF('FY21-22'!$S97&gt;0,'FY21-22'!K97/'FY21-22'!$S97*'Multi-Year'!$N97,0)+IF('FY21-22'!$S97&lt;0,'FY21-22'!K97/'FY21-22'!$S97*'Multi-Year'!$N97,0)</f>
        <v>455915.51475259033</v>
      </c>
      <c r="L97" s="94">
        <f>IF('FY21-22'!$S97&gt;0,'FY21-22'!L97/'FY21-22'!$S97*'Multi-Year'!$N97,0)+IF('FY21-22'!$S97&lt;0,'FY21-22'!L97/'FY21-22'!$S97*'Multi-Year'!$N97,0)</f>
        <v>380163.92414521164</v>
      </c>
      <c r="M97" s="94">
        <f>IF('FY21-22'!$S97&gt;0,'FY21-22'!M97/'FY21-22'!$S97*'Multi-Year'!$N97,0)+IF('FY21-22'!$S97&lt;0,'FY21-22'!M97/'FY21-22'!$S97*'Multi-Year'!$N97,0)</f>
        <v>361079.84569401527</v>
      </c>
      <c r="N97" s="94">
        <f>IF('FY21-22'!$S97&gt;0,'FY21-22'!N97/'FY21-22'!$S97*'Multi-Year'!$N97,0)+IF('FY21-22'!$S97&lt;0,'FY21-22'!N97/'FY21-22'!$S97*'Multi-Year'!$N97,0)</f>
        <v>280931.73016857269</v>
      </c>
      <c r="O97" s="94">
        <f>IF('FY21-22'!$S97&gt;0,'FY21-22'!O97/'FY21-22'!$S97*'Multi-Year'!$N97,0)+IF('FY21-22'!$S97&lt;0,'FY21-22'!O97/'FY21-22'!$S97*'Multi-Year'!$N97,0)</f>
        <v>218425.55673721147</v>
      </c>
      <c r="P97" s="94">
        <f>IF('FY21-22'!$S97&gt;0,'FY21-22'!P97/'FY21-22'!$S97*'Multi-Year'!$N97,0)+IF('FY21-22'!$S97&lt;0,'FY21-22'!P97/'FY21-22'!$S97*'Multi-Year'!$N97,0)</f>
        <v>1087793.3686517973</v>
      </c>
      <c r="Q97" s="606">
        <f>IF('FY21-22'!$S97&gt;0,'FY21-22'!Q97/'FY21-22'!$S97*'Multi-Year'!$N97,0)+IF('FY21-22'!$S97&lt;0,'FY21-22'!Q97/'FY21-22'!$S97*'Multi-Year'!$N97,0)</f>
        <v>0</v>
      </c>
      <c r="R97" s="94"/>
      <c r="S97" s="625">
        <f t="shared" si="31"/>
        <v>4059200.3367406521</v>
      </c>
      <c r="T97" s="94"/>
      <c r="U97" s="94">
        <f>'FY21-22'!S97</f>
        <v>3789319.9430299974</v>
      </c>
      <c r="V97" s="94">
        <f t="shared" si="32"/>
        <v>-269880.39371065469</v>
      </c>
    </row>
    <row r="98" spans="1:22" s="95" customFormat="1" ht="12" customHeight="1">
      <c r="A98" s="124"/>
      <c r="B98" s="124" t="s">
        <v>186</v>
      </c>
      <c r="C98" s="102">
        <v>5107</v>
      </c>
      <c r="D98" s="127" t="s">
        <v>549</v>
      </c>
      <c r="E98" s="94">
        <f>IF('FY21-22'!$S98&gt;0,'FY21-22'!E98/'FY21-22'!$S98*'Multi-Year'!$N98,0)+IF('FY21-22'!$S98&lt;0,'FY21-22'!E98/'FY21-22'!$S98*'Multi-Year'!$N98,0)</f>
        <v>312333.81226823572</v>
      </c>
      <c r="F98" s="94">
        <f>IF('FY21-22'!$S98&gt;0,'FY21-22'!F98/'FY21-22'!$S98*'Multi-Year'!$N98,0)+IF('FY21-22'!$S98&lt;0,'FY21-22'!F98/'FY21-22'!$S98*'Multi-Year'!$N98,0)</f>
        <v>312333.81226823572</v>
      </c>
      <c r="G98" s="94">
        <f>IF('FY21-22'!$S98&gt;0,'FY21-22'!G98/'FY21-22'!$S98*'Multi-Year'!$N98,0)+IF('FY21-22'!$S98&lt;0,'FY21-22'!G98/'FY21-22'!$S98*'Multi-Year'!$N98,0)</f>
        <v>312333.81226823572</v>
      </c>
      <c r="H98" s="94">
        <f>IF('FY21-22'!$S98&gt;0,'FY21-22'!H98/'FY21-22'!$S98*'Multi-Year'!$N98,0)+IF('FY21-22'!$S98&lt;0,'FY21-22'!H98/'FY21-22'!$S98*'Multi-Year'!$N98,0)</f>
        <v>312333.81226823572</v>
      </c>
      <c r="I98" s="94">
        <f>IF('FY21-22'!$S98&gt;0,'FY21-22'!I98/'FY21-22'!$S98*'Multi-Year'!$N98,0)+IF('FY21-22'!$S98&lt;0,'FY21-22'!I98/'FY21-22'!$S98*'Multi-Year'!$N98,0)</f>
        <v>312333.81226823572</v>
      </c>
      <c r="J98" s="94">
        <f>IF('FY21-22'!$S98&gt;0,'FY21-22'!J98/'FY21-22'!$S98*'Multi-Year'!$N98,0)+IF('FY21-22'!$S98&lt;0,'FY21-22'!J98/'FY21-22'!$S98*'Multi-Year'!$N98,0)</f>
        <v>312333.81226823572</v>
      </c>
      <c r="K98" s="94">
        <f>IF('FY21-22'!$S98&gt;0,'FY21-22'!K98/'FY21-22'!$S98*'Multi-Year'!$N98,0)+IF('FY21-22'!$S98&lt;0,'FY21-22'!K98/'FY21-22'!$S98*'Multi-Year'!$N98,0)</f>
        <v>312333.81226823572</v>
      </c>
      <c r="L98" s="94">
        <f>IF('FY21-22'!$S98&gt;0,'FY21-22'!L98/'FY21-22'!$S98*'Multi-Year'!$N98,0)+IF('FY21-22'!$S98&lt;0,'FY21-22'!L98/'FY21-22'!$S98*'Multi-Year'!$N98,0)</f>
        <v>312333.81226823572</v>
      </c>
      <c r="M98" s="94">
        <f>IF('FY21-22'!$S98&gt;0,'FY21-22'!M98/'FY21-22'!$S98*'Multi-Year'!$N98,0)+IF('FY21-22'!$S98&lt;0,'FY21-22'!M98/'FY21-22'!$S98*'Multi-Year'!$N98,0)</f>
        <v>312333.81226823572</v>
      </c>
      <c r="N98" s="94">
        <f>IF('FY21-22'!$S98&gt;0,'FY21-22'!N98/'FY21-22'!$S98*'Multi-Year'!$N98,0)+IF('FY21-22'!$S98&lt;0,'FY21-22'!N98/'FY21-22'!$S98*'Multi-Year'!$N98,0)</f>
        <v>312333.81226823572</v>
      </c>
      <c r="O98" s="94">
        <f>IF('FY21-22'!$S98&gt;0,'FY21-22'!O98/'FY21-22'!$S98*'Multi-Year'!$N98,0)+IF('FY21-22'!$S98&lt;0,'FY21-22'!O98/'FY21-22'!$S98*'Multi-Year'!$N98,0)</f>
        <v>312333.81226823572</v>
      </c>
      <c r="P98" s="94">
        <f>IF('FY21-22'!$S98&gt;0,'FY21-22'!P98/'FY21-22'!$S98*'Multi-Year'!$N98,0)+IF('FY21-22'!$S98&lt;0,'FY21-22'!P98/'FY21-22'!$S98*'Multi-Year'!$N98,0)</f>
        <v>312333.81226823572</v>
      </c>
      <c r="Q98" s="606">
        <f>IF('FY21-22'!$S98&gt;0,'FY21-22'!Q98/'FY21-22'!$S98*'Multi-Year'!$N98,0)+IF('FY21-22'!$S98&lt;0,'FY21-22'!Q98/'FY21-22'!$S98*'Multi-Year'!$N98,0)</f>
        <v>0</v>
      </c>
      <c r="R98" s="94"/>
      <c r="S98" s="625">
        <f t="shared" ref="S98" si="33">SUM(E98:Q98)</f>
        <v>3748005.7472188286</v>
      </c>
      <c r="T98" s="94"/>
      <c r="U98" s="94">
        <f>'FY21-22'!S98</f>
        <v>3470854.8300122735</v>
      </c>
      <c r="V98" s="94">
        <f t="shared" ref="V98" si="34">U98-S98</f>
        <v>-277150.91720655514</v>
      </c>
    </row>
    <row r="99" spans="1:22" s="95" customFormat="1" ht="12" customHeight="1">
      <c r="A99" s="124"/>
      <c r="B99" s="124" t="s">
        <v>186</v>
      </c>
      <c r="C99" s="126"/>
      <c r="D99" s="126"/>
      <c r="E99" s="215">
        <f>SUM(E92:E98)</f>
        <v>359730.62976071466</v>
      </c>
      <c r="F99" s="215">
        <f t="shared" ref="F99:Q99" si="35">SUM(F92:F98)</f>
        <v>386614.55356989836</v>
      </c>
      <c r="G99" s="215">
        <f t="shared" si="35"/>
        <v>461486.90563319059</v>
      </c>
      <c r="H99" s="215">
        <f t="shared" si="35"/>
        <v>824167.85532416508</v>
      </c>
      <c r="I99" s="215">
        <f t="shared" si="35"/>
        <v>783536.48620524863</v>
      </c>
      <c r="J99" s="215">
        <f t="shared" si="35"/>
        <v>725404.10430071421</v>
      </c>
      <c r="K99" s="215">
        <f t="shared" si="35"/>
        <v>930487.02068847313</v>
      </c>
      <c r="L99" s="215">
        <f t="shared" si="35"/>
        <v>764715.18715368607</v>
      </c>
      <c r="M99" s="215">
        <f t="shared" si="35"/>
        <v>774870.91167351545</v>
      </c>
      <c r="N99" s="215">
        <f t="shared" si="35"/>
        <v>801783.5041382825</v>
      </c>
      <c r="O99" s="215">
        <f t="shared" si="35"/>
        <v>780198.36508710007</v>
      </c>
      <c r="P99" s="215">
        <f t="shared" si="35"/>
        <v>1588371.929529214</v>
      </c>
      <c r="Q99" s="603">
        <f t="shared" si="35"/>
        <v>0</v>
      </c>
      <c r="R99" s="94"/>
      <c r="S99" s="626">
        <f>SUM(E99:R99)</f>
        <v>9181367.4530642014</v>
      </c>
      <c r="T99" s="113">
        <f>SUM(T92:T98)</f>
        <v>0</v>
      </c>
      <c r="U99" s="216">
        <f>SUM(U92:U98)</f>
        <v>8542973.5139073282</v>
      </c>
      <c r="V99" s="216">
        <f>SUM(V92:V98)</f>
        <v>-638393.93915687432</v>
      </c>
    </row>
    <row r="100" spans="1:22" s="95" customFormat="1" ht="12" customHeight="1">
      <c r="A100" s="124"/>
      <c r="B100" s="124" t="s">
        <v>286</v>
      </c>
      <c r="C100" s="126"/>
      <c r="D100" s="126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606"/>
      <c r="R100" s="94"/>
      <c r="S100" s="627"/>
      <c r="T100" s="94"/>
      <c r="U100" s="94"/>
      <c r="V100" s="94"/>
    </row>
    <row r="101" spans="1:22" s="95" customFormat="1" ht="12" customHeight="1">
      <c r="A101" s="124"/>
      <c r="B101" s="124" t="s">
        <v>186</v>
      </c>
      <c r="C101" s="102">
        <v>5201</v>
      </c>
      <c r="D101" s="127" t="s">
        <v>144</v>
      </c>
      <c r="E101" s="94">
        <f>IF('FY21-22'!$S101&gt;0,'FY21-22'!E101/'FY21-22'!$S101*'Multi-Year'!$N101,0)+IF('FY21-22'!$S101&lt;0,'FY21-22'!E101/'FY21-22'!$S101*'Multi-Year'!$N101,0)</f>
        <v>0</v>
      </c>
      <c r="F101" s="94">
        <f>IF('FY21-22'!$S101&gt;0,'FY21-22'!F101/'FY21-22'!$S101*'Multi-Year'!$N101,0)+IF('FY21-22'!$S101&lt;0,'FY21-22'!F101/'FY21-22'!$S101*'Multi-Year'!$N101,0)</f>
        <v>582.27600818927101</v>
      </c>
      <c r="G101" s="94">
        <f>IF('FY21-22'!$S101&gt;0,'FY21-22'!G101/'FY21-22'!$S101*'Multi-Year'!$N101,0)+IF('FY21-22'!$S101&lt;0,'FY21-22'!G101/'FY21-22'!$S101*'Multi-Year'!$N101,0)</f>
        <v>172.12266604469093</v>
      </c>
      <c r="H101" s="94">
        <f>IF('FY21-22'!$S101&gt;0,'FY21-22'!H101/'FY21-22'!$S101*'Multi-Year'!$N101,0)+IF('FY21-22'!$S101&lt;0,'FY21-22'!H101/'FY21-22'!$S101*'Multi-Year'!$N101,0)</f>
        <v>0</v>
      </c>
      <c r="I101" s="94">
        <f>IF('FY21-22'!$S101&gt;0,'FY21-22'!I101/'FY21-22'!$S101*'Multi-Year'!$N101,0)+IF('FY21-22'!$S101&lt;0,'FY21-22'!I101/'FY21-22'!$S101*'Multi-Year'!$N101,0)</f>
        <v>5440.5777803058309</v>
      </c>
      <c r="J101" s="94">
        <f>IF('FY21-22'!$S101&gt;0,'FY21-22'!J101/'FY21-22'!$S101*'Multi-Year'!$N101,0)+IF('FY21-22'!$S101&lt;0,'FY21-22'!J101/'FY21-22'!$S101*'Multi-Year'!$N101,0)</f>
        <v>-240.87650247492036</v>
      </c>
      <c r="K101" s="94">
        <f>IF('FY21-22'!$S101&gt;0,'FY21-22'!K101/'FY21-22'!$S101*'Multi-Year'!$N101,0)+IF('FY21-22'!$S101&lt;0,'FY21-22'!K101/'FY21-22'!$S101*'Multi-Year'!$N101,0)</f>
        <v>685.35693318991605</v>
      </c>
      <c r="L101" s="94">
        <f>IF('FY21-22'!$S101&gt;0,'FY21-22'!L101/'FY21-22'!$S101*'Multi-Year'!$N101,0)+IF('FY21-22'!$S101&lt;0,'FY21-22'!L101/'FY21-22'!$S101*'Multi-Year'!$N101,0)</f>
        <v>1428.6159135200596</v>
      </c>
      <c r="M101" s="94">
        <f>IF('FY21-22'!$S101&gt;0,'FY21-22'!M101/'FY21-22'!$S101*'Multi-Year'!$N101,0)+IF('FY21-22'!$S101&lt;0,'FY21-22'!M101/'FY21-22'!$S101*'Multi-Year'!$N101,0)</f>
        <v>2099.2786381509623</v>
      </c>
      <c r="N101" s="94">
        <f>IF('FY21-22'!$S101&gt;0,'FY21-22'!N101/'FY21-22'!$S101*'Multi-Year'!$N101,0)+IF('FY21-22'!$S101&lt;0,'FY21-22'!N101/'FY21-22'!$S101*'Multi-Year'!$N101,0)</f>
        <v>0</v>
      </c>
      <c r="O101" s="94">
        <f>IF('FY21-22'!$S101&gt;0,'FY21-22'!O101/'FY21-22'!$S101*'Multi-Year'!$N101,0)+IF('FY21-22'!$S101&lt;0,'FY21-22'!O101/'FY21-22'!$S101*'Multi-Year'!$N101,0)</f>
        <v>0</v>
      </c>
      <c r="P101" s="94">
        <f>IF('FY21-22'!$S101&gt;0,'FY21-22'!P101/'FY21-22'!$S101*'Multi-Year'!$N101,0)+IF('FY21-22'!$S101&lt;0,'FY21-22'!P101/'FY21-22'!$S101*'Multi-Year'!$N101,0)</f>
        <v>11394.378754502508</v>
      </c>
      <c r="Q101" s="606">
        <f>IF('FY21-22'!$S101&gt;0,'FY21-22'!Q101/'FY21-22'!$S101*'Multi-Year'!$N101,0)+IF('FY21-22'!$S101&lt;0,'FY21-22'!Q101/'FY21-22'!$S101*'Multi-Year'!$N101,0)</f>
        <v>0</v>
      </c>
      <c r="R101" s="94"/>
      <c r="S101" s="625">
        <f t="shared" ref="S101:S108" si="36">SUM(E101:Q101)</f>
        <v>21561.73019142832</v>
      </c>
      <c r="T101" s="94"/>
      <c r="U101" s="94">
        <f>'FY21-22'!S101</f>
        <v>20128.174872545474</v>
      </c>
      <c r="V101" s="94">
        <f t="shared" ref="V101:V108" si="37">U101-S101</f>
        <v>-1433.5553188828453</v>
      </c>
    </row>
    <row r="102" spans="1:22" s="95" customFormat="1" ht="12" customHeight="1">
      <c r="A102" s="124"/>
      <c r="B102" s="124" t="s">
        <v>186</v>
      </c>
      <c r="C102" s="102">
        <v>5300</v>
      </c>
      <c r="D102" s="127" t="s">
        <v>37</v>
      </c>
      <c r="E102" s="94">
        <f>IF('FY21-22'!$S102&gt;0,'FY21-22'!E102/'FY21-22'!$S102*'Multi-Year'!$N102,0)+IF('FY21-22'!$S102&lt;0,'FY21-22'!E102/'FY21-22'!$S102*'Multi-Year'!$N102,0)</f>
        <v>0</v>
      </c>
      <c r="F102" s="94">
        <f>IF('FY21-22'!$S102&gt;0,'FY21-22'!F102/'FY21-22'!$S102*'Multi-Year'!$N102,0)+IF('FY21-22'!$S102&lt;0,'FY21-22'!F102/'FY21-22'!$S102*'Multi-Year'!$N102,0)</f>
        <v>0</v>
      </c>
      <c r="G102" s="94">
        <f>IF('FY21-22'!$S102&gt;0,'FY21-22'!G102/'FY21-22'!$S102*'Multi-Year'!$N102,0)+IF('FY21-22'!$S102&lt;0,'FY21-22'!G102/'FY21-22'!$S102*'Multi-Year'!$N102,0)</f>
        <v>0</v>
      </c>
      <c r="H102" s="94">
        <f>IF('FY21-22'!$S102&gt;0,'FY21-22'!H102/'FY21-22'!$S102*'Multi-Year'!$N102,0)+IF('FY21-22'!$S102&lt;0,'FY21-22'!H102/'FY21-22'!$S102*'Multi-Year'!$N102,0)</f>
        <v>0</v>
      </c>
      <c r="I102" s="94">
        <f>IF('FY21-22'!$S102&gt;0,'FY21-22'!I102/'FY21-22'!$S102*'Multi-Year'!$N102,0)+IF('FY21-22'!$S102&lt;0,'FY21-22'!I102/'FY21-22'!$S102*'Multi-Year'!$N102,0)</f>
        <v>0</v>
      </c>
      <c r="J102" s="94">
        <f>IF('FY21-22'!$S102&gt;0,'FY21-22'!J102/'FY21-22'!$S102*'Multi-Year'!$N102,0)+IF('FY21-22'!$S102&lt;0,'FY21-22'!J102/'FY21-22'!$S102*'Multi-Year'!$N102,0)</f>
        <v>0</v>
      </c>
      <c r="K102" s="94">
        <f>IF('FY21-22'!$S102&gt;0,'FY21-22'!K102/'FY21-22'!$S102*'Multi-Year'!$N102,0)+IF('FY21-22'!$S102&lt;0,'FY21-22'!K102/'FY21-22'!$S102*'Multi-Year'!$N102,0)</f>
        <v>0</v>
      </c>
      <c r="L102" s="94">
        <f>IF('FY21-22'!$S102&gt;0,'FY21-22'!L102/'FY21-22'!$S102*'Multi-Year'!$N102,0)+IF('FY21-22'!$S102&lt;0,'FY21-22'!L102/'FY21-22'!$S102*'Multi-Year'!$N102,0)</f>
        <v>0</v>
      </c>
      <c r="M102" s="94">
        <f>IF('FY21-22'!$S102&gt;0,'FY21-22'!M102/'FY21-22'!$S102*'Multi-Year'!$N102,0)+IF('FY21-22'!$S102&lt;0,'FY21-22'!M102/'FY21-22'!$S102*'Multi-Year'!$N102,0)</f>
        <v>0</v>
      </c>
      <c r="N102" s="94">
        <f>IF('FY21-22'!$S102&gt;0,'FY21-22'!N102/'FY21-22'!$S102*'Multi-Year'!$N102,0)+IF('FY21-22'!$S102&lt;0,'FY21-22'!N102/'FY21-22'!$S102*'Multi-Year'!$N102,0)</f>
        <v>0</v>
      </c>
      <c r="O102" s="94">
        <f>IF('FY21-22'!$S102&gt;0,'FY21-22'!O102/'FY21-22'!$S102*'Multi-Year'!$N102,0)+IF('FY21-22'!$S102&lt;0,'FY21-22'!O102/'FY21-22'!$S102*'Multi-Year'!$N102,0)</f>
        <v>0</v>
      </c>
      <c r="P102" s="94">
        <f>IF('FY21-22'!$S102&gt;0,'FY21-22'!P102/'FY21-22'!$S102*'Multi-Year'!$N102,0)+IF('FY21-22'!$S102&lt;0,'FY21-22'!P102/'FY21-22'!$S102*'Multi-Year'!$N102,0)</f>
        <v>0</v>
      </c>
      <c r="Q102" s="606">
        <f>IF('FY21-22'!$S102&gt;0,'FY21-22'!Q102/'FY21-22'!$S102*'Multi-Year'!$N102,0)+IF('FY21-22'!$S102&lt;0,'FY21-22'!Q102/'FY21-22'!$S102*'Multi-Year'!$N102,0)</f>
        <v>0</v>
      </c>
      <c r="R102" s="94"/>
      <c r="S102" s="625">
        <f t="shared" si="36"/>
        <v>0</v>
      </c>
      <c r="T102" s="94"/>
      <c r="U102" s="94">
        <f>'FY21-22'!S102</f>
        <v>0</v>
      </c>
      <c r="V102" s="94">
        <f t="shared" si="37"/>
        <v>0</v>
      </c>
    </row>
    <row r="103" spans="1:22" s="95" customFormat="1" ht="12" customHeight="1">
      <c r="A103" s="124"/>
      <c r="B103" s="124" t="s">
        <v>186</v>
      </c>
      <c r="C103" s="102">
        <v>5400</v>
      </c>
      <c r="D103" s="127" t="s">
        <v>38</v>
      </c>
      <c r="E103" s="94">
        <f>IF('FY21-22'!$S103&gt;0,'FY21-22'!E103/'FY21-22'!$S103*'Multi-Year'!$N103,0)+IF('FY21-22'!$S103&lt;0,'FY21-22'!E103/'FY21-22'!$S103*'Multi-Year'!$N103,0)</f>
        <v>0</v>
      </c>
      <c r="F103" s="94">
        <f>IF('FY21-22'!$S103&gt;0,'FY21-22'!F103/'FY21-22'!$S103*'Multi-Year'!$N103,0)+IF('FY21-22'!$S103&lt;0,'FY21-22'!F103/'FY21-22'!$S103*'Multi-Year'!$N103,0)</f>
        <v>2870.6747578544687</v>
      </c>
      <c r="G103" s="94">
        <f>IF('FY21-22'!$S103&gt;0,'FY21-22'!G103/'FY21-22'!$S103*'Multi-Year'!$N103,0)+IF('FY21-22'!$S103&lt;0,'FY21-22'!G103/'FY21-22'!$S103*'Multi-Year'!$N103,0)</f>
        <v>1435.3373789272343</v>
      </c>
      <c r="H103" s="94">
        <f>IF('FY21-22'!$S103&gt;0,'FY21-22'!H103/'FY21-22'!$S103*'Multi-Year'!$N103,0)+IF('FY21-22'!$S103&lt;0,'FY21-22'!H103/'FY21-22'!$S103*'Multi-Year'!$N103,0)</f>
        <v>1435.3373789272343</v>
      </c>
      <c r="I103" s="94">
        <f>IF('FY21-22'!$S103&gt;0,'FY21-22'!I103/'FY21-22'!$S103*'Multi-Year'!$N103,0)+IF('FY21-22'!$S103&lt;0,'FY21-22'!I103/'FY21-22'!$S103*'Multi-Year'!$N103,0)</f>
        <v>1435.3373789272343</v>
      </c>
      <c r="J103" s="94">
        <f>IF('FY21-22'!$S103&gt;0,'FY21-22'!J103/'FY21-22'!$S103*'Multi-Year'!$N103,0)+IF('FY21-22'!$S103&lt;0,'FY21-22'!J103/'FY21-22'!$S103*'Multi-Year'!$N103,0)</f>
        <v>1435.3373789272343</v>
      </c>
      <c r="K103" s="94">
        <f>IF('FY21-22'!$S103&gt;0,'FY21-22'!K103/'FY21-22'!$S103*'Multi-Year'!$N103,0)+IF('FY21-22'!$S103&lt;0,'FY21-22'!K103/'FY21-22'!$S103*'Multi-Year'!$N103,0)</f>
        <v>1435.3373789272343</v>
      </c>
      <c r="L103" s="94">
        <f>IF('FY21-22'!$S103&gt;0,'FY21-22'!L103/'FY21-22'!$S103*'Multi-Year'!$N103,0)+IF('FY21-22'!$S103&lt;0,'FY21-22'!L103/'FY21-22'!$S103*'Multi-Year'!$N103,0)</f>
        <v>1435.3373789272343</v>
      </c>
      <c r="M103" s="94">
        <f>IF('FY21-22'!$S103&gt;0,'FY21-22'!M103/'FY21-22'!$S103*'Multi-Year'!$N103,0)+IF('FY21-22'!$S103&lt;0,'FY21-22'!M103/'FY21-22'!$S103*'Multi-Year'!$N103,0)</f>
        <v>5480.153591451206</v>
      </c>
      <c r="N103" s="94">
        <f>IF('FY21-22'!$S103&gt;0,'FY21-22'!N103/'FY21-22'!$S103*'Multi-Year'!$N103,0)+IF('FY21-22'!$S103&lt;0,'FY21-22'!N103/'FY21-22'!$S103*'Multi-Year'!$N103,0)</f>
        <v>25255.878584323924</v>
      </c>
      <c r="O103" s="94">
        <f>IF('FY21-22'!$S103&gt;0,'FY21-22'!O103/'FY21-22'!$S103*'Multi-Year'!$N103,0)+IF('FY21-22'!$S103&lt;0,'FY21-22'!O103/'FY21-22'!$S103*'Multi-Year'!$N103,0)</f>
        <v>76356.168149884368</v>
      </c>
      <c r="P103" s="94">
        <f>IF('FY21-22'!$S103&gt;0,'FY21-22'!P103/'FY21-22'!$S103*'Multi-Year'!$N103,0)+IF('FY21-22'!$S103&lt;0,'FY21-22'!P103/'FY21-22'!$S103*'Multi-Year'!$N103,0)</f>
        <v>29521.052558961208</v>
      </c>
      <c r="Q103" s="606">
        <f>IF('FY21-22'!$S103&gt;0,'FY21-22'!Q103/'FY21-22'!$S103*'Multi-Year'!$N103,0)+IF('FY21-22'!$S103&lt;0,'FY21-22'!Q103/'FY21-22'!$S103*'Multi-Year'!$N103,0)</f>
        <v>0</v>
      </c>
      <c r="R103" s="94"/>
      <c r="S103" s="625">
        <f t="shared" si="36"/>
        <v>148095.95191603858</v>
      </c>
      <c r="T103" s="94"/>
      <c r="U103" s="94">
        <f>'FY21-22'!S103</f>
        <v>138249.62985888499</v>
      </c>
      <c r="V103" s="94">
        <f t="shared" si="37"/>
        <v>-9846.3220571535931</v>
      </c>
    </row>
    <row r="104" spans="1:22" s="95" customFormat="1" ht="12" customHeight="1">
      <c r="A104" s="124"/>
      <c r="B104" s="124" t="s">
        <v>186</v>
      </c>
      <c r="C104" s="102">
        <v>5501</v>
      </c>
      <c r="D104" s="127" t="s">
        <v>101</v>
      </c>
      <c r="E104" s="94">
        <f>IF('FY21-22'!$S104&gt;0,'FY21-22'!E104/'FY21-22'!$S104*'Multi-Year'!$N104,0)+IF('FY21-22'!$S104&lt;0,'FY21-22'!E104/'FY21-22'!$S104*'Multi-Year'!$N104,0)</f>
        <v>171.62436959770102</v>
      </c>
      <c r="F104" s="94">
        <f>IF('FY21-22'!$S104&gt;0,'FY21-22'!F104/'FY21-22'!$S104*'Multi-Year'!$N104,0)+IF('FY21-22'!$S104&lt;0,'FY21-22'!F104/'FY21-22'!$S104*'Multi-Year'!$N104,0)</f>
        <v>0</v>
      </c>
      <c r="G104" s="94">
        <f>IF('FY21-22'!$S104&gt;0,'FY21-22'!G104/'FY21-22'!$S104*'Multi-Year'!$N104,0)+IF('FY21-22'!$S104&lt;0,'FY21-22'!G104/'FY21-22'!$S104*'Multi-Year'!$N104,0)</f>
        <v>0</v>
      </c>
      <c r="H104" s="94">
        <f>IF('FY21-22'!$S104&gt;0,'FY21-22'!H104/'FY21-22'!$S104*'Multi-Year'!$N104,0)+IF('FY21-22'!$S104&lt;0,'FY21-22'!H104/'FY21-22'!$S104*'Multi-Year'!$N104,0)</f>
        <v>0</v>
      </c>
      <c r="I104" s="94">
        <f>IF('FY21-22'!$S104&gt;0,'FY21-22'!I104/'FY21-22'!$S104*'Multi-Year'!$N104,0)+IF('FY21-22'!$S104&lt;0,'FY21-22'!I104/'FY21-22'!$S104*'Multi-Year'!$N104,0)</f>
        <v>0</v>
      </c>
      <c r="J104" s="94">
        <f>IF('FY21-22'!$S104&gt;0,'FY21-22'!J104/'FY21-22'!$S104*'Multi-Year'!$N104,0)+IF('FY21-22'!$S104&lt;0,'FY21-22'!J104/'FY21-22'!$S104*'Multi-Year'!$N104,0)</f>
        <v>0</v>
      </c>
      <c r="K104" s="94">
        <f>IF('FY21-22'!$S104&gt;0,'FY21-22'!K104/'FY21-22'!$S104*'Multi-Year'!$N104,0)+IF('FY21-22'!$S104&lt;0,'FY21-22'!K104/'FY21-22'!$S104*'Multi-Year'!$N104,0)</f>
        <v>0</v>
      </c>
      <c r="L104" s="94">
        <f>IF('FY21-22'!$S104&gt;0,'FY21-22'!L104/'FY21-22'!$S104*'Multi-Year'!$N104,0)+IF('FY21-22'!$S104&lt;0,'FY21-22'!L104/'FY21-22'!$S104*'Multi-Year'!$N104,0)</f>
        <v>0</v>
      </c>
      <c r="M104" s="94">
        <f>IF('FY21-22'!$S104&gt;0,'FY21-22'!M104/'FY21-22'!$S104*'Multi-Year'!$N104,0)+IF('FY21-22'!$S104&lt;0,'FY21-22'!M104/'FY21-22'!$S104*'Multi-Year'!$N104,0)</f>
        <v>0</v>
      </c>
      <c r="N104" s="94">
        <f>IF('FY21-22'!$S104&gt;0,'FY21-22'!N104/'FY21-22'!$S104*'Multi-Year'!$N104,0)+IF('FY21-22'!$S104&lt;0,'FY21-22'!N104/'FY21-22'!$S104*'Multi-Year'!$N104,0)</f>
        <v>0</v>
      </c>
      <c r="O104" s="94">
        <f>IF('FY21-22'!$S104&gt;0,'FY21-22'!O104/'FY21-22'!$S104*'Multi-Year'!$N104,0)+IF('FY21-22'!$S104&lt;0,'FY21-22'!O104/'FY21-22'!$S104*'Multi-Year'!$N104,0)</f>
        <v>0</v>
      </c>
      <c r="P104" s="94">
        <f>IF('FY21-22'!$S104&gt;0,'FY21-22'!P104/'FY21-22'!$S104*'Multi-Year'!$N104,0)+IF('FY21-22'!$S104&lt;0,'FY21-22'!P104/'FY21-22'!$S104*'Multi-Year'!$N104,0)</f>
        <v>0</v>
      </c>
      <c r="Q104" s="606">
        <f>IF('FY21-22'!$S104&gt;0,'FY21-22'!Q104/'FY21-22'!$S104*'Multi-Year'!$N104,0)+IF('FY21-22'!$S104&lt;0,'FY21-22'!Q104/'FY21-22'!$S104*'Multi-Year'!$N104,0)</f>
        <v>0</v>
      </c>
      <c r="R104" s="94"/>
      <c r="S104" s="625">
        <f t="shared" si="36"/>
        <v>171.62436959770102</v>
      </c>
      <c r="T104" s="94"/>
      <c r="U104" s="94">
        <f>'FY21-22'!S104</f>
        <v>160.21373484332923</v>
      </c>
      <c r="V104" s="94">
        <f t="shared" si="37"/>
        <v>-11.410634754371785</v>
      </c>
    </row>
    <row r="105" spans="1:22" s="95" customFormat="1" ht="12" customHeight="1">
      <c r="A105" s="124"/>
      <c r="B105" s="124" t="s">
        <v>186</v>
      </c>
      <c r="C105" s="102">
        <v>5502</v>
      </c>
      <c r="D105" s="127" t="s">
        <v>514</v>
      </c>
      <c r="E105" s="94">
        <f>IF('FY21-22'!$S105&gt;0,'FY21-22'!E105/'FY21-22'!$S105*'Multi-Year'!$N105,0)+IF('FY21-22'!$S105&lt;0,'FY21-22'!E105/'FY21-22'!$S105*'Multi-Year'!$N105,0)</f>
        <v>0</v>
      </c>
      <c r="F105" s="94">
        <f>IF('FY21-22'!$S105&gt;0,'FY21-22'!F105/'FY21-22'!$S105*'Multi-Year'!$N105,0)+IF('FY21-22'!$S105&lt;0,'FY21-22'!F105/'FY21-22'!$S105*'Multi-Year'!$N105,0)</f>
        <v>653.32200827565396</v>
      </c>
      <c r="G105" s="94">
        <f>IF('FY21-22'!$S105&gt;0,'FY21-22'!G105/'FY21-22'!$S105*'Multi-Year'!$N105,0)+IF('FY21-22'!$S105&lt;0,'FY21-22'!G105/'FY21-22'!$S105*'Multi-Year'!$N105,0)</f>
        <v>553.66271887767277</v>
      </c>
      <c r="H105" s="94">
        <f>IF('FY21-22'!$S105&gt;0,'FY21-22'!H105/'FY21-22'!$S105*'Multi-Year'!$N105,0)+IF('FY21-22'!$S105&lt;0,'FY21-22'!H105/'FY21-22'!$S105*'Multi-Year'!$N105,0)</f>
        <v>0</v>
      </c>
      <c r="I105" s="94">
        <f>IF('FY21-22'!$S105&gt;0,'FY21-22'!I105/'FY21-22'!$S105*'Multi-Year'!$N105,0)+IF('FY21-22'!$S105&lt;0,'FY21-22'!I105/'FY21-22'!$S105*'Multi-Year'!$N105,0)</f>
        <v>924.61674052571357</v>
      </c>
      <c r="J105" s="94">
        <f>IF('FY21-22'!$S105&gt;0,'FY21-22'!J105/'FY21-22'!$S105*'Multi-Year'!$N105,0)+IF('FY21-22'!$S105&lt;0,'FY21-22'!J105/'FY21-22'!$S105*'Multi-Year'!$N105,0)</f>
        <v>0</v>
      </c>
      <c r="K105" s="94">
        <f>IF('FY21-22'!$S105&gt;0,'FY21-22'!K105/'FY21-22'!$S105*'Multi-Year'!$N105,0)+IF('FY21-22'!$S105&lt;0,'FY21-22'!K105/'FY21-22'!$S105*'Multi-Year'!$N105,0)</f>
        <v>0</v>
      </c>
      <c r="L105" s="94">
        <f>IF('FY21-22'!$S105&gt;0,'FY21-22'!L105/'FY21-22'!$S105*'Multi-Year'!$N105,0)+IF('FY21-22'!$S105&lt;0,'FY21-22'!L105/'FY21-22'!$S105*'Multi-Year'!$N105,0)</f>
        <v>38.756390321437095</v>
      </c>
      <c r="M105" s="94">
        <f>IF('FY21-22'!$S105&gt;0,'FY21-22'!M105/'FY21-22'!$S105*'Multi-Year'!$N105,0)+IF('FY21-22'!$S105&lt;0,'FY21-22'!M105/'FY21-22'!$S105*'Multi-Year'!$N105,0)</f>
        <v>0</v>
      </c>
      <c r="N105" s="94">
        <f>IF('FY21-22'!$S105&gt;0,'FY21-22'!N105/'FY21-22'!$S105*'Multi-Year'!$N105,0)+IF('FY21-22'!$S105&lt;0,'FY21-22'!N105/'FY21-22'!$S105*'Multi-Year'!$N105,0)</f>
        <v>38.756390321437095</v>
      </c>
      <c r="O105" s="94">
        <f>IF('FY21-22'!$S105&gt;0,'FY21-22'!O105/'FY21-22'!$S105*'Multi-Year'!$N105,0)+IF('FY21-22'!$S105&lt;0,'FY21-22'!O105/'FY21-22'!$S105*'Multi-Year'!$N105,0)</f>
        <v>0</v>
      </c>
      <c r="P105" s="94">
        <f>IF('FY21-22'!$S105&gt;0,'FY21-22'!P105/'FY21-22'!$S105*'Multi-Year'!$N105,0)+IF('FY21-22'!$S105&lt;0,'FY21-22'!P105/'FY21-22'!$S105*'Multi-Year'!$N105,0)</f>
        <v>0</v>
      </c>
      <c r="Q105" s="606">
        <f>IF('FY21-22'!$S105&gt;0,'FY21-22'!Q105/'FY21-22'!$S105*'Multi-Year'!$N105,0)+IF('FY21-22'!$S105&lt;0,'FY21-22'!Q105/'FY21-22'!$S105*'Multi-Year'!$N105,0)</f>
        <v>0</v>
      </c>
      <c r="R105" s="94"/>
      <c r="S105" s="625">
        <f>SUM(E105:Q105)</f>
        <v>2209.1142483219146</v>
      </c>
      <c r="T105" s="94"/>
      <c r="U105" s="94">
        <f>'FY21-22'!S105</f>
        <v>2062.2388606519248</v>
      </c>
      <c r="V105" s="94">
        <f>U105-S105</f>
        <v>-146.87538766998978</v>
      </c>
    </row>
    <row r="106" spans="1:22" s="95" customFormat="1" ht="12" customHeight="1">
      <c r="A106" s="124"/>
      <c r="B106" s="124" t="s">
        <v>186</v>
      </c>
      <c r="C106" s="102">
        <v>5516</v>
      </c>
      <c r="D106" s="127" t="s">
        <v>103</v>
      </c>
      <c r="E106" s="94">
        <f>IF('FY21-22'!$S106&gt;0,'FY21-22'!E106/'FY21-22'!$S106*'Multi-Year'!$N106,0)+IF('FY21-22'!$S106&lt;0,'FY21-22'!E106/'FY21-22'!$S106*'Multi-Year'!$N106,0)</f>
        <v>0</v>
      </c>
      <c r="F106" s="94">
        <f>IF('FY21-22'!$S106&gt;0,'FY21-22'!F106/'FY21-22'!$S106*'Multi-Year'!$N106,0)+IF('FY21-22'!$S106&lt;0,'FY21-22'!F106/'FY21-22'!$S106*'Multi-Year'!$N106,0)</f>
        <v>0</v>
      </c>
      <c r="G106" s="94">
        <f>IF('FY21-22'!$S106&gt;0,'FY21-22'!G106/'FY21-22'!$S106*'Multi-Year'!$N106,0)+IF('FY21-22'!$S106&lt;0,'FY21-22'!G106/'FY21-22'!$S106*'Multi-Year'!$N106,0)</f>
        <v>0</v>
      </c>
      <c r="H106" s="94">
        <f>IF('FY21-22'!$S106&gt;0,'FY21-22'!H106/'FY21-22'!$S106*'Multi-Year'!$N106,0)+IF('FY21-22'!$S106&lt;0,'FY21-22'!H106/'FY21-22'!$S106*'Multi-Year'!$N106,0)</f>
        <v>0</v>
      </c>
      <c r="I106" s="94">
        <f>IF('FY21-22'!$S106&gt;0,'FY21-22'!I106/'FY21-22'!$S106*'Multi-Year'!$N106,0)+IF('FY21-22'!$S106&lt;0,'FY21-22'!I106/'FY21-22'!$S106*'Multi-Year'!$N106,0)</f>
        <v>0</v>
      </c>
      <c r="J106" s="94">
        <f>IF('FY21-22'!$S106&gt;0,'FY21-22'!J106/'FY21-22'!$S106*'Multi-Year'!$N106,0)+IF('FY21-22'!$S106&lt;0,'FY21-22'!J106/'FY21-22'!$S106*'Multi-Year'!$N106,0)</f>
        <v>0</v>
      </c>
      <c r="K106" s="94">
        <f>IF('FY21-22'!$S106&gt;0,'FY21-22'!K106/'FY21-22'!$S106*'Multi-Year'!$N106,0)+IF('FY21-22'!$S106&lt;0,'FY21-22'!K106/'FY21-22'!$S106*'Multi-Year'!$N106,0)</f>
        <v>0</v>
      </c>
      <c r="L106" s="94">
        <f>IF('FY21-22'!$S106&gt;0,'FY21-22'!L106/'FY21-22'!$S106*'Multi-Year'!$N106,0)+IF('FY21-22'!$S106&lt;0,'FY21-22'!L106/'FY21-22'!$S106*'Multi-Year'!$N106,0)</f>
        <v>0</v>
      </c>
      <c r="M106" s="94">
        <f>IF('FY21-22'!$S106&gt;0,'FY21-22'!M106/'FY21-22'!$S106*'Multi-Year'!$N106,0)+IF('FY21-22'!$S106&lt;0,'FY21-22'!M106/'FY21-22'!$S106*'Multi-Year'!$N106,0)</f>
        <v>0</v>
      </c>
      <c r="N106" s="94">
        <f>IF('FY21-22'!$S106&gt;0,'FY21-22'!N106/'FY21-22'!$S106*'Multi-Year'!$N106,0)+IF('FY21-22'!$S106&lt;0,'FY21-22'!N106/'FY21-22'!$S106*'Multi-Year'!$N106,0)</f>
        <v>0</v>
      </c>
      <c r="O106" s="94">
        <f>IF('FY21-22'!$S106&gt;0,'FY21-22'!O106/'FY21-22'!$S106*'Multi-Year'!$N106,0)+IF('FY21-22'!$S106&lt;0,'FY21-22'!O106/'FY21-22'!$S106*'Multi-Year'!$N106,0)</f>
        <v>0</v>
      </c>
      <c r="P106" s="94">
        <f>IF('FY21-22'!$S106&gt;0,'FY21-22'!P106/'FY21-22'!$S106*'Multi-Year'!$N106,0)+IF('FY21-22'!$S106&lt;0,'FY21-22'!P106/'FY21-22'!$S106*'Multi-Year'!$N106,0)</f>
        <v>0</v>
      </c>
      <c r="Q106" s="606">
        <f>IF('FY21-22'!$S106&gt;0,'FY21-22'!Q106/'FY21-22'!$S106*'Multi-Year'!$N106,0)+IF('FY21-22'!$S106&lt;0,'FY21-22'!Q106/'FY21-22'!$S106*'Multi-Year'!$N106,0)</f>
        <v>0</v>
      </c>
      <c r="R106" s="94"/>
      <c r="S106" s="625">
        <f t="shared" si="36"/>
        <v>0</v>
      </c>
      <c r="T106" s="94"/>
      <c r="U106" s="94">
        <f>'FY21-22'!S106</f>
        <v>0</v>
      </c>
      <c r="V106" s="94">
        <f t="shared" si="37"/>
        <v>0</v>
      </c>
    </row>
    <row r="107" spans="1:22" s="95" customFormat="1" ht="12" customHeight="1">
      <c r="A107" s="124"/>
      <c r="B107" s="124"/>
      <c r="C107" s="102">
        <v>5531</v>
      </c>
      <c r="D107" s="127" t="s">
        <v>313</v>
      </c>
      <c r="E107" s="94">
        <f>IF('FY21-22'!$S107&gt;0,'FY21-22'!E107/'FY21-22'!$S107*'Multi-Year'!$N107,0)+IF('FY21-22'!$S107&lt;0,'FY21-22'!E107/'FY21-22'!$S107*'Multi-Year'!$N107,0)</f>
        <v>0</v>
      </c>
      <c r="F107" s="94">
        <f>IF('FY21-22'!$S107&gt;0,'FY21-22'!F107/'FY21-22'!$S107*'Multi-Year'!$N107,0)+IF('FY21-22'!$S107&lt;0,'FY21-22'!F107/'FY21-22'!$S107*'Multi-Year'!$N107,0)</f>
        <v>0</v>
      </c>
      <c r="G107" s="94">
        <f>IF('FY21-22'!$S107&gt;0,'FY21-22'!G107/'FY21-22'!$S107*'Multi-Year'!$N107,0)+IF('FY21-22'!$S107&lt;0,'FY21-22'!G107/'FY21-22'!$S107*'Multi-Year'!$N107,0)</f>
        <v>0</v>
      </c>
      <c r="H107" s="94">
        <f>IF('FY21-22'!$S107&gt;0,'FY21-22'!H107/'FY21-22'!$S107*'Multi-Year'!$N107,0)+IF('FY21-22'!$S107&lt;0,'FY21-22'!H107/'FY21-22'!$S107*'Multi-Year'!$N107,0)</f>
        <v>0</v>
      </c>
      <c r="I107" s="94">
        <f>IF('FY21-22'!$S107&gt;0,'FY21-22'!I107/'FY21-22'!$S107*'Multi-Year'!$N107,0)+IF('FY21-22'!$S107&lt;0,'FY21-22'!I107/'FY21-22'!$S107*'Multi-Year'!$N107,0)</f>
        <v>0</v>
      </c>
      <c r="J107" s="94">
        <f>IF('FY21-22'!$S107&gt;0,'FY21-22'!J107/'FY21-22'!$S107*'Multi-Year'!$N107,0)+IF('FY21-22'!$S107&lt;0,'FY21-22'!J107/'FY21-22'!$S107*'Multi-Year'!$N107,0)</f>
        <v>0</v>
      </c>
      <c r="K107" s="94">
        <f>IF('FY21-22'!$S107&gt;0,'FY21-22'!K107/'FY21-22'!$S107*'Multi-Year'!$N107,0)+IF('FY21-22'!$S107&lt;0,'FY21-22'!K107/'FY21-22'!$S107*'Multi-Year'!$N107,0)</f>
        <v>0</v>
      </c>
      <c r="L107" s="94">
        <f>IF('FY21-22'!$S107&gt;0,'FY21-22'!L107/'FY21-22'!$S107*'Multi-Year'!$N107,0)+IF('FY21-22'!$S107&lt;0,'FY21-22'!L107/'FY21-22'!$S107*'Multi-Year'!$N107,0)</f>
        <v>0</v>
      </c>
      <c r="M107" s="94">
        <f>IF('FY21-22'!$S107&gt;0,'FY21-22'!M107/'FY21-22'!$S107*'Multi-Year'!$N107,0)+IF('FY21-22'!$S107&lt;0,'FY21-22'!M107/'FY21-22'!$S107*'Multi-Year'!$N107,0)</f>
        <v>0</v>
      </c>
      <c r="N107" s="94">
        <f>IF('FY21-22'!$S107&gt;0,'FY21-22'!N107/'FY21-22'!$S107*'Multi-Year'!$N107,0)+IF('FY21-22'!$S107&lt;0,'FY21-22'!N107/'FY21-22'!$S107*'Multi-Year'!$N107,0)</f>
        <v>0</v>
      </c>
      <c r="O107" s="94">
        <f>IF('FY21-22'!$S107&gt;0,'FY21-22'!O107/'FY21-22'!$S107*'Multi-Year'!$N107,0)+IF('FY21-22'!$S107&lt;0,'FY21-22'!O107/'FY21-22'!$S107*'Multi-Year'!$N107,0)</f>
        <v>0</v>
      </c>
      <c r="P107" s="94">
        <f>IF('FY21-22'!$S107&gt;0,'FY21-22'!P107/'FY21-22'!$S107*'Multi-Year'!$N107,0)+IF('FY21-22'!$S107&lt;0,'FY21-22'!P107/'FY21-22'!$S107*'Multi-Year'!$N107,0)</f>
        <v>0</v>
      </c>
      <c r="Q107" s="606">
        <f>IF('FY21-22'!$S107&gt;0,'FY21-22'!Q107/'FY21-22'!$S107*'Multi-Year'!$N107,0)+IF('FY21-22'!$S107&lt;0,'FY21-22'!Q107/'FY21-22'!$S107*'Multi-Year'!$N107,0)</f>
        <v>0</v>
      </c>
      <c r="R107" s="94"/>
      <c r="S107" s="625">
        <f t="shared" si="36"/>
        <v>0</v>
      </c>
      <c r="T107" s="94"/>
      <c r="U107" s="94">
        <f>'FY21-22'!S107</f>
        <v>0</v>
      </c>
      <c r="V107" s="94">
        <f t="shared" si="37"/>
        <v>0</v>
      </c>
    </row>
    <row r="108" spans="1:22" s="95" customFormat="1" ht="12" customHeight="1">
      <c r="A108" s="124"/>
      <c r="B108" s="124" t="s">
        <v>186</v>
      </c>
      <c r="C108" s="102">
        <v>5900</v>
      </c>
      <c r="D108" s="127" t="s">
        <v>104</v>
      </c>
      <c r="E108" s="94">
        <f>IF('FY21-22'!$S108&gt;0,'FY21-22'!E108/'FY21-22'!$S108*'Multi-Year'!$N108,0)+IF('FY21-22'!$S108&lt;0,'FY21-22'!E108/'FY21-22'!$S108*'Multi-Year'!$N108,0)</f>
        <v>0</v>
      </c>
      <c r="F108" s="94">
        <f>IF('FY21-22'!$S108&gt;0,'FY21-22'!F108/'FY21-22'!$S108*'Multi-Year'!$N108,0)+IF('FY21-22'!$S108&lt;0,'FY21-22'!F108/'FY21-22'!$S108*'Multi-Year'!$N108,0)</f>
        <v>358.55197674518098</v>
      </c>
      <c r="G108" s="94">
        <f>IF('FY21-22'!$S108&gt;0,'FY21-22'!G108/'FY21-22'!$S108*'Multi-Year'!$N108,0)+IF('FY21-22'!$S108&lt;0,'FY21-22'!G108/'FY21-22'!$S108*'Multi-Year'!$N108,0)</f>
        <v>358.55197674518098</v>
      </c>
      <c r="H108" s="94">
        <f>IF('FY21-22'!$S108&gt;0,'FY21-22'!H108/'FY21-22'!$S108*'Multi-Year'!$N108,0)+IF('FY21-22'!$S108&lt;0,'FY21-22'!H108/'FY21-22'!$S108*'Multi-Year'!$N108,0)</f>
        <v>0</v>
      </c>
      <c r="I108" s="94">
        <f>IF('FY21-22'!$S108&gt;0,'FY21-22'!I108/'FY21-22'!$S108*'Multi-Year'!$N108,0)+IF('FY21-22'!$S108&lt;0,'FY21-22'!I108/'FY21-22'!$S108*'Multi-Year'!$N108,0)</f>
        <v>0</v>
      </c>
      <c r="J108" s="94">
        <f>IF('FY21-22'!$S108&gt;0,'FY21-22'!J108/'FY21-22'!$S108*'Multi-Year'!$N108,0)+IF('FY21-22'!$S108&lt;0,'FY21-22'!J108/'FY21-22'!$S108*'Multi-Year'!$N108,0)</f>
        <v>0</v>
      </c>
      <c r="K108" s="94">
        <f>IF('FY21-22'!$S108&gt;0,'FY21-22'!K108/'FY21-22'!$S108*'Multi-Year'!$N108,0)+IF('FY21-22'!$S108&lt;0,'FY21-22'!K108/'FY21-22'!$S108*'Multi-Year'!$N108,0)</f>
        <v>0</v>
      </c>
      <c r="L108" s="94">
        <f>IF('FY21-22'!$S108&gt;0,'FY21-22'!L108/'FY21-22'!$S108*'Multi-Year'!$N108,0)+IF('FY21-22'!$S108&lt;0,'FY21-22'!L108/'FY21-22'!$S108*'Multi-Year'!$N108,0)</f>
        <v>0</v>
      </c>
      <c r="M108" s="94">
        <f>IF('FY21-22'!$S108&gt;0,'FY21-22'!M108/'FY21-22'!$S108*'Multi-Year'!$N108,0)+IF('FY21-22'!$S108&lt;0,'FY21-22'!M108/'FY21-22'!$S108*'Multi-Year'!$N108,0)</f>
        <v>0</v>
      </c>
      <c r="N108" s="94">
        <f>IF('FY21-22'!$S108&gt;0,'FY21-22'!N108/'FY21-22'!$S108*'Multi-Year'!$N108,0)+IF('FY21-22'!$S108&lt;0,'FY21-22'!N108/'FY21-22'!$S108*'Multi-Year'!$N108,0)</f>
        <v>77.501707388496641</v>
      </c>
      <c r="O108" s="94">
        <f>IF('FY21-22'!$S108&gt;0,'FY21-22'!O108/'FY21-22'!$S108*'Multi-Year'!$N108,0)+IF('FY21-22'!$S108&lt;0,'FY21-22'!O108/'FY21-22'!$S108*'Multi-Year'!$N108,0)</f>
        <v>78.730838624405081</v>
      </c>
      <c r="P108" s="94">
        <f>IF('FY21-22'!$S108&gt;0,'FY21-22'!P108/'FY21-22'!$S108*'Multi-Year'!$N108,0)+IF('FY21-22'!$S108&lt;0,'FY21-22'!P108/'FY21-22'!$S108*'Multi-Year'!$N108,0)</f>
        <v>83.038334577273361</v>
      </c>
      <c r="Q108" s="606">
        <f>IF('FY21-22'!$S108&gt;0,'FY21-22'!Q108/'FY21-22'!$S108*'Multi-Year'!$N108,0)+IF('FY21-22'!$S108&lt;0,'FY21-22'!Q108/'FY21-22'!$S108*'Multi-Year'!$N108,0)</f>
        <v>0</v>
      </c>
      <c r="R108" s="94"/>
      <c r="S108" s="625">
        <f t="shared" si="36"/>
        <v>956.37483408053708</v>
      </c>
      <c r="T108" s="94"/>
      <c r="U108" s="94">
        <f>'FY21-22'!S108</f>
        <v>892.78920259040331</v>
      </c>
      <c r="V108" s="94">
        <f t="shared" si="37"/>
        <v>-63.585631490133778</v>
      </c>
    </row>
    <row r="109" spans="1:22" s="95" customFormat="1" ht="12" customHeight="1">
      <c r="A109" s="124"/>
      <c r="B109" s="124" t="s">
        <v>186</v>
      </c>
      <c r="C109" s="102">
        <v>5901</v>
      </c>
      <c r="D109" s="127" t="s">
        <v>40</v>
      </c>
      <c r="E109" s="94">
        <f>IF('FY21-22'!$S109&gt;0,'FY21-22'!E109/'FY21-22'!$S109*'Multi-Year'!$N109,0)+IF('FY21-22'!$S109&lt;0,'FY21-22'!E109/'FY21-22'!$S109*'Multi-Year'!$N109,0)</f>
        <v>0</v>
      </c>
      <c r="F109" s="94">
        <f>IF('FY21-22'!$S109&gt;0,'FY21-22'!F109/'FY21-22'!$S109*'Multi-Year'!$N109,0)+IF('FY21-22'!$S109&lt;0,'FY21-22'!F109/'FY21-22'!$S109*'Multi-Year'!$N109,0)</f>
        <v>0</v>
      </c>
      <c r="G109" s="94">
        <f>IF('FY21-22'!$S109&gt;0,'FY21-22'!G109/'FY21-22'!$S109*'Multi-Year'!$N109,0)+IF('FY21-22'!$S109&lt;0,'FY21-22'!G109/'FY21-22'!$S109*'Multi-Year'!$N109,0)</f>
        <v>21.603919290606797</v>
      </c>
      <c r="H109" s="94">
        <f>IF('FY21-22'!$S109&gt;0,'FY21-22'!H109/'FY21-22'!$S109*'Multi-Year'!$N109,0)+IF('FY21-22'!$S109&lt;0,'FY21-22'!H109/'FY21-22'!$S109*'Multi-Year'!$N109,0)</f>
        <v>0</v>
      </c>
      <c r="I109" s="94">
        <f>IF('FY21-22'!$S109&gt;0,'FY21-22'!I109/'FY21-22'!$S109*'Multi-Year'!$N109,0)+IF('FY21-22'!$S109&lt;0,'FY21-22'!I109/'FY21-22'!$S109*'Multi-Year'!$N109,0)</f>
        <v>0</v>
      </c>
      <c r="J109" s="94">
        <f>IF('FY21-22'!$S109&gt;0,'FY21-22'!J109/'FY21-22'!$S109*'Multi-Year'!$N109,0)+IF('FY21-22'!$S109&lt;0,'FY21-22'!J109/'FY21-22'!$S109*'Multi-Year'!$N109,0)</f>
        <v>82.839015998477421</v>
      </c>
      <c r="K109" s="94">
        <f>IF('FY21-22'!$S109&gt;0,'FY21-22'!K109/'FY21-22'!$S109*'Multi-Year'!$N109,0)+IF('FY21-22'!$S109&lt;0,'FY21-22'!K109/'FY21-22'!$S109*'Multi-Year'!$N109,0)</f>
        <v>99.648216143603563</v>
      </c>
      <c r="L109" s="94">
        <f>IF('FY21-22'!$S109&gt;0,'FY21-22'!L109/'FY21-22'!$S109*'Multi-Year'!$N109,0)+IF('FY21-22'!$S109&lt;0,'FY21-22'!L109/'FY21-22'!$S109*'Multi-Year'!$N109,0)</f>
        <v>238.21892142430755</v>
      </c>
      <c r="M109" s="94">
        <f>IF('FY21-22'!$S109&gt;0,'FY21-22'!M109/'FY21-22'!$S109*'Multi-Year'!$N109,0)+IF('FY21-22'!$S109&lt;0,'FY21-22'!M109/'FY21-22'!$S109*'Multi-Year'!$N109,0)</f>
        <v>0</v>
      </c>
      <c r="N109" s="94">
        <f>IF('FY21-22'!$S109&gt;0,'FY21-22'!N109/'FY21-22'!$S109*'Multi-Year'!$N109,0)+IF('FY21-22'!$S109&lt;0,'FY21-22'!N109/'FY21-22'!$S109*'Multi-Year'!$N109,0)</f>
        <v>0</v>
      </c>
      <c r="O109" s="94">
        <f>IF('FY21-22'!$S109&gt;0,'FY21-22'!O109/'FY21-22'!$S109*'Multi-Year'!$N109,0)+IF('FY21-22'!$S109&lt;0,'FY21-22'!O109/'FY21-22'!$S109*'Multi-Year'!$N109,0)</f>
        <v>385.34925233886037</v>
      </c>
      <c r="P109" s="94">
        <f>IF('FY21-22'!$S109&gt;0,'FY21-22'!P109/'FY21-22'!$S109*'Multi-Year'!$N109,0)+IF('FY21-22'!$S109&lt;0,'FY21-22'!P109/'FY21-22'!$S109*'Multi-Year'!$N109,0)</f>
        <v>542.03580178124184</v>
      </c>
      <c r="Q109" s="606">
        <f>IF('FY21-22'!$S109&gt;0,'FY21-22'!Q109/'FY21-22'!$S109*'Multi-Year'!$N109,0)+IF('FY21-22'!$S109&lt;0,'FY21-22'!Q109/'FY21-22'!$S109*'Multi-Year'!$N109,0)</f>
        <v>0</v>
      </c>
      <c r="R109" s="94"/>
      <c r="S109" s="625">
        <f>SUM(E109:Q109)</f>
        <v>1369.6951269770975</v>
      </c>
      <c r="T109" s="94"/>
      <c r="U109" s="94">
        <f>'FY21-22'!S109</f>
        <v>1278.6294417517756</v>
      </c>
      <c r="V109" s="94">
        <f>U109-S109</f>
        <v>-91.065685225321886</v>
      </c>
    </row>
    <row r="110" spans="1:22" s="95" customFormat="1" ht="12" customHeight="1">
      <c r="A110" s="124"/>
      <c r="B110" s="124" t="s">
        <v>186</v>
      </c>
      <c r="C110" s="102"/>
      <c r="D110" s="103"/>
      <c r="E110" s="215">
        <f t="shared" ref="E110:Q110" si="38">SUM(E101:E109)</f>
        <v>171.62436959770102</v>
      </c>
      <c r="F110" s="215">
        <f t="shared" si="38"/>
        <v>4464.8247510645742</v>
      </c>
      <c r="G110" s="215">
        <f t="shared" si="38"/>
        <v>2541.2786598853859</v>
      </c>
      <c r="H110" s="215">
        <f t="shared" si="38"/>
        <v>1435.3373789272343</v>
      </c>
      <c r="I110" s="215">
        <f t="shared" si="38"/>
        <v>7800.5318997587792</v>
      </c>
      <c r="J110" s="215">
        <f t="shared" si="38"/>
        <v>1277.2998924507915</v>
      </c>
      <c r="K110" s="215">
        <f t="shared" si="38"/>
        <v>2220.3425282607536</v>
      </c>
      <c r="L110" s="215">
        <f t="shared" si="38"/>
        <v>3140.9286041930391</v>
      </c>
      <c r="M110" s="215">
        <f t="shared" si="38"/>
        <v>7579.4322296021683</v>
      </c>
      <c r="N110" s="215">
        <f t="shared" si="38"/>
        <v>25372.136682033855</v>
      </c>
      <c r="O110" s="215">
        <f t="shared" si="38"/>
        <v>76820.248240847635</v>
      </c>
      <c r="P110" s="215">
        <f t="shared" si="38"/>
        <v>41540.505449822231</v>
      </c>
      <c r="Q110" s="603">
        <f t="shared" si="38"/>
        <v>0</v>
      </c>
      <c r="R110" s="94"/>
      <c r="S110" s="626">
        <f>SUM(E110:R110)</f>
        <v>174364.49068644416</v>
      </c>
      <c r="T110" s="113"/>
      <c r="U110" s="216">
        <f>SUM(U101:U109)</f>
        <v>162771.67597126792</v>
      </c>
      <c r="V110" s="216">
        <f>SUM(V101:V109)</f>
        <v>-11592.814715176255</v>
      </c>
    </row>
    <row r="111" spans="1:22" s="95" customFormat="1" ht="12" customHeight="1">
      <c r="A111" s="124"/>
      <c r="B111" s="124" t="s">
        <v>287</v>
      </c>
      <c r="C111" s="126"/>
      <c r="D111" s="126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606"/>
      <c r="R111" s="94"/>
      <c r="S111" s="627"/>
      <c r="T111" s="94"/>
      <c r="U111" s="94"/>
      <c r="V111" s="94"/>
    </row>
    <row r="112" spans="1:22" s="95" customFormat="1" ht="12" customHeight="1">
      <c r="A112" s="124"/>
      <c r="B112" s="124" t="s">
        <v>186</v>
      </c>
      <c r="C112" s="102">
        <v>5601</v>
      </c>
      <c r="D112" s="127" t="s">
        <v>29</v>
      </c>
      <c r="E112" s="94">
        <f>IF('FY21-22'!$S112&gt;0,'FY21-22'!E112/'FY21-22'!$S112*'Multi-Year'!$N112,0)+IF('FY21-22'!$S112&lt;0,'FY21-22'!E112/'FY21-22'!$S112*'Multi-Year'!$N112,0)</f>
        <v>0</v>
      </c>
      <c r="F112" s="94">
        <f>IF('FY21-22'!$S112&gt;0,'FY21-22'!F112/'FY21-22'!$S112*'Multi-Year'!$N112,0)+IF('FY21-22'!$S112&lt;0,'FY21-22'!F112/'FY21-22'!$S112*'Multi-Year'!$N112,0)</f>
        <v>0</v>
      </c>
      <c r="G112" s="94">
        <f>IF('FY21-22'!$S112&gt;0,'FY21-22'!G112/'FY21-22'!$S112*'Multi-Year'!$N112,0)+IF('FY21-22'!$S112&lt;0,'FY21-22'!G112/'FY21-22'!$S112*'Multi-Year'!$N112,0)</f>
        <v>4623.0837026285681</v>
      </c>
      <c r="H112" s="94">
        <f>IF('FY21-22'!$S112&gt;0,'FY21-22'!H112/'FY21-22'!$S112*'Multi-Year'!$N112,0)+IF('FY21-22'!$S112&lt;0,'FY21-22'!H112/'FY21-22'!$S112*'Multi-Year'!$N112,0)</f>
        <v>22243.51046345428</v>
      </c>
      <c r="I112" s="94">
        <f>IF('FY21-22'!$S112&gt;0,'FY21-22'!I112/'FY21-22'!$S112*'Multi-Year'!$N112,0)+IF('FY21-22'!$S112&lt;0,'FY21-22'!I112/'FY21-22'!$S112*'Multi-Year'!$N112,0)</f>
        <v>8334.7278374407106</v>
      </c>
      <c r="J112" s="94">
        <f>IF('FY21-22'!$S112&gt;0,'FY21-22'!J112/'FY21-22'!$S112*'Multi-Year'!$N112,0)+IF('FY21-22'!$S112&lt;0,'FY21-22'!J112/'FY21-22'!$S112*'Multi-Year'!$N112,0)</f>
        <v>0</v>
      </c>
      <c r="K112" s="94">
        <f>IF('FY21-22'!$S112&gt;0,'FY21-22'!K112/'FY21-22'!$S112*'Multi-Year'!$N112,0)+IF('FY21-22'!$S112&lt;0,'FY21-22'!K112/'FY21-22'!$S112*'Multi-Year'!$N112,0)</f>
        <v>0</v>
      </c>
      <c r="L112" s="94">
        <f>IF('FY21-22'!$S112&gt;0,'FY21-22'!L112/'FY21-22'!$S112*'Multi-Year'!$N112,0)+IF('FY21-22'!$S112&lt;0,'FY21-22'!L112/'FY21-22'!$S112*'Multi-Year'!$N112,0)</f>
        <v>0</v>
      </c>
      <c r="M112" s="94">
        <f>IF('FY21-22'!$S112&gt;0,'FY21-22'!M112/'FY21-22'!$S112*'Multi-Year'!$N112,0)+IF('FY21-22'!$S112&lt;0,'FY21-22'!M112/'FY21-22'!$S112*'Multi-Year'!$N112,0)</f>
        <v>0</v>
      </c>
      <c r="N112" s="94">
        <f>IF('FY21-22'!$S112&gt;0,'FY21-22'!N112/'FY21-22'!$S112*'Multi-Year'!$N112,0)+IF('FY21-22'!$S112&lt;0,'FY21-22'!N112/'FY21-22'!$S112*'Multi-Year'!$N112,0)</f>
        <v>0</v>
      </c>
      <c r="O112" s="94">
        <f>IF('FY21-22'!$S112&gt;0,'FY21-22'!O112/'FY21-22'!$S112*'Multi-Year'!$N112,0)+IF('FY21-22'!$S112&lt;0,'FY21-22'!O112/'FY21-22'!$S112*'Multi-Year'!$N112,0)</f>
        <v>0</v>
      </c>
      <c r="P112" s="94">
        <f>IF('FY21-22'!$S112&gt;0,'FY21-22'!P112/'FY21-22'!$S112*'Multi-Year'!$N112,0)+IF('FY21-22'!$S112&lt;0,'FY21-22'!P112/'FY21-22'!$S112*'Multi-Year'!$N112,0)</f>
        <v>-139.52300515717354</v>
      </c>
      <c r="Q112" s="606">
        <f>IF('FY21-22'!$S112&gt;0,'FY21-22'!Q112/'FY21-22'!$S112*'Multi-Year'!$N112,0)+IF('FY21-22'!$S112&lt;0,'FY21-22'!Q112/'FY21-22'!$S112*'Multi-Year'!$N112,0)</f>
        <v>0</v>
      </c>
      <c r="R112" s="94"/>
      <c r="S112" s="625">
        <f t="shared" ref="S112:S117" si="39">SUM(E112:Q112)</f>
        <v>35061.798998366387</v>
      </c>
      <c r="T112" s="94"/>
      <c r="U112" s="94">
        <f>'FY21-22'!S112</f>
        <v>32730.676774061263</v>
      </c>
      <c r="V112" s="94">
        <f t="shared" ref="V112:V117" si="40">U112-S112</f>
        <v>-2331.1222243051234</v>
      </c>
    </row>
    <row r="113" spans="1:22" s="95" customFormat="1" ht="12" customHeight="1">
      <c r="A113" s="124"/>
      <c r="B113" s="124" t="s">
        <v>186</v>
      </c>
      <c r="C113" s="102">
        <v>5602</v>
      </c>
      <c r="D113" s="127" t="s">
        <v>30</v>
      </c>
      <c r="E113" s="94">
        <f>IF('FY21-22'!$S113&gt;0,'FY21-22'!E113/'FY21-22'!$S113*'Multi-Year'!$N113,0)+IF('FY21-22'!$S113&lt;0,'FY21-22'!E113/'FY21-22'!$S113*'Multi-Year'!$N113,0)</f>
        <v>0</v>
      </c>
      <c r="F113" s="94">
        <f>IF('FY21-22'!$S113&gt;0,'FY21-22'!F113/'FY21-22'!$S113*'Multi-Year'!$N113,0)+IF('FY21-22'!$S113&lt;0,'FY21-22'!F113/'FY21-22'!$S113*'Multi-Year'!$N113,0)</f>
        <v>0</v>
      </c>
      <c r="G113" s="94">
        <f>IF('FY21-22'!$S113&gt;0,'FY21-22'!G113/'FY21-22'!$S113*'Multi-Year'!$N113,0)+IF('FY21-22'!$S113&lt;0,'FY21-22'!G113/'FY21-22'!$S113*'Multi-Year'!$N113,0)</f>
        <v>0</v>
      </c>
      <c r="H113" s="94">
        <f>IF('FY21-22'!$S113&gt;0,'FY21-22'!H113/'FY21-22'!$S113*'Multi-Year'!$N113,0)+IF('FY21-22'!$S113&lt;0,'FY21-22'!H113/'FY21-22'!$S113*'Multi-Year'!$N113,0)</f>
        <v>0</v>
      </c>
      <c r="I113" s="94">
        <f>IF('FY21-22'!$S113&gt;0,'FY21-22'!I113/'FY21-22'!$S113*'Multi-Year'!$N113,0)+IF('FY21-22'!$S113&lt;0,'FY21-22'!I113/'FY21-22'!$S113*'Multi-Year'!$N113,0)</f>
        <v>0</v>
      </c>
      <c r="J113" s="94">
        <f>IF('FY21-22'!$S113&gt;0,'FY21-22'!J113/'FY21-22'!$S113*'Multi-Year'!$N113,0)+IF('FY21-22'!$S113&lt;0,'FY21-22'!J113/'FY21-22'!$S113*'Multi-Year'!$N113,0)</f>
        <v>0</v>
      </c>
      <c r="K113" s="94">
        <f>IF('FY21-22'!$S113&gt;0,'FY21-22'!K113/'FY21-22'!$S113*'Multi-Year'!$N113,0)+IF('FY21-22'!$S113&lt;0,'FY21-22'!K113/'FY21-22'!$S113*'Multi-Year'!$N113,0)</f>
        <v>0</v>
      </c>
      <c r="L113" s="94">
        <f>IF('FY21-22'!$S113&gt;0,'FY21-22'!L113/'FY21-22'!$S113*'Multi-Year'!$N113,0)+IF('FY21-22'!$S113&lt;0,'FY21-22'!L113/'FY21-22'!$S113*'Multi-Year'!$N113,0)</f>
        <v>0</v>
      </c>
      <c r="M113" s="94">
        <f>IF('FY21-22'!$S113&gt;0,'FY21-22'!M113/'FY21-22'!$S113*'Multi-Year'!$N113,0)+IF('FY21-22'!$S113&lt;0,'FY21-22'!M113/'FY21-22'!$S113*'Multi-Year'!$N113,0)</f>
        <v>0</v>
      </c>
      <c r="N113" s="94">
        <f>IF('FY21-22'!$S113&gt;0,'FY21-22'!N113/'FY21-22'!$S113*'Multi-Year'!$N113,0)+IF('FY21-22'!$S113&lt;0,'FY21-22'!N113/'FY21-22'!$S113*'Multi-Year'!$N113,0)</f>
        <v>0</v>
      </c>
      <c r="O113" s="94">
        <f>IF('FY21-22'!$S113&gt;0,'FY21-22'!O113/'FY21-22'!$S113*'Multi-Year'!$N113,0)+IF('FY21-22'!$S113&lt;0,'FY21-22'!O113/'FY21-22'!$S113*'Multi-Year'!$N113,0)</f>
        <v>0</v>
      </c>
      <c r="P113" s="94">
        <f>IF('FY21-22'!$S113&gt;0,'FY21-22'!P113/'FY21-22'!$S113*'Multi-Year'!$N113,0)+IF('FY21-22'!$S113&lt;0,'FY21-22'!P113/'FY21-22'!$S113*'Multi-Year'!$N113,0)</f>
        <v>0</v>
      </c>
      <c r="Q113" s="606">
        <f>IF('FY21-22'!$S113&gt;0,'FY21-22'!Q113/'FY21-22'!$S113*'Multi-Year'!$N113,0)+IF('FY21-22'!$S113&lt;0,'FY21-22'!Q113/'FY21-22'!$S113*'Multi-Year'!$N113,0)</f>
        <v>0</v>
      </c>
      <c r="R113" s="94"/>
      <c r="S113" s="625">
        <f t="shared" si="39"/>
        <v>0</v>
      </c>
      <c r="T113" s="94"/>
      <c r="U113" s="94">
        <f>'FY21-22'!S113</f>
        <v>0</v>
      </c>
      <c r="V113" s="94">
        <f t="shared" si="40"/>
        <v>0</v>
      </c>
    </row>
    <row r="114" spans="1:22" s="95" customFormat="1" ht="12" customHeight="1">
      <c r="A114" s="124"/>
      <c r="B114" s="124" t="s">
        <v>186</v>
      </c>
      <c r="C114" s="102">
        <v>5603</v>
      </c>
      <c r="D114" s="127" t="s">
        <v>31</v>
      </c>
      <c r="E114" s="94">
        <f>IF('FY21-22'!$S114&gt;0,'FY21-22'!E114/'FY21-22'!$S114*'Multi-Year'!$N114,0)+IF('FY21-22'!$S114&lt;0,'FY21-22'!E114/'FY21-22'!$S114*'Multi-Year'!$N114,0)</f>
        <v>0</v>
      </c>
      <c r="F114" s="94">
        <f>IF('FY21-22'!$S114&gt;0,'FY21-22'!F114/'FY21-22'!$S114*'Multi-Year'!$N114,0)+IF('FY21-22'!$S114&lt;0,'FY21-22'!F114/'FY21-22'!$S114*'Multi-Year'!$N114,0)</f>
        <v>0</v>
      </c>
      <c r="G114" s="94">
        <f>IF('FY21-22'!$S114&gt;0,'FY21-22'!G114/'FY21-22'!$S114*'Multi-Year'!$N114,0)+IF('FY21-22'!$S114&lt;0,'FY21-22'!G114/'FY21-22'!$S114*'Multi-Year'!$N114,0)</f>
        <v>0</v>
      </c>
      <c r="H114" s="94">
        <f>IF('FY21-22'!$S114&gt;0,'FY21-22'!H114/'FY21-22'!$S114*'Multi-Year'!$N114,0)+IF('FY21-22'!$S114&lt;0,'FY21-22'!H114/'FY21-22'!$S114*'Multi-Year'!$N114,0)</f>
        <v>0</v>
      </c>
      <c r="I114" s="94">
        <f>IF('FY21-22'!$S114&gt;0,'FY21-22'!I114/'FY21-22'!$S114*'Multi-Year'!$N114,0)+IF('FY21-22'!$S114&lt;0,'FY21-22'!I114/'FY21-22'!$S114*'Multi-Year'!$N114,0)</f>
        <v>0</v>
      </c>
      <c r="J114" s="94">
        <f>IF('FY21-22'!$S114&gt;0,'FY21-22'!J114/'FY21-22'!$S114*'Multi-Year'!$N114,0)+IF('FY21-22'!$S114&lt;0,'FY21-22'!J114/'FY21-22'!$S114*'Multi-Year'!$N114,0)</f>
        <v>0</v>
      </c>
      <c r="K114" s="94">
        <f>IF('FY21-22'!$S114&gt;0,'FY21-22'!K114/'FY21-22'!$S114*'Multi-Year'!$N114,0)+IF('FY21-22'!$S114&lt;0,'FY21-22'!K114/'FY21-22'!$S114*'Multi-Year'!$N114,0)</f>
        <v>0</v>
      </c>
      <c r="L114" s="94">
        <f>IF('FY21-22'!$S114&gt;0,'FY21-22'!L114/'FY21-22'!$S114*'Multi-Year'!$N114,0)+IF('FY21-22'!$S114&lt;0,'FY21-22'!L114/'FY21-22'!$S114*'Multi-Year'!$N114,0)</f>
        <v>0</v>
      </c>
      <c r="M114" s="94">
        <f>IF('FY21-22'!$S114&gt;0,'FY21-22'!M114/'FY21-22'!$S114*'Multi-Year'!$N114,0)+IF('FY21-22'!$S114&lt;0,'FY21-22'!M114/'FY21-22'!$S114*'Multi-Year'!$N114,0)</f>
        <v>0</v>
      </c>
      <c r="N114" s="94">
        <f>IF('FY21-22'!$S114&gt;0,'FY21-22'!N114/'FY21-22'!$S114*'Multi-Year'!$N114,0)+IF('FY21-22'!$S114&lt;0,'FY21-22'!N114/'FY21-22'!$S114*'Multi-Year'!$N114,0)</f>
        <v>0</v>
      </c>
      <c r="O114" s="94">
        <f>IF('FY21-22'!$S114&gt;0,'FY21-22'!O114/'FY21-22'!$S114*'Multi-Year'!$N114,0)+IF('FY21-22'!$S114&lt;0,'FY21-22'!O114/'FY21-22'!$S114*'Multi-Year'!$N114,0)</f>
        <v>0</v>
      </c>
      <c r="P114" s="94">
        <f>IF('FY21-22'!$S114&gt;0,'FY21-22'!P114/'FY21-22'!$S114*'Multi-Year'!$N114,0)+IF('FY21-22'!$S114&lt;0,'FY21-22'!P114/'FY21-22'!$S114*'Multi-Year'!$N114,0)</f>
        <v>0</v>
      </c>
      <c r="Q114" s="606">
        <f>IF('FY21-22'!$S114&gt;0,'FY21-22'!Q114/'FY21-22'!$S114*'Multi-Year'!$N114,0)+IF('FY21-22'!$S114&lt;0,'FY21-22'!Q114/'FY21-22'!$S114*'Multi-Year'!$N114,0)</f>
        <v>0</v>
      </c>
      <c r="R114" s="94"/>
      <c r="S114" s="625">
        <f t="shared" si="39"/>
        <v>0</v>
      </c>
      <c r="T114" s="94"/>
      <c r="U114" s="94">
        <f>'FY21-22'!S114</f>
        <v>0</v>
      </c>
      <c r="V114" s="94">
        <f t="shared" si="40"/>
        <v>0</v>
      </c>
    </row>
    <row r="115" spans="1:22" s="95" customFormat="1" ht="12" customHeight="1">
      <c r="A115" s="124"/>
      <c r="B115" s="124" t="s">
        <v>186</v>
      </c>
      <c r="C115" s="102">
        <v>5604</v>
      </c>
      <c r="D115" s="127" t="s">
        <v>32</v>
      </c>
      <c r="E115" s="94">
        <f>IF('FY21-22'!$S115&gt;0,'FY21-22'!E115/'FY21-22'!$S115*'Multi-Year'!$N115,0)+IF('FY21-22'!$S115&lt;0,'FY21-22'!E115/'FY21-22'!$S115*'Multi-Year'!$N115,0)</f>
        <v>0</v>
      </c>
      <c r="F115" s="94">
        <f>IF('FY21-22'!$S115&gt;0,'FY21-22'!F115/'FY21-22'!$S115*'Multi-Year'!$N115,0)+IF('FY21-22'!$S115&lt;0,'FY21-22'!F115/'FY21-22'!$S115*'Multi-Year'!$N115,0)</f>
        <v>0</v>
      </c>
      <c r="G115" s="94">
        <f>IF('FY21-22'!$S115&gt;0,'FY21-22'!G115/'FY21-22'!$S115*'Multi-Year'!$N115,0)+IF('FY21-22'!$S115&lt;0,'FY21-22'!G115/'FY21-22'!$S115*'Multi-Year'!$N115,0)</f>
        <v>0</v>
      </c>
      <c r="H115" s="94">
        <f>IF('FY21-22'!$S115&gt;0,'FY21-22'!H115/'FY21-22'!$S115*'Multi-Year'!$N115,0)+IF('FY21-22'!$S115&lt;0,'FY21-22'!H115/'FY21-22'!$S115*'Multi-Year'!$N115,0)</f>
        <v>0</v>
      </c>
      <c r="I115" s="94">
        <f>IF('FY21-22'!$S115&gt;0,'FY21-22'!I115/'FY21-22'!$S115*'Multi-Year'!$N115,0)+IF('FY21-22'!$S115&lt;0,'FY21-22'!I115/'FY21-22'!$S115*'Multi-Year'!$N115,0)</f>
        <v>322.23170238680564</v>
      </c>
      <c r="J115" s="94">
        <f>IF('FY21-22'!$S115&gt;0,'FY21-22'!J115/'FY21-22'!$S115*'Multi-Year'!$N115,0)+IF('FY21-22'!$S115&lt;0,'FY21-22'!J115/'FY21-22'!$S115*'Multi-Year'!$N115,0)</f>
        <v>3514.650939435468</v>
      </c>
      <c r="K115" s="94">
        <f>IF('FY21-22'!$S115&gt;0,'FY21-22'!K115/'FY21-22'!$S115*'Multi-Year'!$N115,0)+IF('FY21-22'!$S115&lt;0,'FY21-22'!K115/'FY21-22'!$S115*'Multi-Year'!$N115,0)</f>
        <v>8359.1997296151058</v>
      </c>
      <c r="L115" s="94">
        <f>IF('FY21-22'!$S115&gt;0,'FY21-22'!L115/'FY21-22'!$S115*'Multi-Year'!$N115,0)+IF('FY21-22'!$S115&lt;0,'FY21-22'!L115/'FY21-22'!$S115*'Multi-Year'!$N115,0)</f>
        <v>1218.0579815308804</v>
      </c>
      <c r="M115" s="94">
        <f>IF('FY21-22'!$S115&gt;0,'FY21-22'!M115/'FY21-22'!$S115*'Multi-Year'!$N115,0)+IF('FY21-22'!$S115&lt;0,'FY21-22'!M115/'FY21-22'!$S115*'Multi-Year'!$N115,0)</f>
        <v>664.39526265320762</v>
      </c>
      <c r="N115" s="94">
        <f>IF('FY21-22'!$S115&gt;0,'FY21-22'!N115/'FY21-22'!$S115*'Multi-Year'!$N115,0)+IF('FY21-22'!$S115&lt;0,'FY21-22'!N115/'FY21-22'!$S115*'Multi-Year'!$N115,0)</f>
        <v>-3211.2437694905025</v>
      </c>
      <c r="O115" s="94">
        <f>IF('FY21-22'!$S115&gt;0,'FY21-22'!O115/'FY21-22'!$S115*'Multi-Year'!$N115,0)+IF('FY21-22'!$S115&lt;0,'FY21-22'!O115/'FY21-22'!$S115*'Multi-Year'!$N115,0)</f>
        <v>-4040.6305223692575</v>
      </c>
      <c r="P115" s="94">
        <f>IF('FY21-22'!$S115&gt;0,'FY21-22'!P115/'FY21-22'!$S115*'Multi-Year'!$N115,0)+IF('FY21-22'!$S115&lt;0,'FY21-22'!P115/'FY21-22'!$S115*'Multi-Year'!$N115,0)</f>
        <v>-2159.2846036229244</v>
      </c>
      <c r="Q115" s="606">
        <f>IF('FY21-22'!$S115&gt;0,'FY21-22'!Q115/'FY21-22'!$S115*'Multi-Year'!$N115,0)+IF('FY21-22'!$S115&lt;0,'FY21-22'!Q115/'FY21-22'!$S115*'Multi-Year'!$N115,0)</f>
        <v>0</v>
      </c>
      <c r="R115" s="94"/>
      <c r="S115" s="625">
        <f t="shared" si="39"/>
        <v>4667.3767201387855</v>
      </c>
      <c r="T115" s="94"/>
      <c r="U115" s="94">
        <f>'FY21-22'!S115</f>
        <v>4357.0610514525642</v>
      </c>
      <c r="V115" s="94">
        <f t="shared" si="40"/>
        <v>-310.31566868622122</v>
      </c>
    </row>
    <row r="116" spans="1:22" s="95" customFormat="1" ht="12" customHeight="1">
      <c r="A116" s="124"/>
      <c r="B116" s="124" t="s">
        <v>186</v>
      </c>
      <c r="C116" s="102">
        <v>5605</v>
      </c>
      <c r="D116" s="127" t="s">
        <v>99</v>
      </c>
      <c r="E116" s="94">
        <f>IF('FY21-22'!$S116&gt;0,'FY21-22'!E116/'FY21-22'!$S116*'Multi-Year'!$N116,0)+IF('FY21-22'!$S116&lt;0,'FY21-22'!E116/'FY21-22'!$S116*'Multi-Year'!$N116,0)</f>
        <v>0</v>
      </c>
      <c r="F116" s="94">
        <f>IF('FY21-22'!$S116&gt;0,'FY21-22'!F116/'FY21-22'!$S116*'Multi-Year'!$N116,0)+IF('FY21-22'!$S116&lt;0,'FY21-22'!F116/'FY21-22'!$S116*'Multi-Year'!$N116,0)</f>
        <v>0</v>
      </c>
      <c r="G116" s="94">
        <f>IF('FY21-22'!$S116&gt;0,'FY21-22'!G116/'FY21-22'!$S116*'Multi-Year'!$N116,0)+IF('FY21-22'!$S116&lt;0,'FY21-22'!G116/'FY21-22'!$S116*'Multi-Year'!$N116,0)</f>
        <v>0</v>
      </c>
      <c r="H116" s="94">
        <f>IF('FY21-22'!$S116&gt;0,'FY21-22'!H116/'FY21-22'!$S116*'Multi-Year'!$N116,0)+IF('FY21-22'!$S116&lt;0,'FY21-22'!H116/'FY21-22'!$S116*'Multi-Year'!$N116,0)</f>
        <v>0</v>
      </c>
      <c r="I116" s="94">
        <f>IF('FY21-22'!$S116&gt;0,'FY21-22'!I116/'FY21-22'!$S116*'Multi-Year'!$N116,0)+IF('FY21-22'!$S116&lt;0,'FY21-22'!I116/'FY21-22'!$S116*'Multi-Year'!$N116,0)</f>
        <v>0</v>
      </c>
      <c r="J116" s="94">
        <f>IF('FY21-22'!$S116&gt;0,'FY21-22'!J116/'FY21-22'!$S116*'Multi-Year'!$N116,0)+IF('FY21-22'!$S116&lt;0,'FY21-22'!J116/'FY21-22'!$S116*'Multi-Year'!$N116,0)</f>
        <v>0</v>
      </c>
      <c r="K116" s="94">
        <f>IF('FY21-22'!$S116&gt;0,'FY21-22'!K116/'FY21-22'!$S116*'Multi-Year'!$N116,0)+IF('FY21-22'!$S116&lt;0,'FY21-22'!K116/'FY21-22'!$S116*'Multi-Year'!$N116,0)</f>
        <v>0</v>
      </c>
      <c r="L116" s="94">
        <f>IF('FY21-22'!$S116&gt;0,'FY21-22'!L116/'FY21-22'!$S116*'Multi-Year'!$N116,0)+IF('FY21-22'!$S116&lt;0,'FY21-22'!L116/'FY21-22'!$S116*'Multi-Year'!$N116,0)</f>
        <v>0</v>
      </c>
      <c r="M116" s="94">
        <f>IF('FY21-22'!$S116&gt;0,'FY21-22'!M116/'FY21-22'!$S116*'Multi-Year'!$N116,0)+IF('FY21-22'!$S116&lt;0,'FY21-22'!M116/'FY21-22'!$S116*'Multi-Year'!$N116,0)</f>
        <v>0</v>
      </c>
      <c r="N116" s="94">
        <f>IF('FY21-22'!$S116&gt;0,'FY21-22'!N116/'FY21-22'!$S116*'Multi-Year'!$N116,0)+IF('FY21-22'!$S116&lt;0,'FY21-22'!N116/'FY21-22'!$S116*'Multi-Year'!$N116,0)</f>
        <v>0</v>
      </c>
      <c r="O116" s="94">
        <f>IF('FY21-22'!$S116&gt;0,'FY21-22'!O116/'FY21-22'!$S116*'Multi-Year'!$N116,0)+IF('FY21-22'!$S116&lt;0,'FY21-22'!O116/'FY21-22'!$S116*'Multi-Year'!$N116,0)</f>
        <v>0</v>
      </c>
      <c r="P116" s="94">
        <f>IF('FY21-22'!$S116&gt;0,'FY21-22'!P116/'FY21-22'!$S116*'Multi-Year'!$N116,0)+IF('FY21-22'!$S116&lt;0,'FY21-22'!P116/'FY21-22'!$S116*'Multi-Year'!$N116,0)</f>
        <v>0</v>
      </c>
      <c r="Q116" s="606">
        <f>IF('FY21-22'!$S116&gt;0,'FY21-22'!Q116/'FY21-22'!$S116*'Multi-Year'!$N116,0)+IF('FY21-22'!$S116&lt;0,'FY21-22'!Q116/'FY21-22'!$S116*'Multi-Year'!$N116,0)</f>
        <v>0</v>
      </c>
      <c r="R116" s="94"/>
      <c r="S116" s="625">
        <f t="shared" si="39"/>
        <v>0</v>
      </c>
      <c r="T116" s="94"/>
      <c r="U116" s="94">
        <f>'FY21-22'!S116</f>
        <v>0</v>
      </c>
      <c r="V116" s="94">
        <f t="shared" si="40"/>
        <v>0</v>
      </c>
    </row>
    <row r="117" spans="1:22" s="95" customFormat="1" ht="12" customHeight="1">
      <c r="A117" s="124"/>
      <c r="B117" s="124" t="s">
        <v>186</v>
      </c>
      <c r="C117" s="102">
        <v>5610</v>
      </c>
      <c r="D117" s="127" t="s">
        <v>33</v>
      </c>
      <c r="E117" s="94">
        <f>IF('FY21-22'!$S117&gt;0,'FY21-22'!E117/'FY21-22'!$S117*'Multi-Year'!$N117,0)+IF('FY21-22'!$S117&lt;0,'FY21-22'!E117/'FY21-22'!$S117*'Multi-Year'!$N117,0)</f>
        <v>0</v>
      </c>
      <c r="F117" s="94">
        <f>IF('FY21-22'!$S117&gt;0,'FY21-22'!F117/'FY21-22'!$S117*'Multi-Year'!$N117,0)+IF('FY21-22'!$S117&lt;0,'FY21-22'!F117/'FY21-22'!$S117*'Multi-Year'!$N117,0)</f>
        <v>0</v>
      </c>
      <c r="G117" s="94">
        <f>IF('FY21-22'!$S117&gt;0,'FY21-22'!G117/'FY21-22'!$S117*'Multi-Year'!$N117,0)+IF('FY21-22'!$S117&lt;0,'FY21-22'!G117/'FY21-22'!$S117*'Multi-Year'!$N117,0)</f>
        <v>38.756390321437102</v>
      </c>
      <c r="H117" s="94">
        <f>IF('FY21-22'!$S117&gt;0,'FY21-22'!H117/'FY21-22'!$S117*'Multi-Year'!$N117,0)+IF('FY21-22'!$S117&lt;0,'FY21-22'!H117/'FY21-22'!$S117*'Multi-Year'!$N117,0)</f>
        <v>0</v>
      </c>
      <c r="I117" s="94">
        <f>IF('FY21-22'!$S117&gt;0,'FY21-22'!I117/'FY21-22'!$S117*'Multi-Year'!$N117,0)+IF('FY21-22'!$S117&lt;0,'FY21-22'!I117/'FY21-22'!$S117*'Multi-Year'!$N117,0)</f>
        <v>0</v>
      </c>
      <c r="J117" s="94">
        <f>IF('FY21-22'!$S117&gt;0,'FY21-22'!J117/'FY21-22'!$S117*'Multi-Year'!$N117,0)+IF('FY21-22'!$S117&lt;0,'FY21-22'!J117/'FY21-22'!$S117*'Multi-Year'!$N117,0)</f>
        <v>0</v>
      </c>
      <c r="K117" s="94">
        <f>IF('FY21-22'!$S117&gt;0,'FY21-22'!K117/'FY21-22'!$S117*'Multi-Year'!$N117,0)+IF('FY21-22'!$S117&lt;0,'FY21-22'!K117/'FY21-22'!$S117*'Multi-Year'!$N117,0)</f>
        <v>22146.508755106915</v>
      </c>
      <c r="L117" s="94">
        <f>IF('FY21-22'!$S117&gt;0,'FY21-22'!L117/'FY21-22'!$S117*'Multi-Year'!$N117,0)+IF('FY21-22'!$S117&lt;0,'FY21-22'!L117/'FY21-22'!$S117*'Multi-Year'!$N117,0)</f>
        <v>-38.756390321437102</v>
      </c>
      <c r="M117" s="94">
        <f>IF('FY21-22'!$S117&gt;0,'FY21-22'!M117/'FY21-22'!$S117*'Multi-Year'!$N117,0)+IF('FY21-22'!$S117&lt;0,'FY21-22'!M117/'FY21-22'!$S117*'Multi-Year'!$N117,0)</f>
        <v>0</v>
      </c>
      <c r="N117" s="94">
        <f>IF('FY21-22'!$S117&gt;0,'FY21-22'!N117/'FY21-22'!$S117*'Multi-Year'!$N117,0)+IF('FY21-22'!$S117&lt;0,'FY21-22'!N117/'FY21-22'!$S117*'Multi-Year'!$N117,0)</f>
        <v>0</v>
      </c>
      <c r="O117" s="94">
        <f>IF('FY21-22'!$S117&gt;0,'FY21-22'!O117/'FY21-22'!$S117*'Multi-Year'!$N117,0)+IF('FY21-22'!$S117&lt;0,'FY21-22'!O117/'FY21-22'!$S117*'Multi-Year'!$N117,0)</f>
        <v>0</v>
      </c>
      <c r="P117" s="94">
        <f>IF('FY21-22'!$S117&gt;0,'FY21-22'!P117/'FY21-22'!$S117*'Multi-Year'!$N117,0)+IF('FY21-22'!$S117&lt;0,'FY21-22'!P117/'FY21-22'!$S117*'Multi-Year'!$N117,0)</f>
        <v>0</v>
      </c>
      <c r="Q117" s="606">
        <f>IF('FY21-22'!$S117&gt;0,'FY21-22'!Q117/'FY21-22'!$S117*'Multi-Year'!$N117,0)+IF('FY21-22'!$S117&lt;0,'FY21-22'!Q117/'FY21-22'!$S117*'Multi-Year'!$N117,0)</f>
        <v>0</v>
      </c>
      <c r="R117" s="94"/>
      <c r="S117" s="625">
        <f t="shared" si="39"/>
        <v>22146.508755106915</v>
      </c>
      <c r="T117" s="94"/>
      <c r="U117" s="94">
        <f>'FY21-22'!S117</f>
        <v>20674.073790996743</v>
      </c>
      <c r="V117" s="94">
        <f t="shared" si="40"/>
        <v>-1472.4349641101726</v>
      </c>
    </row>
    <row r="118" spans="1:22" s="95" customFormat="1" ht="12" customHeight="1">
      <c r="A118" s="124"/>
      <c r="B118" s="124" t="s">
        <v>186</v>
      </c>
      <c r="C118" s="126"/>
      <c r="D118" s="126"/>
      <c r="E118" s="215">
        <f t="shared" ref="E118:Q118" si="41">SUM(E112:E117)</f>
        <v>0</v>
      </c>
      <c r="F118" s="215">
        <f t="shared" si="41"/>
        <v>0</v>
      </c>
      <c r="G118" s="215">
        <f t="shared" si="41"/>
        <v>4661.8400929500049</v>
      </c>
      <c r="H118" s="215">
        <f t="shared" si="41"/>
        <v>22243.51046345428</v>
      </c>
      <c r="I118" s="215">
        <f t="shared" si="41"/>
        <v>8656.959539827516</v>
      </c>
      <c r="J118" s="215">
        <f t="shared" si="41"/>
        <v>3514.650939435468</v>
      </c>
      <c r="K118" s="215">
        <f t="shared" si="41"/>
        <v>30505.708484722021</v>
      </c>
      <c r="L118" s="215">
        <f t="shared" si="41"/>
        <v>1179.3015912094434</v>
      </c>
      <c r="M118" s="215">
        <f t="shared" si="41"/>
        <v>664.39526265320762</v>
      </c>
      <c r="N118" s="215">
        <f t="shared" si="41"/>
        <v>-3211.2437694905025</v>
      </c>
      <c r="O118" s="215">
        <f t="shared" si="41"/>
        <v>-4040.6305223692575</v>
      </c>
      <c r="P118" s="215">
        <f t="shared" si="41"/>
        <v>-2298.8076087800978</v>
      </c>
      <c r="Q118" s="603">
        <f t="shared" si="41"/>
        <v>0</v>
      </c>
      <c r="R118" s="94"/>
      <c r="S118" s="626">
        <f>SUM(E118:R118)</f>
        <v>61875.684473612084</v>
      </c>
      <c r="T118" s="94"/>
      <c r="U118" s="216">
        <f>SUM(U112:U117)</f>
        <v>57761.811616510568</v>
      </c>
      <c r="V118" s="216">
        <f>SUM(V112:V117)</f>
        <v>-4113.8728571015172</v>
      </c>
    </row>
    <row r="119" spans="1:22" s="95" customFormat="1" ht="12" customHeight="1">
      <c r="A119" s="124"/>
      <c r="B119" s="124" t="s">
        <v>285</v>
      </c>
      <c r="C119" s="126"/>
      <c r="D119" s="126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606"/>
      <c r="R119" s="94"/>
      <c r="S119" s="627"/>
      <c r="T119" s="94"/>
      <c r="U119" s="94"/>
      <c r="V119" s="94"/>
    </row>
    <row r="120" spans="1:22" s="95" customFormat="1" ht="12" customHeight="1">
      <c r="A120" s="124"/>
      <c r="B120" s="124" t="s">
        <v>186</v>
      </c>
      <c r="C120" s="102">
        <v>5801</v>
      </c>
      <c r="D120" s="127" t="s">
        <v>92</v>
      </c>
      <c r="E120" s="94">
        <f>IF('FY21-22'!$S120&gt;0,'FY21-22'!E120/'FY21-22'!$S120*'Multi-Year'!$N120,0)+IF('FY21-22'!$S120&lt;0,'FY21-22'!E120/'FY21-22'!$S120*'Multi-Year'!$N120,0)</f>
        <v>0</v>
      </c>
      <c r="F120" s="94">
        <f>IF('FY21-22'!$S120&gt;0,'FY21-22'!F120/'FY21-22'!$S120*'Multi-Year'!$N120,0)+IF('FY21-22'!$S120&lt;0,'FY21-22'!F120/'FY21-22'!$S120*'Multi-Year'!$N120,0)</f>
        <v>0</v>
      </c>
      <c r="G120" s="94">
        <f>IF('FY21-22'!$S120&gt;0,'FY21-22'!G120/'FY21-22'!$S120*'Multi-Year'!$N120,0)+IF('FY21-22'!$S120&lt;0,'FY21-22'!G120/'FY21-22'!$S120*'Multi-Year'!$N120,0)</f>
        <v>0</v>
      </c>
      <c r="H120" s="94">
        <f>IF('FY21-22'!$S120&gt;0,'FY21-22'!H120/'FY21-22'!$S120*'Multi-Year'!$N120,0)+IF('FY21-22'!$S120&lt;0,'FY21-22'!H120/'FY21-22'!$S120*'Multi-Year'!$N120,0)</f>
        <v>775.12780642874202</v>
      </c>
      <c r="I120" s="94">
        <f>IF('FY21-22'!$S120&gt;0,'FY21-22'!I120/'FY21-22'!$S120*'Multi-Year'!$N120,0)+IF('FY21-22'!$S120&lt;0,'FY21-22'!I120/'FY21-22'!$S120*'Multi-Year'!$N120,0)</f>
        <v>0</v>
      </c>
      <c r="J120" s="94">
        <f>IF('FY21-22'!$S120&gt;0,'FY21-22'!J120/'FY21-22'!$S120*'Multi-Year'!$N120,0)+IF('FY21-22'!$S120&lt;0,'FY21-22'!J120/'FY21-22'!$S120*'Multi-Year'!$N120,0)</f>
        <v>0</v>
      </c>
      <c r="K120" s="94">
        <f>IF('FY21-22'!$S120&gt;0,'FY21-22'!K120/'FY21-22'!$S120*'Multi-Year'!$N120,0)+IF('FY21-22'!$S120&lt;0,'FY21-22'!K120/'FY21-22'!$S120*'Multi-Year'!$N120,0)</f>
        <v>0</v>
      </c>
      <c r="L120" s="94">
        <f>IF('FY21-22'!$S120&gt;0,'FY21-22'!L120/'FY21-22'!$S120*'Multi-Year'!$N120,0)+IF('FY21-22'!$S120&lt;0,'FY21-22'!L120/'FY21-22'!$S120*'Multi-Year'!$N120,0)</f>
        <v>0</v>
      </c>
      <c r="M120" s="94">
        <f>IF('FY21-22'!$S120&gt;0,'FY21-22'!M120/'FY21-22'!$S120*'Multi-Year'!$N120,0)+IF('FY21-22'!$S120&lt;0,'FY21-22'!M120/'FY21-22'!$S120*'Multi-Year'!$N120,0)</f>
        <v>0</v>
      </c>
      <c r="N120" s="94">
        <f>IF('FY21-22'!$S120&gt;0,'FY21-22'!N120/'FY21-22'!$S120*'Multi-Year'!$N120,0)+IF('FY21-22'!$S120&lt;0,'FY21-22'!N120/'FY21-22'!$S120*'Multi-Year'!$N120,0)</f>
        <v>996.59289397981127</v>
      </c>
      <c r="O120" s="94">
        <f>IF('FY21-22'!$S120&gt;0,'FY21-22'!O120/'FY21-22'!$S120*'Multi-Year'!$N120,0)+IF('FY21-22'!$S120&lt;0,'FY21-22'!O120/'FY21-22'!$S120*'Multi-Year'!$N120,0)</f>
        <v>0</v>
      </c>
      <c r="P120" s="94">
        <f>IF('FY21-22'!$S120&gt;0,'FY21-22'!P120/'FY21-22'!$S120*'Multi-Year'!$N120,0)+IF('FY21-22'!$S120&lt;0,'FY21-22'!P120/'FY21-22'!$S120*'Multi-Year'!$N120,0)</f>
        <v>29801.338773765845</v>
      </c>
      <c r="Q120" s="606">
        <f>IF('FY21-22'!$S120&gt;0,'FY21-22'!Q120/'FY21-22'!$S120*'Multi-Year'!$N120,0)+IF('FY21-22'!$S120&lt;0,'FY21-22'!Q120/'FY21-22'!$S120*'Multi-Year'!$N120,0)</f>
        <v>0</v>
      </c>
      <c r="R120" s="94"/>
      <c r="S120" s="625">
        <f t="shared" ref="S120:S133" si="42">SUM(E120:Q120)</f>
        <v>31573.059474174399</v>
      </c>
      <c r="T120" s="94"/>
      <c r="U120" s="94">
        <f>'FY21-22'!S120</f>
        <v>29473.889929765552</v>
      </c>
      <c r="V120" s="94">
        <f t="shared" ref="V120:V133" si="43">U120-S120</f>
        <v>-2099.1695444088473</v>
      </c>
    </row>
    <row r="121" spans="1:22" s="95" customFormat="1" ht="12" customHeight="1">
      <c r="A121" s="124"/>
      <c r="B121" s="124" t="s">
        <v>186</v>
      </c>
      <c r="C121" s="102">
        <v>5802</v>
      </c>
      <c r="D121" s="127" t="s">
        <v>170</v>
      </c>
      <c r="E121" s="94">
        <f>IF('FY21-22'!$S121&gt;0,'FY21-22'!E121/'FY21-22'!$S121*'Multi-Year'!$N121,0)+IF('FY21-22'!$S121&lt;0,'FY21-22'!E121/'FY21-22'!$S121*'Multi-Year'!$N121,0)</f>
        <v>0</v>
      </c>
      <c r="F121" s="94">
        <f>IF('FY21-22'!$S121&gt;0,'FY21-22'!F121/'FY21-22'!$S121*'Multi-Year'!$N121,0)+IF('FY21-22'!$S121&lt;0,'FY21-22'!F121/'FY21-22'!$S121*'Multi-Year'!$N121,0)</f>
        <v>0</v>
      </c>
      <c r="G121" s="94">
        <f>IF('FY21-22'!$S121&gt;0,'FY21-22'!G121/'FY21-22'!$S121*'Multi-Year'!$N121,0)+IF('FY21-22'!$S121&lt;0,'FY21-22'!G121/'FY21-22'!$S121*'Multi-Year'!$N121,0)</f>
        <v>0</v>
      </c>
      <c r="H121" s="94">
        <f>IF('FY21-22'!$S121&gt;0,'FY21-22'!H121/'FY21-22'!$S121*'Multi-Year'!$N121,0)+IF('FY21-22'!$S121&lt;0,'FY21-22'!H121/'FY21-22'!$S121*'Multi-Year'!$N121,0)</f>
        <v>0</v>
      </c>
      <c r="I121" s="94">
        <f>IF('FY21-22'!$S121&gt;0,'FY21-22'!I121/'FY21-22'!$S121*'Multi-Year'!$N121,0)+IF('FY21-22'!$S121&lt;0,'FY21-22'!I121/'FY21-22'!$S121*'Multi-Year'!$N121,0)</f>
        <v>0</v>
      </c>
      <c r="J121" s="94">
        <f>IF('FY21-22'!$S121&gt;0,'FY21-22'!J121/'FY21-22'!$S121*'Multi-Year'!$N121,0)+IF('FY21-22'!$S121&lt;0,'FY21-22'!J121/'FY21-22'!$S121*'Multi-Year'!$N121,0)</f>
        <v>0</v>
      </c>
      <c r="K121" s="94">
        <f>IF('FY21-22'!$S121&gt;0,'FY21-22'!K121/'FY21-22'!$S121*'Multi-Year'!$N121,0)+IF('FY21-22'!$S121&lt;0,'FY21-22'!K121/'FY21-22'!$S121*'Multi-Year'!$N121,0)</f>
        <v>0</v>
      </c>
      <c r="L121" s="94">
        <f>IF('FY21-22'!$S121&gt;0,'FY21-22'!L121/'FY21-22'!$S121*'Multi-Year'!$N121,0)+IF('FY21-22'!$S121&lt;0,'FY21-22'!L121/'FY21-22'!$S121*'Multi-Year'!$N121,0)</f>
        <v>0</v>
      </c>
      <c r="M121" s="94">
        <f>IF('FY21-22'!$S121&gt;0,'FY21-22'!M121/'FY21-22'!$S121*'Multi-Year'!$N121,0)+IF('FY21-22'!$S121&lt;0,'FY21-22'!M121/'FY21-22'!$S121*'Multi-Year'!$N121,0)</f>
        <v>0</v>
      </c>
      <c r="N121" s="94">
        <f>IF('FY21-22'!$S121&gt;0,'FY21-22'!N121/'FY21-22'!$S121*'Multi-Year'!$N121,0)+IF('FY21-22'!$S121&lt;0,'FY21-22'!N121/'FY21-22'!$S121*'Multi-Year'!$N121,0)</f>
        <v>0</v>
      </c>
      <c r="O121" s="94">
        <f>IF('FY21-22'!$S121&gt;0,'FY21-22'!O121/'FY21-22'!$S121*'Multi-Year'!$N121,0)+IF('FY21-22'!$S121&lt;0,'FY21-22'!O121/'FY21-22'!$S121*'Multi-Year'!$N121,0)</f>
        <v>0</v>
      </c>
      <c r="P121" s="94">
        <f>IF('FY21-22'!$S121&gt;0,'FY21-22'!P121/'FY21-22'!$S121*'Multi-Year'!$N121,0)+IF('FY21-22'!$S121&lt;0,'FY21-22'!P121/'FY21-22'!$S121*'Multi-Year'!$N121,0)</f>
        <v>0</v>
      </c>
      <c r="Q121" s="606">
        <f>IF('FY21-22'!$S121&gt;0,'FY21-22'!Q121/'FY21-22'!$S121*'Multi-Year'!$N121,0)+IF('FY21-22'!$S121&lt;0,'FY21-22'!Q121/'FY21-22'!$S121*'Multi-Year'!$N121,0)</f>
        <v>0</v>
      </c>
      <c r="R121" s="94"/>
      <c r="S121" s="625">
        <f t="shared" si="42"/>
        <v>0</v>
      </c>
      <c r="T121" s="94"/>
      <c r="U121" s="94">
        <f>'FY21-22'!S121</f>
        <v>0</v>
      </c>
      <c r="V121" s="94">
        <f t="shared" si="43"/>
        <v>0</v>
      </c>
    </row>
    <row r="122" spans="1:22" s="95" customFormat="1" ht="12" customHeight="1">
      <c r="A122" s="124"/>
      <c r="B122" s="124" t="s">
        <v>186</v>
      </c>
      <c r="C122" s="102">
        <v>5803</v>
      </c>
      <c r="D122" s="127" t="s">
        <v>93</v>
      </c>
      <c r="E122" s="94">
        <f>IF('FY21-22'!$S122&gt;0,'FY21-22'!E122/'FY21-22'!$S122*'Multi-Year'!$N122,0)+IF('FY21-22'!$S122&lt;0,'FY21-22'!E122/'FY21-22'!$S122*'Multi-Year'!$N122,0)</f>
        <v>3658.7162095200006</v>
      </c>
      <c r="F122" s="94">
        <f>IF('FY21-22'!$S122&gt;0,'FY21-22'!F122/'FY21-22'!$S122*'Multi-Year'!$N122,0)+IF('FY21-22'!$S122&lt;0,'FY21-22'!F122/'FY21-22'!$S122*'Multi-Year'!$N122,0)</f>
        <v>382.03487999999999</v>
      </c>
      <c r="G122" s="94">
        <f>IF('FY21-22'!$S122&gt;0,'FY21-22'!G122/'FY21-22'!$S122*'Multi-Year'!$N122,0)+IF('FY21-22'!$S122&lt;0,'FY21-22'!G122/'FY21-22'!$S122*'Multi-Year'!$N122,0)</f>
        <v>466.93152000000003</v>
      </c>
      <c r="H122" s="94">
        <f>IF('FY21-22'!$S122&gt;0,'FY21-22'!H122/'FY21-22'!$S122*'Multi-Year'!$N122,0)+IF('FY21-22'!$S122&lt;0,'FY21-22'!H122/'FY21-22'!$S122*'Multi-Year'!$N122,0)</f>
        <v>1614.0973680000002</v>
      </c>
      <c r="I122" s="94">
        <f>IF('FY21-22'!$S122&gt;0,'FY21-22'!I122/'FY21-22'!$S122*'Multi-Year'!$N122,0)+IF('FY21-22'!$S122&lt;0,'FY21-22'!I122/'FY21-22'!$S122*'Multi-Year'!$N122,0)</f>
        <v>0</v>
      </c>
      <c r="J122" s="94">
        <f>IF('FY21-22'!$S122&gt;0,'FY21-22'!J122/'FY21-22'!$S122*'Multi-Year'!$N122,0)+IF('FY21-22'!$S122&lt;0,'FY21-22'!J122/'FY21-22'!$S122*'Multi-Year'!$N122,0)</f>
        <v>291.8322</v>
      </c>
      <c r="K122" s="94">
        <f>IF('FY21-22'!$S122&gt;0,'FY21-22'!K122/'FY21-22'!$S122*'Multi-Year'!$N122,0)+IF('FY21-22'!$S122&lt;0,'FY21-22'!K122/'FY21-22'!$S122*'Multi-Year'!$N122,0)</f>
        <v>1374.3704808</v>
      </c>
      <c r="L122" s="94">
        <f>IF('FY21-22'!$S122&gt;0,'FY21-22'!L122/'FY21-22'!$S122*'Multi-Year'!$N122,0)+IF('FY21-22'!$S122&lt;0,'FY21-22'!L122/'FY21-22'!$S122*'Multi-Year'!$N122,0)</f>
        <v>1046.5739416800002</v>
      </c>
      <c r="M122" s="94">
        <f>IF('FY21-22'!$S122&gt;0,'FY21-22'!M122/'FY21-22'!$S122*'Multi-Year'!$N122,0)+IF('FY21-22'!$S122&lt;0,'FY21-22'!M122/'FY21-22'!$S122*'Multi-Year'!$N122,0)</f>
        <v>3757.3661052000007</v>
      </c>
      <c r="N122" s="94">
        <f>IF('FY21-22'!$S122&gt;0,'FY21-22'!N122/'FY21-22'!$S122*'Multi-Year'!$N122,0)+IF('FY21-22'!$S122&lt;0,'FY21-22'!N122/'FY21-22'!$S122*'Multi-Year'!$N122,0)</f>
        <v>6568.87752</v>
      </c>
      <c r="O122" s="94">
        <f>IF('FY21-22'!$S122&gt;0,'FY21-22'!O122/'FY21-22'!$S122*'Multi-Year'!$N122,0)+IF('FY21-22'!$S122&lt;0,'FY21-22'!O122/'FY21-22'!$S122*'Multi-Year'!$N122,0)</f>
        <v>326.85206400000004</v>
      </c>
      <c r="P122" s="94">
        <f>IF('FY21-22'!$S122&gt;0,'FY21-22'!P122/'FY21-22'!$S122*'Multi-Year'!$N122,0)+IF('FY21-22'!$S122&lt;0,'FY21-22'!P122/'FY21-22'!$S122*'Multi-Year'!$N122,0)</f>
        <v>47395.53373896001</v>
      </c>
      <c r="Q122" s="606">
        <f>IF('FY21-22'!$S122&gt;0,'FY21-22'!Q122/'FY21-22'!$S122*'Multi-Year'!$N122,0)+IF('FY21-22'!$S122&lt;0,'FY21-22'!Q122/'FY21-22'!$S122*'Multi-Year'!$N122,0)</f>
        <v>0</v>
      </c>
      <c r="R122" s="94"/>
      <c r="S122" s="625">
        <f t="shared" si="42"/>
        <v>66883.186028160009</v>
      </c>
      <c r="T122" s="94"/>
      <c r="U122" s="94">
        <f>'FY21-22'!S122</f>
        <v>65571.751008000007</v>
      </c>
      <c r="V122" s="94">
        <f t="shared" si="43"/>
        <v>-1311.4350201600028</v>
      </c>
    </row>
    <row r="123" spans="1:22" s="95" customFormat="1" ht="12" customHeight="1">
      <c r="A123" s="124"/>
      <c r="B123" s="124" t="s">
        <v>186</v>
      </c>
      <c r="C123" s="102">
        <v>5804</v>
      </c>
      <c r="D123" s="127" t="s">
        <v>35</v>
      </c>
      <c r="E123" s="94">
        <f>IF('FY21-22'!$S123&gt;0,'FY21-22'!E123/'FY21-22'!$S123*'Multi-Year'!$N123,0)+IF('FY21-22'!$S123&lt;0,'FY21-22'!E123/'FY21-22'!$S123*'Multi-Year'!$N123,0)</f>
        <v>348.80751289293391</v>
      </c>
      <c r="F123" s="94">
        <f>IF('FY21-22'!$S123&gt;0,'FY21-22'!F123/'FY21-22'!$S123*'Multi-Year'!$N123,0)+IF('FY21-22'!$S123&lt;0,'FY21-22'!F123/'FY21-22'!$S123*'Multi-Year'!$N123,0)</f>
        <v>0</v>
      </c>
      <c r="G123" s="94">
        <f>IF('FY21-22'!$S123&gt;0,'FY21-22'!G123/'FY21-22'!$S123*'Multi-Year'!$N123,0)+IF('FY21-22'!$S123&lt;0,'FY21-22'!G123/'FY21-22'!$S123*'Multi-Year'!$N123,0)</f>
        <v>0</v>
      </c>
      <c r="H123" s="94">
        <f>IF('FY21-22'!$S123&gt;0,'FY21-22'!H123/'FY21-22'!$S123*'Multi-Year'!$N123,0)+IF('FY21-22'!$S123&lt;0,'FY21-22'!H123/'FY21-22'!$S123*'Multi-Year'!$N123,0)</f>
        <v>176.99489797081449</v>
      </c>
      <c r="I123" s="94">
        <f>IF('FY21-22'!$S123&gt;0,'FY21-22'!I123/'FY21-22'!$S123*'Multi-Year'!$N123,0)+IF('FY21-22'!$S123&lt;0,'FY21-22'!I123/'FY21-22'!$S123*'Multi-Year'!$N123,0)</f>
        <v>9622.6580540939558</v>
      </c>
      <c r="J123" s="94">
        <f>IF('FY21-22'!$S123&gt;0,'FY21-22'!J123/'FY21-22'!$S123*'Multi-Year'!$N123,0)+IF('FY21-22'!$S123&lt;0,'FY21-22'!J123/'FY21-22'!$S123*'Multi-Year'!$N123,0)</f>
        <v>0</v>
      </c>
      <c r="K123" s="94">
        <f>IF('FY21-22'!$S123&gt;0,'FY21-22'!K123/'FY21-22'!$S123*'Multi-Year'!$N123,0)+IF('FY21-22'!$S123&lt;0,'FY21-22'!K123/'FY21-22'!$S123*'Multi-Year'!$N123,0)</f>
        <v>6143.4415286666581</v>
      </c>
      <c r="L123" s="94">
        <f>IF('FY21-22'!$S123&gt;0,'FY21-22'!L123/'FY21-22'!$S123*'Multi-Year'!$N123,0)+IF('FY21-22'!$S123&lt;0,'FY21-22'!L123/'FY21-22'!$S123*'Multi-Year'!$N123,0)</f>
        <v>0</v>
      </c>
      <c r="M123" s="94">
        <f>IF('FY21-22'!$S123&gt;0,'FY21-22'!M123/'FY21-22'!$S123*'Multi-Year'!$N123,0)+IF('FY21-22'!$S123&lt;0,'FY21-22'!M123/'FY21-22'!$S123*'Multi-Year'!$N123,0)</f>
        <v>0</v>
      </c>
      <c r="N123" s="94">
        <f>IF('FY21-22'!$S123&gt;0,'FY21-22'!N123/'FY21-22'!$S123*'Multi-Year'!$N123,0)+IF('FY21-22'!$S123&lt;0,'FY21-22'!N123/'FY21-22'!$S123*'Multi-Year'!$N123,0)</f>
        <v>146.77598677447111</v>
      </c>
      <c r="O123" s="94">
        <f>IF('FY21-22'!$S123&gt;0,'FY21-22'!O123/'FY21-22'!$S123*'Multi-Year'!$N123,0)+IF('FY21-22'!$S123&lt;0,'FY21-22'!O123/'FY21-22'!$S123*'Multi-Year'!$N123,0)</f>
        <v>135.64736612502986</v>
      </c>
      <c r="P123" s="94">
        <f>IF('FY21-22'!$S123&gt;0,'FY21-22'!P123/'FY21-22'!$S123*'Multi-Year'!$N123,0)+IF('FY21-22'!$S123&lt;0,'FY21-22'!P123/'FY21-22'!$S123*'Multi-Year'!$N123,0)</f>
        <v>20135.605760143211</v>
      </c>
      <c r="Q123" s="606">
        <f>IF('FY21-22'!$S123&gt;0,'FY21-22'!Q123/'FY21-22'!$S123*'Multi-Year'!$N123,0)+IF('FY21-22'!$S123&lt;0,'FY21-22'!Q123/'FY21-22'!$S123*'Multi-Year'!$N123,0)</f>
        <v>0</v>
      </c>
      <c r="R123" s="94"/>
      <c r="S123" s="625">
        <f t="shared" si="42"/>
        <v>36709.931106667078</v>
      </c>
      <c r="T123" s="94"/>
      <c r="U123" s="94">
        <f>'FY21-22'!S123</f>
        <v>34269.231008550349</v>
      </c>
      <c r="V123" s="94">
        <f t="shared" si="43"/>
        <v>-2440.7000981167294</v>
      </c>
    </row>
    <row r="124" spans="1:22" s="95" customFormat="1" ht="12" customHeight="1">
      <c r="A124" s="124"/>
      <c r="B124" s="124" t="s">
        <v>186</v>
      </c>
      <c r="C124" s="102">
        <v>5805</v>
      </c>
      <c r="D124" s="127" t="s">
        <v>94</v>
      </c>
      <c r="E124" s="94">
        <f>IF('FY21-22'!$S124&gt;0,'FY21-22'!E124/'FY21-22'!$S124*'Multi-Year'!$N124,0)+IF('FY21-22'!$S124&lt;0,'FY21-22'!E124/'FY21-22'!$S124*'Multi-Year'!$N124,0)</f>
        <v>830.49407831650956</v>
      </c>
      <c r="F124" s="94">
        <f>IF('FY21-22'!$S124&gt;0,'FY21-22'!F124/'FY21-22'!$S124*'Multi-Year'!$N124,0)+IF('FY21-22'!$S124&lt;0,'FY21-22'!F124/'FY21-22'!$S124*'Multi-Year'!$N124,0)</f>
        <v>553.662718877673</v>
      </c>
      <c r="G124" s="94">
        <f>IF('FY21-22'!$S124&gt;0,'FY21-22'!G124/'FY21-22'!$S124*'Multi-Year'!$N124,0)+IF('FY21-22'!$S124&lt;0,'FY21-22'!G124/'FY21-22'!$S124*'Multi-Year'!$N124,0)</f>
        <v>0</v>
      </c>
      <c r="H124" s="94">
        <f>IF('FY21-22'!$S124&gt;0,'FY21-22'!H124/'FY21-22'!$S124*'Multi-Year'!$N124,0)+IF('FY21-22'!$S124&lt;0,'FY21-22'!H124/'FY21-22'!$S124*'Multi-Year'!$N124,0)</f>
        <v>3153.6628467272253</v>
      </c>
      <c r="I124" s="94">
        <f>IF('FY21-22'!$S124&gt;0,'FY21-22'!I124/'FY21-22'!$S124*'Multi-Year'!$N124,0)+IF('FY21-22'!$S124&lt;0,'FY21-22'!I124/'FY21-22'!$S124*'Multi-Year'!$N124,0)</f>
        <v>0</v>
      </c>
      <c r="J124" s="94">
        <f>IF('FY21-22'!$S124&gt;0,'FY21-22'!J124/'FY21-22'!$S124*'Multi-Year'!$N124,0)+IF('FY21-22'!$S124&lt;0,'FY21-22'!J124/'FY21-22'!$S124*'Multi-Year'!$N124,0)</f>
        <v>1660.9881566330191</v>
      </c>
      <c r="K124" s="94">
        <f>IF('FY21-22'!$S124&gt;0,'FY21-22'!K124/'FY21-22'!$S124*'Multi-Year'!$N124,0)+IF('FY21-22'!$S124&lt;0,'FY21-22'!K124/'FY21-22'!$S124*'Multi-Year'!$N124,0)</f>
        <v>1107.325437755346</v>
      </c>
      <c r="L124" s="94">
        <f>IF('FY21-22'!$S124&gt;0,'FY21-22'!L124/'FY21-22'!$S124*'Multi-Year'!$N124,0)+IF('FY21-22'!$S124&lt;0,'FY21-22'!L124/'FY21-22'!$S124*'Multi-Year'!$N124,0)</f>
        <v>943.44127296755471</v>
      </c>
      <c r="M124" s="94">
        <f>IF('FY21-22'!$S124&gt;0,'FY21-22'!M124/'FY21-22'!$S124*'Multi-Year'!$N124,0)+IF('FY21-22'!$S124&lt;0,'FY21-22'!M124/'FY21-22'!$S124*'Multi-Year'!$N124,0)</f>
        <v>1384.1567971941822</v>
      </c>
      <c r="N124" s="94">
        <f>IF('FY21-22'!$S124&gt;0,'FY21-22'!N124/'FY21-22'!$S124*'Multi-Year'!$N124,0)+IF('FY21-22'!$S124&lt;0,'FY21-22'!N124/'FY21-22'!$S124*'Multi-Year'!$N124,0)</f>
        <v>9689.0975803592773</v>
      </c>
      <c r="O124" s="94">
        <f>IF('FY21-22'!$S124&gt;0,'FY21-22'!O124/'FY21-22'!$S124*'Multi-Year'!$N124,0)+IF('FY21-22'!$S124&lt;0,'FY21-22'!O124/'FY21-22'!$S124*'Multi-Year'!$N124,0)</f>
        <v>0</v>
      </c>
      <c r="P124" s="94">
        <f>IF('FY21-22'!$S124&gt;0,'FY21-22'!P124/'FY21-22'!$S124*'Multi-Year'!$N124,0)+IF('FY21-22'!$S124&lt;0,'FY21-22'!P124/'FY21-22'!$S124*'Multi-Year'!$N124,0)</f>
        <v>2325.3834192862264</v>
      </c>
      <c r="Q124" s="606">
        <f>IF('FY21-22'!$S124&gt;0,'FY21-22'!Q124/'FY21-22'!$S124*'Multi-Year'!$N124,0)+IF('FY21-22'!$S124&lt;0,'FY21-22'!Q124/'FY21-22'!$S124*'Multi-Year'!$N124,0)</f>
        <v>0</v>
      </c>
      <c r="R124" s="94"/>
      <c r="S124" s="625">
        <f t="shared" si="42"/>
        <v>21648.212308117014</v>
      </c>
      <c r="T124" s="94"/>
      <c r="U124" s="94">
        <f>'FY21-22'!S124</f>
        <v>20208.907130699314</v>
      </c>
      <c r="V124" s="94">
        <f t="shared" si="43"/>
        <v>-1439.3051774177002</v>
      </c>
    </row>
    <row r="125" spans="1:22" s="95" customFormat="1" ht="12" customHeight="1">
      <c r="A125" s="124"/>
      <c r="B125" s="124" t="s">
        <v>186</v>
      </c>
      <c r="C125" s="102">
        <f>'Multi-Year'!D125</f>
        <v>5806</v>
      </c>
      <c r="D125" s="127" t="s">
        <v>81</v>
      </c>
      <c r="E125" s="94">
        <f>IF('FY21-22'!$S125&gt;0,'FY21-22'!E125/'FY21-22'!$S125*'Multi-Year'!$N125,0)+IF('FY21-22'!$S125&lt;0,'FY21-22'!E125/'FY21-22'!$S125*'Multi-Year'!$N125,0)</f>
        <v>0</v>
      </c>
      <c r="F125" s="94">
        <f>IF('FY21-22'!$S125&gt;0,'FY21-22'!F125/'FY21-22'!$S125*'Multi-Year'!$N125,0)+IF('FY21-22'!$S125&lt;0,'FY21-22'!F125/'FY21-22'!$S125*'Multi-Year'!$N125,0)</f>
        <v>0</v>
      </c>
      <c r="G125" s="94">
        <f>IF('FY21-22'!$S125&gt;0,'FY21-22'!G125/'FY21-22'!$S125*'Multi-Year'!$N125,0)+IF('FY21-22'!$S125&lt;0,'FY21-22'!G125/'FY21-22'!$S125*'Multi-Year'!$N125,0)</f>
        <v>0</v>
      </c>
      <c r="H125" s="94">
        <f>IF('FY21-22'!$S125&gt;0,'FY21-22'!H125/'FY21-22'!$S125*'Multi-Year'!$N125,0)+IF('FY21-22'!$S125&lt;0,'FY21-22'!H125/'FY21-22'!$S125*'Multi-Year'!$N125,0)</f>
        <v>0</v>
      </c>
      <c r="I125" s="94">
        <f>IF('FY21-22'!$S125&gt;0,'FY21-22'!I125/'FY21-22'!$S125*'Multi-Year'!$N125,0)+IF('FY21-22'!$S125&lt;0,'FY21-22'!I125/'FY21-22'!$S125*'Multi-Year'!$N125,0)</f>
        <v>0</v>
      </c>
      <c r="J125" s="94">
        <f>IF('FY21-22'!$S125&gt;0,'FY21-22'!J125/'FY21-22'!$S125*'Multi-Year'!$N125,0)+IF('FY21-22'!$S125&lt;0,'FY21-22'!J125/'FY21-22'!$S125*'Multi-Year'!$N125,0)</f>
        <v>0</v>
      </c>
      <c r="K125" s="94">
        <f>IF('FY21-22'!$S125&gt;0,'FY21-22'!K125/'FY21-22'!$S125*'Multi-Year'!$N125,0)+IF('FY21-22'!$S125&lt;0,'FY21-22'!K125/'FY21-22'!$S125*'Multi-Year'!$N125,0)</f>
        <v>0</v>
      </c>
      <c r="L125" s="94">
        <f>IF('FY21-22'!$S125&gt;0,'FY21-22'!L125/'FY21-22'!$S125*'Multi-Year'!$N125,0)+IF('FY21-22'!$S125&lt;0,'FY21-22'!L125/'FY21-22'!$S125*'Multi-Year'!$N125,0)</f>
        <v>84339.626520875536</v>
      </c>
      <c r="M125" s="94">
        <f>IF('FY21-22'!$S125&gt;0,'FY21-22'!M125/'FY21-22'!$S125*'Multi-Year'!$N125,0)+IF('FY21-22'!$S125&lt;0,'FY21-22'!M125/'FY21-22'!$S125*'Multi-Year'!$N125,0)</f>
        <v>84339.626520875536</v>
      </c>
      <c r="N125" s="94">
        <f>IF('FY21-22'!$S125&gt;0,'FY21-22'!N125/'FY21-22'!$S125*'Multi-Year'!$N125,0)+IF('FY21-22'!$S125&lt;0,'FY21-22'!N125/'FY21-22'!$S125*'Multi-Year'!$N125,0)</f>
        <v>84339.626520875536</v>
      </c>
      <c r="O125" s="94">
        <f>IF('FY21-22'!$S125&gt;0,'FY21-22'!O125/'FY21-22'!$S125*'Multi-Year'!$N125,0)+IF('FY21-22'!$S125&lt;0,'FY21-22'!O125/'FY21-22'!$S125*'Multi-Year'!$N125,0)</f>
        <v>0</v>
      </c>
      <c r="P125" s="94">
        <f>IF('FY21-22'!$S125&gt;0,'FY21-22'!P125/'FY21-22'!$S125*'Multi-Year'!$N125,0)+IF('FY21-22'!$S125&lt;0,'FY21-22'!P125/'FY21-22'!$S125*'Multi-Year'!$N125,0)</f>
        <v>0</v>
      </c>
      <c r="Q125" s="606">
        <f>IF('FY21-22'!$S125&gt;0,'FY21-22'!Q125/'FY21-22'!$S125*'Multi-Year'!$N125,0)+IF('FY21-22'!$S125&lt;0,'FY21-22'!Q125/'FY21-22'!$S125*'Multi-Year'!$N125,0)</f>
        <v>0</v>
      </c>
      <c r="R125" s="94"/>
      <c r="S125" s="625">
        <f>SUM(E125:Q125)</f>
        <v>253018.87956262659</v>
      </c>
      <c r="T125" s="94"/>
      <c r="U125" s="94">
        <f>'FY21-22'!S125</f>
        <v>236196.64139553485</v>
      </c>
      <c r="V125" s="94">
        <f>U125-S125</f>
        <v>-16822.238167091738</v>
      </c>
    </row>
    <row r="126" spans="1:22" s="95" customFormat="1" ht="12" customHeight="1">
      <c r="A126" s="124"/>
      <c r="B126" s="124" t="s">
        <v>186</v>
      </c>
      <c r="C126" s="102">
        <f>'Multi-Year'!D126</f>
        <v>5807</v>
      </c>
      <c r="D126" s="127" t="s">
        <v>41</v>
      </c>
      <c r="E126" s="94">
        <f>IF('FY21-22'!$S126&gt;0,'FY21-22'!E126/'FY21-22'!$S126*'Multi-Year'!$N126,0)+IF('FY21-22'!$S126&lt;0,'FY21-22'!E126/'FY21-22'!$S126*'Multi-Year'!$N126,0)</f>
        <v>0</v>
      </c>
      <c r="F126" s="94">
        <f>IF('FY21-22'!$S126&gt;0,'FY21-22'!F126/'FY21-22'!$S126*'Multi-Year'!$N126,0)+IF('FY21-22'!$S126&lt;0,'FY21-22'!F126/'FY21-22'!$S126*'Multi-Year'!$N126,0)</f>
        <v>26.575810506128292</v>
      </c>
      <c r="G126" s="94">
        <f>IF('FY21-22'!$S126&gt;0,'FY21-22'!G126/'FY21-22'!$S126*'Multi-Year'!$N126,0)+IF('FY21-22'!$S126&lt;0,'FY21-22'!G126/'FY21-22'!$S126*'Multi-Year'!$N126,0)</f>
        <v>375.43868967095</v>
      </c>
      <c r="H126" s="94">
        <f>IF('FY21-22'!$S126&gt;0,'FY21-22'!H126/'FY21-22'!$S126*'Multi-Year'!$N126,0)+IF('FY21-22'!$S126&lt;0,'FY21-22'!H126/'FY21-22'!$S126*'Multi-Year'!$N126,0)</f>
        <v>979.85013336095028</v>
      </c>
      <c r="I126" s="94">
        <f>IF('FY21-22'!$S126&gt;0,'FY21-22'!I126/'FY21-22'!$S126*'Multi-Year'!$N126,0)+IF('FY21-22'!$S126&lt;0,'FY21-22'!I126/'FY21-22'!$S126*'Multi-Year'!$N126,0)</f>
        <v>4.1746169003376528</v>
      </c>
      <c r="J126" s="94">
        <f>IF('FY21-22'!$S126&gt;0,'FY21-22'!J126/'FY21-22'!$S126*'Multi-Year'!$N126,0)+IF('FY21-22'!$S126&lt;0,'FY21-22'!J126/'FY21-22'!$S126*'Multi-Year'!$N126,0)</f>
        <v>0</v>
      </c>
      <c r="K126" s="94">
        <f>IF('FY21-22'!$S126&gt;0,'FY21-22'!K126/'FY21-22'!$S126*'Multi-Year'!$N126,0)+IF('FY21-22'!$S126&lt;0,'FY21-22'!K126/'FY21-22'!$S126*'Multi-Year'!$N126,0)</f>
        <v>0</v>
      </c>
      <c r="L126" s="94">
        <f>IF('FY21-22'!$S126&gt;0,'FY21-22'!L126/'FY21-22'!$S126*'Multi-Year'!$N126,0)+IF('FY21-22'!$S126&lt;0,'FY21-22'!L126/'FY21-22'!$S126*'Multi-Year'!$N126,0)</f>
        <v>0</v>
      </c>
      <c r="M126" s="94">
        <f>IF('FY21-22'!$S126&gt;0,'FY21-22'!M126/'FY21-22'!$S126*'Multi-Year'!$N126,0)+IF('FY21-22'!$S126&lt;0,'FY21-22'!M126/'FY21-22'!$S126*'Multi-Year'!$N126,0)</f>
        <v>55.366271887767283</v>
      </c>
      <c r="N126" s="94">
        <f>IF('FY21-22'!$S126&gt;0,'FY21-22'!N126/'FY21-22'!$S126*'Multi-Year'!$N126,0)+IF('FY21-22'!$S126&lt;0,'FY21-22'!N126/'FY21-22'!$S126*'Multi-Year'!$N126,0)</f>
        <v>0</v>
      </c>
      <c r="O126" s="94">
        <f>IF('FY21-22'!$S126&gt;0,'FY21-22'!O126/'FY21-22'!$S126*'Multi-Year'!$N126,0)+IF('FY21-22'!$S126&lt;0,'FY21-22'!O126/'FY21-22'!$S126*'Multi-Year'!$N126,0)</f>
        <v>137.69591818487723</v>
      </c>
      <c r="P126" s="94">
        <f>IF('FY21-22'!$S126&gt;0,'FY21-22'!P126/'FY21-22'!$S126*'Multi-Year'!$N126,0)+IF('FY21-22'!$S126&lt;0,'FY21-22'!P126/'FY21-22'!$S126*'Multi-Year'!$N126,0)</f>
        <v>83.769169366191903</v>
      </c>
      <c r="Q126" s="606">
        <f>IF('FY21-22'!$S126&gt;0,'FY21-22'!Q126/'FY21-22'!$S126*'Multi-Year'!$N126,0)+IF('FY21-22'!$S126&lt;0,'FY21-22'!Q126/'FY21-22'!$S126*'Multi-Year'!$N126,0)</f>
        <v>0</v>
      </c>
      <c r="R126" s="94"/>
      <c r="S126" s="625">
        <f>SUM(E126:Q126)</f>
        <v>1662.8706098772025</v>
      </c>
      <c r="T126" s="94"/>
      <c r="U126" s="94">
        <f>'FY21-22'!S126</f>
        <v>1552.3128305969908</v>
      </c>
      <c r="V126" s="94">
        <f>U126-S126</f>
        <v>-110.55777928021166</v>
      </c>
    </row>
    <row r="127" spans="1:22" s="95" customFormat="1" ht="12" customHeight="1">
      <c r="A127" s="124"/>
      <c r="B127" s="124" t="s">
        <v>186</v>
      </c>
      <c r="C127" s="102">
        <f>'Multi-Year'!D127</f>
        <v>5808</v>
      </c>
      <c r="D127" s="127" t="s">
        <v>42</v>
      </c>
      <c r="E127" s="94">
        <f>IF('FY21-22'!$S127&gt;0,'FY21-22'!E127/'FY21-22'!$S127*'Multi-Year'!$N127,0)+IF('FY21-22'!$S127&lt;0,'FY21-22'!E127/'FY21-22'!$S127*'Multi-Year'!$N127,0)</f>
        <v>0</v>
      </c>
      <c r="F127" s="94">
        <f>IF('FY21-22'!$S127&gt;0,'FY21-22'!F127/'FY21-22'!$S127*'Multi-Year'!$N127,0)+IF('FY21-22'!$S127&lt;0,'FY21-22'!F127/'FY21-22'!$S127*'Multi-Year'!$N127,0)</f>
        <v>0</v>
      </c>
      <c r="G127" s="94">
        <f>IF('FY21-22'!$S127&gt;0,'FY21-22'!G127/'FY21-22'!$S127*'Multi-Year'!$N127,0)+IF('FY21-22'!$S127&lt;0,'FY21-22'!G127/'FY21-22'!$S127*'Multi-Year'!$N127,0)</f>
        <v>0</v>
      </c>
      <c r="H127" s="94">
        <f>IF('FY21-22'!$S127&gt;0,'FY21-22'!H127/'FY21-22'!$S127*'Multi-Year'!$N127,0)+IF('FY21-22'!$S127&lt;0,'FY21-22'!H127/'FY21-22'!$S127*'Multi-Year'!$N127,0)</f>
        <v>0</v>
      </c>
      <c r="I127" s="94">
        <f>IF('FY21-22'!$S127&gt;0,'FY21-22'!I127/'FY21-22'!$S127*'Multi-Year'!$N127,0)+IF('FY21-22'!$S127&lt;0,'FY21-22'!I127/'FY21-22'!$S127*'Multi-Year'!$N127,0)</f>
        <v>255.47105174453586</v>
      </c>
      <c r="J127" s="94">
        <f>IF('FY21-22'!$S127&gt;0,'FY21-22'!J127/'FY21-22'!$S127*'Multi-Year'!$N127,0)+IF('FY21-22'!$S127&lt;0,'FY21-22'!J127/'FY21-22'!$S127*'Multi-Year'!$N127,0)</f>
        <v>37.571552103038883</v>
      </c>
      <c r="K127" s="94">
        <f>IF('FY21-22'!$S127&gt;0,'FY21-22'!K127/'FY21-22'!$S127*'Multi-Year'!$N127,0)+IF('FY21-22'!$S127&lt;0,'FY21-22'!K127/'FY21-22'!$S127*'Multi-Year'!$N127,0)</f>
        <v>1.6499149022554651</v>
      </c>
      <c r="L127" s="94">
        <f>IF('FY21-22'!$S127&gt;0,'FY21-22'!L127/'FY21-22'!$S127*'Multi-Year'!$N127,0)+IF('FY21-22'!$S127&lt;0,'FY21-22'!L127/'FY21-22'!$S127*'Multi-Year'!$N127,0)</f>
        <v>506.98895167628513</v>
      </c>
      <c r="M127" s="94">
        <f>IF('FY21-22'!$S127&gt;0,'FY21-22'!M127/'FY21-22'!$S127*'Multi-Year'!$N127,0)+IF('FY21-22'!$S127&lt;0,'FY21-22'!M127/'FY21-22'!$S127*'Multi-Year'!$N127,0)</f>
        <v>77.634586441027295</v>
      </c>
      <c r="N127" s="94">
        <f>IF('FY21-22'!$S127&gt;0,'FY21-22'!N127/'FY21-22'!$S127*'Multi-Year'!$N127,0)+IF('FY21-22'!$S127&lt;0,'FY21-22'!N127/'FY21-22'!$S127*'Multi-Year'!$N127,0)</f>
        <v>5.7580922763277984</v>
      </c>
      <c r="O127" s="94">
        <f>IF('FY21-22'!$S127&gt;0,'FY21-22'!O127/'FY21-22'!$S127*'Multi-Year'!$N127,0)+IF('FY21-22'!$S127&lt;0,'FY21-22'!O127/'FY21-22'!$S127*'Multi-Year'!$N127,0)</f>
        <v>0</v>
      </c>
      <c r="P127" s="94">
        <f>IF('FY21-22'!$S127&gt;0,'FY21-22'!P127/'FY21-22'!$S127*'Multi-Year'!$N127,0)+IF('FY21-22'!$S127&lt;0,'FY21-22'!P127/'FY21-22'!$S127*'Multi-Year'!$N127,0)</f>
        <v>0</v>
      </c>
      <c r="Q127" s="606">
        <f>IF('FY21-22'!$S127&gt;0,'FY21-22'!Q127/'FY21-22'!$S127*'Multi-Year'!$N127,0)+IF('FY21-22'!$S127&lt;0,'FY21-22'!Q127/'FY21-22'!$S127*'Multi-Year'!$N127,0)</f>
        <v>0</v>
      </c>
      <c r="R127" s="94"/>
      <c r="S127" s="625">
        <f>SUM(E127:Q127)</f>
        <v>885.07414914347044</v>
      </c>
      <c r="T127" s="94"/>
      <c r="U127" s="94">
        <f>'FY21-22'!S127</f>
        <v>826.22902202028945</v>
      </c>
      <c r="V127" s="94">
        <f>U127-S127</f>
        <v>-58.845127123180987</v>
      </c>
    </row>
    <row r="128" spans="1:22" s="95" customFormat="1" ht="12" customHeight="1">
      <c r="A128" s="124"/>
      <c r="B128" s="124" t="s">
        <v>186</v>
      </c>
      <c r="C128" s="102">
        <f>'Multi-Year'!D128</f>
        <v>5809</v>
      </c>
      <c r="D128" s="127" t="s">
        <v>43</v>
      </c>
      <c r="E128" s="94">
        <f>IF('FY21-22'!$S128&gt;0,'FY21-22'!E128/'FY21-22'!$S128*'Multi-Year'!$N128,0)+IF('FY21-22'!$S128&lt;0,'FY21-22'!E128/'FY21-22'!$S128*'Multi-Year'!$N128,0)</f>
        <v>177.17207004085532</v>
      </c>
      <c r="F128" s="94">
        <f>IF('FY21-22'!$S128&gt;0,'FY21-22'!F128/'FY21-22'!$S128*'Multi-Year'!$N128,0)+IF('FY21-22'!$S128&lt;0,'FY21-22'!F128/'FY21-22'!$S128*'Multi-Year'!$N128,0)</f>
        <v>66.439526265320737</v>
      </c>
      <c r="G128" s="94">
        <f>IF('FY21-22'!$S128&gt;0,'FY21-22'!G128/'FY21-22'!$S128*'Multi-Year'!$N128,0)+IF('FY21-22'!$S128&lt;0,'FY21-22'!G128/'FY21-22'!$S128*'Multi-Year'!$N128,0)</f>
        <v>0</v>
      </c>
      <c r="H128" s="94">
        <f>IF('FY21-22'!$S128&gt;0,'FY21-22'!H128/'FY21-22'!$S128*'Multi-Year'!$N128,0)+IF('FY21-22'!$S128&lt;0,'FY21-22'!H128/'FY21-22'!$S128*'Multi-Year'!$N128,0)</f>
        <v>0</v>
      </c>
      <c r="I128" s="94">
        <f>IF('FY21-22'!$S128&gt;0,'FY21-22'!I128/'FY21-22'!$S128*'Multi-Year'!$N128,0)+IF('FY21-22'!$S128&lt;0,'FY21-22'!I128/'FY21-22'!$S128*'Multi-Year'!$N128,0)</f>
        <v>604.55539599690849</v>
      </c>
      <c r="J128" s="94">
        <f>IF('FY21-22'!$S128&gt;0,'FY21-22'!J128/'FY21-22'!$S128*'Multi-Year'!$N128,0)+IF('FY21-22'!$S128&lt;0,'FY21-22'!J128/'FY21-22'!$S128*'Multi-Year'!$N128,0)</f>
        <v>2015.3322967147292</v>
      </c>
      <c r="K128" s="94">
        <f>IF('FY21-22'!$S128&gt;0,'FY21-22'!K128/'FY21-22'!$S128*'Multi-Year'!$N128,0)+IF('FY21-22'!$S128&lt;0,'FY21-22'!K128/'FY21-22'!$S128*'Multi-Year'!$N128,0)</f>
        <v>0</v>
      </c>
      <c r="L128" s="94">
        <f>IF('FY21-22'!$S128&gt;0,'FY21-22'!L128/'FY21-22'!$S128*'Multi-Year'!$N128,0)+IF('FY21-22'!$S128&lt;0,'FY21-22'!L128/'FY21-22'!$S128*'Multi-Year'!$N128,0)</f>
        <v>35038.523017664767</v>
      </c>
      <c r="M128" s="94">
        <f>IF('FY21-22'!$S128&gt;0,'FY21-22'!M128/'FY21-22'!$S128*'Multi-Year'!$N128,0)+IF('FY21-22'!$S128&lt;0,'FY21-22'!M128/'FY21-22'!$S128*'Multi-Year'!$N128,0)</f>
        <v>24.040035253668556</v>
      </c>
      <c r="N128" s="94">
        <f>IF('FY21-22'!$S128&gt;0,'FY21-22'!N128/'FY21-22'!$S128*'Multi-Year'!$N128,0)+IF('FY21-22'!$S128&lt;0,'FY21-22'!N128/'FY21-22'!$S128*'Multi-Year'!$N128,0)</f>
        <v>0</v>
      </c>
      <c r="O128" s="94">
        <f>IF('FY21-22'!$S128&gt;0,'FY21-22'!O128/'FY21-22'!$S128*'Multi-Year'!$N128,0)+IF('FY21-22'!$S128&lt;0,'FY21-22'!O128/'FY21-22'!$S128*'Multi-Year'!$N128,0)</f>
        <v>39.841569250437338</v>
      </c>
      <c r="P128" s="94">
        <f>IF('FY21-22'!$S128&gt;0,'FY21-22'!P128/'FY21-22'!$S128*'Multi-Year'!$N128,0)+IF('FY21-22'!$S128&lt;0,'FY21-22'!P128/'FY21-22'!$S128*'Multi-Year'!$N128,0)</f>
        <v>465.07668385724509</v>
      </c>
      <c r="Q128" s="606">
        <f>IF('FY21-22'!$S128&gt;0,'FY21-22'!Q128/'FY21-22'!$S128*'Multi-Year'!$N128,0)+IF('FY21-22'!$S128&lt;0,'FY21-22'!Q128/'FY21-22'!$S128*'Multi-Year'!$N128,0)</f>
        <v>0</v>
      </c>
      <c r="R128" s="94"/>
      <c r="S128" s="625">
        <f>SUM(E128:Q128)</f>
        <v>38430.980595043926</v>
      </c>
      <c r="T128" s="94"/>
      <c r="U128" s="94">
        <f>'FY21-22'!S128</f>
        <v>35875.854630996299</v>
      </c>
      <c r="V128" s="94">
        <f>U128-S128</f>
        <v>-2555.1259640476273</v>
      </c>
    </row>
    <row r="129" spans="1:22" s="95" customFormat="1" ht="12" customHeight="1">
      <c r="A129" s="124"/>
      <c r="B129" s="124" t="s">
        <v>186</v>
      </c>
      <c r="C129" s="102">
        <v>5810</v>
      </c>
      <c r="D129" s="127" t="s">
        <v>26</v>
      </c>
      <c r="E129" s="94">
        <f>IF('FY21-22'!$S129&gt;0,'FY21-22'!E129/'FY21-22'!$S129*'Multi-Year'!$N129,0)+IF('FY21-22'!$S129&lt;0,'FY21-22'!E129/'FY21-22'!$S129*'Multi-Year'!$N129,0)</f>
        <v>0</v>
      </c>
      <c r="F129" s="94">
        <f>IF('FY21-22'!$S129&gt;0,'FY21-22'!F129/'FY21-22'!$S129*'Multi-Year'!$N129,0)+IF('FY21-22'!$S129&lt;0,'FY21-22'!F129/'FY21-22'!$S129*'Multi-Year'!$N129,0)</f>
        <v>0</v>
      </c>
      <c r="G129" s="94">
        <f>IF('FY21-22'!$S129&gt;0,'FY21-22'!G129/'FY21-22'!$S129*'Multi-Year'!$N129,0)+IF('FY21-22'!$S129&lt;0,'FY21-22'!G129/'FY21-22'!$S129*'Multi-Year'!$N129,0)</f>
        <v>0</v>
      </c>
      <c r="H129" s="94">
        <f>IF('FY21-22'!$S129&gt;0,'FY21-22'!H129/'FY21-22'!$S129*'Multi-Year'!$N129,0)+IF('FY21-22'!$S129&lt;0,'FY21-22'!H129/'FY21-22'!$S129*'Multi-Year'!$N129,0)</f>
        <v>0</v>
      </c>
      <c r="I129" s="94">
        <f>IF('FY21-22'!$S129&gt;0,'FY21-22'!I129/'FY21-22'!$S129*'Multi-Year'!$N129,0)+IF('FY21-22'!$S129&lt;0,'FY21-22'!I129/'FY21-22'!$S129*'Multi-Year'!$N129,0)</f>
        <v>0</v>
      </c>
      <c r="J129" s="94">
        <f>IF('FY21-22'!$S129&gt;0,'FY21-22'!J129/'FY21-22'!$S129*'Multi-Year'!$N129,0)+IF('FY21-22'!$S129&lt;0,'FY21-22'!J129/'FY21-22'!$S129*'Multi-Year'!$N129,0)</f>
        <v>0</v>
      </c>
      <c r="K129" s="94">
        <f>IF('FY21-22'!$S129&gt;0,'FY21-22'!K129/'FY21-22'!$S129*'Multi-Year'!$N129,0)+IF('FY21-22'!$S129&lt;0,'FY21-22'!K129/'FY21-22'!$S129*'Multi-Year'!$N129,0)</f>
        <v>0</v>
      </c>
      <c r="L129" s="94">
        <f>IF('FY21-22'!$S129&gt;0,'FY21-22'!L129/'FY21-22'!$S129*'Multi-Year'!$N129,0)+IF('FY21-22'!$S129&lt;0,'FY21-22'!L129/'FY21-22'!$S129*'Multi-Year'!$N129,0)</f>
        <v>0</v>
      </c>
      <c r="M129" s="94">
        <f>IF('FY21-22'!$S129&gt;0,'FY21-22'!M129/'FY21-22'!$S129*'Multi-Year'!$N129,0)+IF('FY21-22'!$S129&lt;0,'FY21-22'!M129/'FY21-22'!$S129*'Multi-Year'!$N129,0)</f>
        <v>0</v>
      </c>
      <c r="N129" s="94">
        <f>IF('FY21-22'!$S129&gt;0,'FY21-22'!N129/'FY21-22'!$S129*'Multi-Year'!$N129,0)+IF('FY21-22'!$S129&lt;0,'FY21-22'!N129/'FY21-22'!$S129*'Multi-Year'!$N129,0)</f>
        <v>0</v>
      </c>
      <c r="O129" s="94">
        <f>IF('FY21-22'!$S129&gt;0,'FY21-22'!O129/'FY21-22'!$S129*'Multi-Year'!$N129,0)+IF('FY21-22'!$S129&lt;0,'FY21-22'!O129/'FY21-22'!$S129*'Multi-Year'!$N129,0)</f>
        <v>2319.2931293785709</v>
      </c>
      <c r="P129" s="94">
        <f>IF('FY21-22'!$S129&gt;0,'FY21-22'!P129/'FY21-22'!$S129*'Multi-Year'!$N129,0)+IF('FY21-22'!$S129&lt;0,'FY21-22'!P129/'FY21-22'!$S129*'Multi-Year'!$N129,0)</f>
        <v>2720.1449378460065</v>
      </c>
      <c r="Q129" s="606">
        <f>IF('FY21-22'!$S129&gt;0,'FY21-22'!Q129/'FY21-22'!$S129*'Multi-Year'!$N129,0)+IF('FY21-22'!$S129&lt;0,'FY21-22'!Q129/'FY21-22'!$S129*'Multi-Year'!$N129,0)</f>
        <v>0</v>
      </c>
      <c r="R129" s="94"/>
      <c r="S129" s="625">
        <f t="shared" si="42"/>
        <v>5039.438067224577</v>
      </c>
      <c r="T129" s="94"/>
      <c r="U129" s="94">
        <f>'FY21-22'!S129</f>
        <v>4704.3854911413082</v>
      </c>
      <c r="V129" s="94">
        <f t="shared" si="43"/>
        <v>-335.05257608326883</v>
      </c>
    </row>
    <row r="130" spans="1:22" s="95" customFormat="1" ht="12" customHeight="1">
      <c r="A130" s="124"/>
      <c r="B130" s="124" t="s">
        <v>186</v>
      </c>
      <c r="C130" s="102">
        <v>5811</v>
      </c>
      <c r="D130" s="127" t="s">
        <v>27</v>
      </c>
      <c r="E130" s="94">
        <f>IF('FY21-22'!$S130&gt;0,'FY21-22'!E130/'FY21-22'!$S130*'Multi-Year'!$N130,0)+IF('FY21-22'!$S130&lt;0,'FY21-22'!E130/'FY21-22'!$S130*'Multi-Year'!$N130,0)</f>
        <v>51842.242384217832</v>
      </c>
      <c r="F130" s="94">
        <f>IF('FY21-22'!$S130&gt;0,'FY21-22'!F130/'FY21-22'!$S130*'Multi-Year'!$N130,0)+IF('FY21-22'!$S130&lt;0,'FY21-22'!F130/'FY21-22'!$S130*'Multi-Year'!$N130,0)</f>
        <v>51842.242384217832</v>
      </c>
      <c r="G130" s="94">
        <f>IF('FY21-22'!$S130&gt;0,'FY21-22'!G130/'FY21-22'!$S130*'Multi-Year'!$N130,0)+IF('FY21-22'!$S130&lt;0,'FY21-22'!G130/'FY21-22'!$S130*'Multi-Year'!$N130,0)</f>
        <v>51842.242384217832</v>
      </c>
      <c r="H130" s="94">
        <f>IF('FY21-22'!$S130&gt;0,'FY21-22'!H130/'FY21-22'!$S130*'Multi-Year'!$N130,0)+IF('FY21-22'!$S130&lt;0,'FY21-22'!H130/'FY21-22'!$S130*'Multi-Year'!$N130,0)</f>
        <v>51842.242384217832</v>
      </c>
      <c r="I130" s="94">
        <f>IF('FY21-22'!$S130&gt;0,'FY21-22'!I130/'FY21-22'!$S130*'Multi-Year'!$N130,0)+IF('FY21-22'!$S130&lt;0,'FY21-22'!I130/'FY21-22'!$S130*'Multi-Year'!$N130,0)</f>
        <v>51842.242384217832</v>
      </c>
      <c r="J130" s="94">
        <f>IF('FY21-22'!$S130&gt;0,'FY21-22'!J130/'FY21-22'!$S130*'Multi-Year'!$N130,0)+IF('FY21-22'!$S130&lt;0,'FY21-22'!J130/'FY21-22'!$S130*'Multi-Year'!$N130,0)</f>
        <v>51842.242384217832</v>
      </c>
      <c r="K130" s="94">
        <f>IF('FY21-22'!$S130&gt;0,'FY21-22'!K130/'FY21-22'!$S130*'Multi-Year'!$N130,0)+IF('FY21-22'!$S130&lt;0,'FY21-22'!K130/'FY21-22'!$S130*'Multi-Year'!$N130,0)</f>
        <v>51842.242384217832</v>
      </c>
      <c r="L130" s="94">
        <f>IF('FY21-22'!$S130&gt;0,'FY21-22'!L130/'FY21-22'!$S130*'Multi-Year'!$N130,0)+IF('FY21-22'!$S130&lt;0,'FY21-22'!L130/'FY21-22'!$S130*'Multi-Year'!$N130,0)</f>
        <v>51842.242384217832</v>
      </c>
      <c r="M130" s="94">
        <f>IF('FY21-22'!$S130&gt;0,'FY21-22'!M130/'FY21-22'!$S130*'Multi-Year'!$N130,0)+IF('FY21-22'!$S130&lt;0,'FY21-22'!M130/'FY21-22'!$S130*'Multi-Year'!$N130,0)</f>
        <v>51842.242384217832</v>
      </c>
      <c r="N130" s="94">
        <f>IF('FY21-22'!$S130&gt;0,'FY21-22'!N130/'FY21-22'!$S130*'Multi-Year'!$N130,0)+IF('FY21-22'!$S130&lt;0,'FY21-22'!N130/'FY21-22'!$S130*'Multi-Year'!$N130,0)</f>
        <v>51842.242384217832</v>
      </c>
      <c r="O130" s="94">
        <f>IF('FY21-22'!$S130&gt;0,'FY21-22'!O130/'FY21-22'!$S130*'Multi-Year'!$N130,0)+IF('FY21-22'!$S130&lt;0,'FY21-22'!O130/'FY21-22'!$S130*'Multi-Year'!$N130,0)</f>
        <v>51842.242384217832</v>
      </c>
      <c r="P130" s="94">
        <f>IF('FY21-22'!$S130&gt;0,'FY21-22'!P130/'FY21-22'!$S130*'Multi-Year'!$N130,0)+IF('FY21-22'!$S130&lt;0,'FY21-22'!P130/'FY21-22'!$S130*'Multi-Year'!$N130,0)</f>
        <v>51842.242384217832</v>
      </c>
      <c r="Q130" s="606">
        <f>IF('FY21-22'!$S130&gt;0,'FY21-22'!Q130/'FY21-22'!$S130*'Multi-Year'!$N130,0)+IF('FY21-22'!$S130&lt;0,'FY21-22'!Q130/'FY21-22'!$S130*'Multi-Year'!$N130,0)</f>
        <v>0</v>
      </c>
      <c r="R130" s="94"/>
      <c r="S130" s="625">
        <f t="shared" si="42"/>
        <v>622106.90861061402</v>
      </c>
      <c r="T130" s="94"/>
      <c r="U130" s="94">
        <f>'FY21-22'!S130</f>
        <v>577511.64928493265</v>
      </c>
      <c r="V130" s="94">
        <f t="shared" si="43"/>
        <v>-44595.259325681371</v>
      </c>
    </row>
    <row r="131" spans="1:22" s="95" customFormat="1" ht="12" customHeight="1">
      <c r="A131" s="124"/>
      <c r="B131" s="124" t="s">
        <v>186</v>
      </c>
      <c r="C131" s="102">
        <v>5812</v>
      </c>
      <c r="D131" s="127" t="s">
        <v>95</v>
      </c>
      <c r="E131" s="94">
        <f>E19*'Revenue Inputs'!$D$10</f>
        <v>1580.6377559491632</v>
      </c>
      <c r="F131" s="94">
        <f>F19*'Revenue Inputs'!$D$10</f>
        <v>47440.869869967872</v>
      </c>
      <c r="G131" s="94">
        <f>G19*'Revenue Inputs'!$D$10</f>
        <v>46387.111366001765</v>
      </c>
      <c r="H131" s="94">
        <f>H19*'Revenue Inputs'!$D$10</f>
        <v>86553.006852457402</v>
      </c>
      <c r="I131" s="94">
        <f>I19*'Revenue Inputs'!$D$10</f>
        <v>81810.786852457415</v>
      </c>
      <c r="J131" s="94">
        <f>J19*'Revenue Inputs'!$D$10</f>
        <v>81810.786852457415</v>
      </c>
      <c r="K131" s="94">
        <f>K19*'Revenue Inputs'!$D$10</f>
        <v>86553.006852457402</v>
      </c>
      <c r="L131" s="94">
        <f>L19*'Revenue Inputs'!$D$10</f>
        <v>83391.424608406567</v>
      </c>
      <c r="M131" s="94">
        <f>M19*'Revenue Inputs'!$D$10</f>
        <v>90724.015216209111</v>
      </c>
      <c r="N131" s="94">
        <f>N19*'Revenue Inputs'!$D$10</f>
        <v>96180.65521620911</v>
      </c>
      <c r="O131" s="94">
        <f>O19*'Revenue Inputs'!$D$10</f>
        <v>90724.015216209111</v>
      </c>
      <c r="P131" s="94">
        <f>P19*'Revenue Inputs'!$D$10</f>
        <v>90724.015216209111</v>
      </c>
      <c r="Q131" s="606">
        <f>S19*'Revenue Inputs'!$D$10-SUM(E131:P131)</f>
        <v>93860.297834268655</v>
      </c>
      <c r="R131" s="94"/>
      <c r="S131" s="625">
        <f t="shared" si="42"/>
        <v>977740.62970926019</v>
      </c>
      <c r="T131" s="94"/>
      <c r="U131" s="94">
        <f>'FY21-22'!S131</f>
        <v>905440.39043798379</v>
      </c>
      <c r="V131" s="94">
        <f t="shared" si="43"/>
        <v>-72300.239271276398</v>
      </c>
    </row>
    <row r="132" spans="1:22" s="95" customFormat="1" ht="12" customHeight="1">
      <c r="A132" s="124"/>
      <c r="B132" s="124" t="s">
        <v>186</v>
      </c>
      <c r="C132" s="102">
        <v>5813</v>
      </c>
      <c r="D132" s="127" t="s">
        <v>243</v>
      </c>
      <c r="E132" s="94">
        <f>IF('FY21-22'!$S132&gt;0,'FY21-22'!E132/'FY21-22'!$S132*'Multi-Year'!$N132,0)+IF('FY21-22'!$S132&lt;0,'FY21-22'!E132/'FY21-22'!$S132*'Multi-Year'!$N132,0)</f>
        <v>0</v>
      </c>
      <c r="F132" s="94">
        <f>IF('FY21-22'!$S132&gt;0,'FY21-22'!F132/'FY21-22'!$S132*'Multi-Year'!$N132,0)+IF('FY21-22'!$S132&lt;0,'FY21-22'!F132/'FY21-22'!$S132*'Multi-Year'!$N132,0)</f>
        <v>0</v>
      </c>
      <c r="G132" s="94">
        <f>IF('FY21-22'!$S132&gt;0,'FY21-22'!G132/'FY21-22'!$S132*'Multi-Year'!$N132,0)+IF('FY21-22'!$S132&lt;0,'FY21-22'!G132/'FY21-22'!$S132*'Multi-Year'!$N132,0)</f>
        <v>0</v>
      </c>
      <c r="H132" s="94">
        <f>IF('FY21-22'!$S132&gt;0,'FY21-22'!H132/'FY21-22'!$S132*'Multi-Year'!$N132,0)+IF('FY21-22'!$S132&lt;0,'FY21-22'!H132/'FY21-22'!$S132*'Multi-Year'!$N132,0)</f>
        <v>0</v>
      </c>
      <c r="I132" s="94">
        <f>IF('FY21-22'!$S132&gt;0,'FY21-22'!I132/'FY21-22'!$S132*'Multi-Year'!$N132,0)+IF('FY21-22'!$S132&lt;0,'FY21-22'!I132/'FY21-22'!$S132*'Multi-Year'!$N132,0)</f>
        <v>0</v>
      </c>
      <c r="J132" s="94">
        <f>IF('FY21-22'!$S132&gt;0,'FY21-22'!J132/'FY21-22'!$S132*'Multi-Year'!$N132,0)+IF('FY21-22'!$S132&lt;0,'FY21-22'!J132/'FY21-22'!$S132*'Multi-Year'!$N132,0)</f>
        <v>0</v>
      </c>
      <c r="K132" s="94">
        <f>IF('FY21-22'!$S132&gt;0,'FY21-22'!K132/'FY21-22'!$S132*'Multi-Year'!$N132,0)+IF('FY21-22'!$S132&lt;0,'FY21-22'!K132/'FY21-22'!$S132*'Multi-Year'!$N132,0)</f>
        <v>0</v>
      </c>
      <c r="L132" s="94">
        <f>IF('FY21-22'!$S132&gt;0,'FY21-22'!L132/'FY21-22'!$S132*'Multi-Year'!$N132,0)+IF('FY21-22'!$S132&lt;0,'FY21-22'!L132/'FY21-22'!$S132*'Multi-Year'!$N132,0)</f>
        <v>0</v>
      </c>
      <c r="M132" s="94">
        <f>IF('FY21-22'!$S132&gt;0,'FY21-22'!M132/'FY21-22'!$S132*'Multi-Year'!$N132,0)+IF('FY21-22'!$S132&lt;0,'FY21-22'!M132/'FY21-22'!$S132*'Multi-Year'!$N132,0)</f>
        <v>0</v>
      </c>
      <c r="N132" s="94">
        <f>IF('FY21-22'!$S132&gt;0,'FY21-22'!N132/'FY21-22'!$S132*'Multi-Year'!$N132,0)+IF('FY21-22'!$S132&lt;0,'FY21-22'!N132/'FY21-22'!$S132*'Multi-Year'!$N132,0)</f>
        <v>0</v>
      </c>
      <c r="O132" s="94">
        <f>IF('FY21-22'!$S132&gt;0,'FY21-22'!O132/'FY21-22'!$S132*'Multi-Year'!$N132,0)+IF('FY21-22'!$S132&lt;0,'FY21-22'!O132/'FY21-22'!$S132*'Multi-Year'!$N132,0)</f>
        <v>0</v>
      </c>
      <c r="P132" s="94">
        <f>IF('FY21-22'!$S132&gt;0,'FY21-22'!P132/'FY21-22'!$S132*'Multi-Year'!$N132,0)+IF('FY21-22'!$S132&lt;0,'FY21-22'!P132/'FY21-22'!$S132*'Multi-Year'!$N132,0)</f>
        <v>0</v>
      </c>
      <c r="Q132" s="606">
        <f>IF('FY21-22'!$S132&gt;0,'FY21-22'!Q132/'FY21-22'!$S132*'Multi-Year'!$N132,0)+IF('FY21-22'!$S132&lt;0,'FY21-22'!Q132/'FY21-22'!$S132*'Multi-Year'!$N132,0)</f>
        <v>0</v>
      </c>
      <c r="R132" s="94"/>
      <c r="S132" s="625">
        <f t="shared" si="42"/>
        <v>0</v>
      </c>
      <c r="T132" s="94"/>
      <c r="U132" s="94">
        <f>'FY21-22'!S132</f>
        <v>0</v>
      </c>
      <c r="V132" s="94">
        <f t="shared" si="43"/>
        <v>0</v>
      </c>
    </row>
    <row r="133" spans="1:22" s="95" customFormat="1" ht="12" customHeight="1">
      <c r="A133" s="124"/>
      <c r="B133" s="124" t="s">
        <v>186</v>
      </c>
      <c r="C133" s="102">
        <v>5814</v>
      </c>
      <c r="D133" s="127" t="s">
        <v>336</v>
      </c>
      <c r="E133" s="94">
        <f>IF('Revenue Inputs'!$D$11&lt;1,(E33+E21)*'Revenue Inputs'!$D$11,$V$11*'Revenue Inputs'!$D$11*E9)</f>
        <v>0</v>
      </c>
      <c r="F133" s="94">
        <f>IF('Revenue Inputs'!$D$11&lt;1,(F33+F21)*'Revenue Inputs'!$D$11,$V$11*'Revenue Inputs'!$D$11*F9)</f>
        <v>0</v>
      </c>
      <c r="G133" s="94">
        <f>IF('Revenue Inputs'!$D$11&lt;1,(G33+G21)*'Revenue Inputs'!$D$11,$V$11*'Revenue Inputs'!$D$11*G9)</f>
        <v>0</v>
      </c>
      <c r="H133" s="94">
        <f>IF('Revenue Inputs'!$D$11&lt;1,(H33+H21)*'Revenue Inputs'!$D$11,$V$11*'Revenue Inputs'!$D$11*H9)</f>
        <v>0</v>
      </c>
      <c r="I133" s="94">
        <f>IF('Revenue Inputs'!$D$11&lt;1,(I33+I21)*'Revenue Inputs'!$D$11,$V$11*'Revenue Inputs'!$D$11*I9)</f>
        <v>0</v>
      </c>
      <c r="J133" s="94">
        <f>IF('Revenue Inputs'!$D$11&lt;1,(J33+J21)*'Revenue Inputs'!$D$11,$V$11*'Revenue Inputs'!$D$11*J9)</f>
        <v>0</v>
      </c>
      <c r="K133" s="94">
        <f>IF('Revenue Inputs'!$D$11&lt;1,(K33+K21)*'Revenue Inputs'!$D$11,$V$11*'Revenue Inputs'!$D$11*K9)</f>
        <v>0</v>
      </c>
      <c r="L133" s="94">
        <f>IF('Revenue Inputs'!$D$11&lt;1,(L33+L21)*'Revenue Inputs'!$D$11,((($D$4*'Revenue Inputs'!$D$11)-SUM($E$133:$K$133))*L9))</f>
        <v>0</v>
      </c>
      <c r="M133" s="94">
        <f>IF('Revenue Inputs'!$D$11&lt;1,(M33+M21)*'Revenue Inputs'!$D$11,((($D$4*'Revenue Inputs'!$D$11)-SUM($E$133:$K$133))*M9))</f>
        <v>0</v>
      </c>
      <c r="N133" s="94">
        <f>IF('Revenue Inputs'!$D$11&lt;1,(N33+N21)*'Revenue Inputs'!$D$11,((($D$4*'Revenue Inputs'!$D$11)-SUM($E$133:$K$133))*N9))</f>
        <v>0</v>
      </c>
      <c r="O133" s="94">
        <f>IF('Revenue Inputs'!$D$11&lt;1,(O33+O21)*'Revenue Inputs'!$D$11,((($D$4*'Revenue Inputs'!$D$11)-SUM($E$133:$K$133))*O9))</f>
        <v>0</v>
      </c>
      <c r="P133" s="94">
        <f>IF('Revenue Inputs'!$D$11&lt;1,(P33+P21)*'Revenue Inputs'!$D$11,((($D$4*'Revenue Inputs'!$D$11)-SUM($E$133:$K$133))*P9))</f>
        <v>0</v>
      </c>
      <c r="Q133" s="606">
        <f>IF('Revenue Inputs'!$D$11&lt;1,((S33+S21)*'Revenue Inputs'!$D$11)-SUM(E133:P133),(($D$4*'Revenue Inputs'!$D$11)-SUM($E$133:$P$133)))</f>
        <v>0</v>
      </c>
      <c r="R133" s="94"/>
      <c r="S133" s="625">
        <f t="shared" si="42"/>
        <v>0</v>
      </c>
      <c r="T133" s="94"/>
      <c r="U133" s="94">
        <f>'FY21-22'!S133</f>
        <v>0</v>
      </c>
      <c r="V133" s="94">
        <f t="shared" si="43"/>
        <v>0</v>
      </c>
    </row>
    <row r="134" spans="1:22" s="95" customFormat="1" ht="12" customHeight="1">
      <c r="A134" s="124"/>
      <c r="B134" s="124" t="s">
        <v>186</v>
      </c>
      <c r="C134" s="102">
        <f>'Multi-Year'!D134</f>
        <v>5815</v>
      </c>
      <c r="D134" s="127" t="s">
        <v>316</v>
      </c>
      <c r="E134" s="94">
        <f>IF('FY21-22'!$S134&gt;0,'FY21-22'!E134/'FY21-22'!$S134*'Multi-Year'!$N134,0)+IF('FY21-22'!$S134&lt;0,'FY21-22'!E134/'FY21-22'!$S134*'Multi-Year'!$N134,0)</f>
        <v>0</v>
      </c>
      <c r="F134" s="94">
        <f>IF('FY21-22'!$S134&gt;0,'FY21-22'!F134/'FY21-22'!$S134*'Multi-Year'!$N134,0)+IF('FY21-22'!$S134&lt;0,'FY21-22'!F134/'FY21-22'!$S134*'Multi-Year'!$N134,0)</f>
        <v>0</v>
      </c>
      <c r="G134" s="94">
        <f>IF('FY21-22'!$S134&gt;0,'FY21-22'!G134/'FY21-22'!$S134*'Multi-Year'!$N134,0)+IF('FY21-22'!$S134&lt;0,'FY21-22'!G134/'FY21-22'!$S134*'Multi-Year'!$N134,0)</f>
        <v>0</v>
      </c>
      <c r="H134" s="94">
        <f>IF('FY21-22'!$S134&gt;0,'FY21-22'!H134/'FY21-22'!$S134*'Multi-Year'!$N134,0)+IF('FY21-22'!$S134&lt;0,'FY21-22'!H134/'FY21-22'!$S134*'Multi-Year'!$N134,0)</f>
        <v>0</v>
      </c>
      <c r="I134" s="94">
        <f>IF('FY21-22'!$S134&gt;0,'FY21-22'!I134/'FY21-22'!$S134*'Multi-Year'!$N134,0)+IF('FY21-22'!$S134&lt;0,'FY21-22'!I134/'FY21-22'!$S134*'Multi-Year'!$N134,0)</f>
        <v>0</v>
      </c>
      <c r="J134" s="94">
        <f>IF('FY21-22'!$S134&gt;0,'FY21-22'!J134/'FY21-22'!$S134*'Multi-Year'!$N134,0)+IF('FY21-22'!$S134&lt;0,'FY21-22'!J134/'FY21-22'!$S134*'Multi-Year'!$N134,0)</f>
        <v>0</v>
      </c>
      <c r="K134" s="94">
        <f>IF('FY21-22'!$S134&gt;0,'FY21-22'!K134/'FY21-22'!$S134*'Multi-Year'!$N134,0)+IF('FY21-22'!$S134&lt;0,'FY21-22'!K134/'FY21-22'!$S134*'Multi-Year'!$N134,0)</f>
        <v>0</v>
      </c>
      <c r="L134" s="94">
        <f>IF('FY21-22'!$S134&gt;0,'FY21-22'!L134/'FY21-22'!$S134*'Multi-Year'!$N134,0)+IF('FY21-22'!$S134&lt;0,'FY21-22'!L134/'FY21-22'!$S134*'Multi-Year'!$N134,0)</f>
        <v>0</v>
      </c>
      <c r="M134" s="94">
        <f>IF('FY21-22'!$S134&gt;0,'FY21-22'!M134/'FY21-22'!$S134*'Multi-Year'!$N134,0)+IF('FY21-22'!$S134&lt;0,'FY21-22'!M134/'FY21-22'!$S134*'Multi-Year'!$N134,0)</f>
        <v>0</v>
      </c>
      <c r="N134" s="94">
        <f>IF('FY21-22'!$S134&gt;0,'FY21-22'!N134/'FY21-22'!$S134*'Multi-Year'!$N134,0)+IF('FY21-22'!$S134&lt;0,'FY21-22'!N134/'FY21-22'!$S134*'Multi-Year'!$N134,0)</f>
        <v>439.17031871999995</v>
      </c>
      <c r="O134" s="94">
        <f>IF('FY21-22'!$S134&gt;0,'FY21-22'!O134/'FY21-22'!$S134*'Multi-Year'!$N134,0)+IF('FY21-22'!$S134&lt;0,'FY21-22'!O134/'FY21-22'!$S134*'Multi-Year'!$N134,0)</f>
        <v>0</v>
      </c>
      <c r="P134" s="94">
        <f>IF('FY21-22'!$S134&gt;0,'FY21-22'!P134/'FY21-22'!$S134*'Multi-Year'!$N134,0)+IF('FY21-22'!$S134&lt;0,'FY21-22'!P134/'FY21-22'!$S134*'Multi-Year'!$N134,0)</f>
        <v>0</v>
      </c>
      <c r="Q134" s="606">
        <f>IF('FY21-22'!$S134&gt;0,'FY21-22'!Q134/'FY21-22'!$S134*'Multi-Year'!$N134,0)+IF('FY21-22'!$S134&lt;0,'FY21-22'!Q134/'FY21-22'!$S134*'Multi-Year'!$N134,0)</f>
        <v>0</v>
      </c>
      <c r="R134" s="94"/>
      <c r="S134" s="625">
        <f>SUM(E134:Q134)</f>
        <v>439.17031871999995</v>
      </c>
      <c r="T134" s="94"/>
      <c r="U134" s="94">
        <f>'FY21-22'!S134</f>
        <v>430.55913599999997</v>
      </c>
      <c r="V134" s="94">
        <f>U134-S134</f>
        <v>-8.611182719999988</v>
      </c>
    </row>
    <row r="135" spans="1:22" s="95" customFormat="1" ht="12" customHeight="1">
      <c r="A135" s="124"/>
      <c r="B135" s="124"/>
      <c r="C135" s="102">
        <f>'Multi-Year'!D135</f>
        <v>5820</v>
      </c>
      <c r="D135" s="127" t="s">
        <v>515</v>
      </c>
      <c r="E135" s="94">
        <f>IF('FY21-22'!$S135&gt;0,'FY21-22'!E135/'FY21-22'!$S135*'Multi-Year'!$N135,0)+IF('FY21-22'!$S135&lt;0,'FY21-22'!E135/'FY21-22'!$S135*'Multi-Year'!$N135,0)</f>
        <v>0</v>
      </c>
      <c r="F135" s="94">
        <f>IF('FY21-22'!$S135&gt;0,'FY21-22'!F135/'FY21-22'!$S135*'Multi-Year'!$N135,0)+IF('FY21-22'!$S135&lt;0,'FY21-22'!F135/'FY21-22'!$S135*'Multi-Year'!$N135,0)</f>
        <v>0</v>
      </c>
      <c r="G135" s="94">
        <f>IF('FY21-22'!$S135&gt;0,'FY21-22'!G135/'FY21-22'!$S135*'Multi-Year'!$N135,0)+IF('FY21-22'!$S135&lt;0,'FY21-22'!G135/'FY21-22'!$S135*'Multi-Year'!$N135,0)</f>
        <v>0</v>
      </c>
      <c r="H135" s="94">
        <f>IF('FY21-22'!$S135&gt;0,'FY21-22'!H135/'FY21-22'!$S135*'Multi-Year'!$N135,0)+IF('FY21-22'!$S135&lt;0,'FY21-22'!H135/'FY21-22'!$S135*'Multi-Year'!$N135,0)</f>
        <v>0</v>
      </c>
      <c r="I135" s="94">
        <f>IF('FY21-22'!$S135&gt;0,'FY21-22'!I135/'FY21-22'!$S135*'Multi-Year'!$N135,0)+IF('FY21-22'!$S135&lt;0,'FY21-22'!I135/'FY21-22'!$S135*'Multi-Year'!$N135,0)</f>
        <v>0</v>
      </c>
      <c r="J135" s="94">
        <f>IF('FY21-22'!$S135&gt;0,'FY21-22'!J135/'FY21-22'!$S135*'Multi-Year'!$N135,0)+IF('FY21-22'!$S135&lt;0,'FY21-22'!J135/'FY21-22'!$S135*'Multi-Year'!$N135,0)</f>
        <v>0</v>
      </c>
      <c r="K135" s="94">
        <f>IF('FY21-22'!$S135&gt;0,'FY21-22'!K135/'FY21-22'!$S135*'Multi-Year'!$N135,0)+IF('FY21-22'!$S135&lt;0,'FY21-22'!K135/'FY21-22'!$S135*'Multi-Year'!$N135,0)</f>
        <v>0</v>
      </c>
      <c r="L135" s="94">
        <f>IF('FY21-22'!$S135&gt;0,'FY21-22'!L135/'FY21-22'!$S135*'Multi-Year'!$N135,0)+IF('FY21-22'!$S135&lt;0,'FY21-22'!L135/'FY21-22'!$S135*'Multi-Year'!$N135,0)</f>
        <v>0</v>
      </c>
      <c r="M135" s="94">
        <f>IF('FY21-22'!$S135&gt;0,'FY21-22'!M135/'FY21-22'!$S135*'Multi-Year'!$N135,0)+IF('FY21-22'!$S135&lt;0,'FY21-22'!M135/'FY21-22'!$S135*'Multi-Year'!$N135,0)</f>
        <v>0</v>
      </c>
      <c r="N135" s="94">
        <f>IF('FY21-22'!$S135&gt;0,'FY21-22'!N135/'FY21-22'!$S135*'Multi-Year'!$N135,0)+IF('FY21-22'!$S135&lt;0,'FY21-22'!N135/'FY21-22'!$S135*'Multi-Year'!$N135,0)</f>
        <v>0</v>
      </c>
      <c r="O135" s="94">
        <f>IF('FY21-22'!$S135&gt;0,'FY21-22'!O135/'FY21-22'!$S135*'Multi-Year'!$N135,0)+IF('FY21-22'!$S135&lt;0,'FY21-22'!O135/'FY21-22'!$S135*'Multi-Year'!$N135,0)</f>
        <v>0</v>
      </c>
      <c r="P135" s="94">
        <f>IF('FY21-22'!$S135&gt;0,'FY21-22'!P135/'FY21-22'!$S135*'Multi-Year'!$N135,0)+IF('FY21-22'!$S135&lt;0,'FY21-22'!P135/'FY21-22'!$S135*'Multi-Year'!$N135,0)</f>
        <v>0</v>
      </c>
      <c r="Q135" s="606">
        <f>IF('FY21-22'!$S135&gt;0,'FY21-22'!Q135/'FY21-22'!$S135*'Multi-Year'!$N135,0)+IF('FY21-22'!$S135&lt;0,'FY21-22'!Q135/'FY21-22'!$S135*'Multi-Year'!$N135,0)</f>
        <v>0</v>
      </c>
      <c r="R135" s="94"/>
      <c r="S135" s="625">
        <f>SUM(E135:Q135)</f>
        <v>0</v>
      </c>
      <c r="T135" s="94"/>
      <c r="U135" s="94">
        <f>'FY21-22'!S135</f>
        <v>0</v>
      </c>
      <c r="V135" s="94">
        <f>U135-S135</f>
        <v>0</v>
      </c>
    </row>
    <row r="136" spans="1:22" s="95" customFormat="1" ht="12" customHeight="1">
      <c r="A136" s="124"/>
      <c r="B136" s="124" t="s">
        <v>186</v>
      </c>
      <c r="C136" s="126"/>
      <c r="D136" s="126"/>
      <c r="E136" s="215">
        <f t="shared" ref="E136:Q136" si="44">SUM(E120:E135)</f>
        <v>58438.070010937299</v>
      </c>
      <c r="F136" s="215">
        <f t="shared" si="44"/>
        <v>100311.82518983482</v>
      </c>
      <c r="G136" s="215">
        <f t="shared" si="44"/>
        <v>99071.723959890543</v>
      </c>
      <c r="H136" s="215">
        <f t="shared" si="44"/>
        <v>145094.98228916296</v>
      </c>
      <c r="I136" s="215">
        <f t="shared" si="44"/>
        <v>144139.88835541098</v>
      </c>
      <c r="J136" s="215">
        <f t="shared" si="44"/>
        <v>137658.75344212604</v>
      </c>
      <c r="K136" s="215">
        <f t="shared" si="44"/>
        <v>147022.03659879949</v>
      </c>
      <c r="L136" s="215">
        <f t="shared" si="44"/>
        <v>257108.82069748855</v>
      </c>
      <c r="M136" s="215">
        <f t="shared" si="44"/>
        <v>232204.44791727912</v>
      </c>
      <c r="N136" s="215">
        <f t="shared" si="44"/>
        <v>250208.79651341238</v>
      </c>
      <c r="O136" s="215">
        <f t="shared" si="44"/>
        <v>145525.58764736587</v>
      </c>
      <c r="P136" s="215">
        <f t="shared" si="44"/>
        <v>245493.11008365167</v>
      </c>
      <c r="Q136" s="603">
        <f t="shared" si="44"/>
        <v>93860.297834268655</v>
      </c>
      <c r="R136" s="94"/>
      <c r="S136" s="626">
        <f>SUM(E136:R136)</f>
        <v>2056138.3405396282</v>
      </c>
      <c r="T136" s="94"/>
      <c r="U136" s="216">
        <f>SUM(U120:U135)</f>
        <v>1912061.8013062214</v>
      </c>
      <c r="V136" s="216">
        <f>SUM(V120:V135)</f>
        <v>-144076.53923340706</v>
      </c>
    </row>
    <row r="137" spans="1:22" s="95" customFormat="1" ht="12" customHeight="1">
      <c r="A137" s="124"/>
      <c r="B137" s="124" t="s">
        <v>107</v>
      </c>
      <c r="C137" s="102"/>
      <c r="D137" s="103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606"/>
      <c r="R137" s="94"/>
      <c r="S137" s="627"/>
      <c r="T137" s="94"/>
      <c r="U137" s="94"/>
      <c r="V137" s="94"/>
    </row>
    <row r="138" spans="1:22" s="95" customFormat="1" ht="12" customHeight="1">
      <c r="A138" s="124"/>
      <c r="B138" s="124" t="s">
        <v>186</v>
      </c>
      <c r="C138" s="102">
        <v>6900</v>
      </c>
      <c r="D138" s="103" t="s">
        <v>44</v>
      </c>
      <c r="E138" s="94">
        <f>IF('FY21-22'!$S138&gt;0,'FY21-22'!E138/'FY21-22'!$S138*'Multi-Year'!$N138,0)+IF('FY21-22'!$S138&lt;0,'FY21-22'!E138/'FY21-22'!$S138*'Multi-Year'!$N138,0)</f>
        <v>0</v>
      </c>
      <c r="F138" s="94">
        <f>IF('FY21-22'!$S138&gt;0,'FY21-22'!F138/'FY21-22'!$S138*'Multi-Year'!$N138,0)+IF('FY21-22'!$S138&lt;0,'FY21-22'!F138/'FY21-22'!$S138*'Multi-Year'!$N138,0)</f>
        <v>0</v>
      </c>
      <c r="G138" s="94">
        <f>IF('FY21-22'!$S138&gt;0,'FY21-22'!G138/'FY21-22'!$S138*'Multi-Year'!$N138,0)+IF('FY21-22'!$S138&lt;0,'FY21-22'!G138/'FY21-22'!$S138*'Multi-Year'!$N138,0)</f>
        <v>0</v>
      </c>
      <c r="H138" s="94">
        <f>IF('FY21-22'!$S138&gt;0,'FY21-22'!H138/'FY21-22'!$S138*'Multi-Year'!$N138,0)+IF('FY21-22'!$S138&lt;0,'FY21-22'!H138/'FY21-22'!$S138*'Multi-Year'!$N138,0)</f>
        <v>0</v>
      </c>
      <c r="I138" s="94">
        <f>IF('FY21-22'!$S138&gt;0,'FY21-22'!I138/'FY21-22'!$S138*'Multi-Year'!$N138,0)+IF('FY21-22'!$S138&lt;0,'FY21-22'!I138/'FY21-22'!$S138*'Multi-Year'!$N138,0)</f>
        <v>0</v>
      </c>
      <c r="J138" s="94">
        <f>IF('FY21-22'!$S138&gt;0,'FY21-22'!J138/'FY21-22'!$S138*'Multi-Year'!$N138,0)+IF('FY21-22'!$S138&lt;0,'FY21-22'!J138/'FY21-22'!$S138*'Multi-Year'!$N138,0)</f>
        <v>0</v>
      </c>
      <c r="K138" s="94">
        <f>IF('FY21-22'!$S138&gt;0,'FY21-22'!K138/'FY21-22'!$S138*'Multi-Year'!$N138,0)+IF('FY21-22'!$S138&lt;0,'FY21-22'!K138/'FY21-22'!$S138*'Multi-Year'!$N138,0)</f>
        <v>106.12080000000002</v>
      </c>
      <c r="L138" s="94">
        <f>IF('FY21-22'!$S138&gt;0,'FY21-22'!L138/'FY21-22'!$S138*'Multi-Year'!$N138,0)+IF('FY21-22'!$S138&lt;0,'FY21-22'!L138/'FY21-22'!$S138*'Multi-Year'!$N138,0)</f>
        <v>53.060400000000008</v>
      </c>
      <c r="M138" s="94">
        <f>IF('FY21-22'!$S138&gt;0,'FY21-22'!M138/'FY21-22'!$S138*'Multi-Year'!$N138,0)+IF('FY21-22'!$S138&lt;0,'FY21-22'!M138/'FY21-22'!$S138*'Multi-Year'!$N138,0)</f>
        <v>53.060400000000008</v>
      </c>
      <c r="N138" s="94">
        <f>IF('FY21-22'!$S138&gt;0,'FY21-22'!N138/'FY21-22'!$S138*'Multi-Year'!$N138,0)+IF('FY21-22'!$S138&lt;0,'FY21-22'!N138/'FY21-22'!$S138*'Multi-Year'!$N138,0)</f>
        <v>53.060400000000008</v>
      </c>
      <c r="O138" s="94">
        <f>IF('FY21-22'!$S138&gt;0,'FY21-22'!O138/'FY21-22'!$S138*'Multi-Year'!$N138,0)+IF('FY21-22'!$S138&lt;0,'FY21-22'!O138/'FY21-22'!$S138*'Multi-Year'!$N138,0)</f>
        <v>53.060400000000008</v>
      </c>
      <c r="P138" s="94">
        <f>IF('FY21-22'!$S138&gt;0,'FY21-22'!P138/'FY21-22'!$S138*'Multi-Year'!$N138,0)+IF('FY21-22'!$S138&lt;0,'FY21-22'!P138/'FY21-22'!$S138*'Multi-Year'!$N138,0)</f>
        <v>53.060400000000008</v>
      </c>
      <c r="Q138" s="606">
        <f>IF('FY21-22'!$S138&gt;0,'FY21-22'!Q138/'FY21-22'!$S138*'Multi-Year'!$N138,0)+IF('FY21-22'!$S138&lt;0,'FY21-22'!Q138/'FY21-22'!$S138*'Multi-Year'!$N138,0)</f>
        <v>0</v>
      </c>
      <c r="R138" s="94"/>
      <c r="S138" s="625">
        <f t="shared" ref="S138" si="45">SUM(E138:Q138)</f>
        <v>371.42280000000005</v>
      </c>
      <c r="T138" s="94"/>
      <c r="U138" s="94">
        <f>'FY21-22'!S138</f>
        <v>364.13999999999993</v>
      </c>
      <c r="V138" s="94">
        <f t="shared" ref="V138" si="46">U138-S138</f>
        <v>-7.2828000000001225</v>
      </c>
    </row>
    <row r="139" spans="1:22" s="95" customFormat="1" ht="12" customHeight="1">
      <c r="A139" s="124"/>
      <c r="B139" s="124" t="s">
        <v>186</v>
      </c>
      <c r="C139" s="126"/>
      <c r="D139" s="126"/>
      <c r="E139" s="215">
        <f t="shared" ref="E139:Q139" si="47">SUM(E138:E138)</f>
        <v>0</v>
      </c>
      <c r="F139" s="215">
        <f t="shared" si="47"/>
        <v>0</v>
      </c>
      <c r="G139" s="215">
        <f t="shared" si="47"/>
        <v>0</v>
      </c>
      <c r="H139" s="215">
        <f t="shared" si="47"/>
        <v>0</v>
      </c>
      <c r="I139" s="215">
        <f t="shared" si="47"/>
        <v>0</v>
      </c>
      <c r="J139" s="215">
        <f t="shared" si="47"/>
        <v>0</v>
      </c>
      <c r="K139" s="215">
        <f t="shared" si="47"/>
        <v>106.12080000000002</v>
      </c>
      <c r="L139" s="215">
        <f t="shared" si="47"/>
        <v>53.060400000000008</v>
      </c>
      <c r="M139" s="215">
        <f t="shared" si="47"/>
        <v>53.060400000000008</v>
      </c>
      <c r="N139" s="215">
        <f t="shared" si="47"/>
        <v>53.060400000000008</v>
      </c>
      <c r="O139" s="215">
        <f t="shared" si="47"/>
        <v>53.060400000000008</v>
      </c>
      <c r="P139" s="215">
        <f t="shared" si="47"/>
        <v>53.060400000000008</v>
      </c>
      <c r="Q139" s="603">
        <f t="shared" si="47"/>
        <v>0</v>
      </c>
      <c r="R139" s="94"/>
      <c r="S139" s="626">
        <f>SUM(E139:R139)</f>
        <v>371.42280000000005</v>
      </c>
      <c r="T139" s="113"/>
      <c r="U139" s="216">
        <f>U138</f>
        <v>364.13999999999993</v>
      </c>
      <c r="V139" s="216">
        <f>V138</f>
        <v>-7.2828000000001225</v>
      </c>
    </row>
    <row r="140" spans="1:22" s="95" customFormat="1" ht="12" customHeight="1">
      <c r="A140" s="124"/>
      <c r="B140" s="124" t="s">
        <v>5</v>
      </c>
      <c r="C140" s="102"/>
      <c r="D140" s="103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606"/>
      <c r="R140" s="94"/>
      <c r="S140" s="627"/>
      <c r="T140" s="94"/>
      <c r="U140" s="94"/>
      <c r="V140" s="94"/>
    </row>
    <row r="141" spans="1:22" s="95" customFormat="1" ht="12" customHeight="1">
      <c r="A141" s="124"/>
      <c r="B141" s="124"/>
      <c r="C141" s="102">
        <v>7438</v>
      </c>
      <c r="D141" s="103" t="s">
        <v>45</v>
      </c>
      <c r="E141" s="94">
        <f>E164*0.04</f>
        <v>0</v>
      </c>
      <c r="F141" s="94">
        <f t="shared" ref="F141:P141" si="48">F164*0.04</f>
        <v>0</v>
      </c>
      <c r="G141" s="94">
        <f t="shared" si="48"/>
        <v>0</v>
      </c>
      <c r="H141" s="94">
        <f t="shared" si="48"/>
        <v>0</v>
      </c>
      <c r="I141" s="94">
        <f t="shared" si="48"/>
        <v>0</v>
      </c>
      <c r="J141" s="94">
        <f t="shared" si="48"/>
        <v>0</v>
      </c>
      <c r="K141" s="94">
        <f t="shared" si="48"/>
        <v>0</v>
      </c>
      <c r="L141" s="94">
        <f t="shared" si="48"/>
        <v>0</v>
      </c>
      <c r="M141" s="94">
        <f t="shared" si="48"/>
        <v>0</v>
      </c>
      <c r="N141" s="94">
        <f t="shared" si="48"/>
        <v>0</v>
      </c>
      <c r="O141" s="94">
        <f t="shared" si="48"/>
        <v>0</v>
      </c>
      <c r="P141" s="94">
        <f t="shared" si="48"/>
        <v>0</v>
      </c>
      <c r="Q141" s="606">
        <v>0</v>
      </c>
      <c r="R141" s="94"/>
      <c r="S141" s="625">
        <f t="shared" ref="S141" si="49">SUM(E141:Q141)</f>
        <v>0</v>
      </c>
      <c r="T141" s="94"/>
      <c r="U141" s="94">
        <f>'FY21-22'!S141</f>
        <v>0</v>
      </c>
      <c r="V141" s="94">
        <f t="shared" ref="V141" si="50">U141-S141</f>
        <v>0</v>
      </c>
    </row>
    <row r="142" spans="1:22" s="95" customFormat="1" ht="12" customHeight="1">
      <c r="A142" s="124"/>
      <c r="B142" s="124"/>
      <c r="C142" s="126"/>
      <c r="D142" s="126"/>
      <c r="E142" s="215">
        <f t="shared" ref="E142:Q142" si="51">SUM(E141:E141)</f>
        <v>0</v>
      </c>
      <c r="F142" s="215">
        <f t="shared" si="51"/>
        <v>0</v>
      </c>
      <c r="G142" s="215">
        <f t="shared" si="51"/>
        <v>0</v>
      </c>
      <c r="H142" s="215">
        <f t="shared" si="51"/>
        <v>0</v>
      </c>
      <c r="I142" s="215">
        <f t="shared" si="51"/>
        <v>0</v>
      </c>
      <c r="J142" s="215">
        <f t="shared" si="51"/>
        <v>0</v>
      </c>
      <c r="K142" s="215">
        <f t="shared" si="51"/>
        <v>0</v>
      </c>
      <c r="L142" s="215">
        <f t="shared" si="51"/>
        <v>0</v>
      </c>
      <c r="M142" s="215">
        <f t="shared" si="51"/>
        <v>0</v>
      </c>
      <c r="N142" s="215">
        <f t="shared" si="51"/>
        <v>0</v>
      </c>
      <c r="O142" s="215">
        <f t="shared" si="51"/>
        <v>0</v>
      </c>
      <c r="P142" s="215">
        <f t="shared" si="51"/>
        <v>0</v>
      </c>
      <c r="Q142" s="603">
        <f t="shared" si="51"/>
        <v>0</v>
      </c>
      <c r="R142" s="94"/>
      <c r="S142" s="626">
        <f>SUM(E142:R142)</f>
        <v>0</v>
      </c>
      <c r="T142" s="113"/>
      <c r="U142" s="216">
        <f>U141</f>
        <v>0</v>
      </c>
      <c r="V142" s="216">
        <f>V141</f>
        <v>0</v>
      </c>
    </row>
    <row r="143" spans="1:22" s="95" customFormat="1" ht="12" customHeight="1">
      <c r="A143" s="124"/>
      <c r="B143" s="124"/>
      <c r="C143" s="126"/>
      <c r="D143" s="126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606"/>
      <c r="R143" s="94"/>
      <c r="S143" s="627"/>
      <c r="T143" s="94"/>
      <c r="U143" s="94"/>
      <c r="V143" s="94"/>
    </row>
    <row r="144" spans="1:22" s="112" customFormat="1" ht="12" customHeight="1">
      <c r="A144" s="91" t="s">
        <v>6</v>
      </c>
      <c r="B144" s="91"/>
      <c r="C144" s="91"/>
      <c r="D144" s="91"/>
      <c r="E144" s="216">
        <f t="shared" ref="E144:Q144" si="52">E139+E110+E118+E136+E99+E90+E79+E69+E142+E62</f>
        <v>1362581.6697757107</v>
      </c>
      <c r="F144" s="216">
        <f t="shared" si="52"/>
        <v>2182393.9051075657</v>
      </c>
      <c r="G144" s="216">
        <f t="shared" si="52"/>
        <v>2389614.1592794042</v>
      </c>
      <c r="H144" s="216">
        <f t="shared" si="52"/>
        <v>2834705.4740963434</v>
      </c>
      <c r="I144" s="216">
        <f t="shared" si="52"/>
        <v>1591041.3277160611</v>
      </c>
      <c r="J144" s="216">
        <f t="shared" si="52"/>
        <v>3418542.2963345367</v>
      </c>
      <c r="K144" s="216">
        <f t="shared" si="52"/>
        <v>2744789.5754125933</v>
      </c>
      <c r="L144" s="216">
        <f t="shared" si="52"/>
        <v>2658027.0244727503</v>
      </c>
      <c r="M144" s="216">
        <f t="shared" si="52"/>
        <v>2605655.3993344661</v>
      </c>
      <c r="N144" s="216">
        <f t="shared" si="52"/>
        <v>2804454.4592694603</v>
      </c>
      <c r="O144" s="216">
        <f t="shared" si="52"/>
        <v>2770822.7342069843</v>
      </c>
      <c r="P144" s="216">
        <f t="shared" si="52"/>
        <v>4343977.5733327996</v>
      </c>
      <c r="Q144" s="607">
        <f t="shared" si="52"/>
        <v>93860.297834268655</v>
      </c>
      <c r="R144" s="113"/>
      <c r="S144" s="626">
        <f>SUM(E144:R144)</f>
        <v>31800465.896172948</v>
      </c>
      <c r="T144" s="113"/>
      <c r="U144" s="216">
        <f>U142+U139+U110+U118+U136+U99+U90+U79+U69+U62</f>
        <v>29605489.738407891</v>
      </c>
      <c r="V144" s="216">
        <f>V142+V139+V110+V118+V136+V99+V90+V79+V69+V62</f>
        <v>-2194976.1577650486</v>
      </c>
    </row>
    <row r="145" spans="1:22" s="95" customFormat="1" ht="12" customHeight="1"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606"/>
      <c r="R145" s="94"/>
      <c r="S145" s="627"/>
      <c r="T145" s="113"/>
      <c r="U145" s="113"/>
      <c r="V145" s="113"/>
    </row>
    <row r="146" spans="1:22" s="128" customFormat="1" ht="12" customHeight="1" thickBot="1">
      <c r="A146" s="128" t="s">
        <v>46</v>
      </c>
      <c r="E146" s="129">
        <f t="shared" ref="E146:U146" si="53">E52-E144</f>
        <v>-1309893.7445774053</v>
      </c>
      <c r="F146" s="129">
        <f t="shared" si="53"/>
        <v>-504331.33867763332</v>
      </c>
      <c r="G146" s="129">
        <f t="shared" si="53"/>
        <v>-746676.87631500862</v>
      </c>
      <c r="H146" s="129">
        <f t="shared" si="53"/>
        <v>224455.1816947097</v>
      </c>
      <c r="I146" s="129">
        <f t="shared" si="53"/>
        <v>1310045.3280749919</v>
      </c>
      <c r="J146" s="129">
        <f t="shared" si="53"/>
        <v>-452036.25014348375</v>
      </c>
      <c r="K146" s="129">
        <f t="shared" si="53"/>
        <v>478043.4112956929</v>
      </c>
      <c r="L146" s="129">
        <f t="shared" si="53"/>
        <v>295747.55651660822</v>
      </c>
      <c r="M146" s="129">
        <f t="shared" si="53"/>
        <v>611962.84683808824</v>
      </c>
      <c r="N146" s="129">
        <f t="shared" si="53"/>
        <v>902351.00164061412</v>
      </c>
      <c r="O146" s="129">
        <f t="shared" si="53"/>
        <v>446795.51196557004</v>
      </c>
      <c r="P146" s="129">
        <f t="shared" si="53"/>
        <v>-1063607.6822729432</v>
      </c>
      <c r="Q146" s="608">
        <f t="shared" si="53"/>
        <v>3555645.3641080679</v>
      </c>
      <c r="R146" s="113">
        <f t="shared" si="53"/>
        <v>0</v>
      </c>
      <c r="S146" s="631">
        <f t="shared" si="53"/>
        <v>3748500.3101478741</v>
      </c>
      <c r="T146" s="113">
        <f t="shared" si="53"/>
        <v>0</v>
      </c>
      <c r="U146" s="129">
        <f t="shared" si="53"/>
        <v>3395175.9350168295</v>
      </c>
      <c r="V146" s="129">
        <f>V52+V144</f>
        <v>353324.37513105292</v>
      </c>
    </row>
    <row r="147" spans="1:22" s="95" customFormat="1" ht="12" customHeight="1" thickTop="1"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606"/>
      <c r="R147" s="94"/>
      <c r="S147" s="627"/>
      <c r="T147" s="94"/>
      <c r="U147" s="94"/>
      <c r="V147" s="94"/>
    </row>
    <row r="148" spans="1:22" s="95" customFormat="1" ht="12" customHeight="1">
      <c r="A148" s="112" t="s">
        <v>47</v>
      </c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606"/>
      <c r="R148" s="94"/>
      <c r="S148" s="633"/>
      <c r="T148" s="94"/>
      <c r="U148" s="94"/>
      <c r="V148" s="94"/>
    </row>
    <row r="149" spans="1:22" s="112" customFormat="1" ht="12" customHeight="1">
      <c r="C149" s="95" t="s">
        <v>46</v>
      </c>
      <c r="D149" s="95"/>
      <c r="E149" s="94">
        <f t="shared" ref="E149:Q149" si="54">E146</f>
        <v>-1309893.7445774053</v>
      </c>
      <c r="F149" s="94">
        <f t="shared" si="54"/>
        <v>-504331.33867763332</v>
      </c>
      <c r="G149" s="94">
        <f t="shared" si="54"/>
        <v>-746676.87631500862</v>
      </c>
      <c r="H149" s="94">
        <f t="shared" si="54"/>
        <v>224455.1816947097</v>
      </c>
      <c r="I149" s="94">
        <f t="shared" si="54"/>
        <v>1310045.3280749919</v>
      </c>
      <c r="J149" s="94">
        <f t="shared" si="54"/>
        <v>-452036.25014348375</v>
      </c>
      <c r="K149" s="94">
        <f t="shared" si="54"/>
        <v>478043.4112956929</v>
      </c>
      <c r="L149" s="94">
        <f t="shared" si="54"/>
        <v>295747.55651660822</v>
      </c>
      <c r="M149" s="94">
        <f t="shared" si="54"/>
        <v>611962.84683808824</v>
      </c>
      <c r="N149" s="94">
        <f t="shared" si="54"/>
        <v>902351.00164061412</v>
      </c>
      <c r="O149" s="94">
        <f t="shared" si="54"/>
        <v>446795.51196557004</v>
      </c>
      <c r="P149" s="94">
        <f t="shared" si="54"/>
        <v>-1063607.6822729432</v>
      </c>
      <c r="Q149" s="606">
        <f t="shared" si="54"/>
        <v>3555645.3641080679</v>
      </c>
      <c r="R149" s="94"/>
      <c r="S149" s="627">
        <f>SUM(E149:R149)</f>
        <v>3748500.3101478685</v>
      </c>
      <c r="T149" s="113"/>
      <c r="U149" s="113"/>
      <c r="V149" s="113"/>
    </row>
    <row r="150" spans="1:22" s="95" customFormat="1" ht="12" customHeight="1">
      <c r="C150" s="95" t="s">
        <v>48</v>
      </c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606"/>
      <c r="R150" s="94"/>
      <c r="S150" s="627"/>
      <c r="T150" s="94"/>
      <c r="U150" s="94"/>
      <c r="V150" s="113"/>
    </row>
    <row r="151" spans="1:22" s="95" customFormat="1" ht="12" customHeight="1">
      <c r="D151" s="130" t="s">
        <v>289</v>
      </c>
      <c r="E151" s="94">
        <f t="shared" ref="E151:Q151" si="55">+E138</f>
        <v>0</v>
      </c>
      <c r="F151" s="94">
        <f t="shared" si="55"/>
        <v>0</v>
      </c>
      <c r="G151" s="94">
        <f t="shared" si="55"/>
        <v>0</v>
      </c>
      <c r="H151" s="94">
        <f t="shared" si="55"/>
        <v>0</v>
      </c>
      <c r="I151" s="94">
        <f t="shared" si="55"/>
        <v>0</v>
      </c>
      <c r="J151" s="94">
        <f t="shared" si="55"/>
        <v>0</v>
      </c>
      <c r="K151" s="94">
        <f t="shared" si="55"/>
        <v>106.12080000000002</v>
      </c>
      <c r="L151" s="94">
        <f t="shared" si="55"/>
        <v>53.060400000000008</v>
      </c>
      <c r="M151" s="94">
        <f t="shared" si="55"/>
        <v>53.060400000000008</v>
      </c>
      <c r="N151" s="94">
        <f t="shared" si="55"/>
        <v>53.060400000000008</v>
      </c>
      <c r="O151" s="94">
        <f t="shared" si="55"/>
        <v>53.060400000000008</v>
      </c>
      <c r="P151" s="94">
        <f t="shared" si="55"/>
        <v>53.060400000000008</v>
      </c>
      <c r="Q151" s="606">
        <f t="shared" si="55"/>
        <v>0</v>
      </c>
      <c r="R151" s="94"/>
      <c r="S151" s="627">
        <f>SUM(E151:R151)</f>
        <v>371.42280000000005</v>
      </c>
      <c r="T151" s="94"/>
      <c r="U151" s="94"/>
      <c r="V151" s="66"/>
    </row>
    <row r="152" spans="1:22" s="95" customFormat="1" ht="12" customHeight="1">
      <c r="D152" s="130" t="s">
        <v>290</v>
      </c>
      <c r="E152" s="304">
        <f>'FY21-22'!Q19+'FY21-22'!Q23+'FY21-22'!Q34</f>
        <v>2747163.9394598342</v>
      </c>
      <c r="F152" s="94">
        <f>'FY21-22'!Q35</f>
        <v>0</v>
      </c>
      <c r="G152" s="94">
        <f>'FY21-22'!Q37</f>
        <v>311692.40822845034</v>
      </c>
      <c r="H152" s="94">
        <v>0</v>
      </c>
      <c r="I152" s="94">
        <v>0</v>
      </c>
      <c r="J152" s="94">
        <v>0</v>
      </c>
      <c r="K152" s="94">
        <f>'FY21-22'!Q52-SUM(E152:I152)</f>
        <v>174060.42737580556</v>
      </c>
      <c r="L152" s="94">
        <v>0</v>
      </c>
      <c r="M152" s="94">
        <v>0</v>
      </c>
      <c r="N152" s="94">
        <v>0</v>
      </c>
      <c r="O152" s="94">
        <v>0</v>
      </c>
      <c r="P152" s="94">
        <v>0</v>
      </c>
      <c r="Q152" s="606">
        <f>-Q52</f>
        <v>-3649505.6619423367</v>
      </c>
      <c r="R152" s="94"/>
      <c r="S152" s="627">
        <f t="shared" ref="S152:S166" si="56">SUM(E152:R152)</f>
        <v>-416588.88687824644</v>
      </c>
      <c r="T152" s="94"/>
      <c r="U152" s="94"/>
      <c r="V152" s="113"/>
    </row>
    <row r="153" spans="1:22" s="95" customFormat="1" ht="12" customHeight="1">
      <c r="D153" s="130" t="s">
        <v>297</v>
      </c>
      <c r="E153" s="94">
        <v>0</v>
      </c>
      <c r="F153" s="94">
        <v>0</v>
      </c>
      <c r="G153" s="94">
        <v>0</v>
      </c>
      <c r="H153" s="94">
        <v>0</v>
      </c>
      <c r="I153" s="94">
        <v>0</v>
      </c>
      <c r="J153" s="94">
        <v>0</v>
      </c>
      <c r="K153" s="94">
        <v>0</v>
      </c>
      <c r="L153" s="94">
        <v>0</v>
      </c>
      <c r="M153" s="94">
        <v>0</v>
      </c>
      <c r="N153" s="94">
        <v>0</v>
      </c>
      <c r="O153" s="94">
        <v>0</v>
      </c>
      <c r="P153" s="94">
        <v>0</v>
      </c>
      <c r="Q153" s="606">
        <v>0</v>
      </c>
      <c r="R153" s="94"/>
      <c r="S153" s="627">
        <f t="shared" si="56"/>
        <v>0</v>
      </c>
      <c r="T153" s="94"/>
      <c r="U153" s="94"/>
      <c r="V153" s="113"/>
    </row>
    <row r="154" spans="1:22" s="95" customFormat="1" ht="12" customHeight="1">
      <c r="D154" s="130" t="s">
        <v>233</v>
      </c>
      <c r="E154" s="94">
        <v>0</v>
      </c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606">
        <v>0</v>
      </c>
      <c r="R154" s="94"/>
      <c r="S154" s="627">
        <f t="shared" si="56"/>
        <v>0</v>
      </c>
      <c r="T154" s="94"/>
      <c r="U154" s="94"/>
      <c r="V154" s="113"/>
    </row>
    <row r="155" spans="1:22" s="95" customFormat="1" ht="12" customHeight="1">
      <c r="D155" s="130" t="s">
        <v>291</v>
      </c>
      <c r="E155" s="94">
        <v>0</v>
      </c>
      <c r="F155" s="94">
        <v>0</v>
      </c>
      <c r="G155" s="94">
        <v>0</v>
      </c>
      <c r="H155" s="94">
        <v>0</v>
      </c>
      <c r="I155" s="94">
        <v>0</v>
      </c>
      <c r="J155" s="94">
        <v>0</v>
      </c>
      <c r="K155" s="94">
        <v>0</v>
      </c>
      <c r="L155" s="94">
        <v>0</v>
      </c>
      <c r="M155" s="94">
        <v>0</v>
      </c>
      <c r="N155" s="94">
        <v>0</v>
      </c>
      <c r="O155" s="94">
        <v>0</v>
      </c>
      <c r="P155" s="94">
        <v>0</v>
      </c>
      <c r="Q155" s="606">
        <v>0</v>
      </c>
      <c r="R155" s="94"/>
      <c r="S155" s="627">
        <f t="shared" si="56"/>
        <v>0</v>
      </c>
      <c r="T155" s="94"/>
      <c r="U155" s="94"/>
      <c r="V155" s="113"/>
    </row>
    <row r="156" spans="1:22" s="95" customFormat="1" ht="12" customHeight="1">
      <c r="D156" s="130" t="s">
        <v>292</v>
      </c>
      <c r="E156" s="94">
        <v>0</v>
      </c>
      <c r="F156" s="94">
        <v>0</v>
      </c>
      <c r="G156" s="94">
        <v>0</v>
      </c>
      <c r="H156" s="94">
        <v>0</v>
      </c>
      <c r="I156" s="94">
        <v>0</v>
      </c>
      <c r="J156" s="94">
        <v>0</v>
      </c>
      <c r="K156" s="94">
        <v>0</v>
      </c>
      <c r="L156" s="94">
        <v>0</v>
      </c>
      <c r="M156" s="94">
        <v>0</v>
      </c>
      <c r="N156" s="94">
        <v>0</v>
      </c>
      <c r="O156" s="94">
        <v>0</v>
      </c>
      <c r="P156" s="94">
        <v>0</v>
      </c>
      <c r="Q156" s="606">
        <v>0</v>
      </c>
      <c r="R156" s="94"/>
      <c r="S156" s="627">
        <f t="shared" si="56"/>
        <v>0</v>
      </c>
      <c r="T156" s="94"/>
      <c r="U156" s="94"/>
      <c r="V156" s="113"/>
    </row>
    <row r="157" spans="1:22" s="95" customFormat="1" ht="12" customHeight="1">
      <c r="D157" s="130" t="s">
        <v>293</v>
      </c>
      <c r="E157" s="94">
        <f>-'FY21-22'!Q157</f>
        <v>-82414.918183794827</v>
      </c>
      <c r="F157" s="94">
        <v>0</v>
      </c>
      <c r="G157" s="94">
        <v>0</v>
      </c>
      <c r="H157" s="94">
        <v>0</v>
      </c>
      <c r="I157" s="94">
        <v>0</v>
      </c>
      <c r="J157" s="94">
        <v>0</v>
      </c>
      <c r="K157" s="94">
        <v>0</v>
      </c>
      <c r="L157" s="94">
        <v>0</v>
      </c>
      <c r="M157" s="94">
        <v>0</v>
      </c>
      <c r="N157" s="94">
        <v>0</v>
      </c>
      <c r="O157" s="94">
        <v>0</v>
      </c>
      <c r="P157" s="94">
        <v>0</v>
      </c>
      <c r="Q157" s="606">
        <f>Q144</f>
        <v>93860.297834268655</v>
      </c>
      <c r="R157" s="94"/>
      <c r="S157" s="627">
        <f t="shared" si="56"/>
        <v>11445.379650473827</v>
      </c>
      <c r="T157" s="94"/>
      <c r="U157" s="94"/>
      <c r="V157" s="113"/>
    </row>
    <row r="158" spans="1:22" s="95" customFormat="1" ht="12" customHeight="1">
      <c r="D158" s="130" t="s">
        <v>294</v>
      </c>
      <c r="E158" s="94">
        <v>0</v>
      </c>
      <c r="F158" s="94">
        <v>0</v>
      </c>
      <c r="G158" s="94">
        <v>0</v>
      </c>
      <c r="H158" s="94">
        <v>0</v>
      </c>
      <c r="I158" s="94">
        <v>0</v>
      </c>
      <c r="J158" s="94">
        <v>0</v>
      </c>
      <c r="K158" s="94">
        <v>0</v>
      </c>
      <c r="L158" s="94">
        <v>0</v>
      </c>
      <c r="M158" s="94">
        <v>0</v>
      </c>
      <c r="N158" s="94">
        <v>0</v>
      </c>
      <c r="O158" s="94">
        <v>0</v>
      </c>
      <c r="P158" s="94">
        <v>0</v>
      </c>
      <c r="Q158" s="606">
        <v>0</v>
      </c>
      <c r="R158" s="94"/>
      <c r="S158" s="627">
        <f t="shared" si="56"/>
        <v>0</v>
      </c>
      <c r="T158" s="94"/>
      <c r="U158" s="94"/>
      <c r="V158" s="113"/>
    </row>
    <row r="159" spans="1:22" s="95" customFormat="1" ht="12" customHeight="1">
      <c r="D159" s="130" t="s">
        <v>234</v>
      </c>
      <c r="E159" s="94">
        <v>0</v>
      </c>
      <c r="F159" s="94">
        <v>0</v>
      </c>
      <c r="G159" s="94">
        <v>0</v>
      </c>
      <c r="H159" s="94">
        <v>0</v>
      </c>
      <c r="I159" s="94">
        <v>0</v>
      </c>
      <c r="J159" s="94">
        <v>0</v>
      </c>
      <c r="K159" s="94">
        <v>0</v>
      </c>
      <c r="L159" s="94">
        <v>0</v>
      </c>
      <c r="M159" s="94">
        <v>0</v>
      </c>
      <c r="N159" s="94">
        <v>0</v>
      </c>
      <c r="O159" s="94">
        <v>0</v>
      </c>
      <c r="P159" s="94">
        <v>0</v>
      </c>
      <c r="Q159" s="606">
        <v>0</v>
      </c>
      <c r="R159" s="94"/>
      <c r="S159" s="627">
        <f t="shared" si="56"/>
        <v>0</v>
      </c>
      <c r="T159" s="94"/>
      <c r="U159" s="94"/>
      <c r="V159" s="113"/>
    </row>
    <row r="160" spans="1:22" s="95" customFormat="1" ht="11" customHeight="1">
      <c r="C160" s="95" t="s">
        <v>49</v>
      </c>
      <c r="D160" s="130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606"/>
      <c r="R160" s="94"/>
      <c r="S160" s="627"/>
      <c r="T160" s="94"/>
      <c r="U160" s="94"/>
      <c r="V160" s="113"/>
    </row>
    <row r="161" spans="1:22" s="95" customFormat="1" ht="11" customHeight="1">
      <c r="D161" s="130" t="s">
        <v>296</v>
      </c>
      <c r="E161" s="94">
        <v>0</v>
      </c>
      <c r="F161" s="94">
        <v>0</v>
      </c>
      <c r="G161" s="94">
        <v>0</v>
      </c>
      <c r="H161" s="94">
        <v>0</v>
      </c>
      <c r="I161" s="94">
        <v>0</v>
      </c>
      <c r="J161" s="94">
        <v>0</v>
      </c>
      <c r="K161" s="94">
        <v>0</v>
      </c>
      <c r="L161" s="94">
        <v>0</v>
      </c>
      <c r="M161" s="94">
        <v>0</v>
      </c>
      <c r="N161" s="94">
        <v>0</v>
      </c>
      <c r="O161" s="94">
        <v>0</v>
      </c>
      <c r="P161" s="94">
        <v>0</v>
      </c>
      <c r="Q161" s="606">
        <v>0</v>
      </c>
      <c r="R161" s="94"/>
      <c r="S161" s="627">
        <f t="shared" si="56"/>
        <v>0</v>
      </c>
      <c r="T161" s="94"/>
      <c r="U161" s="94"/>
      <c r="V161" s="113"/>
    </row>
    <row r="162" spans="1:22" s="95" customFormat="1" ht="12" customHeight="1">
      <c r="D162" s="95" t="s">
        <v>295</v>
      </c>
      <c r="E162" s="94">
        <v>0</v>
      </c>
      <c r="F162" s="94">
        <v>0</v>
      </c>
      <c r="G162" s="94">
        <v>0</v>
      </c>
      <c r="H162" s="94">
        <v>0</v>
      </c>
      <c r="I162" s="94">
        <v>0</v>
      </c>
      <c r="J162" s="94">
        <v>0</v>
      </c>
      <c r="K162" s="94">
        <v>0</v>
      </c>
      <c r="L162" s="94">
        <v>0</v>
      </c>
      <c r="M162" s="94">
        <v>0</v>
      </c>
      <c r="N162" s="94">
        <v>0</v>
      </c>
      <c r="O162" s="94">
        <v>0</v>
      </c>
      <c r="P162" s="94">
        <v>0</v>
      </c>
      <c r="Q162" s="606">
        <v>0</v>
      </c>
      <c r="R162" s="94"/>
      <c r="S162" s="627">
        <f t="shared" si="56"/>
        <v>0</v>
      </c>
      <c r="T162" s="94"/>
      <c r="U162" s="94"/>
      <c r="V162" s="113"/>
    </row>
    <row r="163" spans="1:22" s="95" customFormat="1" ht="12" customHeight="1">
      <c r="C163" s="95" t="s">
        <v>50</v>
      </c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606"/>
      <c r="R163" s="94"/>
      <c r="S163" s="627"/>
      <c r="T163" s="94"/>
      <c r="U163" s="94"/>
      <c r="V163" s="113"/>
    </row>
    <row r="164" spans="1:22" s="95" customFormat="1" ht="12" customHeight="1">
      <c r="D164" s="95" t="s">
        <v>317</v>
      </c>
      <c r="E164" s="94">
        <v>0</v>
      </c>
      <c r="F164" s="94">
        <v>0</v>
      </c>
      <c r="G164" s="94">
        <v>0</v>
      </c>
      <c r="H164" s="94">
        <v>0</v>
      </c>
      <c r="I164" s="94">
        <v>0</v>
      </c>
      <c r="J164" s="94">
        <v>0</v>
      </c>
      <c r="K164" s="94">
        <v>0</v>
      </c>
      <c r="L164" s="94">
        <v>0</v>
      </c>
      <c r="M164" s="94">
        <v>0</v>
      </c>
      <c r="N164" s="94">
        <v>0</v>
      </c>
      <c r="O164" s="94">
        <v>0</v>
      </c>
      <c r="P164" s="94">
        <v>0</v>
      </c>
      <c r="Q164" s="606">
        <v>0</v>
      </c>
      <c r="R164" s="94"/>
      <c r="S164" s="627">
        <f t="shared" si="56"/>
        <v>0</v>
      </c>
      <c r="T164" s="94"/>
      <c r="U164" s="94"/>
      <c r="V164" s="113"/>
    </row>
    <row r="165" spans="1:22" s="95" customFormat="1" ht="12" customHeight="1">
      <c r="D165" s="95" t="s">
        <v>318</v>
      </c>
      <c r="E165" s="94">
        <f>-'FY21-22'!O164</f>
        <v>0</v>
      </c>
      <c r="F165" s="94">
        <v>0</v>
      </c>
      <c r="G165" s="94">
        <v>0</v>
      </c>
      <c r="H165" s="94">
        <v>0</v>
      </c>
      <c r="I165" s="94">
        <f>-E164</f>
        <v>0</v>
      </c>
      <c r="J165" s="94">
        <f>-F164</f>
        <v>0</v>
      </c>
      <c r="K165" s="94">
        <f t="shared" ref="K165:P165" si="57">-G164</f>
        <v>0</v>
      </c>
      <c r="L165" s="94">
        <f t="shared" si="57"/>
        <v>0</v>
      </c>
      <c r="M165" s="94">
        <f t="shared" si="57"/>
        <v>0</v>
      </c>
      <c r="N165" s="94">
        <f t="shared" si="57"/>
        <v>0</v>
      </c>
      <c r="O165" s="94">
        <f t="shared" si="57"/>
        <v>0</v>
      </c>
      <c r="P165" s="94">
        <f t="shared" si="57"/>
        <v>0</v>
      </c>
      <c r="Q165" s="606">
        <v>0</v>
      </c>
      <c r="R165" s="94"/>
      <c r="S165" s="627">
        <f t="shared" si="56"/>
        <v>0</v>
      </c>
      <c r="T165" s="94"/>
      <c r="U165" s="94"/>
      <c r="V165" s="113"/>
    </row>
    <row r="166" spans="1:22" s="95" customFormat="1" ht="12" customHeight="1">
      <c r="D166" s="95" t="s">
        <v>552</v>
      </c>
      <c r="E166" s="94">
        <f>E177</f>
        <v>0</v>
      </c>
      <c r="F166" s="94">
        <f t="shared" ref="F166:P166" si="58">F177</f>
        <v>0</v>
      </c>
      <c r="G166" s="94">
        <f t="shared" si="58"/>
        <v>0</v>
      </c>
      <c r="H166" s="94">
        <f t="shared" si="58"/>
        <v>0</v>
      </c>
      <c r="I166" s="94">
        <f t="shared" si="58"/>
        <v>0</v>
      </c>
      <c r="J166" s="94">
        <f t="shared" si="58"/>
        <v>0</v>
      </c>
      <c r="K166" s="94">
        <f t="shared" si="58"/>
        <v>0</v>
      </c>
      <c r="L166" s="94">
        <f t="shared" si="58"/>
        <v>0</v>
      </c>
      <c r="M166" s="94">
        <f t="shared" si="58"/>
        <v>0</v>
      </c>
      <c r="N166" s="94">
        <f t="shared" si="58"/>
        <v>0</v>
      </c>
      <c r="O166" s="94">
        <f t="shared" si="58"/>
        <v>0</v>
      </c>
      <c r="P166" s="94">
        <f t="shared" si="58"/>
        <v>0</v>
      </c>
      <c r="Q166" s="606">
        <v>0</v>
      </c>
      <c r="R166" s="94"/>
      <c r="S166" s="627">
        <f t="shared" si="56"/>
        <v>0</v>
      </c>
      <c r="T166" s="94"/>
      <c r="U166" s="94"/>
      <c r="V166" s="113"/>
    </row>
    <row r="167" spans="1:22" s="95" customFormat="1" ht="12" customHeight="1">
      <c r="D167" s="95" t="s">
        <v>553</v>
      </c>
      <c r="E167" s="132">
        <f>E178</f>
        <v>0</v>
      </c>
      <c r="F167" s="132">
        <f t="shared" ref="F167:P167" si="59">F178</f>
        <v>0</v>
      </c>
      <c r="G167" s="132">
        <f t="shared" si="59"/>
        <v>0</v>
      </c>
      <c r="H167" s="132">
        <f t="shared" si="59"/>
        <v>0</v>
      </c>
      <c r="I167" s="132">
        <f t="shared" si="59"/>
        <v>0</v>
      </c>
      <c r="J167" s="132">
        <f t="shared" si="59"/>
        <v>0</v>
      </c>
      <c r="K167" s="132">
        <f t="shared" si="59"/>
        <v>0</v>
      </c>
      <c r="L167" s="132">
        <f t="shared" si="59"/>
        <v>0</v>
      </c>
      <c r="M167" s="132">
        <f t="shared" si="59"/>
        <v>0</v>
      </c>
      <c r="N167" s="132">
        <f t="shared" si="59"/>
        <v>0</v>
      </c>
      <c r="O167" s="132">
        <f t="shared" si="59"/>
        <v>0</v>
      </c>
      <c r="P167" s="132">
        <f t="shared" si="59"/>
        <v>0</v>
      </c>
      <c r="Q167" s="606">
        <v>0</v>
      </c>
      <c r="R167" s="94"/>
      <c r="S167" s="627">
        <f t="shared" ref="S167" si="60">SUM(E167:R167)</f>
        <v>0</v>
      </c>
      <c r="T167" s="94"/>
      <c r="U167" s="94"/>
      <c r="V167" s="113"/>
    </row>
    <row r="168" spans="1:22" s="95" customFormat="1" ht="12" customHeight="1"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131"/>
      <c r="T168" s="94"/>
      <c r="U168" s="94"/>
      <c r="V168" s="113"/>
    </row>
    <row r="169" spans="1:22" s="95" customFormat="1" ht="12" customHeight="1">
      <c r="B169" s="95" t="s">
        <v>51</v>
      </c>
      <c r="E169" s="94">
        <f>SUBTOTAL(9,E149:E168)</f>
        <v>1354855.276698634</v>
      </c>
      <c r="F169" s="94">
        <f t="shared" ref="F169:P169" si="61">SUBTOTAL(9,F149:F168)</f>
        <v>-504331.33867763332</v>
      </c>
      <c r="G169" s="94">
        <f t="shared" si="61"/>
        <v>-434984.46808655828</v>
      </c>
      <c r="H169" s="94">
        <f t="shared" si="61"/>
        <v>224455.1816947097</v>
      </c>
      <c r="I169" s="94">
        <f t="shared" si="61"/>
        <v>1310045.3280749919</v>
      </c>
      <c r="J169" s="94">
        <f t="shared" si="61"/>
        <v>-452036.25014348375</v>
      </c>
      <c r="K169" s="94">
        <f t="shared" si="61"/>
        <v>652209.95947149838</v>
      </c>
      <c r="L169" s="94">
        <f t="shared" si="61"/>
        <v>295800.61691660824</v>
      </c>
      <c r="M169" s="94">
        <f t="shared" si="61"/>
        <v>612015.9072380882</v>
      </c>
      <c r="N169" s="94">
        <f t="shared" si="61"/>
        <v>902404.06204061408</v>
      </c>
      <c r="O169" s="94">
        <f t="shared" si="61"/>
        <v>446848.57236557006</v>
      </c>
      <c r="P169" s="94">
        <f t="shared" si="61"/>
        <v>-1063554.6218729431</v>
      </c>
      <c r="R169" s="94"/>
      <c r="S169" s="94"/>
      <c r="T169" s="94"/>
      <c r="U169" s="113"/>
      <c r="V169" s="94"/>
    </row>
    <row r="170" spans="1:22" s="95" customFormat="1" ht="12" customHeight="1"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R170" s="94"/>
      <c r="S170" s="94"/>
      <c r="T170" s="94"/>
      <c r="U170" s="94"/>
      <c r="V170" s="94"/>
    </row>
    <row r="171" spans="1:22" s="95" customFormat="1" ht="12" customHeight="1">
      <c r="B171" s="95" t="s">
        <v>52</v>
      </c>
      <c r="E171" s="132">
        <f>'FY21-22'!P173</f>
        <v>6756228.3162309173</v>
      </c>
      <c r="F171" s="132">
        <f t="shared" ref="F171:O171" si="62">E173</f>
        <v>8111083.5929295514</v>
      </c>
      <c r="G171" s="132">
        <f t="shared" si="62"/>
        <v>7606752.2542519178</v>
      </c>
      <c r="H171" s="132">
        <f t="shared" si="62"/>
        <v>7171767.7861653594</v>
      </c>
      <c r="I171" s="132">
        <f t="shared" si="62"/>
        <v>7396222.9678600691</v>
      </c>
      <c r="J171" s="132">
        <f t="shared" si="62"/>
        <v>8706268.2959350608</v>
      </c>
      <c r="K171" s="132">
        <f t="shared" si="62"/>
        <v>8254232.0457915775</v>
      </c>
      <c r="L171" s="132">
        <f t="shared" si="62"/>
        <v>8906442.0052630752</v>
      </c>
      <c r="M171" s="132">
        <f t="shared" si="62"/>
        <v>9202242.6221796833</v>
      </c>
      <c r="N171" s="132">
        <f t="shared" si="62"/>
        <v>9814258.5294177718</v>
      </c>
      <c r="O171" s="132">
        <f t="shared" si="62"/>
        <v>10716662.591458386</v>
      </c>
      <c r="P171" s="132">
        <f>O173</f>
        <v>11163511.163823957</v>
      </c>
      <c r="R171" s="94"/>
      <c r="S171" s="94"/>
      <c r="T171" s="94"/>
      <c r="U171" s="94"/>
      <c r="V171" s="94"/>
    </row>
    <row r="172" spans="1:22" s="95" customFormat="1" ht="12" customHeight="1"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R172" s="94"/>
      <c r="S172" s="94"/>
      <c r="T172" s="94"/>
      <c r="U172" s="94"/>
      <c r="V172" s="94"/>
    </row>
    <row r="173" spans="1:22" s="112" customFormat="1" ht="12" customHeight="1" thickBot="1">
      <c r="B173" s="112" t="s">
        <v>53</v>
      </c>
      <c r="E173" s="129">
        <f t="shared" ref="E173:O173" si="63">E169+E171</f>
        <v>8111083.5929295514</v>
      </c>
      <c r="F173" s="129">
        <f t="shared" si="63"/>
        <v>7606752.2542519178</v>
      </c>
      <c r="G173" s="129">
        <f t="shared" si="63"/>
        <v>7171767.7861653594</v>
      </c>
      <c r="H173" s="129">
        <f t="shared" si="63"/>
        <v>7396222.9678600691</v>
      </c>
      <c r="I173" s="129">
        <f t="shared" si="63"/>
        <v>8706268.2959350608</v>
      </c>
      <c r="J173" s="129">
        <f t="shared" si="63"/>
        <v>8254232.0457915775</v>
      </c>
      <c r="K173" s="129">
        <f t="shared" si="63"/>
        <v>8906442.0052630752</v>
      </c>
      <c r="L173" s="129">
        <f t="shared" si="63"/>
        <v>9202242.6221796833</v>
      </c>
      <c r="M173" s="129">
        <f t="shared" si="63"/>
        <v>9814258.5294177718</v>
      </c>
      <c r="N173" s="129">
        <f t="shared" si="63"/>
        <v>10716662.591458386</v>
      </c>
      <c r="O173" s="129">
        <f t="shared" si="63"/>
        <v>11163511.163823957</v>
      </c>
      <c r="P173" s="129">
        <f>P169+P171</f>
        <v>10099956.541951014</v>
      </c>
      <c r="R173" s="113"/>
      <c r="S173" s="113"/>
      <c r="T173" s="113"/>
      <c r="U173" s="113"/>
      <c r="V173" s="113"/>
    </row>
    <row r="174" spans="1:22" s="95" customFormat="1" ht="12" customHeight="1" thickTop="1">
      <c r="A174" s="112"/>
      <c r="B174" s="112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131"/>
      <c r="T174" s="94"/>
      <c r="U174" s="94"/>
      <c r="V174" s="94"/>
    </row>
    <row r="175" spans="1:22" s="95" customFormat="1" ht="12" customHeight="1">
      <c r="A175" s="112"/>
      <c r="B175" s="112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131"/>
      <c r="T175" s="94"/>
      <c r="U175" s="94"/>
      <c r="V175" s="94"/>
    </row>
    <row r="176" spans="1:22" s="95" customFormat="1" ht="12" customHeight="1">
      <c r="A176" s="112"/>
      <c r="B176" s="112"/>
      <c r="D176" s="95" t="s">
        <v>557</v>
      </c>
      <c r="E176" s="315">
        <f>+'FY21-22'!P179</f>
        <v>0</v>
      </c>
      <c r="F176" s="315">
        <f>E179</f>
        <v>0</v>
      </c>
      <c r="G176" s="315">
        <f t="shared" ref="G176:P176" si="64">F179</f>
        <v>0</v>
      </c>
      <c r="H176" s="315">
        <f t="shared" si="64"/>
        <v>0</v>
      </c>
      <c r="I176" s="315">
        <f t="shared" si="64"/>
        <v>0</v>
      </c>
      <c r="J176" s="315">
        <f t="shared" si="64"/>
        <v>0</v>
      </c>
      <c r="K176" s="315">
        <f t="shared" si="64"/>
        <v>0</v>
      </c>
      <c r="L176" s="315">
        <f t="shared" si="64"/>
        <v>0</v>
      </c>
      <c r="M176" s="315">
        <f t="shared" si="64"/>
        <v>0</v>
      </c>
      <c r="N176" s="315">
        <f t="shared" si="64"/>
        <v>0</v>
      </c>
      <c r="O176" s="315">
        <f t="shared" si="64"/>
        <v>0</v>
      </c>
      <c r="P176" s="315">
        <f t="shared" si="64"/>
        <v>0</v>
      </c>
      <c r="Q176" s="94"/>
      <c r="R176" s="94"/>
      <c r="S176" s="131"/>
      <c r="T176" s="94"/>
      <c r="U176" s="94"/>
      <c r="V176" s="94"/>
    </row>
    <row r="177" spans="1:23" s="95" customFormat="1" ht="12" customHeight="1">
      <c r="A177" s="112"/>
      <c r="B177" s="112"/>
      <c r="D177" s="95" t="s">
        <v>558</v>
      </c>
      <c r="E177" s="316">
        <v>0</v>
      </c>
      <c r="F177" s="316">
        <v>0</v>
      </c>
      <c r="G177" s="316">
        <v>0</v>
      </c>
      <c r="H177" s="316">
        <v>0</v>
      </c>
      <c r="I177" s="316">
        <v>0</v>
      </c>
      <c r="J177" s="316">
        <v>0</v>
      </c>
      <c r="K177" s="316">
        <v>0</v>
      </c>
      <c r="L177" s="316">
        <v>0</v>
      </c>
      <c r="M177" s="316">
        <v>0</v>
      </c>
      <c r="N177" s="316">
        <v>0</v>
      </c>
      <c r="O177" s="316">
        <v>0</v>
      </c>
      <c r="P177" s="316">
        <v>0</v>
      </c>
      <c r="Q177" s="94"/>
      <c r="R177" s="94"/>
      <c r="S177" s="131"/>
      <c r="T177" s="94"/>
      <c r="U177" s="94"/>
      <c r="V177" s="94"/>
    </row>
    <row r="178" spans="1:23" s="95" customFormat="1" ht="12" customHeight="1">
      <c r="A178" s="112"/>
      <c r="B178" s="112"/>
      <c r="D178" s="95" t="s">
        <v>559</v>
      </c>
      <c r="E178" s="316">
        <f>-E176</f>
        <v>0</v>
      </c>
      <c r="F178" s="316">
        <v>0</v>
      </c>
      <c r="G178" s="316">
        <v>0</v>
      </c>
      <c r="H178" s="316">
        <v>0</v>
      </c>
      <c r="I178" s="316">
        <v>0</v>
      </c>
      <c r="J178" s="316">
        <v>0</v>
      </c>
      <c r="K178" s="316">
        <v>0</v>
      </c>
      <c r="L178" s="316">
        <v>0</v>
      </c>
      <c r="M178" s="316">
        <v>0</v>
      </c>
      <c r="N178" s="316">
        <v>0</v>
      </c>
      <c r="O178" s="316">
        <v>0</v>
      </c>
      <c r="P178" s="316">
        <f>-E177/2</f>
        <v>0</v>
      </c>
      <c r="Q178" s="94"/>
      <c r="R178" s="94"/>
      <c r="S178" s="131"/>
      <c r="T178" s="94"/>
      <c r="U178" s="94"/>
      <c r="V178" s="94"/>
    </row>
    <row r="179" spans="1:23" s="95" customFormat="1" ht="12" customHeight="1">
      <c r="D179" s="95" t="s">
        <v>560</v>
      </c>
      <c r="E179" s="94">
        <f>SUM(E176:E178)</f>
        <v>0</v>
      </c>
      <c r="F179" s="94">
        <f>SUM(F176:F178)</f>
        <v>0</v>
      </c>
      <c r="G179" s="94">
        <f t="shared" ref="G179:P179" si="65">SUM(G176:G178)</f>
        <v>0</v>
      </c>
      <c r="H179" s="94">
        <f t="shared" si="65"/>
        <v>0</v>
      </c>
      <c r="I179" s="94">
        <f t="shared" si="65"/>
        <v>0</v>
      </c>
      <c r="J179" s="94">
        <f t="shared" si="65"/>
        <v>0</v>
      </c>
      <c r="K179" s="94">
        <f t="shared" si="65"/>
        <v>0</v>
      </c>
      <c r="L179" s="94">
        <f t="shared" si="65"/>
        <v>0</v>
      </c>
      <c r="M179" s="94">
        <f t="shared" si="65"/>
        <v>0</v>
      </c>
      <c r="N179" s="94">
        <f t="shared" si="65"/>
        <v>0</v>
      </c>
      <c r="O179" s="94">
        <f t="shared" si="65"/>
        <v>0</v>
      </c>
      <c r="P179" s="94">
        <f t="shared" si="65"/>
        <v>0</v>
      </c>
      <c r="Q179" s="316"/>
      <c r="R179" s="316"/>
      <c r="S179" s="317"/>
      <c r="T179" s="316"/>
      <c r="U179" s="316"/>
      <c r="V179" s="94"/>
    </row>
    <row r="180" spans="1:23" s="95" customFormat="1" ht="12" customHeight="1">
      <c r="E180" s="315"/>
      <c r="F180" s="315"/>
      <c r="G180" s="315"/>
      <c r="H180" s="315"/>
      <c r="I180" s="315"/>
      <c r="J180" s="315"/>
      <c r="K180" s="315"/>
      <c r="L180" s="315"/>
      <c r="M180" s="316"/>
      <c r="N180" s="316"/>
      <c r="O180" s="316"/>
      <c r="P180" s="316"/>
      <c r="Q180" s="316"/>
      <c r="R180" s="316"/>
      <c r="S180" s="317"/>
      <c r="T180" s="316"/>
      <c r="U180" s="316"/>
      <c r="V180" s="94"/>
    </row>
    <row r="181" spans="1:23" s="95" customFormat="1" ht="12" customHeight="1">
      <c r="E181" s="316"/>
      <c r="F181" s="316"/>
      <c r="G181" s="316"/>
      <c r="H181" s="316"/>
      <c r="I181" s="316"/>
      <c r="J181" s="316"/>
      <c r="K181" s="316"/>
      <c r="L181" s="316"/>
      <c r="M181" s="316"/>
      <c r="N181" s="316"/>
      <c r="O181" s="316"/>
      <c r="P181" s="316"/>
      <c r="Q181" s="316"/>
      <c r="R181" s="316"/>
      <c r="S181" s="317"/>
      <c r="T181" s="316"/>
      <c r="U181" s="316"/>
      <c r="V181" s="94"/>
    </row>
    <row r="182" spans="1:23" s="95" customFormat="1" ht="12" customHeight="1">
      <c r="E182" s="315"/>
      <c r="F182" s="315"/>
      <c r="G182" s="315"/>
      <c r="H182" s="315"/>
      <c r="I182" s="315"/>
      <c r="J182" s="315"/>
      <c r="K182" s="315"/>
      <c r="L182" s="315"/>
      <c r="M182" s="316"/>
      <c r="N182" s="316"/>
      <c r="O182" s="316"/>
      <c r="P182" s="316"/>
      <c r="Q182" s="316"/>
      <c r="R182" s="316"/>
      <c r="S182" s="317"/>
      <c r="T182" s="316"/>
      <c r="U182" s="316"/>
      <c r="V182" s="94"/>
    </row>
    <row r="183" spans="1:23" s="95" customFormat="1" ht="12" customHeight="1">
      <c r="E183" s="315"/>
      <c r="F183" s="315"/>
      <c r="G183" s="315"/>
      <c r="H183" s="315"/>
      <c r="I183" s="315"/>
      <c r="J183" s="315"/>
      <c r="K183" s="315"/>
      <c r="L183" s="315"/>
      <c r="M183" s="316"/>
      <c r="N183" s="316"/>
      <c r="O183" s="316"/>
      <c r="P183" s="316"/>
      <c r="Q183" s="316"/>
      <c r="R183" s="316"/>
      <c r="S183" s="317"/>
      <c r="T183" s="316"/>
      <c r="U183" s="316"/>
      <c r="V183" s="94"/>
    </row>
    <row r="184" spans="1:23" s="95" customFormat="1" ht="12" customHeight="1">
      <c r="E184" s="316"/>
      <c r="F184" s="316"/>
      <c r="G184" s="316"/>
      <c r="H184" s="316"/>
      <c r="I184" s="316"/>
      <c r="J184" s="316"/>
      <c r="K184" s="316"/>
      <c r="L184" s="316"/>
      <c r="M184" s="316"/>
      <c r="N184" s="316"/>
      <c r="O184" s="316"/>
      <c r="P184" s="316"/>
      <c r="Q184" s="316"/>
      <c r="R184" s="316"/>
      <c r="S184" s="317"/>
      <c r="T184" s="316"/>
      <c r="U184" s="316"/>
      <c r="V184" s="94"/>
    </row>
    <row r="185" spans="1:23" s="95" customFormat="1" ht="12">
      <c r="E185" s="316"/>
      <c r="F185" s="316"/>
      <c r="G185" s="316"/>
      <c r="H185" s="316"/>
      <c r="I185" s="316"/>
      <c r="J185" s="316"/>
      <c r="K185" s="316"/>
      <c r="L185" s="316"/>
      <c r="M185" s="316"/>
      <c r="N185" s="316"/>
      <c r="O185" s="316"/>
      <c r="P185" s="316"/>
      <c r="Q185" s="316"/>
      <c r="R185" s="316"/>
      <c r="S185" s="317"/>
      <c r="T185" s="316"/>
      <c r="U185" s="92"/>
      <c r="V185" s="94"/>
    </row>
    <row r="186" spans="1:23" s="95" customFormat="1" ht="12"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133"/>
      <c r="T186" s="94"/>
      <c r="U186" s="94"/>
      <c r="V186" s="94"/>
    </row>
    <row r="187" spans="1:23" ht="12">
      <c r="A187" s="62"/>
      <c r="B187" s="62"/>
      <c r="S187" s="140"/>
      <c r="W187" s="62"/>
    </row>
    <row r="188" spans="1:23">
      <c r="A188" s="62"/>
      <c r="B188" s="62"/>
      <c r="S188" s="140"/>
    </row>
    <row r="189" spans="1:23">
      <c r="A189" s="62"/>
      <c r="B189" s="62"/>
      <c r="S189" s="140"/>
    </row>
    <row r="190" spans="1:23">
      <c r="A190" s="62"/>
      <c r="B190" s="62"/>
      <c r="S190" s="140"/>
    </row>
    <row r="191" spans="1:23">
      <c r="A191" s="62"/>
      <c r="B191" s="62"/>
      <c r="S191" s="140"/>
    </row>
    <row r="192" spans="1:23">
      <c r="A192" s="62"/>
      <c r="B192" s="62"/>
      <c r="S192" s="140"/>
    </row>
  </sheetData>
  <printOptions horizontalCentered="1"/>
  <pageMargins left="0.15" right="0.15" top="0.35" bottom="0.35" header="0.3" footer="0.3"/>
  <pageSetup scale="75" fitToWidth="2" fitToHeight="4" orientation="landscape" copies="4" r:id="rId1"/>
  <headerFooter alignWithMargins="0">
    <oddFooter xml:space="preserve">&amp;R
</oddFooter>
  </headerFooter>
  <rowBreaks count="2" manualBreakCount="2">
    <brk id="90" max="21" man="1"/>
    <brk id="146" max="21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2"/>
  <sheetViews>
    <sheetView view="pageBreakPreview" zoomScale="130" zoomScaleNormal="85" zoomScaleSheetLayoutView="130" workbookViewId="0">
      <pane xSplit="4" ySplit="4" topLeftCell="E5" activePane="bottomRight" state="frozen"/>
      <selection activeCell="L156" sqref="L156"/>
      <selection pane="topRight" activeCell="L156" sqref="L156"/>
      <selection pane="bottomLeft" activeCell="L156" sqref="L156"/>
      <selection pane="bottomRight" activeCell="G167" sqref="G167"/>
    </sheetView>
  </sheetViews>
  <sheetFormatPr baseColWidth="10" defaultColWidth="8.83203125" defaultRowHeight="15"/>
  <cols>
    <col min="1" max="1" width="2.5" style="54" customWidth="1"/>
    <col min="2" max="2" width="1.6640625" style="54" customWidth="1"/>
    <col min="3" max="3" width="5.33203125" style="62" customWidth="1"/>
    <col min="4" max="4" width="22.6640625" style="62" customWidth="1"/>
    <col min="5" max="5" width="9.5" style="63" bestFit="1" customWidth="1"/>
    <col min="6" max="6" width="9" style="63" bestFit="1" customWidth="1"/>
    <col min="7" max="7" width="9" style="63" customWidth="1"/>
    <col min="8" max="9" width="9" style="63" bestFit="1" customWidth="1"/>
    <col min="10" max="15" width="9.5" style="63" bestFit="1" customWidth="1"/>
    <col min="16" max="16" width="9" style="63" bestFit="1" customWidth="1"/>
    <col min="17" max="17" width="8.6640625" style="63" customWidth="1"/>
    <col min="18" max="18" width="1.6640625" style="63" customWidth="1"/>
    <col min="19" max="19" width="9.6640625" style="59" customWidth="1"/>
    <col min="20" max="20" width="1.83203125" style="63" customWidth="1"/>
    <col min="21" max="22" width="9.6640625" style="63" customWidth="1"/>
    <col min="23" max="23" width="8.83203125" style="188"/>
    <col min="24" max="16384" width="8.83203125" style="62"/>
  </cols>
  <sheetData>
    <row r="1" spans="1:22" s="54" customFormat="1" ht="21">
      <c r="A1" s="678" t="str">
        <f>'Revenue Inputs'!$C$3</f>
        <v>Granite Mountain Charter School</v>
      </c>
      <c r="E1" s="55"/>
      <c r="F1" s="55"/>
      <c r="G1" s="55"/>
      <c r="H1" s="55"/>
      <c r="I1" s="55"/>
      <c r="J1" s="55"/>
      <c r="K1" s="55"/>
      <c r="L1" s="55"/>
      <c r="M1" s="221"/>
      <c r="N1" s="221"/>
      <c r="O1" s="221"/>
      <c r="P1" s="221"/>
      <c r="Q1" s="221"/>
      <c r="R1" s="221"/>
      <c r="S1" s="222"/>
      <c r="T1" s="221"/>
      <c r="U1" s="221"/>
      <c r="V1" s="55"/>
    </row>
    <row r="2" spans="1:22" s="54" customFormat="1">
      <c r="A2" s="56" t="s">
        <v>405</v>
      </c>
      <c r="B2" s="57"/>
      <c r="C2" s="57"/>
      <c r="D2" s="57"/>
      <c r="E2" s="58"/>
      <c r="F2" s="55"/>
      <c r="G2" s="55"/>
      <c r="H2" s="55"/>
      <c r="I2" s="55"/>
      <c r="J2" s="55"/>
      <c r="M2" s="59"/>
      <c r="N2" s="55"/>
      <c r="O2" s="55"/>
      <c r="R2" s="59"/>
      <c r="S2" s="59"/>
      <c r="V2" s="60"/>
    </row>
    <row r="3" spans="1:22" ht="13.5" customHeight="1">
      <c r="A3" s="61" t="str">
        <f>'FY19-20'!A3</f>
        <v>Revised 08/06/20</v>
      </c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674"/>
      <c r="P3" s="674"/>
      <c r="Q3" s="674"/>
      <c r="R3" s="59"/>
      <c r="S3" s="674"/>
      <c r="V3" s="64"/>
    </row>
    <row r="4" spans="1:22" s="67" customFormat="1" ht="29.5" customHeight="1">
      <c r="C4" s="374" t="s">
        <v>280</v>
      </c>
      <c r="D4" s="372">
        <f>LCFF!P23</f>
        <v>3487.8199999999997</v>
      </c>
      <c r="E4" s="679">
        <v>45108</v>
      </c>
      <c r="F4" s="679">
        <f t="shared" ref="F4:P4" si="0">E4+31</f>
        <v>45139</v>
      </c>
      <c r="G4" s="679">
        <f t="shared" si="0"/>
        <v>45170</v>
      </c>
      <c r="H4" s="679">
        <f t="shared" si="0"/>
        <v>45201</v>
      </c>
      <c r="I4" s="679">
        <f t="shared" si="0"/>
        <v>45232</v>
      </c>
      <c r="J4" s="679">
        <f t="shared" si="0"/>
        <v>45263</v>
      </c>
      <c r="K4" s="679">
        <f t="shared" si="0"/>
        <v>45294</v>
      </c>
      <c r="L4" s="679">
        <f t="shared" si="0"/>
        <v>45325</v>
      </c>
      <c r="M4" s="679">
        <f t="shared" si="0"/>
        <v>45356</v>
      </c>
      <c r="N4" s="679">
        <f t="shared" si="0"/>
        <v>45387</v>
      </c>
      <c r="O4" s="679">
        <f t="shared" si="0"/>
        <v>45418</v>
      </c>
      <c r="P4" s="679">
        <f t="shared" si="0"/>
        <v>45449</v>
      </c>
      <c r="Q4" s="680" t="s">
        <v>345</v>
      </c>
      <c r="R4" s="65"/>
      <c r="S4" s="675" t="s">
        <v>396</v>
      </c>
      <c r="T4" s="66"/>
      <c r="U4" s="680" t="s">
        <v>254</v>
      </c>
      <c r="V4" s="680" t="s">
        <v>383</v>
      </c>
    </row>
    <row r="5" spans="1:22" s="293" customFormat="1" ht="12" customHeight="1">
      <c r="A5" s="286" t="s">
        <v>258</v>
      </c>
      <c r="B5" s="286"/>
      <c r="C5" s="287"/>
      <c r="D5" s="287"/>
      <c r="E5" s="288">
        <v>0.05</v>
      </c>
      <c r="F5" s="289">
        <v>0.05</v>
      </c>
      <c r="G5" s="289">
        <v>0.09</v>
      </c>
      <c r="H5" s="289">
        <v>0.09</v>
      </c>
      <c r="I5" s="289">
        <v>0.09</v>
      </c>
      <c r="J5" s="289">
        <v>0.09</v>
      </c>
      <c r="K5" s="510">
        <v>0.09</v>
      </c>
      <c r="L5" s="590">
        <v>0.2</v>
      </c>
      <c r="M5" s="510">
        <v>0.19999999999999998</v>
      </c>
      <c r="N5" s="510">
        <v>0.19999999999999998</v>
      </c>
      <c r="O5" s="591">
        <v>0.19999999999999998</v>
      </c>
      <c r="P5" s="510">
        <v>0.19999999999999998</v>
      </c>
      <c r="Q5" s="609">
        <v>0</v>
      </c>
      <c r="R5" s="290"/>
      <c r="S5" s="621"/>
      <c r="T5" s="55"/>
      <c r="U5" s="280"/>
      <c r="V5" s="280"/>
    </row>
    <row r="6" spans="1:22" s="293" customFormat="1" ht="12" customHeight="1">
      <c r="A6" s="286" t="s">
        <v>7</v>
      </c>
      <c r="B6" s="286"/>
      <c r="C6" s="287"/>
      <c r="D6" s="287"/>
      <c r="E6" s="288">
        <v>0</v>
      </c>
      <c r="F6" s="289">
        <v>0</v>
      </c>
      <c r="G6" s="289">
        <v>0.37</v>
      </c>
      <c r="H6" s="289">
        <v>0</v>
      </c>
      <c r="I6" s="289">
        <v>0</v>
      </c>
      <c r="J6" s="289">
        <v>0.18</v>
      </c>
      <c r="K6" s="289">
        <v>0</v>
      </c>
      <c r="L6" s="294" t="s">
        <v>229</v>
      </c>
      <c r="M6" s="295" t="s">
        <v>229</v>
      </c>
      <c r="N6" s="295" t="s">
        <v>229</v>
      </c>
      <c r="O6" s="296" t="s">
        <v>229</v>
      </c>
      <c r="P6" s="510" t="s">
        <v>229</v>
      </c>
      <c r="Q6" s="609" t="s">
        <v>229</v>
      </c>
      <c r="R6" s="290"/>
      <c r="S6" s="621"/>
      <c r="T6" s="292"/>
      <c r="U6" s="290"/>
      <c r="V6" s="290"/>
    </row>
    <row r="7" spans="1:22" s="302" customFormat="1" ht="12" customHeight="1">
      <c r="A7" s="286" t="s">
        <v>8</v>
      </c>
      <c r="B7" s="297"/>
      <c r="C7" s="298"/>
      <c r="D7" s="298"/>
      <c r="E7" s="299">
        <v>0.06</v>
      </c>
      <c r="F7" s="300">
        <v>0.12</v>
      </c>
      <c r="G7" s="300">
        <v>0.08</v>
      </c>
      <c r="H7" s="300">
        <v>0.08</v>
      </c>
      <c r="I7" s="300">
        <v>0.08</v>
      </c>
      <c r="J7" s="300">
        <v>0.08</v>
      </c>
      <c r="K7" s="510">
        <v>0.08</v>
      </c>
      <c r="L7" s="294">
        <v>0.33333333333333331</v>
      </c>
      <c r="M7" s="295">
        <v>0.16666666666666666</v>
      </c>
      <c r="N7" s="295">
        <v>0.16666666666666666</v>
      </c>
      <c r="O7" s="296">
        <v>0.16666666666666666</v>
      </c>
      <c r="P7" s="295">
        <v>0.16666666666666666</v>
      </c>
      <c r="Q7" s="610">
        <v>0</v>
      </c>
      <c r="R7" s="301"/>
      <c r="S7" s="621"/>
      <c r="U7" s="301"/>
      <c r="V7" s="301"/>
    </row>
    <row r="8" spans="1:22" s="302" customFormat="1" ht="12" customHeight="1">
      <c r="A8" s="286" t="s">
        <v>281</v>
      </c>
      <c r="B8" s="297"/>
      <c r="C8" s="298"/>
      <c r="D8" s="298"/>
      <c r="E8" s="299">
        <v>0</v>
      </c>
      <c r="F8" s="300">
        <v>0</v>
      </c>
      <c r="G8" s="300">
        <v>0.26</v>
      </c>
      <c r="H8" s="300">
        <v>0.08</v>
      </c>
      <c r="I8" s="300">
        <v>0.08</v>
      </c>
      <c r="J8" s="300">
        <v>0.08</v>
      </c>
      <c r="K8" s="510">
        <v>0.08</v>
      </c>
      <c r="L8" s="294" t="s">
        <v>229</v>
      </c>
      <c r="M8" s="295" t="s">
        <v>229</v>
      </c>
      <c r="N8" s="295" t="s">
        <v>229</v>
      </c>
      <c r="O8" s="296" t="s">
        <v>229</v>
      </c>
      <c r="P8" s="510" t="s">
        <v>229</v>
      </c>
      <c r="Q8" s="609" t="s">
        <v>229</v>
      </c>
      <c r="R8" s="301"/>
      <c r="S8" s="621"/>
      <c r="U8" s="301"/>
      <c r="V8" s="301"/>
    </row>
    <row r="9" spans="1:22" s="302" customFormat="1" ht="12" customHeight="1">
      <c r="A9" s="286" t="s">
        <v>142</v>
      </c>
      <c r="B9" s="286"/>
      <c r="C9" s="298"/>
      <c r="D9" s="298"/>
      <c r="E9" s="473">
        <v>0.05</v>
      </c>
      <c r="F9" s="474">
        <v>0.05</v>
      </c>
      <c r="G9" s="474">
        <v>0.09</v>
      </c>
      <c r="H9" s="474">
        <v>0.09</v>
      </c>
      <c r="I9" s="474">
        <v>0.09</v>
      </c>
      <c r="J9" s="474">
        <v>0.09</v>
      </c>
      <c r="K9" s="474">
        <v>0.09</v>
      </c>
      <c r="L9" s="473">
        <v>0.2</v>
      </c>
      <c r="M9" s="474">
        <v>0.2</v>
      </c>
      <c r="N9" s="474">
        <v>0.2</v>
      </c>
      <c r="O9" s="511">
        <v>0.2</v>
      </c>
      <c r="P9" s="474">
        <v>0.2</v>
      </c>
      <c r="Q9" s="611">
        <v>0</v>
      </c>
      <c r="R9" s="290"/>
      <c r="S9" s="621"/>
      <c r="U9" s="290"/>
      <c r="V9" s="290"/>
    </row>
    <row r="10" spans="1:22" s="95" customFormat="1" ht="12" customHeight="1">
      <c r="A10" s="91"/>
      <c r="B10" s="91"/>
      <c r="C10" s="91"/>
      <c r="D10" s="91"/>
      <c r="E10" s="92"/>
      <c r="F10" s="92"/>
      <c r="G10" s="92"/>
      <c r="H10" s="92"/>
      <c r="I10" s="92"/>
      <c r="J10" s="92"/>
      <c r="K10" s="92"/>
      <c r="L10" s="303"/>
      <c r="M10" s="303"/>
      <c r="N10" s="303"/>
      <c r="O10" s="303"/>
      <c r="P10" s="303"/>
      <c r="Q10" s="612"/>
      <c r="R10" s="303"/>
      <c r="S10" s="622"/>
      <c r="T10" s="303"/>
    </row>
    <row r="11" spans="1:22" s="95" customFormat="1" ht="12" customHeight="1">
      <c r="A11" s="96" t="s">
        <v>9</v>
      </c>
      <c r="B11" s="96"/>
      <c r="C11" s="97"/>
      <c r="D11" s="98"/>
      <c r="E11" s="304"/>
      <c r="F11" s="304" t="s">
        <v>25</v>
      </c>
      <c r="G11" s="304"/>
      <c r="H11" s="304"/>
      <c r="I11" s="304"/>
      <c r="J11" s="304"/>
      <c r="K11" s="304"/>
      <c r="L11" s="305"/>
      <c r="M11" s="305"/>
      <c r="N11" s="305"/>
      <c r="O11" s="305"/>
      <c r="P11" s="305"/>
      <c r="Q11" s="613"/>
      <c r="R11" s="305"/>
      <c r="S11" s="623"/>
      <c r="T11" s="305"/>
      <c r="U11" s="375" t="s">
        <v>280</v>
      </c>
      <c r="V11" s="372">
        <f>'FY22-23'!D4</f>
        <v>3320.24</v>
      </c>
    </row>
    <row r="12" spans="1:22" s="95" customFormat="1" ht="12" customHeight="1">
      <c r="A12" s="96"/>
      <c r="B12" s="96" t="s">
        <v>255</v>
      </c>
      <c r="C12" s="97"/>
      <c r="D12" s="98"/>
      <c r="E12" s="304"/>
      <c r="F12" s="304"/>
      <c r="G12" s="304"/>
      <c r="H12" s="304"/>
      <c r="I12" s="304"/>
      <c r="J12" s="304"/>
      <c r="K12" s="304"/>
      <c r="L12" s="306"/>
      <c r="M12" s="306"/>
      <c r="N12" s="306"/>
      <c r="O12" s="306"/>
      <c r="P12" s="306"/>
      <c r="Q12" s="614"/>
      <c r="R12" s="306"/>
      <c r="S12" s="624"/>
      <c r="T12" s="306"/>
    </row>
    <row r="13" spans="1:22" s="95" customFormat="1" ht="12" customHeight="1">
      <c r="A13" s="114"/>
      <c r="B13" s="114" t="s">
        <v>186</v>
      </c>
      <c r="C13" s="115"/>
      <c r="D13" s="116" t="s">
        <v>176</v>
      </c>
      <c r="E13" s="118">
        <f>(LCFF!$P$25*(LCFF!P47*(1-'Revenue Inputs'!$D$9)-'Revenue Inputs'!$G$31))*D6</f>
        <v>0</v>
      </c>
      <c r="F13" s="118">
        <f>(LCFF!$P$25*(LCFF!P47*(1-'Revenue Inputs'!$D$9)-'Revenue Inputs'!$G$31))*E6</f>
        <v>0</v>
      </c>
      <c r="G13" s="118">
        <f>(LCFF!$P$25*(LCFF!P47*(1-'Revenue Inputs'!$D$9)-'Revenue Inputs'!$G$31))*F6</f>
        <v>0</v>
      </c>
      <c r="H13" s="118">
        <f>(LCFF!$P$25*(LCFF!P47*(1-'Revenue Inputs'!$D$9)-'Revenue Inputs'!$G$31))*G6</f>
        <v>0</v>
      </c>
      <c r="I13" s="118">
        <f>(LCFF!$P$25*(LCFF!P47*(1-'Revenue Inputs'!$D$9)-'Revenue Inputs'!$G$31))*H6</f>
        <v>0</v>
      </c>
      <c r="J13" s="118">
        <f>(LCFF!$P$25*(LCFF!P47*(1-'Revenue Inputs'!$D$9)-'Revenue Inputs'!$G$31))*I6</f>
        <v>0</v>
      </c>
      <c r="K13" s="118">
        <f>(LCFF!$P$25*(LCFF!P47*(1-'Revenue Inputs'!$D$9)-'Revenue Inputs'!$G$31))*J6</f>
        <v>0</v>
      </c>
      <c r="L13" s="118">
        <f>(LCFF!$P$25*(LCFF!P47*(1-'Revenue Inputs'!$D$9)-'Revenue Inputs'!$G$31))*K6</f>
        <v>0</v>
      </c>
      <c r="M13" s="117"/>
      <c r="N13" s="117"/>
      <c r="O13" s="117"/>
      <c r="P13" s="117"/>
      <c r="Q13" s="599"/>
      <c r="R13" s="310"/>
      <c r="S13" s="311">
        <f>SUM(E13:Q13)</f>
        <v>0</v>
      </c>
      <c r="T13" s="341"/>
      <c r="U13" s="94">
        <f>'FY22-23'!S13</f>
        <v>0</v>
      </c>
      <c r="V13" s="94">
        <f>S13-U13</f>
        <v>0</v>
      </c>
    </row>
    <row r="14" spans="1:22" s="112" customFormat="1" ht="12" customHeight="1">
      <c r="A14" s="114"/>
      <c r="B14" s="114" t="s">
        <v>186</v>
      </c>
      <c r="C14" s="115"/>
      <c r="D14" s="116" t="s">
        <v>177</v>
      </c>
      <c r="E14" s="118">
        <v>0</v>
      </c>
      <c r="F14" s="118">
        <f>((LCFF!$P$47-'Revenue Inputs'!$G$31-('Multi-Year'!$P$16/'Multi-Year'!$P$11))*LCFF!$N$23)*E5</f>
        <v>1550112.4446309232</v>
      </c>
      <c r="G14" s="118">
        <f>((LCFF!$P$47-'Revenue Inputs'!$G$31-('Multi-Year'!$P$16/'Multi-Year'!$P$11))*LCFF!$N$23)*F5</f>
        <v>1550112.4446309232</v>
      </c>
      <c r="H14" s="118">
        <f>((LCFF!$P$47-'Revenue Inputs'!$G$31-('Multi-Year'!$P$16/'Multi-Year'!$P$11))*LCFF!$N$23)*G5</f>
        <v>2790202.4003356616</v>
      </c>
      <c r="I14" s="118">
        <f>((LCFF!$P$47-'Revenue Inputs'!$G$31-('Multi-Year'!$P$16/'Multi-Year'!$P$11))*LCFF!$N$23)*H5</f>
        <v>2790202.4003356616</v>
      </c>
      <c r="J14" s="118">
        <f>((LCFF!$P$47-'Revenue Inputs'!$G$31-('Multi-Year'!$P$16/'Multi-Year'!$P$11))*LCFF!$N$23)*I5</f>
        <v>2790202.4003356616</v>
      </c>
      <c r="K14" s="118">
        <f>((LCFF!$P$47-'Revenue Inputs'!$G$31-('Multi-Year'!$P$16/'Multi-Year'!$P$11))*LCFF!$N$23)*J5</f>
        <v>2790202.4003356616</v>
      </c>
      <c r="L14" s="118">
        <f>((LCFF!$P$47-'Revenue Inputs'!$G$31-('Multi-Year'!$P$16/'Multi-Year'!$P$11))*LCFF!$N$23)*K5</f>
        <v>2790202.4003356616</v>
      </c>
      <c r="M14" s="117">
        <f>(LCFF!P46-$S$16-$S$18-SUM($E$13:$L$14))*L5</f>
        <v>3113038.6127309152</v>
      </c>
      <c r="N14" s="117">
        <f>(LCFF!P46-$S$16-$S$18-SUM($E$13:$L$14))*M5</f>
        <v>3113038.6127309147</v>
      </c>
      <c r="O14" s="117">
        <f>(LCFF!P46-$S$16-$S$18-SUM($E$13:$L$14))*N5</f>
        <v>3113038.6127309147</v>
      </c>
      <c r="P14" s="117">
        <f>(LCFF!P46-$S$16-$S$18-SUM($E$13:$L$14))*O5</f>
        <v>3113038.6127309147</v>
      </c>
      <c r="Q14" s="599">
        <f>LCFF!P46-S16-S18-SUM(E13:P14)</f>
        <v>3113038.6127309203</v>
      </c>
      <c r="R14" s="312"/>
      <c r="S14" s="311">
        <f>SUM(E14:Q14)</f>
        <v>32616429.954594731</v>
      </c>
      <c r="T14" s="304"/>
      <c r="U14" s="94">
        <f>'FY22-23'!S14</f>
        <v>31049174.237003572</v>
      </c>
      <c r="V14" s="94">
        <f>S14-U14</f>
        <v>1567255.717591159</v>
      </c>
    </row>
    <row r="15" spans="1:22" s="112" customFormat="1" ht="12" customHeight="1">
      <c r="A15" s="109"/>
      <c r="B15" s="109" t="s">
        <v>186</v>
      </c>
      <c r="C15" s="102">
        <v>8011</v>
      </c>
      <c r="D15" s="104" t="s">
        <v>258</v>
      </c>
      <c r="E15" s="94">
        <f t="shared" ref="E15:Q15" si="1">SUM(E13:E14)</f>
        <v>0</v>
      </c>
      <c r="F15" s="94">
        <f t="shared" si="1"/>
        <v>1550112.4446309232</v>
      </c>
      <c r="G15" s="94">
        <f t="shared" si="1"/>
        <v>1550112.4446309232</v>
      </c>
      <c r="H15" s="94">
        <f t="shared" si="1"/>
        <v>2790202.4003356616</v>
      </c>
      <c r="I15" s="94">
        <f t="shared" si="1"/>
        <v>2790202.4003356616</v>
      </c>
      <c r="J15" s="94">
        <f t="shared" si="1"/>
        <v>2790202.4003356616</v>
      </c>
      <c r="K15" s="94">
        <f t="shared" si="1"/>
        <v>2790202.4003356616</v>
      </c>
      <c r="L15" s="94">
        <f t="shared" si="1"/>
        <v>2790202.4003356616</v>
      </c>
      <c r="M15" s="94">
        <f t="shared" si="1"/>
        <v>3113038.6127309152</v>
      </c>
      <c r="N15" s="94">
        <f t="shared" si="1"/>
        <v>3113038.6127309147</v>
      </c>
      <c r="O15" s="94">
        <f t="shared" si="1"/>
        <v>3113038.6127309147</v>
      </c>
      <c r="P15" s="94">
        <f t="shared" si="1"/>
        <v>3113038.6127309147</v>
      </c>
      <c r="Q15" s="606">
        <f t="shared" si="1"/>
        <v>3113038.6127309203</v>
      </c>
      <c r="R15" s="304"/>
      <c r="S15" s="625">
        <f>SUM(E15:Q15)</f>
        <v>32616429.954594731</v>
      </c>
      <c r="T15" s="304"/>
      <c r="U15" s="94">
        <f>'FY22-23'!S15</f>
        <v>31049174.237003572</v>
      </c>
      <c r="V15" s="94">
        <f>S15-U15</f>
        <v>1567255.717591159</v>
      </c>
    </row>
    <row r="16" spans="1:22" s="112" customFormat="1" ht="12" customHeight="1">
      <c r="A16" s="109"/>
      <c r="B16" s="109" t="s">
        <v>186</v>
      </c>
      <c r="C16" s="102">
        <v>8012</v>
      </c>
      <c r="D16" s="104" t="s">
        <v>257</v>
      </c>
      <c r="E16" s="94">
        <v>0</v>
      </c>
      <c r="F16" s="94">
        <v>0</v>
      </c>
      <c r="G16" s="94">
        <v>0</v>
      </c>
      <c r="H16" s="94">
        <f>'Multi-Year'!$N$16*0.25</f>
        <v>166012</v>
      </c>
      <c r="I16" s="94">
        <v>0</v>
      </c>
      <c r="J16" s="94">
        <v>0</v>
      </c>
      <c r="K16" s="94">
        <f>'Multi-Year'!$N$16*0.25</f>
        <v>166012</v>
      </c>
      <c r="L16" s="94">
        <v>0</v>
      </c>
      <c r="M16" s="94">
        <v>0</v>
      </c>
      <c r="N16" s="94">
        <f>'Multi-Year'!$P$16*0.75-SUM(E16:M16)</f>
        <v>191149</v>
      </c>
      <c r="O16" s="94">
        <v>0</v>
      </c>
      <c r="P16" s="94">
        <v>0</v>
      </c>
      <c r="Q16" s="606">
        <f>'Multi-Year'!P16-SUM('FY23-24'!E16:P16)</f>
        <v>174391</v>
      </c>
      <c r="R16" s="304"/>
      <c r="S16" s="625">
        <f t="shared" ref="S16:S18" si="2">SUM(E16:Q16)</f>
        <v>697564</v>
      </c>
      <c r="T16" s="304"/>
      <c r="U16" s="94">
        <f>'FY22-23'!S16</f>
        <v>664048</v>
      </c>
      <c r="V16" s="94">
        <f>S16-U16</f>
        <v>33516</v>
      </c>
    </row>
    <row r="17" spans="1:23" s="112" customFormat="1" ht="12" customHeight="1">
      <c r="A17" s="109"/>
      <c r="B17" s="109" t="s">
        <v>186</v>
      </c>
      <c r="C17" s="102">
        <v>8019</v>
      </c>
      <c r="D17" s="104" t="s">
        <v>259</v>
      </c>
      <c r="E17" s="94">
        <f>IF('FY22-23'!$S17&gt;0,'FY22-23'!E17/'FY22-23'!$S17*'Multi-Year'!$P17,0)+IF('FY22-23'!$S17&lt;0,'FY22-23'!E17/'FY22-23'!$S17*'Multi-Year'!$P17,0)</f>
        <v>0</v>
      </c>
      <c r="F17" s="94">
        <f>IF('FY22-23'!$S17&gt;0,'FY22-23'!F17/'FY22-23'!$S17*'Multi-Year'!$P17,0)+IF('FY22-23'!$S17&lt;0,'FY22-23'!F17/'FY22-23'!$S17*'Multi-Year'!$P17,0)</f>
        <v>0</v>
      </c>
      <c r="G17" s="94">
        <f>IF('FY22-23'!$S17&gt;0,'FY22-23'!G17/'FY22-23'!$S17*'Multi-Year'!$P17,0)+IF('FY22-23'!$S17&lt;0,'FY22-23'!G17/'FY22-23'!$S17*'Multi-Year'!$P17,0)</f>
        <v>0</v>
      </c>
      <c r="H17" s="94">
        <f>IF('FY22-23'!$S17&gt;0,'FY22-23'!H17/'FY22-23'!$S17*'Multi-Year'!$P17,0)+IF('FY22-23'!$S17&lt;0,'FY22-23'!H17/'FY22-23'!$S17*'Multi-Year'!$P17,0)</f>
        <v>0</v>
      </c>
      <c r="I17" s="94">
        <f>IF('FY22-23'!$S17&gt;0,'FY22-23'!I17/'FY22-23'!$S17*'Multi-Year'!$P17,0)+IF('FY22-23'!$S17&lt;0,'FY22-23'!I17/'FY22-23'!$S17*'Multi-Year'!$P17,0)</f>
        <v>0</v>
      </c>
      <c r="J17" s="94">
        <f>IF('FY22-23'!$S17&gt;0,'FY22-23'!J17/'FY22-23'!$S17*'Multi-Year'!$P17,0)+IF('FY22-23'!$S17&lt;0,'FY22-23'!J17/'FY22-23'!$S17*'Multi-Year'!$P17,0)</f>
        <v>0</v>
      </c>
      <c r="K17" s="94">
        <f>IF('FY22-23'!$S17&gt;0,'FY22-23'!K17/'FY22-23'!$S17*'Multi-Year'!$P17,0)+IF('FY22-23'!$S17&lt;0,'FY22-23'!K17/'FY22-23'!$S17*'Multi-Year'!$P17,0)</f>
        <v>0</v>
      </c>
      <c r="L17" s="94">
        <f>IF('FY22-23'!$S17&gt;0,'FY22-23'!L17/'FY22-23'!$S17*'Multi-Year'!$P17,0)+IF('FY22-23'!$S17&lt;0,'FY22-23'!L17/'FY22-23'!$S17*'Multi-Year'!$P17,0)</f>
        <v>0</v>
      </c>
      <c r="M17" s="94">
        <f>IF('FY22-23'!$S17&gt;0,'FY22-23'!M17/'FY22-23'!$S17*'Multi-Year'!$P17,0)+IF('FY22-23'!$S17&lt;0,'FY22-23'!M17/'FY22-23'!$S17*'Multi-Year'!$P17,0)</f>
        <v>0</v>
      </c>
      <c r="N17" s="94">
        <f>IF('FY22-23'!$S17&gt;0,'FY22-23'!N17/'FY22-23'!$S17*'Multi-Year'!$P17,0)+IF('FY22-23'!$S17&lt;0,'FY22-23'!N17/'FY22-23'!$S17*'Multi-Year'!$P17,0)</f>
        <v>0</v>
      </c>
      <c r="O17" s="94">
        <f>IF('FY22-23'!$S17&gt;0,'FY22-23'!O17/'FY22-23'!$S17*'Multi-Year'!$P17,0)+IF('FY22-23'!$S17&lt;0,'FY22-23'!O17/'FY22-23'!$S17*'Multi-Year'!$P17,0)</f>
        <v>0</v>
      </c>
      <c r="P17" s="94">
        <f>IF('FY22-23'!$S17&gt;0,'FY22-23'!P17/'FY22-23'!$S17*'Multi-Year'!$P17,0)+IF('FY22-23'!$S17&lt;0,'FY22-23'!P17/'FY22-23'!$S17*'Multi-Year'!$P17,0)</f>
        <v>0</v>
      </c>
      <c r="Q17" s="606">
        <f>IF('FY21-22'!$S17&gt;0,'FY21-22'!Q17/'FY21-22'!$S17*'Multi-Year'!$N17,0)+IF('FY21-22'!$S17&lt;0,'FY21-22'!Q17/'FY21-22'!$S17*'Multi-Year'!$N17,0)</f>
        <v>0</v>
      </c>
      <c r="R17" s="92"/>
      <c r="S17" s="625">
        <f t="shared" si="2"/>
        <v>0</v>
      </c>
      <c r="T17" s="92"/>
      <c r="U17" s="94">
        <f>'FY22-23'!S17</f>
        <v>0</v>
      </c>
      <c r="V17" s="94">
        <f t="shared" ref="V17" si="3">S17-U17</f>
        <v>0</v>
      </c>
    </row>
    <row r="18" spans="1:23" s="112" customFormat="1" ht="12" customHeight="1">
      <c r="A18" s="109"/>
      <c r="B18" s="109" t="s">
        <v>186</v>
      </c>
      <c r="C18" s="102">
        <v>8096</v>
      </c>
      <c r="D18" s="103" t="s">
        <v>8</v>
      </c>
      <c r="E18" s="356">
        <f>(E$7*(LCFF!$P$23-LCFF!$P$25)*('Multi-Year'!$P18/LCFF!$P$23))+(E$8*(LCFF!$P$25)*('Multi-Year'!$P18/LCFF!$P$23))</f>
        <v>55347.203595268322</v>
      </c>
      <c r="F18" s="356">
        <f>(F$7*(LCFF!$P$23-LCFF!$P$25)*('Multi-Year'!$P18/LCFF!$P$23))+(F$8*(LCFF!$P$25)*('Multi-Year'!$P18/LCFF!$P$23))</f>
        <v>110694.40719053664</v>
      </c>
      <c r="G18" s="356">
        <f>(G$7*(LCFF!$P$23-LCFF!$P$25)*('Multi-Year'!$P18/LCFF!$P$23))+(G$8*(LCFF!$P$25)*('Multi-Year'!$P18/LCFF!$P$23))</f>
        <v>73796.271460357762</v>
      </c>
      <c r="H18" s="356">
        <f>(H$7*(LCFF!$P$23-LCFF!$P$25)*('Multi-Year'!$P18/LCFF!$P$23))+(H$8*(LCFF!$P$25)*('Multi-Year'!$P18/LCFF!$P$23))</f>
        <v>73796.271460357762</v>
      </c>
      <c r="I18" s="356">
        <f>(I$7*(LCFF!$P$23-LCFF!$P$25)*('Multi-Year'!$P18/LCFF!$P$23))+(I$8*(LCFF!$P$25)*('Multi-Year'!$P18/LCFF!$P$23))</f>
        <v>73796.271460357762</v>
      </c>
      <c r="J18" s="356">
        <f>(J$7*(LCFF!$P$23-LCFF!$P$25)*('Multi-Year'!$P18/LCFF!$P$23))+(J$8*(LCFF!$P$25)*('Multi-Year'!$P18/LCFF!$P$23))</f>
        <v>73796.271460357762</v>
      </c>
      <c r="K18" s="356">
        <f>(K$7*(LCFF!$P$23-LCFF!$P$25)*('Multi-Year'!$P18/LCFF!$P$23))+(K$8*(LCFF!$P$25)*('Multi-Year'!$P18/LCFF!$P$23))</f>
        <v>73796.271460357762</v>
      </c>
      <c r="L18" s="94">
        <f>('Multi-Year'!$P18-SUM('FY23-24'!$E18:$K18))*L$7</f>
        <v>129143.47505562604</v>
      </c>
      <c r="M18" s="94">
        <f>('Multi-Year'!$P18-SUM('FY23-24'!$E18:$K18))*M$7</f>
        <v>64571.73752781302</v>
      </c>
      <c r="N18" s="94">
        <f>('Multi-Year'!$P18-SUM('FY23-24'!$E18:$K18))*N$7</f>
        <v>64571.73752781302</v>
      </c>
      <c r="O18" s="94">
        <f>('Multi-Year'!$P18-SUM('FY23-24'!$E18:$K18))*O$7</f>
        <v>64571.73752781302</v>
      </c>
      <c r="P18" s="94">
        <f>('Multi-Year'!$P18-SUM('FY23-24'!$E18:$K18))*P$7</f>
        <v>64571.73752781302</v>
      </c>
      <c r="Q18" s="606">
        <f>'Multi-Year'!P18-SUM('FY23-24'!E18:P18)</f>
        <v>0</v>
      </c>
      <c r="R18" s="304"/>
      <c r="S18" s="625">
        <f t="shared" si="2"/>
        <v>922453.39325447206</v>
      </c>
      <c r="T18" s="304"/>
      <c r="U18" s="94">
        <f>'FY22-23'!S18</f>
        <v>878132.08663842408</v>
      </c>
      <c r="V18" s="94">
        <f>S18-U18</f>
        <v>44321.306616047979</v>
      </c>
    </row>
    <row r="19" spans="1:23" s="95" customFormat="1" ht="12" customHeight="1">
      <c r="A19" s="96"/>
      <c r="B19" s="96" t="s">
        <v>186</v>
      </c>
      <c r="C19" s="102"/>
      <c r="D19" s="103"/>
      <c r="E19" s="215">
        <f>SUM(E15:E18)</f>
        <v>55347.203595268322</v>
      </c>
      <c r="F19" s="215">
        <f t="shared" ref="F19:Q19" si="4">SUM(F15:F18)</f>
        <v>1660806.8518214598</v>
      </c>
      <c r="G19" s="215">
        <f t="shared" si="4"/>
        <v>1623908.716091281</v>
      </c>
      <c r="H19" s="215">
        <f t="shared" si="4"/>
        <v>3030010.6717960192</v>
      </c>
      <c r="I19" s="215">
        <f t="shared" si="4"/>
        <v>2863998.6717960192</v>
      </c>
      <c r="J19" s="215">
        <f t="shared" si="4"/>
        <v>2863998.6717960192</v>
      </c>
      <c r="K19" s="215">
        <f t="shared" si="4"/>
        <v>3030010.6717960192</v>
      </c>
      <c r="L19" s="215">
        <f t="shared" si="4"/>
        <v>2919345.8753912877</v>
      </c>
      <c r="M19" s="215">
        <f t="shared" si="4"/>
        <v>3177610.350258728</v>
      </c>
      <c r="N19" s="215">
        <f t="shared" si="4"/>
        <v>3368759.3502587276</v>
      </c>
      <c r="O19" s="215">
        <f t="shared" si="4"/>
        <v>3177610.3502587276</v>
      </c>
      <c r="P19" s="215">
        <f t="shared" si="4"/>
        <v>3177610.3502587276</v>
      </c>
      <c r="Q19" s="603">
        <f t="shared" si="4"/>
        <v>3287429.6127309203</v>
      </c>
      <c r="R19" s="306"/>
      <c r="S19" s="626">
        <f>SUM(E19:R19)</f>
        <v>34236447.347849205</v>
      </c>
      <c r="T19" s="306"/>
      <c r="U19" s="216">
        <f>SUM(U15:U18)</f>
        <v>32591354.323641997</v>
      </c>
      <c r="V19" s="216">
        <f>SUM(V15:V18)</f>
        <v>1645093.0242072069</v>
      </c>
    </row>
    <row r="20" spans="1:23" s="95" customFormat="1" ht="12.5" customHeight="1">
      <c r="A20" s="91"/>
      <c r="B20" s="91" t="s">
        <v>282</v>
      </c>
      <c r="C20" s="91"/>
      <c r="D20" s="91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602"/>
      <c r="R20" s="92"/>
      <c r="S20" s="627"/>
      <c r="T20" s="92"/>
      <c r="U20" s="92"/>
      <c r="V20" s="92"/>
    </row>
    <row r="21" spans="1:23" s="95" customFormat="1" ht="12" customHeight="1">
      <c r="A21" s="91"/>
      <c r="B21" s="91" t="s">
        <v>186</v>
      </c>
      <c r="C21" s="102">
        <v>8181</v>
      </c>
      <c r="D21" s="105" t="s">
        <v>315</v>
      </c>
      <c r="E21" s="94">
        <v>0</v>
      </c>
      <c r="F21" s="94">
        <f>LCFF!$N$23*'Revenue Inputs'!$G$7*'FY23-24'!E$9+LCFF!$P$25*'Revenue Inputs'!$G$7*'FY23-24'!E$8</f>
        <v>17265.248</v>
      </c>
      <c r="G21" s="94">
        <f>LCFF!$N$23*'Revenue Inputs'!$G$7*'FY23-24'!F$9+LCFF!$P$25*'Revenue Inputs'!$G$7*'FY23-24'!F$8</f>
        <v>17265.248</v>
      </c>
      <c r="H21" s="94">
        <f>LCFF!$N$23*'Revenue Inputs'!$G$7*'FY23-24'!G$9+LCFF!$P$25*'Revenue Inputs'!$G$7*'FY23-24'!G$8</f>
        <v>31077.446399999997</v>
      </c>
      <c r="I21" s="94">
        <f>LCFF!$N$23*'Revenue Inputs'!$G$7*'FY23-24'!H$9+LCFF!$P$25*'Revenue Inputs'!$G$7*'FY23-24'!H$8</f>
        <v>31077.446399999997</v>
      </c>
      <c r="J21" s="94">
        <f>LCFF!$N$23*'Revenue Inputs'!$G$7*'FY23-24'!I$9+LCFF!$P$25*'Revenue Inputs'!$G$7*'FY23-24'!I$8</f>
        <v>31077.446399999997</v>
      </c>
      <c r="K21" s="94">
        <f>LCFF!$N$23*'Revenue Inputs'!$G$7*'FY23-24'!J$9+LCFF!$P$25*'Revenue Inputs'!$G$7*'FY23-24'!J$8</f>
        <v>31077.446399999997</v>
      </c>
      <c r="L21" s="94">
        <f>LCFF!$N$23*'Revenue Inputs'!$G$7*'FY23-24'!K$9+LCFF!$P$25*'Revenue Inputs'!$G$7*'FY23-24'!K$8</f>
        <v>31077.446399999997</v>
      </c>
      <c r="M21" s="94">
        <f>(LCFF!$P$23*'Revenue Inputs'!$G$7-SUM($E$21:$L$21))*'FY23-24'!L$9</f>
        <v>34563.110399999998</v>
      </c>
      <c r="N21" s="94">
        <f>(LCFF!$P$23*'Revenue Inputs'!$G$7-SUM($E$21:$L$21))*'FY23-24'!M$9</f>
        <v>34563.110399999998</v>
      </c>
      <c r="O21" s="94">
        <f>(LCFF!$P$23*'Revenue Inputs'!$G$7-SUM($E$21:$L$21))*'FY23-24'!N$9</f>
        <v>34563.110399999998</v>
      </c>
      <c r="P21" s="94">
        <f>(LCFF!$P$23*'Revenue Inputs'!$G$7-SUM($E$21:$L$21))*'FY23-24'!O$9</f>
        <v>34563.110399999998</v>
      </c>
      <c r="Q21" s="606">
        <f>'Multi-Year'!P21:P21-SUM('FY23-24'!E21:P21)</f>
        <v>34563.110399999889</v>
      </c>
      <c r="R21" s="304"/>
      <c r="S21" s="625">
        <f t="shared" ref="S21:S29" si="5">SUM(E21:Q21)</f>
        <v>362733.27999999985</v>
      </c>
      <c r="T21" s="304"/>
      <c r="U21" s="94">
        <f>'FY22-23'!S21</f>
        <v>345304.9599999999</v>
      </c>
      <c r="V21" s="94">
        <f t="shared" ref="V21:V52" si="6">S21-U21</f>
        <v>17428.319999999949</v>
      </c>
    </row>
    <row r="22" spans="1:23" s="95" customFormat="1" ht="12" customHeight="1">
      <c r="A22" s="91"/>
      <c r="B22" s="91" t="s">
        <v>186</v>
      </c>
      <c r="C22" s="102">
        <v>8182</v>
      </c>
      <c r="D22" s="105" t="s">
        <v>270</v>
      </c>
      <c r="E22" s="94">
        <f>IF('FY22-23'!$S22&gt;0,'FY22-23'!E22/'FY22-23'!$S22*'Multi-Year'!$P22,0)+IF('FY22-23'!$S22&lt;0,'FY22-23'!E22/'FY22-23'!$S22*'Multi-Year'!$P22,0)</f>
        <v>0</v>
      </c>
      <c r="F22" s="94">
        <f>IF('FY22-23'!$S22&gt;0,'FY22-23'!F22/'FY22-23'!$S22*'Multi-Year'!$P22,0)+IF('FY22-23'!$S22&lt;0,'FY22-23'!F22/'FY22-23'!$S22*'Multi-Year'!$P22,0)</f>
        <v>0</v>
      </c>
      <c r="G22" s="94">
        <f>IF('FY22-23'!$S22&gt;0,'FY22-23'!G22/'FY22-23'!$S22*'Multi-Year'!$P22,0)+IF('FY22-23'!$S22&lt;0,'FY22-23'!G22/'FY22-23'!$S22*'Multi-Year'!$P22,0)</f>
        <v>0</v>
      </c>
      <c r="H22" s="94">
        <f>IF('FY22-23'!$S22&gt;0,'FY22-23'!H22/'FY22-23'!$S22*'Multi-Year'!$P22,0)+IF('FY22-23'!$S22&lt;0,'FY22-23'!H22/'FY22-23'!$S22*'Multi-Year'!$P22,0)</f>
        <v>0</v>
      </c>
      <c r="I22" s="94">
        <f>IF('FY22-23'!$S22&gt;0,'FY22-23'!I22/'FY22-23'!$S22*'Multi-Year'!$P22,0)+IF('FY22-23'!$S22&lt;0,'FY22-23'!I22/'FY22-23'!$S22*'Multi-Year'!$P22,0)</f>
        <v>0</v>
      </c>
      <c r="J22" s="94">
        <f>IF('FY22-23'!$S22&gt;0,'FY22-23'!J22/'FY22-23'!$S22*'Multi-Year'!$P22,0)+IF('FY22-23'!$S22&lt;0,'FY22-23'!J22/'FY22-23'!$S22*'Multi-Year'!$P22,0)</f>
        <v>0</v>
      </c>
      <c r="K22" s="94">
        <f>IF('FY22-23'!$S22&gt;0,'FY22-23'!K22/'FY22-23'!$S22*'Multi-Year'!$P22,0)+IF('FY22-23'!$S22&lt;0,'FY22-23'!K22/'FY22-23'!$S22*'Multi-Year'!$P22,0)</f>
        <v>0</v>
      </c>
      <c r="L22" s="94">
        <f>IF('FY22-23'!$S22&gt;0,'FY22-23'!L22/'FY22-23'!$S22*'Multi-Year'!$P22,0)+IF('FY22-23'!$S22&lt;0,'FY22-23'!L22/'FY22-23'!$S22*'Multi-Year'!$P22,0)</f>
        <v>0</v>
      </c>
      <c r="M22" s="94">
        <f>IF('FY22-23'!$S22&gt;0,'FY22-23'!M22/'FY22-23'!$S22*'Multi-Year'!$P22,0)+IF('FY22-23'!$S22&lt;0,'FY22-23'!M22/'FY22-23'!$S22*'Multi-Year'!$P22,0)</f>
        <v>0</v>
      </c>
      <c r="N22" s="94">
        <f>IF('FY22-23'!$S22&gt;0,'FY22-23'!N22/'FY22-23'!$S22*'Multi-Year'!$P22,0)+IF('FY22-23'!$S22&lt;0,'FY22-23'!N22/'FY22-23'!$S22*'Multi-Year'!$P22,0)</f>
        <v>0</v>
      </c>
      <c r="O22" s="94">
        <f>IF('FY22-23'!$S22&gt;0,'FY22-23'!O22/'FY22-23'!$S22*'Multi-Year'!$P22,0)+IF('FY22-23'!$S22&lt;0,'FY22-23'!O22/'FY22-23'!$S22*'Multi-Year'!$P22,0)</f>
        <v>0</v>
      </c>
      <c r="P22" s="94">
        <f>IF('FY22-23'!$S22&gt;0,'FY22-23'!P22/'FY22-23'!$S22*'Multi-Year'!$P22,0)+IF('FY22-23'!$S22&lt;0,'FY22-23'!P22/'FY22-23'!$S22*'Multi-Year'!$P22,0)</f>
        <v>0</v>
      </c>
      <c r="Q22" s="606">
        <f>IF('FY21-22'!$S22&gt;0,'FY21-22'!Q22/'FY21-22'!$S22*'Multi-Year'!$N22,0)+IF('FY21-22'!$S22&lt;0,'FY21-22'!Q22/'FY21-22'!$S22*'Multi-Year'!$N22,0)</f>
        <v>0</v>
      </c>
      <c r="R22" s="304"/>
      <c r="S22" s="625">
        <f t="shared" si="5"/>
        <v>0</v>
      </c>
      <c r="T22" s="304"/>
      <c r="U22" s="94">
        <f>'FY22-23'!S22</f>
        <v>0</v>
      </c>
      <c r="V22" s="94">
        <f t="shared" si="6"/>
        <v>0</v>
      </c>
    </row>
    <row r="23" spans="1:23" s="95" customFormat="1" ht="12" customHeight="1">
      <c r="A23" s="91"/>
      <c r="B23" s="91" t="s">
        <v>186</v>
      </c>
      <c r="C23" s="102">
        <v>8220</v>
      </c>
      <c r="D23" s="103" t="s">
        <v>12</v>
      </c>
      <c r="E23" s="94">
        <v>0</v>
      </c>
      <c r="F23" s="94">
        <v>0</v>
      </c>
      <c r="G23" s="94">
        <f>'Multi-Year'!$P23*0.05</f>
        <v>0</v>
      </c>
      <c r="H23" s="94">
        <f>'Multi-Year'!$P23*0.05</f>
        <v>0</v>
      </c>
      <c r="I23" s="94">
        <f>'Multi-Year'!$P23*0.1</f>
        <v>0</v>
      </c>
      <c r="J23" s="94">
        <f>'Multi-Year'!$P23*0.1</f>
        <v>0</v>
      </c>
      <c r="K23" s="94">
        <f>'Multi-Year'!$P23*0.1</f>
        <v>0</v>
      </c>
      <c r="L23" s="94">
        <f>'Multi-Year'!$P23*0.1</f>
        <v>0</v>
      </c>
      <c r="M23" s="94">
        <f>'Multi-Year'!$P23*0.1</f>
        <v>0</v>
      </c>
      <c r="N23" s="94">
        <f>'Multi-Year'!$P23*0.1</f>
        <v>0</v>
      </c>
      <c r="O23" s="94">
        <f>'Multi-Year'!$P23*0.1</f>
        <v>0</v>
      </c>
      <c r="P23" s="94">
        <f>'Multi-Year'!$P23*0.1</f>
        <v>0</v>
      </c>
      <c r="Q23" s="606">
        <f>'Multi-Year'!P23-SUM('FY23-24'!E23:P23)</f>
        <v>0</v>
      </c>
      <c r="R23" s="92"/>
      <c r="S23" s="625">
        <f t="shared" si="5"/>
        <v>0</v>
      </c>
      <c r="T23" s="92"/>
      <c r="U23" s="94">
        <f>'FY22-23'!S23</f>
        <v>0</v>
      </c>
      <c r="V23" s="94">
        <f t="shared" si="6"/>
        <v>0</v>
      </c>
    </row>
    <row r="24" spans="1:23" s="95" customFormat="1" ht="12" customHeight="1">
      <c r="A24" s="91"/>
      <c r="B24" s="91" t="s">
        <v>186</v>
      </c>
      <c r="C24" s="102">
        <v>8290</v>
      </c>
      <c r="D24" s="103" t="s">
        <v>116</v>
      </c>
      <c r="E24" s="94">
        <v>0</v>
      </c>
      <c r="F24" s="94">
        <v>0</v>
      </c>
      <c r="G24" s="94">
        <f>'Multi-Year'!$P24*0.25</f>
        <v>0</v>
      </c>
      <c r="H24" s="94">
        <v>0</v>
      </c>
      <c r="I24" s="94">
        <v>0</v>
      </c>
      <c r="J24" s="94">
        <f>'Multi-Year'!$P24*0.25</f>
        <v>0</v>
      </c>
      <c r="K24" s="94">
        <v>0</v>
      </c>
      <c r="L24" s="94">
        <v>0</v>
      </c>
      <c r="M24" s="94">
        <f>'Multi-Year'!$P24*0.25</f>
        <v>0</v>
      </c>
      <c r="N24" s="94">
        <v>0</v>
      </c>
      <c r="O24" s="94">
        <v>0</v>
      </c>
      <c r="P24" s="94">
        <v>0</v>
      </c>
      <c r="Q24" s="606">
        <f>'Multi-Year'!P24-SUM('FY23-24'!E24:P24)</f>
        <v>0</v>
      </c>
      <c r="R24" s="107"/>
      <c r="S24" s="625">
        <f t="shared" si="5"/>
        <v>0</v>
      </c>
      <c r="T24" s="107"/>
      <c r="U24" s="94">
        <f>'FY22-23'!S24</f>
        <v>0</v>
      </c>
      <c r="V24" s="94">
        <f t="shared" si="6"/>
        <v>0</v>
      </c>
    </row>
    <row r="25" spans="1:23" s="95" customFormat="1" ht="12" customHeight="1">
      <c r="A25" s="91"/>
      <c r="B25" s="91" t="s">
        <v>186</v>
      </c>
      <c r="C25" s="102">
        <v>8291</v>
      </c>
      <c r="D25" s="103" t="s">
        <v>117</v>
      </c>
      <c r="E25" s="94">
        <f>IF('FY19-20'!E25&gt;0,'FY19-20'!E25/'FY19-20'!$S25*'Multi-Year'!$J25,0)</f>
        <v>0</v>
      </c>
      <c r="F25" s="94">
        <f>IF('FY19-20'!F25&gt;0,'FY19-20'!F25/'FY19-20'!$S25*'Multi-Year'!$J25,0)</f>
        <v>0</v>
      </c>
      <c r="G25" s="94">
        <f>'Multi-Year'!$P25*0.25</f>
        <v>0</v>
      </c>
      <c r="H25" s="94">
        <f>IF('FY19-20'!H25&gt;0,'FY19-20'!H25/'FY19-20'!$S25*'Multi-Year'!$J25,0)</f>
        <v>0</v>
      </c>
      <c r="I25" s="94">
        <f>IF('FY19-20'!I25&gt;0,'FY19-20'!I25/'FY19-20'!$S25*'Multi-Year'!$J25,0)</f>
        <v>0</v>
      </c>
      <c r="J25" s="94">
        <f>'Multi-Year'!$P25*0.25</f>
        <v>0</v>
      </c>
      <c r="K25" s="94">
        <f>IF('FY19-20'!K25&gt;0,'FY19-20'!K25/'FY19-20'!$S25*'Multi-Year'!$J25,0)</f>
        <v>0</v>
      </c>
      <c r="L25" s="94">
        <f>IF('FY19-20'!L25&gt;0,'FY19-20'!L25/'FY19-20'!$S25*'Multi-Year'!$J25,0)</f>
        <v>0</v>
      </c>
      <c r="M25" s="94">
        <f>'Multi-Year'!$P25*0.25</f>
        <v>0</v>
      </c>
      <c r="N25" s="94">
        <f>IF('FY19-20'!N25&gt;0,'FY19-20'!N25/'FY19-20'!$S25*'Multi-Year'!$J25,0)</f>
        <v>0</v>
      </c>
      <c r="O25" s="94">
        <f>IF('FY19-20'!O25&gt;0,'FY19-20'!O25/'FY19-20'!$S25*'Multi-Year'!$J25,0)</f>
        <v>0</v>
      </c>
      <c r="P25" s="94">
        <v>0</v>
      </c>
      <c r="Q25" s="606">
        <f>'Multi-Year'!P25-SUM('FY23-24'!E25:P25)</f>
        <v>0</v>
      </c>
      <c r="R25" s="92"/>
      <c r="S25" s="625">
        <f t="shared" si="5"/>
        <v>0</v>
      </c>
      <c r="T25" s="92"/>
      <c r="U25" s="94">
        <f>'FY22-23'!S25</f>
        <v>0</v>
      </c>
      <c r="V25" s="94">
        <f t="shared" si="6"/>
        <v>0</v>
      </c>
    </row>
    <row r="26" spans="1:23" s="95" customFormat="1" ht="12" customHeight="1">
      <c r="A26" s="91"/>
      <c r="B26" s="91" t="s">
        <v>186</v>
      </c>
      <c r="C26" s="102">
        <v>8293</v>
      </c>
      <c r="D26" s="103" t="s">
        <v>118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f>'Multi-Year'!L26</f>
        <v>0</v>
      </c>
      <c r="Q26" s="606">
        <f>'Multi-Year'!P26-SUM('FY23-24'!E26:P26)</f>
        <v>0</v>
      </c>
      <c r="R26" s="92"/>
      <c r="S26" s="625">
        <f t="shared" si="5"/>
        <v>0</v>
      </c>
      <c r="T26" s="92"/>
      <c r="U26" s="94">
        <f>'FY22-23'!S26</f>
        <v>0</v>
      </c>
      <c r="V26" s="94">
        <f t="shared" si="6"/>
        <v>0</v>
      </c>
    </row>
    <row r="27" spans="1:23" s="95" customFormat="1" ht="12" customHeight="1">
      <c r="A27" s="91"/>
      <c r="B27" s="91" t="s">
        <v>186</v>
      </c>
      <c r="C27" s="102">
        <v>8294</v>
      </c>
      <c r="D27" s="108" t="s">
        <v>263</v>
      </c>
      <c r="E27" s="94">
        <v>0</v>
      </c>
      <c r="F27" s="94">
        <v>0</v>
      </c>
      <c r="G27" s="94">
        <f>'Multi-Year'!$P27*0.25</f>
        <v>0</v>
      </c>
      <c r="H27" s="94">
        <v>0</v>
      </c>
      <c r="I27" s="94">
        <v>0</v>
      </c>
      <c r="J27" s="94">
        <f>'Multi-Year'!$P27*0.25</f>
        <v>0</v>
      </c>
      <c r="K27" s="94">
        <v>0</v>
      </c>
      <c r="L27" s="94">
        <v>0</v>
      </c>
      <c r="M27" s="94">
        <f>'Multi-Year'!$P27*0.25</f>
        <v>0</v>
      </c>
      <c r="N27" s="94">
        <v>0</v>
      </c>
      <c r="O27" s="94">
        <v>0</v>
      </c>
      <c r="P27" s="94">
        <f>'Multi-Year'!$P27*0.25</f>
        <v>0</v>
      </c>
      <c r="Q27" s="606">
        <f>'Multi-Year'!P27-SUM('FY23-24'!E27:P27)</f>
        <v>0</v>
      </c>
      <c r="R27" s="92"/>
      <c r="S27" s="625">
        <f t="shared" si="5"/>
        <v>0</v>
      </c>
      <c r="T27" s="92"/>
      <c r="U27" s="94">
        <f>'FY22-23'!S27</f>
        <v>0</v>
      </c>
      <c r="V27" s="94">
        <f t="shared" si="6"/>
        <v>0</v>
      </c>
    </row>
    <row r="28" spans="1:23" s="95" customFormat="1" ht="12" customHeight="1">
      <c r="A28" s="91"/>
      <c r="B28" s="91" t="s">
        <v>186</v>
      </c>
      <c r="C28" s="102">
        <v>8295</v>
      </c>
      <c r="D28" s="103" t="s">
        <v>264</v>
      </c>
      <c r="E28" s="94">
        <f>'Multi-Year'!$P$28/12</f>
        <v>0</v>
      </c>
      <c r="F28" s="94">
        <f>'Multi-Year'!$P$28/12</f>
        <v>0</v>
      </c>
      <c r="G28" s="94">
        <f>'Multi-Year'!$P$28/12</f>
        <v>0</v>
      </c>
      <c r="H28" s="94">
        <f>'Multi-Year'!$P$28/12</f>
        <v>0</v>
      </c>
      <c r="I28" s="94">
        <f>'Multi-Year'!$P$28/12</f>
        <v>0</v>
      </c>
      <c r="J28" s="94">
        <f>'Multi-Year'!$P$28/12</f>
        <v>0</v>
      </c>
      <c r="K28" s="94">
        <f>'Multi-Year'!$P$28/12</f>
        <v>0</v>
      </c>
      <c r="L28" s="94">
        <f>'Multi-Year'!$P$28/12</f>
        <v>0</v>
      </c>
      <c r="M28" s="94">
        <f>'Multi-Year'!$P$28/12</f>
        <v>0</v>
      </c>
      <c r="N28" s="94">
        <f>'Multi-Year'!$P$28/12</f>
        <v>0</v>
      </c>
      <c r="O28" s="94">
        <f>'Multi-Year'!$P$28/12</f>
        <v>0</v>
      </c>
      <c r="P28" s="94">
        <f>'Multi-Year'!$P$28/12</f>
        <v>0</v>
      </c>
      <c r="Q28" s="606">
        <f>'Multi-Year'!P28-SUM('FY23-24'!E28:P28)</f>
        <v>0</v>
      </c>
      <c r="R28" s="92"/>
      <c r="S28" s="625">
        <f t="shared" si="5"/>
        <v>0</v>
      </c>
      <c r="T28" s="92"/>
      <c r="U28" s="94">
        <f>'FY22-23'!S28</f>
        <v>0</v>
      </c>
      <c r="V28" s="94">
        <f t="shared" si="6"/>
        <v>0</v>
      </c>
    </row>
    <row r="29" spans="1:23" s="95" customFormat="1" ht="12" customHeight="1">
      <c r="A29" s="91"/>
      <c r="B29" s="91" t="s">
        <v>186</v>
      </c>
      <c r="C29" s="102">
        <v>8296</v>
      </c>
      <c r="D29" s="103" t="s">
        <v>133</v>
      </c>
      <c r="E29" s="94">
        <f>IF('FY22-23'!$S29&gt;0,'FY22-23'!E29/'FY22-23'!$S29*'Multi-Year'!$P29,0)+IF('FY22-23'!$S29&lt;0,'FY22-23'!E29/'FY22-23'!$S29*'Multi-Year'!$P29,0)</f>
        <v>0</v>
      </c>
      <c r="F29" s="94">
        <f>IF('FY22-23'!$S29&gt;0,'FY22-23'!F29/'FY22-23'!$S29*'Multi-Year'!$P29,0)+IF('FY22-23'!$S29&lt;0,'FY22-23'!F29/'FY22-23'!$S29*'Multi-Year'!$P29,0)</f>
        <v>0</v>
      </c>
      <c r="G29" s="94">
        <f>IF('FY22-23'!$S29&gt;0,'FY22-23'!G29/'FY22-23'!$S29*'Multi-Year'!$P29,0)+IF('FY22-23'!$S29&lt;0,'FY22-23'!G29/'FY22-23'!$S29*'Multi-Year'!$P29,0)</f>
        <v>0</v>
      </c>
      <c r="H29" s="94">
        <f>IF('FY22-23'!$S29&gt;0,'FY22-23'!H29/'FY22-23'!$S29*'Multi-Year'!$P29,0)+IF('FY22-23'!$S29&lt;0,'FY22-23'!H29/'FY22-23'!$S29*'Multi-Year'!$P29,0)</f>
        <v>0</v>
      </c>
      <c r="I29" s="94">
        <f>IF('FY22-23'!$S29&gt;0,'FY22-23'!I29/'FY22-23'!$S29*'Multi-Year'!$P29,0)+IF('FY22-23'!$S29&lt;0,'FY22-23'!I29/'FY22-23'!$S29*'Multi-Year'!$P29,0)</f>
        <v>0</v>
      </c>
      <c r="J29" s="94">
        <f>IF('FY22-23'!$S29&gt;0,'FY22-23'!J29/'FY22-23'!$S29*'Multi-Year'!$P29,0)+IF('FY22-23'!$S29&lt;0,'FY22-23'!J29/'FY22-23'!$S29*'Multi-Year'!$P29,0)</f>
        <v>0</v>
      </c>
      <c r="K29" s="94">
        <f>IF('FY22-23'!$S29&gt;0,'FY22-23'!K29/'FY22-23'!$S29*'Multi-Year'!$P29,0)+IF('FY22-23'!$S29&lt;0,'FY22-23'!K29/'FY22-23'!$S29*'Multi-Year'!$P29,0)</f>
        <v>0</v>
      </c>
      <c r="L29" s="94">
        <f>IF('FY22-23'!$S29&gt;0,'FY22-23'!L29/'FY22-23'!$S29*'Multi-Year'!$P29,0)+IF('FY22-23'!$S29&lt;0,'FY22-23'!L29/'FY22-23'!$S29*'Multi-Year'!$P29,0)</f>
        <v>0</v>
      </c>
      <c r="M29" s="94">
        <f>IF('FY22-23'!$S29&gt;0,'FY22-23'!M29/'FY22-23'!$S29*'Multi-Year'!$P29,0)+IF('FY22-23'!$S29&lt;0,'FY22-23'!M29/'FY22-23'!$S29*'Multi-Year'!$P29,0)</f>
        <v>0</v>
      </c>
      <c r="N29" s="94">
        <f>IF('FY22-23'!$S29&gt;0,'FY22-23'!N29/'FY22-23'!$S29*'Multi-Year'!$P29,0)+IF('FY22-23'!$S29&lt;0,'FY22-23'!N29/'FY22-23'!$S29*'Multi-Year'!$P29,0)</f>
        <v>150876.05652786331</v>
      </c>
      <c r="O29" s="94">
        <f>IF('FY22-23'!$S29&gt;0,'FY22-23'!O29/'FY22-23'!$S29*'Multi-Year'!$P29,0)+IF('FY22-23'!$S29&lt;0,'FY22-23'!O29/'FY22-23'!$S29*'Multi-Year'!$P29,0)</f>
        <v>0</v>
      </c>
      <c r="P29" s="94">
        <f>IF('FY22-23'!$S29&gt;0,'FY22-23'!P29/'FY22-23'!$S29*'Multi-Year'!$P29,0)+IF('FY22-23'!$S29&lt;0,'FY22-23'!P29/'FY22-23'!$S29*'Multi-Year'!$P29,0)</f>
        <v>65918.861910834836</v>
      </c>
      <c r="Q29" s="606">
        <f>IF('FY21-22'!$S29&gt;0,'FY21-22'!Q29/'FY21-22'!$S29*'Multi-Year'!$N29,0)+IF('FY21-22'!$S29&lt;0,'FY21-22'!Q29/'FY21-22'!$S29*'Multi-Year'!$N29,0)</f>
        <v>0</v>
      </c>
      <c r="R29" s="92"/>
      <c r="S29" s="625">
        <f t="shared" si="5"/>
        <v>216794.91843869817</v>
      </c>
      <c r="T29" s="92"/>
      <c r="U29" s="94">
        <f>'FY22-23'!S29</f>
        <v>206378.52870758899</v>
      </c>
      <c r="V29" s="94">
        <f t="shared" si="6"/>
        <v>10416.389731109171</v>
      </c>
    </row>
    <row r="30" spans="1:23" s="95" customFormat="1" ht="12" customHeight="1">
      <c r="A30" s="91"/>
      <c r="B30" s="91"/>
      <c r="C30" s="102">
        <v>8299</v>
      </c>
      <c r="D30" s="103" t="s">
        <v>385</v>
      </c>
      <c r="E30" s="94">
        <f>IF('FY22-23'!$S30&gt;0,'FY22-23'!E30/'FY22-23'!$S30*'Multi-Year'!$P30,0)+IF('FY22-23'!$S30&lt;0,'FY22-23'!E30/'FY22-23'!$S30*'Multi-Year'!$P30,0)</f>
        <v>0</v>
      </c>
      <c r="F30" s="94">
        <f>IF('FY22-23'!$S30&gt;0,'FY22-23'!F30/'FY22-23'!$S30*'Multi-Year'!$P30,0)+IF('FY22-23'!$S30&lt;0,'FY22-23'!F30/'FY22-23'!$S30*'Multi-Year'!$P30,0)</f>
        <v>0</v>
      </c>
      <c r="G30" s="94">
        <f>IF('FY22-23'!$S30&gt;0,'FY22-23'!G30/'FY22-23'!$S30*'Multi-Year'!$P30,0)+IF('FY22-23'!$S30&lt;0,'FY22-23'!G30/'FY22-23'!$S30*'Multi-Year'!$P30,0)</f>
        <v>0</v>
      </c>
      <c r="H30" s="94">
        <f>IF('FY22-23'!$S30&gt;0,'FY22-23'!H30/'FY22-23'!$S30*'Multi-Year'!$P30,0)+IF('FY22-23'!$S30&lt;0,'FY22-23'!H30/'FY22-23'!$S30*'Multi-Year'!$P30,0)</f>
        <v>0</v>
      </c>
      <c r="I30" s="94">
        <f>IF('FY22-23'!$S30&gt;0,'FY22-23'!I30/'FY22-23'!$S30*'Multi-Year'!$P30,0)+IF('FY22-23'!$S30&lt;0,'FY22-23'!I30/'FY22-23'!$S30*'Multi-Year'!$P30,0)</f>
        <v>0</v>
      </c>
      <c r="J30" s="94">
        <f>IF('FY22-23'!$S30&gt;0,'FY22-23'!J30/'FY22-23'!$S30*'Multi-Year'!$P30,0)+IF('FY22-23'!$S30&lt;0,'FY22-23'!J30/'FY22-23'!$S30*'Multi-Year'!$P30,0)</f>
        <v>0</v>
      </c>
      <c r="K30" s="94">
        <f>IF('FY22-23'!$S30&gt;0,'FY22-23'!K30/'FY22-23'!$S30*'Multi-Year'!$P30,0)+IF('FY22-23'!$S30&lt;0,'FY22-23'!K30/'FY22-23'!$S30*'Multi-Year'!$P30,0)</f>
        <v>0</v>
      </c>
      <c r="L30" s="94">
        <f>IF('FY22-23'!$S30&gt;0,'FY22-23'!L30/'FY22-23'!$S30*'Multi-Year'!$P30,0)+IF('FY22-23'!$S30&lt;0,'FY22-23'!L30/'FY22-23'!$S30*'Multi-Year'!$P30,0)</f>
        <v>0</v>
      </c>
      <c r="M30" s="94">
        <f>IF('FY22-23'!$S30&gt;0,'FY22-23'!M30/'FY22-23'!$S30*'Multi-Year'!$P30,0)+IF('FY22-23'!$S30&lt;0,'FY22-23'!M30/'FY22-23'!$S30*'Multi-Year'!$P30,0)</f>
        <v>0</v>
      </c>
      <c r="N30" s="94">
        <f>IF('FY22-23'!$S30&gt;0,'FY22-23'!N30/'FY22-23'!$S30*'Multi-Year'!$P30,0)+IF('FY22-23'!$S30&lt;0,'FY22-23'!N30/'FY22-23'!$S30*'Multi-Year'!$P30,0)</f>
        <v>0</v>
      </c>
      <c r="O30" s="94">
        <f>IF('FY22-23'!$S30&gt;0,'FY22-23'!O30/'FY22-23'!$S30*'Multi-Year'!$P30,0)+IF('FY22-23'!$S30&lt;0,'FY22-23'!O30/'FY22-23'!$S30*'Multi-Year'!$P30,0)</f>
        <v>0</v>
      </c>
      <c r="P30" s="94">
        <f>IF('FY22-23'!$S30&gt;0,'FY22-23'!P30/'FY22-23'!$S30*'Multi-Year'!$P30,0)+IF('FY22-23'!$S30&lt;0,'FY22-23'!P30/'FY22-23'!$S30*'Multi-Year'!$P30,0)</f>
        <v>0</v>
      </c>
      <c r="Q30" s="606">
        <f>IF('FY21-22'!$S30&gt;0,'FY21-22'!Q30/'FY21-22'!$S30*'Multi-Year'!$N30,0)+IF('FY21-22'!$S30&lt;0,'FY21-22'!Q30/'FY21-22'!$S30*'Multi-Year'!$N30,0)</f>
        <v>0</v>
      </c>
      <c r="R30" s="92"/>
      <c r="S30" s="625">
        <f t="shared" ref="S30" si="7">SUM(E30:Q30)</f>
        <v>0</v>
      </c>
      <c r="T30" s="92"/>
      <c r="U30" s="94">
        <f>'FY22-23'!S30</f>
        <v>0</v>
      </c>
      <c r="V30" s="94">
        <f t="shared" ref="V30" si="8">S30-U30</f>
        <v>0</v>
      </c>
    </row>
    <row r="31" spans="1:23" s="112" customFormat="1" ht="12" customHeight="1">
      <c r="A31" s="109"/>
      <c r="B31" s="109" t="s">
        <v>186</v>
      </c>
      <c r="C31" s="109"/>
      <c r="D31" s="110"/>
      <c r="E31" s="307">
        <f>SUM(E21:E30)</f>
        <v>0</v>
      </c>
      <c r="F31" s="307">
        <f t="shared" ref="F31:P31" si="9">SUM(F21:F30)</f>
        <v>17265.248</v>
      </c>
      <c r="G31" s="307">
        <f t="shared" si="9"/>
        <v>17265.248</v>
      </c>
      <c r="H31" s="307">
        <f t="shared" si="9"/>
        <v>31077.446399999997</v>
      </c>
      <c r="I31" s="307">
        <f t="shared" si="9"/>
        <v>31077.446399999997</v>
      </c>
      <c r="J31" s="307">
        <f t="shared" si="9"/>
        <v>31077.446399999997</v>
      </c>
      <c r="K31" s="307">
        <f t="shared" si="9"/>
        <v>31077.446399999997</v>
      </c>
      <c r="L31" s="307">
        <f t="shared" si="9"/>
        <v>31077.446399999997</v>
      </c>
      <c r="M31" s="307">
        <f t="shared" si="9"/>
        <v>34563.110399999998</v>
      </c>
      <c r="N31" s="307">
        <f t="shared" si="9"/>
        <v>185439.16692786332</v>
      </c>
      <c r="O31" s="307">
        <f t="shared" si="9"/>
        <v>34563.110399999998</v>
      </c>
      <c r="P31" s="307">
        <f t="shared" si="9"/>
        <v>100481.97231083483</v>
      </c>
      <c r="Q31" s="615">
        <f>SUM(Q21:Q30)</f>
        <v>34563.110399999889</v>
      </c>
      <c r="R31" s="304"/>
      <c r="S31" s="628">
        <f>SUM(S21:S30)</f>
        <v>579528.19843869796</v>
      </c>
      <c r="T31" s="304"/>
      <c r="U31" s="308">
        <f>SUM(U21:U30)</f>
        <v>551683.48870758887</v>
      </c>
      <c r="V31" s="308">
        <f>SUM(V21:V30)</f>
        <v>27844.70973110912</v>
      </c>
      <c r="W31" s="95"/>
    </row>
    <row r="32" spans="1:23" s="95" customFormat="1" ht="12" customHeight="1">
      <c r="A32" s="91"/>
      <c r="B32" s="96" t="s">
        <v>168</v>
      </c>
      <c r="C32" s="91"/>
      <c r="D32" s="91"/>
      <c r="E32" s="304"/>
      <c r="F32" s="304"/>
      <c r="G32" s="304"/>
      <c r="H32" s="304"/>
      <c r="I32" s="304"/>
      <c r="J32" s="304"/>
      <c r="K32" s="304"/>
      <c r="L32" s="306"/>
      <c r="M32" s="306"/>
      <c r="N32" s="306"/>
      <c r="O32" s="306"/>
      <c r="P32" s="306"/>
      <c r="Q32" s="614"/>
      <c r="R32" s="306"/>
      <c r="S32" s="624"/>
      <c r="T32" s="306"/>
      <c r="U32" s="306"/>
      <c r="V32" s="306"/>
    </row>
    <row r="33" spans="1:22" s="95" customFormat="1" ht="12" customHeight="1">
      <c r="A33" s="91"/>
      <c r="B33" s="91" t="s">
        <v>186</v>
      </c>
      <c r="C33" s="102">
        <v>8311</v>
      </c>
      <c r="D33" s="105" t="s">
        <v>261</v>
      </c>
      <c r="E33" s="94">
        <v>0</v>
      </c>
      <c r="F33" s="356">
        <f>LCFF!$N$23*'Revenue Inputs'!$G$18*'FY23-24'!E$9+LCFF!$P$25*'Revenue Inputs'!$G$18*'FY23-24'!E$8</f>
        <v>84290.983995114424</v>
      </c>
      <c r="G33" s="356">
        <f>LCFF!$N$23*'Revenue Inputs'!$G$18*'FY23-24'!F$9+LCFF!$P$25*'Revenue Inputs'!$G$18*'FY23-24'!F$8</f>
        <v>84290.983995114424</v>
      </c>
      <c r="H33" s="356">
        <f>LCFF!$N$23*'Revenue Inputs'!$G$18*'FY23-24'!G$9+LCFF!$P$25*'Revenue Inputs'!$G$18*'FY23-24'!G$8</f>
        <v>151723.77119120595</v>
      </c>
      <c r="I33" s="356">
        <f>LCFF!$N$23*'Revenue Inputs'!$G$18*'FY23-24'!H$9+LCFF!$P$25*'Revenue Inputs'!$G$18*'FY23-24'!H$8</f>
        <v>151723.77119120595</v>
      </c>
      <c r="J33" s="356">
        <f>LCFF!$N$23*'Revenue Inputs'!$G$18*'FY23-24'!I$9+LCFF!$P$25*'Revenue Inputs'!$G$18*'FY23-24'!I$8</f>
        <v>151723.77119120595</v>
      </c>
      <c r="K33" s="356">
        <f>LCFF!$N$23*'Revenue Inputs'!$G$18*'FY23-24'!J$9+LCFF!$P$25*'Revenue Inputs'!$G$18*'FY23-24'!J$8</f>
        <v>151723.77119120595</v>
      </c>
      <c r="L33" s="356">
        <f>LCFF!$N$23*'Revenue Inputs'!$G$18*'FY23-24'!K$9+LCFF!$P$25*'Revenue Inputs'!$G$18*'FY23-24'!K$8</f>
        <v>151723.77119120595</v>
      </c>
      <c r="M33" s="356">
        <f>(LCFF!$P$23*'Revenue Inputs'!$G$18-SUM($E$33:$L$33))*'FY23-24'!L$9</f>
        <v>168741.19535078635</v>
      </c>
      <c r="N33" s="356">
        <f>(LCFF!$P$23*'Revenue Inputs'!$G$18-SUM($E$33:$L$33))*'FY23-24'!M$9</f>
        <v>168741.19535078635</v>
      </c>
      <c r="O33" s="356">
        <f>(LCFF!$P$23*'Revenue Inputs'!$G$18-SUM($E$33:$L$33))*'FY23-24'!N$9</f>
        <v>168741.19535078635</v>
      </c>
      <c r="P33" s="356">
        <f>(LCFF!$P$23*'Revenue Inputs'!$G$18-SUM($E$33:$L$33))*'FY23-24'!O$9</f>
        <v>168741.19535078635</v>
      </c>
      <c r="Q33" s="616">
        <f>'Multi-Year'!P33-SUM('FY23-24'!E33:P33)</f>
        <v>168741.19535078621</v>
      </c>
      <c r="R33" s="304"/>
      <c r="S33" s="625">
        <f t="shared" ref="S33:S39" si="10">SUM(E33:Q33)</f>
        <v>1770906.8007001905</v>
      </c>
      <c r="T33" s="304"/>
      <c r="U33" s="94">
        <f>'FY22-23'!S33</f>
        <v>1685819.6799022886</v>
      </c>
      <c r="V33" s="94">
        <f t="shared" si="6"/>
        <v>85087.12079790188</v>
      </c>
    </row>
    <row r="34" spans="1:22" s="95" customFormat="1" ht="12" customHeight="1">
      <c r="A34" s="91"/>
      <c r="B34" s="91" t="s">
        <v>186</v>
      </c>
      <c r="C34" s="102">
        <v>8520</v>
      </c>
      <c r="D34" s="103" t="s">
        <v>121</v>
      </c>
      <c r="E34" s="94">
        <f>IF('FY22-23'!E34&gt;0,'FY22-23'!E34/'FY22-23'!$S34*'Multi-Year'!$P34,0)</f>
        <v>0</v>
      </c>
      <c r="F34" s="94">
        <f>IF('FY22-23'!F34&gt;0,'FY22-23'!F34/'FY22-23'!$S34*'Multi-Year'!$P34,0)</f>
        <v>0</v>
      </c>
      <c r="G34" s="94">
        <f>IF('FY22-23'!G34&gt;0,'FY22-23'!G34/'FY22-23'!$S34*'Multi-Year'!$P34,0)</f>
        <v>0</v>
      </c>
      <c r="H34" s="94">
        <f>IF('FY22-23'!H34&gt;0,'FY22-23'!H34/'FY22-23'!$S34*'Multi-Year'!$P34,0)</f>
        <v>0</v>
      </c>
      <c r="I34" s="94">
        <f>IF('FY22-23'!I34&gt;0,'FY22-23'!I34/'FY22-23'!$S34*'Multi-Year'!$P34,0)</f>
        <v>0</v>
      </c>
      <c r="J34" s="94">
        <f>IF('FY22-23'!J34&gt;0,'FY22-23'!J34/'FY22-23'!$S34*'Multi-Year'!$P34,0)</f>
        <v>0</v>
      </c>
      <c r="K34" s="94">
        <f>IF('FY22-23'!K34&gt;0,'FY22-23'!K34/'FY22-23'!$S34*'Multi-Year'!$P34,0)</f>
        <v>0</v>
      </c>
      <c r="L34" s="94">
        <f>IF('FY22-23'!L34&gt;0,'FY22-23'!L34/'FY22-23'!$S34*'Multi-Year'!$P34,0)</f>
        <v>0</v>
      </c>
      <c r="M34" s="94">
        <f>IF('FY22-23'!M34&gt;0,'FY22-23'!M34/'FY22-23'!$S34*'Multi-Year'!$P34,0)</f>
        <v>0</v>
      </c>
      <c r="N34" s="94">
        <f>IF('FY22-23'!N34&gt;0,'FY22-23'!N34/'FY22-23'!$S34*'Multi-Year'!$P34,0)</f>
        <v>0</v>
      </c>
      <c r="O34" s="94">
        <f>IF('FY22-23'!O34&gt;0,'FY22-23'!O34/'FY22-23'!$S34*'Multi-Year'!$P34,0)</f>
        <v>0</v>
      </c>
      <c r="P34" s="94">
        <f>IF('FY22-23'!P34&gt;0,'FY22-23'!P34/'FY22-23'!$S34*'Multi-Year'!$P34,0)</f>
        <v>0</v>
      </c>
      <c r="Q34" s="606">
        <f>'Multi-Year'!P34-SUM('FY23-24'!E34:P34)</f>
        <v>0</v>
      </c>
      <c r="R34" s="92"/>
      <c r="S34" s="625">
        <f t="shared" si="10"/>
        <v>0</v>
      </c>
      <c r="T34" s="92"/>
      <c r="U34" s="94">
        <f>'FY22-23'!S34</f>
        <v>0</v>
      </c>
      <c r="V34" s="94">
        <f t="shared" si="6"/>
        <v>0</v>
      </c>
    </row>
    <row r="35" spans="1:22" s="95" customFormat="1" ht="12" customHeight="1">
      <c r="A35" s="91"/>
      <c r="B35" s="91" t="s">
        <v>186</v>
      </c>
      <c r="C35" s="102">
        <v>8545</v>
      </c>
      <c r="D35" s="103" t="s">
        <v>260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f>'Multi-Year'!$P35*0.5</f>
        <v>0</v>
      </c>
      <c r="L35" s="94">
        <v>0</v>
      </c>
      <c r="M35" s="94">
        <v>0</v>
      </c>
      <c r="N35" s="94">
        <v>0</v>
      </c>
      <c r="O35" s="94">
        <f>'Multi-Year'!$P35*0.25</f>
        <v>0</v>
      </c>
      <c r="P35" s="94">
        <v>0</v>
      </c>
      <c r="Q35" s="606">
        <f>'Multi-Year'!P35-SUM('FY23-24'!E35:P35)</f>
        <v>0</v>
      </c>
      <c r="R35" s="92"/>
      <c r="S35" s="625">
        <f t="shared" si="10"/>
        <v>0</v>
      </c>
      <c r="T35" s="92"/>
      <c r="U35" s="94">
        <f>'FY22-23'!S35</f>
        <v>0</v>
      </c>
      <c r="V35" s="94" t="s">
        <v>25</v>
      </c>
    </row>
    <row r="36" spans="1:22" s="95" customFormat="1" ht="12" customHeight="1">
      <c r="A36" s="91"/>
      <c r="B36" s="91" t="s">
        <v>186</v>
      </c>
      <c r="C36" s="102">
        <v>8550</v>
      </c>
      <c r="D36" s="103" t="s">
        <v>262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f>'Multi-Year'!L36</f>
        <v>65419.390399999989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606">
        <f>'Multi-Year'!P36-SUM('FY23-24'!E36:P36)</f>
        <v>3294.2994000000035</v>
      </c>
      <c r="R36" s="92"/>
      <c r="S36" s="625">
        <f t="shared" si="10"/>
        <v>68713.689799999993</v>
      </c>
      <c r="T36" s="92"/>
      <c r="U36" s="94">
        <f>'FY22-23'!S36</f>
        <v>65419.390399999989</v>
      </c>
      <c r="V36" s="94">
        <f t="shared" ref="V36" si="11">S36-U36</f>
        <v>3294.2994000000035</v>
      </c>
    </row>
    <row r="37" spans="1:22" s="95" customFormat="1" ht="12" customHeight="1">
      <c r="A37" s="109"/>
      <c r="B37" s="109" t="s">
        <v>186</v>
      </c>
      <c r="C37" s="102">
        <v>8560</v>
      </c>
      <c r="D37" s="103" t="s">
        <v>120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f>'Multi-Year'!$P37*0.25</f>
        <v>171933.24254263093</v>
      </c>
      <c r="L37" s="94">
        <v>0</v>
      </c>
      <c r="M37" s="94">
        <v>0</v>
      </c>
      <c r="N37" s="94">
        <f>'Multi-Year'!$P37*0.25</f>
        <v>171933.24254263093</v>
      </c>
      <c r="O37" s="94">
        <f>IF('FY22-23'!O37&gt;0,'FY22-23'!O37/'FY22-23'!$S37*'Multi-Year'!$P37,0)</f>
        <v>0</v>
      </c>
      <c r="P37" s="94">
        <f>IF('FY22-23'!P37&gt;0,'FY22-23'!P37/'FY22-23'!$S37*'Multi-Year'!$P37,0)</f>
        <v>0</v>
      </c>
      <c r="Q37" s="606">
        <f>'Multi-Year'!P37-SUM('FY23-24'!E37:P37)</f>
        <v>343866.48508526187</v>
      </c>
      <c r="R37" s="92"/>
      <c r="S37" s="625">
        <f t="shared" si="10"/>
        <v>687732.97017052374</v>
      </c>
      <c r="T37" s="92"/>
      <c r="U37" s="94">
        <f>'FY22-23'!S37</f>
        <v>654689.32366893359</v>
      </c>
      <c r="V37" s="94">
        <f t="shared" si="6"/>
        <v>33043.646501590149</v>
      </c>
    </row>
    <row r="38" spans="1:22" s="95" customFormat="1" ht="12" customHeight="1">
      <c r="A38" s="109"/>
      <c r="B38" s="109" t="s">
        <v>186</v>
      </c>
      <c r="C38" s="102">
        <v>8598</v>
      </c>
      <c r="D38" s="103" t="s">
        <v>242</v>
      </c>
      <c r="E38" s="94">
        <f>IF('FY22-23'!$S38&gt;0,'FY22-23'!E38/'FY22-23'!$S38*'Multi-Year'!$P38,0)+IF('FY22-23'!$S38&lt;0,'FY22-23'!E38/'FY22-23'!$S38*'Multi-Year'!$P38,0)</f>
        <v>0</v>
      </c>
      <c r="F38" s="94">
        <f>IF('FY22-23'!$S38&gt;0,'FY22-23'!F38/'FY22-23'!$S38*'Multi-Year'!$P38,0)+IF('FY22-23'!$S38&lt;0,'FY22-23'!F38/'FY22-23'!$S38*'Multi-Year'!$P38,0)</f>
        <v>0</v>
      </c>
      <c r="G38" s="94">
        <f>IF('FY22-23'!$S38&gt;0,'FY22-23'!G38/'FY22-23'!$S38*'Multi-Year'!$P38,0)+IF('FY22-23'!$S38&lt;0,'FY22-23'!G38/'FY22-23'!$S38*'Multi-Year'!$P38,0)</f>
        <v>0</v>
      </c>
      <c r="H38" s="94">
        <f>IF('FY22-23'!$S38&gt;0,'FY22-23'!H38/'FY22-23'!$S38*'Multi-Year'!$P38,0)+IF('FY22-23'!$S38&lt;0,'FY22-23'!H38/'FY22-23'!$S38*'Multi-Year'!$P38,0)</f>
        <v>0</v>
      </c>
      <c r="I38" s="94">
        <f>IF('FY22-23'!$S38&gt;0,'FY22-23'!I38/'FY22-23'!$S38*'Multi-Year'!$P38,0)+IF('FY22-23'!$S38&lt;0,'FY22-23'!I38/'FY22-23'!$S38*'Multi-Year'!$P38,0)</f>
        <v>0</v>
      </c>
      <c r="J38" s="94">
        <f>IF('FY22-23'!$S38&gt;0,'FY22-23'!J38/'FY22-23'!$S38*'Multi-Year'!$P38,0)+IF('FY22-23'!$S38&lt;0,'FY22-23'!J38/'FY22-23'!$S38*'Multi-Year'!$P38,0)</f>
        <v>0</v>
      </c>
      <c r="K38" s="94">
        <f>IF('FY22-23'!$S38&gt;0,'FY22-23'!K38/'FY22-23'!$S38*'Multi-Year'!$P38,0)+IF('FY22-23'!$S38&lt;0,'FY22-23'!K38/'FY22-23'!$S38*'Multi-Year'!$P38,0)</f>
        <v>0</v>
      </c>
      <c r="L38" s="94">
        <f>IF('FY22-23'!$S38&gt;0,'FY22-23'!L38/'FY22-23'!$S38*'Multi-Year'!$P38,0)+IF('FY22-23'!$S38&lt;0,'FY22-23'!L38/'FY22-23'!$S38*'Multi-Year'!$P38,0)</f>
        <v>0</v>
      </c>
      <c r="M38" s="94">
        <f>IF('FY22-23'!$S38&gt;0,'FY22-23'!M38/'FY22-23'!$S38*'Multi-Year'!$P38,0)+IF('FY22-23'!$S38&lt;0,'FY22-23'!M38/'FY22-23'!$S38*'Multi-Year'!$P38,0)</f>
        <v>0</v>
      </c>
      <c r="N38" s="94">
        <f>IF('FY22-23'!$S38&gt;0,'FY22-23'!N38/'FY22-23'!$S38*'Multi-Year'!$P38,0)+IF('FY22-23'!$S38&lt;0,'FY22-23'!N38/'FY22-23'!$S38*'Multi-Year'!$P38,0)</f>
        <v>0</v>
      </c>
      <c r="O38" s="94">
        <f>IF('FY22-23'!$S38&gt;0,'FY22-23'!O38/'FY22-23'!$S38*'Multi-Year'!$P38,0)+IF('FY22-23'!$S38&lt;0,'FY22-23'!O38/'FY22-23'!$S38*'Multi-Year'!$P38,0)</f>
        <v>0</v>
      </c>
      <c r="P38" s="94">
        <f>IF('FY22-23'!$S38&gt;0,'FY22-23'!P38/'FY22-23'!$S38*'Multi-Year'!$P38,0)+IF('FY22-23'!$S38&lt;0,'FY22-23'!P38/'FY22-23'!$S38*'Multi-Year'!$P38,0)</f>
        <v>0</v>
      </c>
      <c r="Q38" s="606">
        <f>IF('FY21-22'!$S38&gt;0,'FY21-22'!Q38/'FY21-22'!$S38*'Multi-Year'!$N38,0)+IF('FY21-22'!$S38&lt;0,'FY21-22'!Q38/'FY21-22'!$S38*'Multi-Year'!$N38,0)</f>
        <v>0</v>
      </c>
      <c r="R38" s="92"/>
      <c r="S38" s="625">
        <f t="shared" si="10"/>
        <v>0</v>
      </c>
      <c r="T38" s="92"/>
      <c r="U38" s="94">
        <f>'FY22-23'!S38</f>
        <v>0</v>
      </c>
      <c r="V38" s="94">
        <f t="shared" si="6"/>
        <v>0</v>
      </c>
    </row>
    <row r="39" spans="1:22" s="95" customFormat="1" ht="12" customHeight="1">
      <c r="A39" s="91"/>
      <c r="B39" s="91" t="s">
        <v>186</v>
      </c>
      <c r="C39" s="102">
        <v>8599</v>
      </c>
      <c r="D39" s="103" t="s">
        <v>168</v>
      </c>
      <c r="E39" s="94">
        <v>0</v>
      </c>
      <c r="F39" s="94">
        <v>0</v>
      </c>
      <c r="G39" s="94">
        <v>0</v>
      </c>
      <c r="H39" s="94">
        <v>0</v>
      </c>
      <c r="I39" s="94">
        <f>'Multi-Year'!$P$39*0.65</f>
        <v>0</v>
      </c>
      <c r="J39" s="94">
        <v>0</v>
      </c>
      <c r="K39" s="94">
        <v>0</v>
      </c>
      <c r="L39" s="94">
        <v>0</v>
      </c>
      <c r="M39" s="94">
        <v>0</v>
      </c>
      <c r="N39" s="94">
        <f>'Multi-Year'!$P$39*0.25</f>
        <v>0</v>
      </c>
      <c r="O39" s="94">
        <v>0</v>
      </c>
      <c r="P39" s="94">
        <v>0</v>
      </c>
      <c r="Q39" s="606">
        <f>'Multi-Year'!P39-SUM('FY23-24'!E39:P39)</f>
        <v>0</v>
      </c>
      <c r="R39" s="92"/>
      <c r="S39" s="625">
        <f t="shared" si="10"/>
        <v>0</v>
      </c>
      <c r="T39" s="92"/>
      <c r="U39" s="94">
        <f>'FY22-23'!S39</f>
        <v>0</v>
      </c>
      <c r="V39" s="94">
        <f t="shared" si="6"/>
        <v>0</v>
      </c>
    </row>
    <row r="40" spans="1:22" s="112" customFormat="1" ht="12" customHeight="1">
      <c r="A40" s="109"/>
      <c r="B40" s="109" t="s">
        <v>186</v>
      </c>
      <c r="C40" s="109"/>
      <c r="D40" s="110"/>
      <c r="E40" s="307">
        <f>SUM(E33:E39)</f>
        <v>0</v>
      </c>
      <c r="F40" s="307">
        <f t="shared" ref="F40:Q40" si="12">SUM(F33:F39)</f>
        <v>84290.983995114424</v>
      </c>
      <c r="G40" s="307">
        <f t="shared" si="12"/>
        <v>84290.983995114424</v>
      </c>
      <c r="H40" s="307">
        <f t="shared" si="12"/>
        <v>151723.77119120595</v>
      </c>
      <c r="I40" s="307">
        <f t="shared" si="12"/>
        <v>151723.77119120595</v>
      </c>
      <c r="J40" s="307">
        <f t="shared" si="12"/>
        <v>217143.16159120592</v>
      </c>
      <c r="K40" s="307">
        <f t="shared" si="12"/>
        <v>323657.01373383688</v>
      </c>
      <c r="L40" s="307">
        <f t="shared" si="12"/>
        <v>151723.77119120595</v>
      </c>
      <c r="M40" s="307">
        <f t="shared" si="12"/>
        <v>168741.19535078635</v>
      </c>
      <c r="N40" s="307">
        <f t="shared" si="12"/>
        <v>340674.43789341731</v>
      </c>
      <c r="O40" s="307">
        <f t="shared" si="12"/>
        <v>168741.19535078635</v>
      </c>
      <c r="P40" s="307">
        <f t="shared" si="12"/>
        <v>168741.19535078635</v>
      </c>
      <c r="Q40" s="615">
        <f t="shared" si="12"/>
        <v>515901.97983604809</v>
      </c>
      <c r="R40" s="304"/>
      <c r="S40" s="626">
        <f>SUM(E40:R40)</f>
        <v>2527353.4606707143</v>
      </c>
      <c r="T40" s="304"/>
      <c r="U40" s="307">
        <f>SUM(U33:U39)</f>
        <v>2405928.393971222</v>
      </c>
      <c r="V40" s="307">
        <f>SUM(V33:V39)</f>
        <v>121425.06669949203</v>
      </c>
    </row>
    <row r="41" spans="1:22" s="112" customFormat="1" ht="12" customHeight="1">
      <c r="A41" s="109"/>
      <c r="B41" s="120" t="s">
        <v>283</v>
      </c>
      <c r="C41" s="102"/>
      <c r="D41" s="103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617"/>
      <c r="R41" s="304"/>
      <c r="S41" s="625"/>
      <c r="T41" s="304"/>
      <c r="U41" s="304"/>
      <c r="V41" s="304"/>
    </row>
    <row r="42" spans="1:22" s="95" customFormat="1" ht="12" customHeight="1">
      <c r="A42" s="91"/>
      <c r="B42" s="91" t="s">
        <v>186</v>
      </c>
      <c r="C42" s="102">
        <v>8634</v>
      </c>
      <c r="D42" s="104" t="s">
        <v>14</v>
      </c>
      <c r="E42" s="94">
        <f>IF('FY22-23'!$S42&gt;0,'FY22-23'!E42/'FY22-23'!$S42*'Multi-Year'!$P42,0)+IF('FY22-23'!$S42&lt;0,'FY22-23'!E42/'FY22-23'!$S42*'Multi-Year'!$P42,0)</f>
        <v>0</v>
      </c>
      <c r="F42" s="94">
        <f>IF('FY22-23'!$S42&gt;0,'FY22-23'!F42/'FY22-23'!$S42*'Multi-Year'!$P42,0)+IF('FY22-23'!$S42&lt;0,'FY22-23'!F42/'FY22-23'!$S42*'Multi-Year'!$P42,0)</f>
        <v>0</v>
      </c>
      <c r="G42" s="94">
        <f>IF('FY22-23'!$S42&gt;0,'FY22-23'!G42/'FY22-23'!$S42*'Multi-Year'!$P42,0)+IF('FY22-23'!$S42&lt;0,'FY22-23'!G42/'FY22-23'!$S42*'Multi-Year'!$P42,0)</f>
        <v>0</v>
      </c>
      <c r="H42" s="94">
        <f>IF('FY22-23'!$S42&gt;0,'FY22-23'!H42/'FY22-23'!$S42*'Multi-Year'!$P42,0)+IF('FY22-23'!$S42&lt;0,'FY22-23'!H42/'FY22-23'!$S42*'Multi-Year'!$P42,0)</f>
        <v>0</v>
      </c>
      <c r="I42" s="94">
        <f>IF('FY22-23'!$S42&gt;0,'FY22-23'!I42/'FY22-23'!$S42*'Multi-Year'!$P42,0)+IF('FY22-23'!$S42&lt;0,'FY22-23'!I42/'FY22-23'!$S42*'Multi-Year'!$P42,0)</f>
        <v>0</v>
      </c>
      <c r="J42" s="94">
        <f>IF('FY22-23'!$S42&gt;0,'FY22-23'!J42/'FY22-23'!$S42*'Multi-Year'!$P42,0)+IF('FY22-23'!$S42&lt;0,'FY22-23'!J42/'FY22-23'!$S42*'Multi-Year'!$P42,0)</f>
        <v>0</v>
      </c>
      <c r="K42" s="94">
        <f>IF('FY22-23'!$S42&gt;0,'FY22-23'!K42/'FY22-23'!$S42*'Multi-Year'!$P42,0)+IF('FY22-23'!$S42&lt;0,'FY22-23'!K42/'FY22-23'!$S42*'Multi-Year'!$P42,0)</f>
        <v>0</v>
      </c>
      <c r="L42" s="94">
        <f>IF('FY22-23'!$S42&gt;0,'FY22-23'!L42/'FY22-23'!$S42*'Multi-Year'!$P42,0)+IF('FY22-23'!$S42&lt;0,'FY22-23'!L42/'FY22-23'!$S42*'Multi-Year'!$P42,0)</f>
        <v>0</v>
      </c>
      <c r="M42" s="94">
        <f>IF('FY22-23'!$S42&gt;0,'FY22-23'!M42/'FY22-23'!$S42*'Multi-Year'!$P42,0)+IF('FY22-23'!$S42&lt;0,'FY22-23'!M42/'FY22-23'!$S42*'Multi-Year'!$P42,0)</f>
        <v>0</v>
      </c>
      <c r="N42" s="94">
        <f>IF('FY22-23'!$S42&gt;0,'FY22-23'!N42/'FY22-23'!$S42*'Multi-Year'!$P42,0)+IF('FY22-23'!$S42&lt;0,'FY22-23'!N42/'FY22-23'!$S42*'Multi-Year'!$P42,0)</f>
        <v>0</v>
      </c>
      <c r="O42" s="94">
        <f>IF('FY22-23'!$S42&gt;0,'FY22-23'!O42/'FY22-23'!$S42*'Multi-Year'!$P42,0)+IF('FY22-23'!$S42&lt;0,'FY22-23'!O42/'FY22-23'!$S42*'Multi-Year'!$P42,0)</f>
        <v>0</v>
      </c>
      <c r="P42" s="94">
        <f>IF('FY22-23'!$S42&gt;0,'FY22-23'!P42/'FY22-23'!$S42*'Multi-Year'!$P42,0)+IF('FY22-23'!$S42&lt;0,'FY22-23'!P42/'FY22-23'!$S42*'Multi-Year'!$P42,0)</f>
        <v>0</v>
      </c>
      <c r="Q42" s="606">
        <f>IF('FY21-22'!$S42&gt;0,'FY21-22'!Q42/'FY21-22'!$S42*'Multi-Year'!$N42,0)+IF('FY21-22'!$S42&lt;0,'FY21-22'!Q42/'FY21-22'!$S42*'Multi-Year'!$N42,0)</f>
        <v>0</v>
      </c>
      <c r="R42" s="92"/>
      <c r="S42" s="625">
        <f t="shared" ref="S42:S49" si="13">SUM(E42:Q42)</f>
        <v>0</v>
      </c>
      <c r="T42" s="92"/>
      <c r="U42" s="94">
        <f>'FY22-23'!S42</f>
        <v>0</v>
      </c>
      <c r="V42" s="94">
        <f t="shared" ref="V42" si="14">S42-U42</f>
        <v>0</v>
      </c>
    </row>
    <row r="43" spans="1:22" s="95" customFormat="1" ht="12" customHeight="1">
      <c r="A43" s="91"/>
      <c r="B43" s="91" t="s">
        <v>186</v>
      </c>
      <c r="C43" s="102">
        <v>8650</v>
      </c>
      <c r="D43" s="104" t="s">
        <v>15</v>
      </c>
      <c r="E43" s="94">
        <f>IF('FY22-23'!$S43&gt;0,'FY22-23'!E43/'FY22-23'!$S43*'Multi-Year'!$P43,0)+IF('FY22-23'!$S43&lt;0,'FY22-23'!E43/'FY22-23'!$S43*'Multi-Year'!$P43,0)</f>
        <v>0</v>
      </c>
      <c r="F43" s="94">
        <f>IF('FY22-23'!$S43&gt;0,'FY22-23'!F43/'FY22-23'!$S43*'Multi-Year'!$P43,0)+IF('FY22-23'!$S43&lt;0,'FY22-23'!F43/'FY22-23'!$S43*'Multi-Year'!$P43,0)</f>
        <v>0</v>
      </c>
      <c r="G43" s="94">
        <f>IF('FY22-23'!$S43&gt;0,'FY22-23'!G43/'FY22-23'!$S43*'Multi-Year'!$P43,0)+IF('FY22-23'!$S43&lt;0,'FY22-23'!G43/'FY22-23'!$S43*'Multi-Year'!$P43,0)</f>
        <v>0</v>
      </c>
      <c r="H43" s="94">
        <f>IF('FY22-23'!$S43&gt;0,'FY22-23'!H43/'FY22-23'!$S43*'Multi-Year'!$P43,0)+IF('FY22-23'!$S43&lt;0,'FY22-23'!H43/'FY22-23'!$S43*'Multi-Year'!$P43,0)</f>
        <v>0</v>
      </c>
      <c r="I43" s="94">
        <f>IF('FY22-23'!$S43&gt;0,'FY22-23'!I43/'FY22-23'!$S43*'Multi-Year'!$P43,0)+IF('FY22-23'!$S43&lt;0,'FY22-23'!I43/'FY22-23'!$S43*'Multi-Year'!$P43,0)</f>
        <v>0</v>
      </c>
      <c r="J43" s="94">
        <f>IF('FY22-23'!$S43&gt;0,'FY22-23'!J43/'FY22-23'!$S43*'Multi-Year'!$P43,0)+IF('FY22-23'!$S43&lt;0,'FY22-23'!J43/'FY22-23'!$S43*'Multi-Year'!$P43,0)</f>
        <v>0</v>
      </c>
      <c r="K43" s="94">
        <f>IF('FY22-23'!$S43&gt;0,'FY22-23'!K43/'FY22-23'!$S43*'Multi-Year'!$P43,0)+IF('FY22-23'!$S43&lt;0,'FY22-23'!K43/'FY22-23'!$S43*'Multi-Year'!$P43,0)</f>
        <v>0</v>
      </c>
      <c r="L43" s="94">
        <f>IF('FY22-23'!$S43&gt;0,'FY22-23'!L43/'FY22-23'!$S43*'Multi-Year'!$P43,0)+IF('FY22-23'!$S43&lt;0,'FY22-23'!L43/'FY22-23'!$S43*'Multi-Year'!$P43,0)</f>
        <v>0</v>
      </c>
      <c r="M43" s="94">
        <f>IF('FY22-23'!$S43&gt;0,'FY22-23'!M43/'FY22-23'!$S43*'Multi-Year'!$P43,0)+IF('FY22-23'!$S43&lt;0,'FY22-23'!M43/'FY22-23'!$S43*'Multi-Year'!$P43,0)</f>
        <v>0</v>
      </c>
      <c r="N43" s="94">
        <f>IF('FY22-23'!$S43&gt;0,'FY22-23'!N43/'FY22-23'!$S43*'Multi-Year'!$P43,0)+IF('FY22-23'!$S43&lt;0,'FY22-23'!N43/'FY22-23'!$S43*'Multi-Year'!$P43,0)</f>
        <v>0</v>
      </c>
      <c r="O43" s="94">
        <f>IF('FY22-23'!$S43&gt;0,'FY22-23'!O43/'FY22-23'!$S43*'Multi-Year'!$P43,0)+IF('FY22-23'!$S43&lt;0,'FY22-23'!O43/'FY22-23'!$S43*'Multi-Year'!$P43,0)</f>
        <v>0</v>
      </c>
      <c r="P43" s="94">
        <f>IF('FY22-23'!$S43&gt;0,'FY22-23'!P43/'FY22-23'!$S43*'Multi-Year'!$P43,0)+IF('FY22-23'!$S43&lt;0,'FY22-23'!P43/'FY22-23'!$S43*'Multi-Year'!$P43,0)</f>
        <v>0</v>
      </c>
      <c r="Q43" s="606">
        <f>IF('FY21-22'!$S43&gt;0,'FY21-22'!Q43/'FY21-22'!$S43*'Multi-Year'!$N43,0)+IF('FY21-22'!$S43&lt;0,'FY21-22'!Q43/'FY21-22'!$S43*'Multi-Year'!$N43,0)</f>
        <v>0</v>
      </c>
      <c r="R43" s="92"/>
      <c r="S43" s="625">
        <f t="shared" si="13"/>
        <v>0</v>
      </c>
      <c r="T43" s="92"/>
      <c r="U43" s="94">
        <f>'FY22-23'!S43</f>
        <v>0</v>
      </c>
      <c r="V43" s="94">
        <f t="shared" si="6"/>
        <v>0</v>
      </c>
    </row>
    <row r="44" spans="1:22" s="95" customFormat="1" ht="12" customHeight="1">
      <c r="A44" s="91"/>
      <c r="B44" s="91" t="s">
        <v>186</v>
      </c>
      <c r="C44" s="102">
        <v>8660</v>
      </c>
      <c r="D44" s="104" t="s">
        <v>16</v>
      </c>
      <c r="E44" s="94">
        <f>IF('FY22-23'!$S44&gt;0,'FY22-23'!E44/'FY22-23'!$S44*'Multi-Year'!$P44,0)+IF('FY22-23'!$S44&lt;0,'FY22-23'!E44/'FY22-23'!$S44*'Multi-Year'!$P44,0)</f>
        <v>0</v>
      </c>
      <c r="F44" s="94">
        <f>IF('FY22-23'!$S44&gt;0,'FY22-23'!F44/'FY22-23'!$S44*'Multi-Year'!$P44,0)+IF('FY22-23'!$S44&lt;0,'FY22-23'!F44/'FY22-23'!$S44*'Multi-Year'!$P44,0)</f>
        <v>0</v>
      </c>
      <c r="G44" s="94">
        <f>IF('FY22-23'!$S44&gt;0,'FY22-23'!G44/'FY22-23'!$S44*'Multi-Year'!$P44,0)+IF('FY22-23'!$S44&lt;0,'FY22-23'!G44/'FY22-23'!$S44*'Multi-Year'!$P44,0)</f>
        <v>0</v>
      </c>
      <c r="H44" s="94">
        <f>IF('FY22-23'!$S44&gt;0,'FY22-23'!H44/'FY22-23'!$S44*'Multi-Year'!$P44,0)+IF('FY22-23'!$S44&lt;0,'FY22-23'!H44/'FY22-23'!$S44*'Multi-Year'!$P44,0)</f>
        <v>0</v>
      </c>
      <c r="I44" s="94">
        <f>IF('FY22-23'!$S44&gt;0,'FY22-23'!I44/'FY22-23'!$S44*'Multi-Year'!$P44,0)+IF('FY22-23'!$S44&lt;0,'FY22-23'!I44/'FY22-23'!$S44*'Multi-Year'!$P44,0)</f>
        <v>0</v>
      </c>
      <c r="J44" s="94">
        <f>IF('FY22-23'!$S44&gt;0,'FY22-23'!J44/'FY22-23'!$S44*'Multi-Year'!$P44,0)+IF('FY22-23'!$S44&lt;0,'FY22-23'!J44/'FY22-23'!$S44*'Multi-Year'!$P44,0)</f>
        <v>0</v>
      </c>
      <c r="K44" s="94">
        <f>IF('FY22-23'!$S44&gt;0,'FY22-23'!K44/'FY22-23'!$S44*'Multi-Year'!$P44,0)+IF('FY22-23'!$S44&lt;0,'FY22-23'!K44/'FY22-23'!$S44*'Multi-Year'!$P44,0)</f>
        <v>0</v>
      </c>
      <c r="L44" s="94">
        <f>IF('FY22-23'!$S44&gt;0,'FY22-23'!L44/'FY22-23'!$S44*'Multi-Year'!$P44,0)+IF('FY22-23'!$S44&lt;0,'FY22-23'!L44/'FY22-23'!$S44*'Multi-Year'!$P44,0)</f>
        <v>0</v>
      </c>
      <c r="M44" s="94">
        <f>IF('FY22-23'!$S44&gt;0,'FY22-23'!M44/'FY22-23'!$S44*'Multi-Year'!$P44,0)+IF('FY22-23'!$S44&lt;0,'FY22-23'!M44/'FY22-23'!$S44*'Multi-Year'!$P44,0)</f>
        <v>0</v>
      </c>
      <c r="N44" s="94">
        <f>IF('FY22-23'!$S44&gt;0,'FY22-23'!N44/'FY22-23'!$S44*'Multi-Year'!$P44,0)+IF('FY22-23'!$S44&lt;0,'FY22-23'!N44/'FY22-23'!$S44*'Multi-Year'!$P44,0)</f>
        <v>0</v>
      </c>
      <c r="O44" s="94">
        <f>IF('FY22-23'!$S44&gt;0,'FY22-23'!O44/'FY22-23'!$S44*'Multi-Year'!$P44,0)+IF('FY22-23'!$S44&lt;0,'FY22-23'!O44/'FY22-23'!$S44*'Multi-Year'!$P44,0)</f>
        <v>0</v>
      </c>
      <c r="P44" s="94">
        <f>IF('FY22-23'!$S44&gt;0,'FY22-23'!P44/'FY22-23'!$S44*'Multi-Year'!$P44,0)+IF('FY22-23'!$S44&lt;0,'FY22-23'!P44/'FY22-23'!$S44*'Multi-Year'!$P44,0)</f>
        <v>0</v>
      </c>
      <c r="Q44" s="606">
        <f>IF('FY21-22'!$S44&gt;0,'FY21-22'!Q44/'FY21-22'!$S44*'Multi-Year'!$N44,0)+IF('FY21-22'!$S44&lt;0,'FY21-22'!Q44/'FY21-22'!$S44*'Multi-Year'!$N44,0)</f>
        <v>0</v>
      </c>
      <c r="R44" s="92"/>
      <c r="S44" s="625">
        <f t="shared" si="13"/>
        <v>0</v>
      </c>
      <c r="T44" s="92"/>
      <c r="U44" s="94">
        <f>'FY22-23'!S44</f>
        <v>0</v>
      </c>
      <c r="V44" s="94">
        <f t="shared" si="6"/>
        <v>0</v>
      </c>
    </row>
    <row r="45" spans="1:22" s="95" customFormat="1" ht="12" customHeight="1">
      <c r="A45" s="96"/>
      <c r="B45" s="96" t="s">
        <v>186</v>
      </c>
      <c r="C45" s="102">
        <v>8689</v>
      </c>
      <c r="D45" s="104" t="s">
        <v>105</v>
      </c>
      <c r="E45" s="94">
        <f>IF('FY22-23'!$S45&gt;0,'FY22-23'!E45/'FY22-23'!$S45*'Multi-Year'!$P45,0)+IF('FY22-23'!$S45&lt;0,'FY22-23'!E45/'FY22-23'!$S45*'Multi-Year'!$P45,0)</f>
        <v>0</v>
      </c>
      <c r="F45" s="94">
        <f>IF('FY22-23'!$S45&gt;0,'FY22-23'!F45/'FY22-23'!$S45*'Multi-Year'!$P45,0)+IF('FY22-23'!$S45&lt;0,'FY22-23'!F45/'FY22-23'!$S45*'Multi-Year'!$P45,0)</f>
        <v>0</v>
      </c>
      <c r="G45" s="94">
        <f>IF('FY22-23'!$S45&gt;0,'FY22-23'!G45/'FY22-23'!$S45*'Multi-Year'!$P45,0)+IF('FY22-23'!$S45&lt;0,'FY22-23'!G45/'FY22-23'!$S45*'Multi-Year'!$P45,0)</f>
        <v>0</v>
      </c>
      <c r="H45" s="94">
        <f>IF('FY22-23'!$S45&gt;0,'FY22-23'!H45/'FY22-23'!$S45*'Multi-Year'!$P45,0)+IF('FY22-23'!$S45&lt;0,'FY22-23'!H45/'FY22-23'!$S45*'Multi-Year'!$P45,0)</f>
        <v>0</v>
      </c>
      <c r="I45" s="94">
        <f>IF('FY22-23'!$S45&gt;0,'FY22-23'!I45/'FY22-23'!$S45*'Multi-Year'!$P45,0)+IF('FY22-23'!$S45&lt;0,'FY22-23'!I45/'FY22-23'!$S45*'Multi-Year'!$P45,0)</f>
        <v>0</v>
      </c>
      <c r="J45" s="94">
        <f>IF('FY22-23'!$S45&gt;0,'FY22-23'!J45/'FY22-23'!$S45*'Multi-Year'!$P45,0)+IF('FY22-23'!$S45&lt;0,'FY22-23'!J45/'FY22-23'!$S45*'Multi-Year'!$P45,0)</f>
        <v>0</v>
      </c>
      <c r="K45" s="94">
        <f>IF('FY22-23'!$S45&gt;0,'FY22-23'!K45/'FY22-23'!$S45*'Multi-Year'!$P45,0)+IF('FY22-23'!$S45&lt;0,'FY22-23'!K45/'FY22-23'!$S45*'Multi-Year'!$P45,0)</f>
        <v>0</v>
      </c>
      <c r="L45" s="94">
        <f>IF('FY22-23'!$S45&gt;0,'FY22-23'!L45/'FY22-23'!$S45*'Multi-Year'!$P45,0)+IF('FY22-23'!$S45&lt;0,'FY22-23'!L45/'FY22-23'!$S45*'Multi-Year'!$P45,0)</f>
        <v>0</v>
      </c>
      <c r="M45" s="94">
        <f>IF('FY22-23'!$S45&gt;0,'FY22-23'!M45/'FY22-23'!$S45*'Multi-Year'!$P45,0)+IF('FY22-23'!$S45&lt;0,'FY22-23'!M45/'FY22-23'!$S45*'Multi-Year'!$P45,0)</f>
        <v>0</v>
      </c>
      <c r="N45" s="94">
        <f>IF('FY22-23'!$S45&gt;0,'FY22-23'!N45/'FY22-23'!$S45*'Multi-Year'!$P45,0)+IF('FY22-23'!$S45&lt;0,'FY22-23'!N45/'FY22-23'!$S45*'Multi-Year'!$P45,0)</f>
        <v>0</v>
      </c>
      <c r="O45" s="94">
        <f>IF('FY22-23'!$S45&gt;0,'FY22-23'!O45/'FY22-23'!$S45*'Multi-Year'!$P45,0)+IF('FY22-23'!$S45&lt;0,'FY22-23'!O45/'FY22-23'!$S45*'Multi-Year'!$P45,0)</f>
        <v>0</v>
      </c>
      <c r="P45" s="94">
        <f>IF('FY22-23'!$S45&gt;0,'FY22-23'!P45/'FY22-23'!$S45*'Multi-Year'!$P45,0)+IF('FY22-23'!$S45&lt;0,'FY22-23'!P45/'FY22-23'!$S45*'Multi-Year'!$P45,0)</f>
        <v>0</v>
      </c>
      <c r="Q45" s="606">
        <f>IF('FY21-22'!$S45&gt;0,'FY21-22'!Q45/'FY21-22'!$S45*'Multi-Year'!$N45,0)+IF('FY21-22'!$S45&lt;0,'FY21-22'!Q45/'FY21-22'!$S45*'Multi-Year'!$N45,0)</f>
        <v>0</v>
      </c>
      <c r="R45" s="306"/>
      <c r="S45" s="625">
        <f t="shared" si="13"/>
        <v>0</v>
      </c>
      <c r="T45" s="306"/>
      <c r="U45" s="94">
        <f>'FY22-23'!S45</f>
        <v>0</v>
      </c>
      <c r="V45" s="94">
        <f>S45-U45</f>
        <v>0</v>
      </c>
    </row>
    <row r="46" spans="1:22" s="95" customFormat="1" ht="12" customHeight="1">
      <c r="A46" s="96"/>
      <c r="B46" s="96" t="s">
        <v>186</v>
      </c>
      <c r="C46" s="102">
        <v>8698</v>
      </c>
      <c r="D46" s="104" t="s">
        <v>265</v>
      </c>
      <c r="E46" s="94">
        <f>IF('FY22-23'!$S46&gt;0,'FY22-23'!E46/'FY22-23'!$S46*'Multi-Year'!$P46,0)+IF('FY22-23'!$S46&lt;0,'FY22-23'!E46/'FY22-23'!$S46*'Multi-Year'!$P46,0)</f>
        <v>0</v>
      </c>
      <c r="F46" s="94">
        <f>IF('FY22-23'!$S46&gt;0,'FY22-23'!F46/'FY22-23'!$S46*'Multi-Year'!$P46,0)+IF('FY22-23'!$S46&lt;0,'FY22-23'!F46/'FY22-23'!$S46*'Multi-Year'!$P46,0)</f>
        <v>0</v>
      </c>
      <c r="G46" s="94">
        <f>IF('FY22-23'!$S46&gt;0,'FY22-23'!G46/'FY22-23'!$S46*'Multi-Year'!$P46,0)+IF('FY22-23'!$S46&lt;0,'FY22-23'!G46/'FY22-23'!$S46*'Multi-Year'!$P46,0)</f>
        <v>0</v>
      </c>
      <c r="H46" s="94">
        <f>IF('FY22-23'!$S46&gt;0,'FY22-23'!H46/'FY22-23'!$S46*'Multi-Year'!$P46,0)+IF('FY22-23'!$S46&lt;0,'FY22-23'!H46/'FY22-23'!$S46*'Multi-Year'!$P46,0)</f>
        <v>0</v>
      </c>
      <c r="I46" s="94">
        <f>IF('FY22-23'!$S46&gt;0,'FY22-23'!I46/'FY22-23'!$S46*'Multi-Year'!$P46,0)+IF('FY22-23'!$S46&lt;0,'FY22-23'!I46/'FY22-23'!$S46*'Multi-Year'!$P46,0)</f>
        <v>0</v>
      </c>
      <c r="J46" s="94">
        <f>IF('FY22-23'!$S46&gt;0,'FY22-23'!J46/'FY22-23'!$S46*'Multi-Year'!$P46,0)+IF('FY22-23'!$S46&lt;0,'FY22-23'!J46/'FY22-23'!$S46*'Multi-Year'!$P46,0)</f>
        <v>0</v>
      </c>
      <c r="K46" s="94">
        <f>IF('FY22-23'!$S46&gt;0,'FY22-23'!K46/'FY22-23'!$S46*'Multi-Year'!$P46,0)+IF('FY22-23'!$S46&lt;0,'FY22-23'!K46/'FY22-23'!$S46*'Multi-Year'!$P46,0)</f>
        <v>0</v>
      </c>
      <c r="L46" s="94">
        <f>IF('FY22-23'!$S46&gt;0,'FY22-23'!L46/'FY22-23'!$S46*'Multi-Year'!$P46,0)+IF('FY22-23'!$S46&lt;0,'FY22-23'!L46/'FY22-23'!$S46*'Multi-Year'!$P46,0)</f>
        <v>0</v>
      </c>
      <c r="M46" s="94">
        <f>IF('FY22-23'!$S46&gt;0,'FY22-23'!M46/'FY22-23'!$S46*'Multi-Year'!$P46,0)+IF('FY22-23'!$S46&lt;0,'FY22-23'!M46/'FY22-23'!$S46*'Multi-Year'!$P46,0)</f>
        <v>0</v>
      </c>
      <c r="N46" s="94">
        <f>IF('FY22-23'!$S46&gt;0,'FY22-23'!N46/'FY22-23'!$S46*'Multi-Year'!$P46,0)+IF('FY22-23'!$S46&lt;0,'FY22-23'!N46/'FY22-23'!$S46*'Multi-Year'!$P46,0)</f>
        <v>0</v>
      </c>
      <c r="O46" s="94">
        <f>IF('FY22-23'!$S46&gt;0,'FY22-23'!O46/'FY22-23'!$S46*'Multi-Year'!$P46,0)+IF('FY22-23'!$S46&lt;0,'FY22-23'!O46/'FY22-23'!$S46*'Multi-Year'!$P46,0)</f>
        <v>0</v>
      </c>
      <c r="P46" s="94">
        <f>IF('FY22-23'!$S46&gt;0,'FY22-23'!P46/'FY22-23'!$S46*'Multi-Year'!$P46,0)+IF('FY22-23'!$S46&lt;0,'FY22-23'!P46/'FY22-23'!$S46*'Multi-Year'!$P46,0)</f>
        <v>0</v>
      </c>
      <c r="Q46" s="606">
        <f>IF('FY21-22'!$S46&gt;0,'FY21-22'!Q46/'FY21-22'!$S46*'Multi-Year'!$N46,0)+IF('FY21-22'!$S46&lt;0,'FY21-22'!Q46/'FY21-22'!$S46*'Multi-Year'!$N46,0)</f>
        <v>0</v>
      </c>
      <c r="R46" s="306"/>
      <c r="S46" s="625">
        <f t="shared" si="13"/>
        <v>0</v>
      </c>
      <c r="T46" s="306"/>
      <c r="U46" s="94">
        <f>'FY22-23'!S46</f>
        <v>0</v>
      </c>
      <c r="V46" s="94">
        <f>S46-U46</f>
        <v>0</v>
      </c>
    </row>
    <row r="47" spans="1:22" s="95" customFormat="1" ht="12" customHeight="1">
      <c r="A47" s="91"/>
      <c r="B47" s="91" t="s">
        <v>186</v>
      </c>
      <c r="C47" s="102">
        <v>8699</v>
      </c>
      <c r="D47" s="104" t="s">
        <v>106</v>
      </c>
      <c r="E47" s="284">
        <v>0</v>
      </c>
      <c r="F47" s="284">
        <f>'Multi-Year'!P47*0.05</f>
        <v>0</v>
      </c>
      <c r="G47" s="284">
        <f>'Multi-Year'!P47*0.05</f>
        <v>0</v>
      </c>
      <c r="H47" s="284">
        <f>'Multi-Year'!P47*0.13</f>
        <v>0</v>
      </c>
      <c r="I47" s="284">
        <f>'Multi-Year'!P47*0.11</f>
        <v>0</v>
      </c>
      <c r="J47" s="284">
        <f>'Multi-Year'!P47*0.11</f>
        <v>0</v>
      </c>
      <c r="K47" s="284">
        <f>'Multi-Year'!P47*0.11</f>
        <v>0</v>
      </c>
      <c r="L47" s="284">
        <f>'Multi-Year'!P47*0.11</f>
        <v>0</v>
      </c>
      <c r="M47" s="284">
        <f>'Multi-Year'!P47*0.11</f>
        <v>0</v>
      </c>
      <c r="N47" s="284">
        <f>'Multi-Year'!P47*0.11</f>
        <v>0</v>
      </c>
      <c r="O47" s="284">
        <f>'Multi-Year'!P47*0.11</f>
        <v>0</v>
      </c>
      <c r="P47" s="284">
        <v>0</v>
      </c>
      <c r="Q47" s="606">
        <f>'Multi-Year'!P47-SUM('FY23-24'!E47:P47)</f>
        <v>0</v>
      </c>
      <c r="R47" s="92"/>
      <c r="S47" s="625">
        <f t="shared" si="13"/>
        <v>0</v>
      </c>
      <c r="T47" s="92"/>
      <c r="U47" s="94">
        <f>'FY22-23'!S47</f>
        <v>0</v>
      </c>
      <c r="V47" s="94">
        <f>S47-U47</f>
        <v>0</v>
      </c>
    </row>
    <row r="48" spans="1:22" s="95" customFormat="1" ht="12" customHeight="1">
      <c r="A48" s="96"/>
      <c r="B48" s="96" t="s">
        <v>186</v>
      </c>
      <c r="C48" s="102">
        <v>8980</v>
      </c>
      <c r="D48" s="103" t="s">
        <v>10</v>
      </c>
      <c r="E48" s="94">
        <f>IF('FY22-23'!$S48&gt;0,'FY22-23'!E48/'FY22-23'!$S48*'Multi-Year'!$P48,0)+IF('FY22-23'!$S48&lt;0,'FY22-23'!E48/'FY22-23'!$S48*'Multi-Year'!$P48,0)</f>
        <v>0</v>
      </c>
      <c r="F48" s="94">
        <f>IF('FY22-23'!$S48&gt;0,'FY22-23'!F48/'FY22-23'!$S48*'Multi-Year'!$P48,0)+IF('FY22-23'!$S48&lt;0,'FY22-23'!F48/'FY22-23'!$S48*'Multi-Year'!$P48,0)</f>
        <v>0</v>
      </c>
      <c r="G48" s="94">
        <f>IF('FY22-23'!$S48&gt;0,'FY22-23'!G48/'FY22-23'!$S48*'Multi-Year'!$P48,0)+IF('FY22-23'!$S48&lt;0,'FY22-23'!G48/'FY22-23'!$S48*'Multi-Year'!$P48,0)</f>
        <v>0</v>
      </c>
      <c r="H48" s="94">
        <f>IF('FY22-23'!$S48&gt;0,'FY22-23'!H48/'FY22-23'!$S48*'Multi-Year'!$P48,0)+IF('FY22-23'!$S48&lt;0,'FY22-23'!H48/'FY22-23'!$S48*'Multi-Year'!$P48,0)</f>
        <v>0</v>
      </c>
      <c r="I48" s="94">
        <f>IF('FY22-23'!$S48&gt;0,'FY22-23'!I48/'FY22-23'!$S48*'Multi-Year'!$P48,0)+IF('FY22-23'!$S48&lt;0,'FY22-23'!I48/'FY22-23'!$S48*'Multi-Year'!$P48,0)</f>
        <v>0</v>
      </c>
      <c r="J48" s="94">
        <f>IF('FY22-23'!$S48&gt;0,'FY22-23'!J48/'FY22-23'!$S48*'Multi-Year'!$P48,0)+IF('FY22-23'!$S48&lt;0,'FY22-23'!J48/'FY22-23'!$S48*'Multi-Year'!$P48,0)</f>
        <v>0</v>
      </c>
      <c r="K48" s="94">
        <f>IF('FY22-23'!$S48&gt;0,'FY22-23'!K48/'FY22-23'!$S48*'Multi-Year'!$P48,0)+IF('FY22-23'!$S48&lt;0,'FY22-23'!K48/'FY22-23'!$S48*'Multi-Year'!$P48,0)</f>
        <v>0</v>
      </c>
      <c r="L48" s="94">
        <f>IF('FY22-23'!$S48&gt;0,'FY22-23'!L48/'FY22-23'!$S48*'Multi-Year'!$P48,0)+IF('FY22-23'!$S48&lt;0,'FY22-23'!L48/'FY22-23'!$S48*'Multi-Year'!$P48,0)</f>
        <v>0</v>
      </c>
      <c r="M48" s="94">
        <f>IF('FY22-23'!$S48&gt;0,'FY22-23'!M48/'FY22-23'!$S48*'Multi-Year'!$P48,0)+IF('FY22-23'!$S48&lt;0,'FY22-23'!M48/'FY22-23'!$S48*'Multi-Year'!$P48,0)</f>
        <v>0</v>
      </c>
      <c r="N48" s="94">
        <f>IF('FY22-23'!$S48&gt;0,'FY22-23'!N48/'FY22-23'!$S48*'Multi-Year'!$P48,0)+IF('FY22-23'!$S48&lt;0,'FY22-23'!N48/'FY22-23'!$S48*'Multi-Year'!$P48,0)</f>
        <v>0</v>
      </c>
      <c r="O48" s="94">
        <f>IF('FY22-23'!$S48&gt;0,'FY22-23'!O48/'FY22-23'!$S48*'Multi-Year'!$P48,0)+IF('FY22-23'!$S48&lt;0,'FY22-23'!O48/'FY22-23'!$S48*'Multi-Year'!$P48,0)</f>
        <v>0</v>
      </c>
      <c r="P48" s="94">
        <f>IF('FY22-23'!$S48&gt;0,'FY22-23'!P48/'FY22-23'!$S48*'Multi-Year'!$P48,0)+IF('FY22-23'!$S48&lt;0,'FY22-23'!P48/'FY22-23'!$S48*'Multi-Year'!$P48,0)</f>
        <v>0</v>
      </c>
      <c r="Q48" s="606">
        <f>IF('FY21-22'!$S48&gt;0,'FY21-22'!Q48/'FY21-22'!$S48*'Multi-Year'!$N48,0)+IF('FY21-22'!$S48&lt;0,'FY21-22'!Q48/'FY21-22'!$S48*'Multi-Year'!$N48,0)</f>
        <v>0</v>
      </c>
      <c r="R48" s="306"/>
      <c r="S48" s="625">
        <f t="shared" si="13"/>
        <v>0</v>
      </c>
      <c r="T48" s="306"/>
      <c r="U48" s="94">
        <f>'FY22-23'!S48</f>
        <v>0</v>
      </c>
      <c r="V48" s="94">
        <f>S48-U48</f>
        <v>0</v>
      </c>
    </row>
    <row r="49" spans="1:22" s="95" customFormat="1" ht="12" customHeight="1">
      <c r="A49" s="91"/>
      <c r="B49" s="91" t="s">
        <v>186</v>
      </c>
      <c r="C49" s="102">
        <v>8990</v>
      </c>
      <c r="D49" s="103" t="s">
        <v>11</v>
      </c>
      <c r="E49" s="94">
        <f>IF('FY22-23'!$S49&gt;0,'FY22-23'!E49/'FY22-23'!$S49*'Multi-Year'!$P49,0)+IF('FY22-23'!$S49&lt;0,'FY22-23'!E49/'FY22-23'!$S49*'Multi-Year'!$P49,0)</f>
        <v>0</v>
      </c>
      <c r="F49" s="94">
        <f>IF('FY22-23'!$S49&gt;0,'FY22-23'!F49/'FY22-23'!$S49*'Multi-Year'!$P49,0)+IF('FY22-23'!$S49&lt;0,'FY22-23'!F49/'FY22-23'!$S49*'Multi-Year'!$P49,0)</f>
        <v>0</v>
      </c>
      <c r="G49" s="94">
        <f>IF('FY22-23'!$S49&gt;0,'FY22-23'!G49/'FY22-23'!$S49*'Multi-Year'!$P49,0)+IF('FY22-23'!$S49&lt;0,'FY22-23'!G49/'FY22-23'!$S49*'Multi-Year'!$P49,0)</f>
        <v>0</v>
      </c>
      <c r="H49" s="94">
        <f>IF('FY22-23'!$S49&gt;0,'FY22-23'!H49/'FY22-23'!$S49*'Multi-Year'!$P49,0)+IF('FY22-23'!$S49&lt;0,'FY22-23'!H49/'FY22-23'!$S49*'Multi-Year'!$P49,0)</f>
        <v>0</v>
      </c>
      <c r="I49" s="94">
        <f>IF('FY22-23'!$S49&gt;0,'FY22-23'!I49/'FY22-23'!$S49*'Multi-Year'!$P49,0)+IF('FY22-23'!$S49&lt;0,'FY22-23'!I49/'FY22-23'!$S49*'Multi-Year'!$P49,0)</f>
        <v>0</v>
      </c>
      <c r="J49" s="94">
        <f>IF('FY22-23'!$S49&gt;0,'FY22-23'!J49/'FY22-23'!$S49*'Multi-Year'!$P49,0)+IF('FY22-23'!$S49&lt;0,'FY22-23'!J49/'FY22-23'!$S49*'Multi-Year'!$P49,0)</f>
        <v>0</v>
      </c>
      <c r="K49" s="94">
        <f>IF('FY22-23'!$S49&gt;0,'FY22-23'!K49/'FY22-23'!$S49*'Multi-Year'!$P49,0)+IF('FY22-23'!$S49&lt;0,'FY22-23'!K49/'FY22-23'!$S49*'Multi-Year'!$P49,0)</f>
        <v>0</v>
      </c>
      <c r="L49" s="94">
        <f>IF('FY22-23'!$S49&gt;0,'FY22-23'!L49/'FY22-23'!$S49*'Multi-Year'!$P49,0)+IF('FY22-23'!$S49&lt;0,'FY22-23'!L49/'FY22-23'!$S49*'Multi-Year'!$P49,0)</f>
        <v>0</v>
      </c>
      <c r="M49" s="94">
        <f>IF('FY22-23'!$S49&gt;0,'FY22-23'!M49/'FY22-23'!$S49*'Multi-Year'!$P49,0)+IF('FY22-23'!$S49&lt;0,'FY22-23'!M49/'FY22-23'!$S49*'Multi-Year'!$P49,0)</f>
        <v>0</v>
      </c>
      <c r="N49" s="94">
        <f>IF('FY22-23'!$S49&gt;0,'FY22-23'!N49/'FY22-23'!$S49*'Multi-Year'!$P49,0)+IF('FY22-23'!$S49&lt;0,'FY22-23'!N49/'FY22-23'!$S49*'Multi-Year'!$P49,0)</f>
        <v>0</v>
      </c>
      <c r="O49" s="94">
        <f>IF('FY22-23'!$S49&gt;0,'FY22-23'!O49/'FY22-23'!$S49*'Multi-Year'!$P49,0)+IF('FY22-23'!$S49&lt;0,'FY22-23'!O49/'FY22-23'!$S49*'Multi-Year'!$P49,0)</f>
        <v>0</v>
      </c>
      <c r="P49" s="94">
        <f>IF('FY22-23'!$S49&gt;0,'FY22-23'!P49/'FY22-23'!$S49*'Multi-Year'!$P49,0)+IF('FY22-23'!$S49&lt;0,'FY22-23'!P49/'FY22-23'!$S49*'Multi-Year'!$P49,0)</f>
        <v>0</v>
      </c>
      <c r="Q49" s="606">
        <f>IF('FY21-22'!$S49&gt;0,'FY21-22'!Q49/'FY21-22'!$S49*'Multi-Year'!$N49,0)+IF('FY21-22'!$S49&lt;0,'FY21-22'!Q49/'FY21-22'!$S49*'Multi-Year'!$N49,0)</f>
        <v>0</v>
      </c>
      <c r="R49" s="92"/>
      <c r="S49" s="625">
        <f t="shared" si="13"/>
        <v>0</v>
      </c>
      <c r="T49" s="92"/>
      <c r="U49" s="94">
        <f>'FY22-23'!S49</f>
        <v>0</v>
      </c>
      <c r="V49" s="94">
        <f>S49-U49</f>
        <v>0</v>
      </c>
    </row>
    <row r="50" spans="1:22" s="95" customFormat="1" ht="12" customHeight="1">
      <c r="A50" s="96"/>
      <c r="B50" s="96" t="s">
        <v>186</v>
      </c>
      <c r="C50" s="102"/>
      <c r="D50" s="103"/>
      <c r="E50" s="215">
        <f>SUM(E42:E49)</f>
        <v>0</v>
      </c>
      <c r="F50" s="215">
        <f t="shared" ref="F50:P50" si="15">SUM(F42:F49)</f>
        <v>0</v>
      </c>
      <c r="G50" s="215">
        <f t="shared" si="15"/>
        <v>0</v>
      </c>
      <c r="H50" s="215">
        <f t="shared" si="15"/>
        <v>0</v>
      </c>
      <c r="I50" s="215">
        <f t="shared" si="15"/>
        <v>0</v>
      </c>
      <c r="J50" s="215">
        <f t="shared" si="15"/>
        <v>0</v>
      </c>
      <c r="K50" s="215">
        <f t="shared" si="15"/>
        <v>0</v>
      </c>
      <c r="L50" s="215">
        <f t="shared" si="15"/>
        <v>0</v>
      </c>
      <c r="M50" s="215">
        <f t="shared" si="15"/>
        <v>0</v>
      </c>
      <c r="N50" s="215">
        <f t="shared" si="15"/>
        <v>0</v>
      </c>
      <c r="O50" s="215">
        <f t="shared" si="15"/>
        <v>0</v>
      </c>
      <c r="P50" s="215">
        <f t="shared" si="15"/>
        <v>0</v>
      </c>
      <c r="Q50" s="603">
        <f>SUM(Q42:Q49)</f>
        <v>0</v>
      </c>
      <c r="R50" s="306"/>
      <c r="S50" s="626">
        <f>(SUM(E50:R50))</f>
        <v>0</v>
      </c>
      <c r="T50" s="306"/>
      <c r="U50" s="216">
        <f>SUM(U42:U49)</f>
        <v>0</v>
      </c>
      <c r="V50" s="216">
        <f>SUM(V42:V49)</f>
        <v>0</v>
      </c>
    </row>
    <row r="51" spans="1:22" s="95" customFormat="1" ht="12" customHeight="1">
      <c r="A51" s="91"/>
      <c r="B51" s="91" t="s">
        <v>186</v>
      </c>
      <c r="C51" s="91"/>
      <c r="D51" s="91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602"/>
      <c r="R51" s="92"/>
      <c r="S51" s="627"/>
      <c r="T51" s="92"/>
      <c r="U51" s="92"/>
      <c r="V51" s="92"/>
    </row>
    <row r="52" spans="1:22" s="112" customFormat="1" ht="12" customHeight="1">
      <c r="A52" s="91" t="s">
        <v>1</v>
      </c>
      <c r="B52" s="91"/>
      <c r="C52" s="91"/>
      <c r="E52" s="121">
        <f t="shared" ref="E52:Q52" si="16">E50+E40+E31+E19</f>
        <v>55347.203595268322</v>
      </c>
      <c r="F52" s="121">
        <f t="shared" si="16"/>
        <v>1762363.0838165742</v>
      </c>
      <c r="G52" s="121">
        <f t="shared" si="16"/>
        <v>1725464.9480863954</v>
      </c>
      <c r="H52" s="121">
        <f t="shared" si="16"/>
        <v>3212811.8893872253</v>
      </c>
      <c r="I52" s="121">
        <f t="shared" si="16"/>
        <v>3046799.8893872253</v>
      </c>
      <c r="J52" s="121">
        <f t="shared" si="16"/>
        <v>3112219.2797872252</v>
      </c>
      <c r="K52" s="121">
        <f t="shared" si="16"/>
        <v>3384745.1319298563</v>
      </c>
      <c r="L52" s="121">
        <f t="shared" si="16"/>
        <v>3102147.0929824938</v>
      </c>
      <c r="M52" s="121">
        <f t="shared" si="16"/>
        <v>3380914.6560095144</v>
      </c>
      <c r="N52" s="121">
        <f t="shared" si="16"/>
        <v>3894872.9550800081</v>
      </c>
      <c r="O52" s="121">
        <f t="shared" si="16"/>
        <v>3380914.6560095139</v>
      </c>
      <c r="P52" s="121">
        <f t="shared" si="16"/>
        <v>3446833.5179203488</v>
      </c>
      <c r="Q52" s="605">
        <f t="shared" si="16"/>
        <v>3837894.7029669685</v>
      </c>
      <c r="R52" s="122"/>
      <c r="S52" s="629">
        <f>S50+S40+S31+S19</f>
        <v>37343329.006958619</v>
      </c>
      <c r="T52" s="113"/>
      <c r="U52" s="220">
        <f>U50+U40+U31+U19</f>
        <v>35548966.206320807</v>
      </c>
      <c r="V52" s="220">
        <f t="shared" si="6"/>
        <v>1794362.8006378114</v>
      </c>
    </row>
    <row r="53" spans="1:22" s="95" customFormat="1" ht="12" customHeight="1">
      <c r="A53" s="112"/>
      <c r="B53" s="112" t="s">
        <v>186</v>
      </c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606"/>
      <c r="R53" s="94"/>
      <c r="S53" s="630"/>
      <c r="T53" s="94"/>
      <c r="U53" s="94"/>
      <c r="V53" s="94"/>
    </row>
    <row r="54" spans="1:22" s="95" customFormat="1" ht="12" customHeight="1">
      <c r="A54" s="112" t="s">
        <v>2</v>
      </c>
      <c r="B54" s="112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606"/>
      <c r="R54" s="94"/>
      <c r="S54" s="627"/>
      <c r="T54" s="94"/>
      <c r="U54" s="94"/>
      <c r="V54" s="94"/>
    </row>
    <row r="55" spans="1:22" s="95" customFormat="1" ht="12" customHeight="1">
      <c r="A55" s="112"/>
      <c r="B55" s="112" t="s">
        <v>244</v>
      </c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606"/>
      <c r="R55" s="94"/>
      <c r="S55" s="627"/>
      <c r="T55" s="94"/>
      <c r="U55" s="94"/>
      <c r="V55" s="94"/>
    </row>
    <row r="56" spans="1:22" s="95" customFormat="1" ht="12" customHeight="1">
      <c r="A56" s="123"/>
      <c r="B56" s="123" t="s">
        <v>186</v>
      </c>
      <c r="C56" s="102">
        <v>1100</v>
      </c>
      <c r="D56" s="103" t="s">
        <v>271</v>
      </c>
      <c r="E56" s="94">
        <f>IF('FY22-23'!$S56&gt;0,'FY22-23'!E56/'FY22-23'!$S56*'Multi-Year'!$P56,0)+IF('FY22-23'!$S56&lt;0,'FY22-23'!E56/'FY22-23'!$S56*'Multi-Year'!$P56,0)</f>
        <v>636810.52303707832</v>
      </c>
      <c r="F56" s="94">
        <f>IF('FY22-23'!$S56&gt;0,'FY22-23'!F56/'FY22-23'!$S56*'Multi-Year'!$P56,0)+IF('FY22-23'!$S56&lt;0,'FY22-23'!F56/'FY22-23'!$S56*'Multi-Year'!$P56,0)</f>
        <v>915503.06182889477</v>
      </c>
      <c r="G56" s="94">
        <f>IF('FY22-23'!$S56&gt;0,'FY22-23'!G56/'FY22-23'!$S56*'Multi-Year'!$P56,0)+IF('FY22-23'!$S56&lt;0,'FY22-23'!G56/'FY22-23'!$S56*'Multi-Year'!$P56,0)</f>
        <v>938842.34340698132</v>
      </c>
      <c r="H56" s="94">
        <f>IF('FY22-23'!$S56&gt;0,'FY22-23'!H56/'FY22-23'!$S56*'Multi-Year'!$P56,0)+IF('FY22-23'!$S56&lt;0,'FY22-23'!H56/'FY22-23'!$S56*'Multi-Year'!$P56,0)</f>
        <v>929768.61412246712</v>
      </c>
      <c r="I56" s="94">
        <f>IF('FY22-23'!$S56&gt;0,'FY22-23'!I56/'FY22-23'!$S56*'Multi-Year'!$P56,0)+IF('FY22-23'!$S56&lt;0,'FY22-23'!I56/'FY22-23'!$S56*'Multi-Year'!$P56,0)</f>
        <v>89008.562449594014</v>
      </c>
      <c r="J56" s="94">
        <f>IF('FY22-23'!$S56&gt;0,'FY22-23'!J56/'FY22-23'!$S56*'Multi-Year'!$P56,0)+IF('FY22-23'!$S56&lt;0,'FY22-23'!J56/'FY22-23'!$S56*'Multi-Year'!$P56,0)</f>
        <v>1567084.7260475678</v>
      </c>
      <c r="K56" s="94">
        <f>IF('FY22-23'!$S56&gt;0,'FY22-23'!K56/'FY22-23'!$S56*'Multi-Year'!$P56,0)+IF('FY22-23'!$S56&lt;0,'FY22-23'!K56/'FY22-23'!$S56*'Multi-Year'!$P56,0)</f>
        <v>862002.44903003203</v>
      </c>
      <c r="L56" s="94">
        <f>IF('FY22-23'!$S56&gt;0,'FY22-23'!L56/'FY22-23'!$S56*'Multi-Year'!$P56,0)+IF('FY22-23'!$S56&lt;0,'FY22-23'!L56/'FY22-23'!$S56*'Multi-Year'!$P56,0)</f>
        <v>883946.99119064328</v>
      </c>
      <c r="M56" s="94">
        <f>IF('FY22-23'!$S56&gt;0,'FY22-23'!M56/'FY22-23'!$S56*'Multi-Year'!$P56,0)+IF('FY22-23'!$S56&lt;0,'FY22-23'!M56/'FY22-23'!$S56*'Multi-Year'!$P56,0)</f>
        <v>792248.5561238185</v>
      </c>
      <c r="N56" s="94">
        <f>IF('FY22-23'!$S56&gt;0,'FY22-23'!N56/'FY22-23'!$S56*'Multi-Year'!$P56,0)+IF('FY22-23'!$S56&lt;0,'FY22-23'!N56/'FY22-23'!$S56*'Multi-Year'!$P56,0)</f>
        <v>821368.07989285199</v>
      </c>
      <c r="O56" s="94">
        <f>IF('FY22-23'!$S56&gt;0,'FY22-23'!O56/'FY22-23'!$S56*'Multi-Year'!$P56,0)+IF('FY22-23'!$S56&lt;0,'FY22-23'!O56/'FY22-23'!$S56*'Multi-Year'!$P56,0)</f>
        <v>870066.58116790652</v>
      </c>
      <c r="P56" s="94">
        <f>IF('FY22-23'!$S56&gt;0,'FY22-23'!P56/'FY22-23'!$S56*'Multi-Year'!$P56,0)+IF('FY22-23'!$S56&lt;0,'FY22-23'!P56/'FY22-23'!$S56*'Multi-Year'!$P56,0)</f>
        <v>731976.60664922942</v>
      </c>
      <c r="Q56" s="606">
        <f>IF('FY22-23'!$S56&gt;0,'FY22-23'!Q56/'FY22-23'!$S56*'Multi-Year'!$P56,0)+IF('FY22-23'!$S56&lt;0,'FY22-23'!Q56/'FY22-23'!$S56*'Multi-Year'!$P56,0)</f>
        <v>0</v>
      </c>
      <c r="R56" s="94"/>
      <c r="S56" s="625">
        <f t="shared" ref="S56:S61" si="17">SUM(E56:Q56)</f>
        <v>10038627.094947064</v>
      </c>
      <c r="T56" s="94"/>
      <c r="U56" s="94">
        <f>'FY22-23'!S56</f>
        <v>9373134.542434236</v>
      </c>
      <c r="V56" s="94">
        <f>U56-S56</f>
        <v>-665492.55251282826</v>
      </c>
    </row>
    <row r="57" spans="1:22" s="95" customFormat="1" ht="12" customHeight="1">
      <c r="A57" s="123"/>
      <c r="B57" s="123" t="s">
        <v>186</v>
      </c>
      <c r="C57" s="102">
        <v>1170</v>
      </c>
      <c r="D57" s="103" t="s">
        <v>272</v>
      </c>
      <c r="E57" s="94">
        <f>IF('FY22-23'!$S57&gt;0,'FY22-23'!E57/'FY22-23'!$S57*'Multi-Year'!$P57,0)+IF('FY22-23'!$S57&lt;0,'FY22-23'!E57/'FY22-23'!$S57*'Multi-Year'!$P57,0)</f>
        <v>0</v>
      </c>
      <c r="F57" s="94">
        <f>IF('FY22-23'!$S57&gt;0,'FY22-23'!F57/'FY22-23'!$S57*'Multi-Year'!$P57,0)+IF('FY22-23'!$S57&lt;0,'FY22-23'!F57/'FY22-23'!$S57*'Multi-Year'!$P57,0)</f>
        <v>0</v>
      </c>
      <c r="G57" s="94">
        <f>IF('FY22-23'!$S57&gt;0,'FY22-23'!G57/'FY22-23'!$S57*'Multi-Year'!$P57,0)+IF('FY22-23'!$S57&lt;0,'FY22-23'!G57/'FY22-23'!$S57*'Multi-Year'!$P57,0)</f>
        <v>0</v>
      </c>
      <c r="H57" s="94">
        <f>IF('FY22-23'!$S57&gt;0,'FY22-23'!H57/'FY22-23'!$S57*'Multi-Year'!$P57,0)+IF('FY22-23'!$S57&lt;0,'FY22-23'!H57/'FY22-23'!$S57*'Multi-Year'!$P57,0)</f>
        <v>0</v>
      </c>
      <c r="I57" s="94">
        <f>IF('FY22-23'!$S57&gt;0,'FY22-23'!I57/'FY22-23'!$S57*'Multi-Year'!$P57,0)+IF('FY22-23'!$S57&lt;0,'FY22-23'!I57/'FY22-23'!$S57*'Multi-Year'!$P57,0)</f>
        <v>0</v>
      </c>
      <c r="J57" s="94">
        <f>IF('FY22-23'!$S57&gt;0,'FY22-23'!J57/'FY22-23'!$S57*'Multi-Year'!$P57,0)+IF('FY22-23'!$S57&lt;0,'FY22-23'!J57/'FY22-23'!$S57*'Multi-Year'!$P57,0)</f>
        <v>0</v>
      </c>
      <c r="K57" s="94">
        <f>IF('FY22-23'!$S57&gt;0,'FY22-23'!K57/'FY22-23'!$S57*'Multi-Year'!$P57,0)+IF('FY22-23'!$S57&lt;0,'FY22-23'!K57/'FY22-23'!$S57*'Multi-Year'!$P57,0)</f>
        <v>0</v>
      </c>
      <c r="L57" s="94">
        <f>IF('FY22-23'!$S57&gt;0,'FY22-23'!L57/'FY22-23'!$S57*'Multi-Year'!$P57,0)+IF('FY22-23'!$S57&lt;0,'FY22-23'!L57/'FY22-23'!$S57*'Multi-Year'!$P57,0)</f>
        <v>0</v>
      </c>
      <c r="M57" s="94">
        <f>IF('FY22-23'!$S57&gt;0,'FY22-23'!M57/'FY22-23'!$S57*'Multi-Year'!$P57,0)+IF('FY22-23'!$S57&lt;0,'FY22-23'!M57/'FY22-23'!$S57*'Multi-Year'!$P57,0)</f>
        <v>0</v>
      </c>
      <c r="N57" s="94">
        <f>IF('FY22-23'!$S57&gt;0,'FY22-23'!N57/'FY22-23'!$S57*'Multi-Year'!$P57,0)+IF('FY22-23'!$S57&lt;0,'FY22-23'!N57/'FY22-23'!$S57*'Multi-Year'!$P57,0)</f>
        <v>0</v>
      </c>
      <c r="O57" s="94">
        <f>IF('FY22-23'!$S57&gt;0,'FY22-23'!O57/'FY22-23'!$S57*'Multi-Year'!$P57,0)+IF('FY22-23'!$S57&lt;0,'FY22-23'!O57/'FY22-23'!$S57*'Multi-Year'!$P57,0)</f>
        <v>0</v>
      </c>
      <c r="P57" s="94">
        <f>IF('FY22-23'!$S57&gt;0,'FY22-23'!P57/'FY22-23'!$S57*'Multi-Year'!$P57,0)+IF('FY22-23'!$S57&lt;0,'FY22-23'!P57/'FY22-23'!$S57*'Multi-Year'!$P57,0)</f>
        <v>0</v>
      </c>
      <c r="Q57" s="606">
        <f>IF('FY22-23'!$S57&gt;0,'FY22-23'!Q57/'FY22-23'!$S57*'Multi-Year'!$P57,0)+IF('FY22-23'!$S57&lt;0,'FY22-23'!Q57/'FY22-23'!$S57*'Multi-Year'!$P57,0)</f>
        <v>0</v>
      </c>
      <c r="R57" s="94"/>
      <c r="S57" s="625">
        <f t="shared" si="17"/>
        <v>0</v>
      </c>
      <c r="T57" s="94"/>
      <c r="U57" s="94">
        <f>'FY22-23'!S57</f>
        <v>0</v>
      </c>
      <c r="V57" s="94">
        <f t="shared" ref="V57:V61" si="18">U57-S57</f>
        <v>0</v>
      </c>
    </row>
    <row r="58" spans="1:22" s="95" customFormat="1" ht="12" customHeight="1">
      <c r="A58" s="123"/>
      <c r="B58" s="123" t="s">
        <v>186</v>
      </c>
      <c r="C58" s="102">
        <v>1175</v>
      </c>
      <c r="D58" s="103" t="s">
        <v>273</v>
      </c>
      <c r="E58" s="94">
        <f>IF('FY22-23'!$S58&gt;0,'FY22-23'!E58/'FY22-23'!$S58*'Multi-Year'!$P58,0)+IF('FY22-23'!$S58&lt;0,'FY22-23'!E58/'FY22-23'!$S58*'Multi-Year'!$P58,0)</f>
        <v>5556.8902677949281</v>
      </c>
      <c r="F58" s="94">
        <f>IF('FY22-23'!$S58&gt;0,'FY22-23'!F58/'FY22-23'!$S58*'Multi-Year'!$P58,0)+IF('FY22-23'!$S58&lt;0,'FY22-23'!F58/'FY22-23'!$S58*'Multi-Year'!$P58,0)</f>
        <v>19780.459974857164</v>
      </c>
      <c r="G58" s="94">
        <f>IF('FY22-23'!$S58&gt;0,'FY22-23'!G58/'FY22-23'!$S58*'Multi-Year'!$P58,0)+IF('FY22-23'!$S58&lt;0,'FY22-23'!G58/'FY22-23'!$S58*'Multi-Year'!$P58,0)</f>
        <v>43102.731295865786</v>
      </c>
      <c r="H58" s="94">
        <f>IF('FY22-23'!$S58&gt;0,'FY22-23'!H58/'FY22-23'!$S58*'Multi-Year'!$P58,0)+IF('FY22-23'!$S58&lt;0,'FY22-23'!H58/'FY22-23'!$S58*'Multi-Year'!$P58,0)</f>
        <v>46857.700959638671</v>
      </c>
      <c r="I58" s="94">
        <f>IF('FY22-23'!$S58&gt;0,'FY22-23'!I58/'FY22-23'!$S58*'Multi-Year'!$P58,0)+IF('FY22-23'!$S58&lt;0,'FY22-23'!I58/'FY22-23'!$S58*'Multi-Year'!$P58,0)</f>
        <v>15159.036603011589</v>
      </c>
      <c r="J58" s="94">
        <f>IF('FY22-23'!$S58&gt;0,'FY22-23'!J58/'FY22-23'!$S58*'Multi-Year'!$P58,0)+IF('FY22-23'!$S58&lt;0,'FY22-23'!J58/'FY22-23'!$S58*'Multi-Year'!$P58,0)</f>
        <v>59452.677675746025</v>
      </c>
      <c r="K58" s="94">
        <f>IF('FY22-23'!$S58&gt;0,'FY22-23'!K58/'FY22-23'!$S58*'Multi-Year'!$P58,0)+IF('FY22-23'!$S58&lt;0,'FY22-23'!K58/'FY22-23'!$S58*'Multi-Year'!$P58,0)</f>
        <v>41841.037865679835</v>
      </c>
      <c r="L58" s="94">
        <f>IF('FY22-23'!$S58&gt;0,'FY22-23'!L58/'FY22-23'!$S58*'Multi-Year'!$P58,0)+IF('FY22-23'!$S58&lt;0,'FY22-23'!L58/'FY22-23'!$S58*'Multi-Year'!$P58,0)</f>
        <v>41064.111858866076</v>
      </c>
      <c r="M58" s="94">
        <f>IF('FY22-23'!$S58&gt;0,'FY22-23'!M58/'FY22-23'!$S58*'Multi-Year'!$P58,0)+IF('FY22-23'!$S58&lt;0,'FY22-23'!M58/'FY22-23'!$S58*'Multi-Year'!$P58,0)</f>
        <v>70112.281379347463</v>
      </c>
      <c r="N58" s="94">
        <f>IF('FY22-23'!$S58&gt;0,'FY22-23'!N58/'FY22-23'!$S58*'Multi-Year'!$P58,0)+IF('FY22-23'!$S58&lt;0,'FY22-23'!N58/'FY22-23'!$S58*'Multi-Year'!$P58,0)</f>
        <v>38125.514299067458</v>
      </c>
      <c r="O58" s="94">
        <f>IF('FY22-23'!$S58&gt;0,'FY22-23'!O58/'FY22-23'!$S58*'Multi-Year'!$P58,0)+IF('FY22-23'!$S58&lt;0,'FY22-23'!O58/'FY22-23'!$S58*'Multi-Year'!$P58,0)</f>
        <v>44125.071784199834</v>
      </c>
      <c r="P58" s="94">
        <f>IF('FY22-23'!$S58&gt;0,'FY22-23'!P58/'FY22-23'!$S58*'Multi-Year'!$P58,0)+IF('FY22-23'!$S58&lt;0,'FY22-23'!P58/'FY22-23'!$S58*'Multi-Year'!$P58,0)</f>
        <v>76753.840783278298</v>
      </c>
      <c r="Q58" s="606">
        <f>IF('FY22-23'!$S58&gt;0,'FY22-23'!Q58/'FY22-23'!$S58*'Multi-Year'!$P58,0)+IF('FY22-23'!$S58&lt;0,'FY22-23'!Q58/'FY22-23'!$S58*'Multi-Year'!$P58,0)</f>
        <v>0</v>
      </c>
      <c r="R58" s="94"/>
      <c r="S58" s="625">
        <f t="shared" si="17"/>
        <v>501931.35474735312</v>
      </c>
      <c r="T58" s="94"/>
      <c r="U58" s="94">
        <f>'FY22-23'!S58</f>
        <v>468656.727121712</v>
      </c>
      <c r="V58" s="94">
        <f t="shared" si="18"/>
        <v>-33274.627625641122</v>
      </c>
    </row>
    <row r="59" spans="1:22" s="95" customFormat="1" ht="12" customHeight="1">
      <c r="A59" s="124"/>
      <c r="B59" s="124" t="s">
        <v>186</v>
      </c>
      <c r="C59" s="102">
        <v>1200</v>
      </c>
      <c r="D59" s="103" t="s">
        <v>274</v>
      </c>
      <c r="E59" s="94">
        <f>IF('FY22-23'!$S59&gt;0,'FY22-23'!E59/'FY22-23'!$S59*'Multi-Year'!$P59,0)+IF('FY22-23'!$S59&lt;0,'FY22-23'!E59/'FY22-23'!$S59*'Multi-Year'!$P59,0)</f>
        <v>2193.2915602090752</v>
      </c>
      <c r="F59" s="94">
        <f>IF('FY22-23'!$S59&gt;0,'FY22-23'!F59/'FY22-23'!$S59*'Multi-Year'!$P59,0)+IF('FY22-23'!$S59&lt;0,'FY22-23'!F59/'FY22-23'!$S59*'Multi-Year'!$P59,0)</f>
        <v>21149.149223114804</v>
      </c>
      <c r="G59" s="94">
        <f>IF('FY22-23'!$S59&gt;0,'FY22-23'!G59/'FY22-23'!$S59*'Multi-Year'!$P59,0)+IF('FY22-23'!$S59&lt;0,'FY22-23'!G59/'FY22-23'!$S59*'Multi-Year'!$P59,0)</f>
        <v>22674.417100522598</v>
      </c>
      <c r="H59" s="94">
        <f>IF('FY22-23'!$S59&gt;0,'FY22-23'!H59/'FY22-23'!$S59*'Multi-Year'!$P59,0)+IF('FY22-23'!$S59&lt;0,'FY22-23'!H59/'FY22-23'!$S59*'Multi-Year'!$P59,0)</f>
        <v>22900.335854767312</v>
      </c>
      <c r="I59" s="94">
        <f>IF('FY22-23'!$S59&gt;0,'FY22-23'!I59/'FY22-23'!$S59*'Multi-Year'!$P59,0)+IF('FY22-23'!$S59&lt;0,'FY22-23'!I59/'FY22-23'!$S59*'Multi-Year'!$P59,0)</f>
        <v>19301.06151939166</v>
      </c>
      <c r="J59" s="94">
        <f>IF('FY22-23'!$S59&gt;0,'FY22-23'!J59/'FY22-23'!$S59*'Multi-Year'!$P59,0)+IF('FY22-23'!$S59&lt;0,'FY22-23'!J59/'FY22-23'!$S59*'Multi-Year'!$P59,0)</f>
        <v>17880.728384955466</v>
      </c>
      <c r="K59" s="94">
        <f>IF('FY22-23'!$S59&gt;0,'FY22-23'!K59/'FY22-23'!$S59*'Multi-Year'!$P59,0)+IF('FY22-23'!$S59&lt;0,'FY22-23'!K59/'FY22-23'!$S59*'Multi-Year'!$P59,0)</f>
        <v>17008.03134755863</v>
      </c>
      <c r="L59" s="94">
        <f>IF('FY22-23'!$S59&gt;0,'FY22-23'!L59/'FY22-23'!$S59*'Multi-Year'!$P59,0)+IF('FY22-23'!$S59&lt;0,'FY22-23'!L59/'FY22-23'!$S59*'Multi-Year'!$P59,0)</f>
        <v>10899.15208578079</v>
      </c>
      <c r="M59" s="94">
        <f>IF('FY22-23'!$S59&gt;0,'FY22-23'!M59/'FY22-23'!$S59*'Multi-Year'!$P59,0)+IF('FY22-23'!$S59&lt;0,'FY22-23'!M59/'FY22-23'!$S59*'Multi-Year'!$P59,0)</f>
        <v>10899.15208578079</v>
      </c>
      <c r="N59" s="94">
        <f>IF('FY22-23'!$S59&gt;0,'FY22-23'!N59/'FY22-23'!$S59*'Multi-Year'!$P59,0)+IF('FY22-23'!$S59&lt;0,'FY22-23'!N59/'FY22-23'!$S59*'Multi-Year'!$P59,0)</f>
        <v>12168.53534538084</v>
      </c>
      <c r="O59" s="94">
        <f>IF('FY22-23'!$S59&gt;0,'FY22-23'!O59/'FY22-23'!$S59*'Multi-Year'!$P59,0)+IF('FY22-23'!$S59&lt;0,'FY22-23'!O59/'FY22-23'!$S59*'Multi-Year'!$P59,0)</f>
        <v>17880.728384955466</v>
      </c>
      <c r="P59" s="94">
        <f>IF('FY22-23'!$S59&gt;0,'FY22-23'!P59/'FY22-23'!$S59*'Multi-Year'!$P59,0)+IF('FY22-23'!$S59&lt;0,'FY22-23'!P59/'FY22-23'!$S59*'Multi-Year'!$P59,0)</f>
        <v>17880.728384955466</v>
      </c>
      <c r="Q59" s="606">
        <f>IF('FY22-23'!$S59&gt;0,'FY22-23'!Q59/'FY22-23'!$S59*'Multi-Year'!$P59,0)+IF('FY22-23'!$S59&lt;0,'FY22-23'!Q59/'FY22-23'!$S59*'Multi-Year'!$P59,0)</f>
        <v>0</v>
      </c>
      <c r="R59" s="94"/>
      <c r="S59" s="625">
        <f t="shared" si="17"/>
        <v>192835.31127737288</v>
      </c>
      <c r="T59" s="94"/>
      <c r="U59" s="94">
        <f>'FY22-23'!S59</f>
        <v>180051.64451668799</v>
      </c>
      <c r="V59" s="94">
        <f t="shared" si="18"/>
        <v>-12783.666760684893</v>
      </c>
    </row>
    <row r="60" spans="1:22" s="95" customFormat="1" ht="12" customHeight="1">
      <c r="A60" s="123"/>
      <c r="B60" s="123" t="s">
        <v>186</v>
      </c>
      <c r="C60" s="102">
        <v>1300</v>
      </c>
      <c r="D60" s="103" t="s">
        <v>275</v>
      </c>
      <c r="E60" s="94">
        <f>IF('FY22-23'!$S60&gt;0,'FY22-23'!E60/'FY22-23'!$S60*'Multi-Year'!$P60,0)+IF('FY22-23'!$S60&lt;0,'FY22-23'!E60/'FY22-23'!$S60*'Multi-Year'!$P60,0)</f>
        <v>90089.464185757839</v>
      </c>
      <c r="F60" s="94">
        <f>IF('FY22-23'!$S60&gt;0,'FY22-23'!F60/'FY22-23'!$S60*'Multi-Year'!$P60,0)+IF('FY22-23'!$S60&lt;0,'FY22-23'!F60/'FY22-23'!$S60*'Multi-Year'!$P60,0)</f>
        <v>101242.62623033357</v>
      </c>
      <c r="G60" s="94">
        <f>IF('FY22-23'!$S60&gt;0,'FY22-23'!G60/'FY22-23'!$S60*'Multi-Year'!$P60,0)+IF('FY22-23'!$S60&lt;0,'FY22-23'!G60/'FY22-23'!$S60*'Multi-Year'!$P60,0)</f>
        <v>139043.94572129691</v>
      </c>
      <c r="H60" s="94">
        <f>IF('FY22-23'!$S60&gt;0,'FY22-23'!H60/'FY22-23'!$S60*'Multi-Year'!$P60,0)+IF('FY22-23'!$S60&lt;0,'FY22-23'!H60/'FY22-23'!$S60*'Multi-Year'!$P60,0)</f>
        <v>130808.42861371805</v>
      </c>
      <c r="I60" s="94">
        <f>IF('FY22-23'!$S60&gt;0,'FY22-23'!I60/'FY22-23'!$S60*'Multi-Year'!$P60,0)+IF('FY22-23'!$S60&lt;0,'FY22-23'!I60/'FY22-23'!$S60*'Multi-Year'!$P60,0)</f>
        <v>82675.025568414363</v>
      </c>
      <c r="J60" s="94">
        <f>IF('FY22-23'!$S60&gt;0,'FY22-23'!J60/'FY22-23'!$S60*'Multi-Year'!$P60,0)+IF('FY22-23'!$S60&lt;0,'FY22-23'!J60/'FY22-23'!$S60*'Multi-Year'!$P60,0)</f>
        <v>179829.96361249141</v>
      </c>
      <c r="K60" s="94">
        <f>IF('FY22-23'!$S60&gt;0,'FY22-23'!K60/'FY22-23'!$S60*'Multi-Year'!$P60,0)+IF('FY22-23'!$S60&lt;0,'FY22-23'!K60/'FY22-23'!$S60*'Multi-Year'!$P60,0)</f>
        <v>139065.32397322537</v>
      </c>
      <c r="L60" s="94">
        <f>IF('FY22-23'!$S60&gt;0,'FY22-23'!L60/'FY22-23'!$S60*'Multi-Year'!$P60,0)+IF('FY22-23'!$S60&lt;0,'FY22-23'!L60/'FY22-23'!$S60*'Multi-Year'!$P60,0)</f>
        <v>120097.97560294045</v>
      </c>
      <c r="M60" s="94">
        <f>IF('FY22-23'!$S60&gt;0,'FY22-23'!M60/'FY22-23'!$S60*'Multi-Year'!$P60,0)+IF('FY22-23'!$S60&lt;0,'FY22-23'!M60/'FY22-23'!$S60*'Multi-Year'!$P60,0)</f>
        <v>147218.1827737969</v>
      </c>
      <c r="N60" s="94">
        <f>IF('FY22-23'!$S60&gt;0,'FY22-23'!N60/'FY22-23'!$S60*'Multi-Year'!$P60,0)+IF('FY22-23'!$S60&lt;0,'FY22-23'!N60/'FY22-23'!$S60*'Multi-Year'!$P60,0)</f>
        <v>151002.58141233501</v>
      </c>
      <c r="O60" s="94">
        <f>IF('FY22-23'!$S60&gt;0,'FY22-23'!O60/'FY22-23'!$S60*'Multi-Year'!$P60,0)+IF('FY22-23'!$S60&lt;0,'FY22-23'!O60/'FY22-23'!$S60*'Multi-Year'!$P60,0)</f>
        <v>153692.14472381698</v>
      </c>
      <c r="P60" s="94">
        <f>IF('FY22-23'!$S60&gt;0,'FY22-23'!P60/'FY22-23'!$S60*'Multi-Year'!$P60,0)+IF('FY22-23'!$S60&lt;0,'FY22-23'!P60/'FY22-23'!$S60*'Multi-Year'!$P60,0)</f>
        <v>181356.88285412375</v>
      </c>
      <c r="Q60" s="606">
        <f>IF('FY22-23'!$S60&gt;0,'FY22-23'!Q60/'FY22-23'!$S60*'Multi-Year'!$P60,0)+IF('FY22-23'!$S60&lt;0,'FY22-23'!Q60/'FY22-23'!$S60*'Multi-Year'!$P60,0)</f>
        <v>0</v>
      </c>
      <c r="R60" s="94"/>
      <c r="S60" s="625">
        <f t="shared" si="17"/>
        <v>1616122.5452722504</v>
      </c>
      <c r="T60" s="94"/>
      <c r="U60" s="94">
        <f>'FY22-23'!S60</f>
        <v>1508984.6361085442</v>
      </c>
      <c r="V60" s="94">
        <f t="shared" si="18"/>
        <v>-107137.90916370624</v>
      </c>
    </row>
    <row r="61" spans="1:22" s="95" customFormat="1" ht="12" customHeight="1">
      <c r="A61" s="124"/>
      <c r="B61" s="124" t="s">
        <v>186</v>
      </c>
      <c r="C61" s="102">
        <v>1900</v>
      </c>
      <c r="D61" s="103" t="s">
        <v>19</v>
      </c>
      <c r="E61" s="94">
        <f>IF('FY22-23'!$S61&gt;0,'FY22-23'!E61/'FY22-23'!$S61*'Multi-Year'!$P61,0)+IF('FY22-23'!$S61&lt;0,'FY22-23'!E61/'FY22-23'!$S61*'Multi-Year'!$P61,0)</f>
        <v>0</v>
      </c>
      <c r="F61" s="94">
        <f>IF('FY22-23'!$S61&gt;0,'FY22-23'!F61/'FY22-23'!$S61*'Multi-Year'!$P61,0)+IF('FY22-23'!$S61&lt;0,'FY22-23'!F61/'FY22-23'!$S61*'Multi-Year'!$P61,0)</f>
        <v>0</v>
      </c>
      <c r="G61" s="94">
        <f>IF('FY22-23'!$S61&gt;0,'FY22-23'!G61/'FY22-23'!$S61*'Multi-Year'!$P61,0)+IF('FY22-23'!$S61&lt;0,'FY22-23'!G61/'FY22-23'!$S61*'Multi-Year'!$P61,0)</f>
        <v>0</v>
      </c>
      <c r="H61" s="94">
        <f>IF('FY22-23'!$S61&gt;0,'FY22-23'!H61/'FY22-23'!$S61*'Multi-Year'!$P61,0)+IF('FY22-23'!$S61&lt;0,'FY22-23'!H61/'FY22-23'!$S61*'Multi-Year'!$P61,0)</f>
        <v>0</v>
      </c>
      <c r="I61" s="94">
        <f>IF('FY22-23'!$S61&gt;0,'FY22-23'!I61/'FY22-23'!$S61*'Multi-Year'!$P61,0)+IF('FY22-23'!$S61&lt;0,'FY22-23'!I61/'FY22-23'!$S61*'Multi-Year'!$P61,0)</f>
        <v>0</v>
      </c>
      <c r="J61" s="94">
        <f>IF('FY22-23'!$S61&gt;0,'FY22-23'!J61/'FY22-23'!$S61*'Multi-Year'!$P61,0)+IF('FY22-23'!$S61&lt;0,'FY22-23'!J61/'FY22-23'!$S61*'Multi-Year'!$P61,0)</f>
        <v>0</v>
      </c>
      <c r="K61" s="94">
        <f>IF('FY22-23'!$S61&gt;0,'FY22-23'!K61/'FY22-23'!$S61*'Multi-Year'!$P61,0)+IF('FY22-23'!$S61&lt;0,'FY22-23'!K61/'FY22-23'!$S61*'Multi-Year'!$P61,0)</f>
        <v>0</v>
      </c>
      <c r="L61" s="94">
        <f>IF('FY22-23'!$S61&gt;0,'FY22-23'!L61/'FY22-23'!$S61*'Multi-Year'!$P61,0)+IF('FY22-23'!$S61&lt;0,'FY22-23'!L61/'FY22-23'!$S61*'Multi-Year'!$P61,0)</f>
        <v>0</v>
      </c>
      <c r="M61" s="94">
        <f>IF('FY22-23'!$S61&gt;0,'FY22-23'!M61/'FY22-23'!$S61*'Multi-Year'!$P61,0)+IF('FY22-23'!$S61&lt;0,'FY22-23'!M61/'FY22-23'!$S61*'Multi-Year'!$P61,0)</f>
        <v>0</v>
      </c>
      <c r="N61" s="94">
        <f>IF('FY22-23'!$S61&gt;0,'FY22-23'!N61/'FY22-23'!$S61*'Multi-Year'!$P61,0)+IF('FY22-23'!$S61&lt;0,'FY22-23'!N61/'FY22-23'!$S61*'Multi-Year'!$P61,0)</f>
        <v>0</v>
      </c>
      <c r="O61" s="94">
        <f>IF('FY22-23'!$S61&gt;0,'FY22-23'!O61/'FY22-23'!$S61*'Multi-Year'!$P61,0)+IF('FY22-23'!$S61&lt;0,'FY22-23'!O61/'FY22-23'!$S61*'Multi-Year'!$P61,0)</f>
        <v>0</v>
      </c>
      <c r="P61" s="94">
        <f>IF('FY22-23'!$S61&gt;0,'FY22-23'!P61/'FY22-23'!$S61*'Multi-Year'!$P61,0)+IF('FY22-23'!$S61&lt;0,'FY22-23'!P61/'FY22-23'!$S61*'Multi-Year'!$P61,0)</f>
        <v>0</v>
      </c>
      <c r="Q61" s="606">
        <f>IF('FY22-23'!$S61&gt;0,'FY22-23'!Q61/'FY22-23'!$S61*'Multi-Year'!$P61,0)+IF('FY22-23'!$S61&lt;0,'FY22-23'!Q61/'FY22-23'!$S61*'Multi-Year'!$P61,0)</f>
        <v>0</v>
      </c>
      <c r="R61" s="94"/>
      <c r="S61" s="625">
        <f t="shared" si="17"/>
        <v>0</v>
      </c>
      <c r="T61" s="94"/>
      <c r="U61" s="94">
        <f>'FY22-23'!S61</f>
        <v>0</v>
      </c>
      <c r="V61" s="94">
        <f t="shared" si="18"/>
        <v>0</v>
      </c>
    </row>
    <row r="62" spans="1:22" s="95" customFormat="1" ht="12" customHeight="1">
      <c r="A62" s="124"/>
      <c r="B62" s="124" t="s">
        <v>186</v>
      </c>
      <c r="C62" s="102"/>
      <c r="D62" s="103"/>
      <c r="E62" s="215">
        <f>SUM(E56:E61)</f>
        <v>734650.1690508402</v>
      </c>
      <c r="F62" s="215">
        <f t="shared" ref="F62:S62" si="19">SUM(F56:F61)</f>
        <v>1057675.2972572003</v>
      </c>
      <c r="G62" s="215">
        <f t="shared" si="19"/>
        <v>1143663.4375246665</v>
      </c>
      <c r="H62" s="215">
        <f t="shared" si="19"/>
        <v>1130335.0795505913</v>
      </c>
      <c r="I62" s="215">
        <f t="shared" si="19"/>
        <v>206143.68614041162</v>
      </c>
      <c r="J62" s="215">
        <f t="shared" si="19"/>
        <v>1824248.0957207608</v>
      </c>
      <c r="K62" s="215">
        <f t="shared" si="19"/>
        <v>1059916.8422164959</v>
      </c>
      <c r="L62" s="215">
        <f t="shared" si="19"/>
        <v>1056008.2307382305</v>
      </c>
      <c r="M62" s="215">
        <f t="shared" si="19"/>
        <v>1020478.1723627436</v>
      </c>
      <c r="N62" s="215">
        <f t="shared" si="19"/>
        <v>1022664.7109496354</v>
      </c>
      <c r="O62" s="215">
        <f t="shared" si="19"/>
        <v>1085764.5260608788</v>
      </c>
      <c r="P62" s="215">
        <f t="shared" si="19"/>
        <v>1007968.0586715869</v>
      </c>
      <c r="Q62" s="603">
        <f t="shared" ref="Q62" si="20">SUM(Q56:Q61)</f>
        <v>0</v>
      </c>
      <c r="R62" s="94">
        <f t="shared" si="19"/>
        <v>0</v>
      </c>
      <c r="S62" s="626">
        <f t="shared" si="19"/>
        <v>12349516.30624404</v>
      </c>
      <c r="T62" s="94"/>
      <c r="U62" s="216">
        <f>SUM(U56:U61)</f>
        <v>11530827.55018118</v>
      </c>
      <c r="V62" s="216">
        <f>SUM(V56:V61)</f>
        <v>-818688.7560628606</v>
      </c>
    </row>
    <row r="63" spans="1:22" s="95" customFormat="1" ht="12" customHeight="1">
      <c r="A63" s="124"/>
      <c r="B63" s="124" t="s">
        <v>245</v>
      </c>
      <c r="C63" s="102"/>
      <c r="D63" s="103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606"/>
      <c r="R63" s="94"/>
      <c r="S63" s="625"/>
      <c r="T63" s="94"/>
      <c r="U63" s="94"/>
      <c r="V63" s="94"/>
    </row>
    <row r="64" spans="1:22" s="95" customFormat="1" ht="12" customHeight="1">
      <c r="A64" s="124"/>
      <c r="B64" s="124" t="s">
        <v>186</v>
      </c>
      <c r="C64" s="102">
        <v>2100</v>
      </c>
      <c r="D64" s="103" t="s">
        <v>276</v>
      </c>
      <c r="E64" s="94">
        <f>IF('FY22-23'!$S64&gt;0,'FY22-23'!E64/'FY22-23'!$S64*'Multi-Year'!$P64,0)+IF('FY22-23'!$S64&lt;0,'FY22-23'!E64/'FY22-23'!$S64*'Multi-Year'!$P64,0)</f>
        <v>9631.0698164995956</v>
      </c>
      <c r="F64" s="94">
        <f>IF('FY22-23'!$S64&gt;0,'FY22-23'!F64/'FY22-23'!$S64*'Multi-Year'!$P64,0)+IF('FY22-23'!$S64&lt;0,'FY22-23'!F64/'FY22-23'!$S64*'Multi-Year'!$P64,0)</f>
        <v>26219.468989194989</v>
      </c>
      <c r="G64" s="94">
        <f>IF('FY22-23'!$S64&gt;0,'FY22-23'!G64/'FY22-23'!$S64*'Multi-Year'!$P64,0)+IF('FY22-23'!$S64&lt;0,'FY22-23'!G64/'FY22-23'!$S64*'Multi-Year'!$P64,0)</f>
        <v>28873.996614491716</v>
      </c>
      <c r="H64" s="94">
        <f>IF('FY22-23'!$S64&gt;0,'FY22-23'!H64/'FY22-23'!$S64*'Multi-Year'!$P64,0)+IF('FY22-23'!$S64&lt;0,'FY22-23'!H64/'FY22-23'!$S64*'Multi-Year'!$P64,0)</f>
        <v>30859.318739932183</v>
      </c>
      <c r="I64" s="94">
        <f>IF('FY22-23'!$S64&gt;0,'FY22-23'!I64/'FY22-23'!$S64*'Multi-Year'!$P64,0)+IF('FY22-23'!$S64&lt;0,'FY22-23'!I64/'FY22-23'!$S64*'Multi-Year'!$P64,0)</f>
        <v>27653.245515397099</v>
      </c>
      <c r="J64" s="94">
        <f>IF('FY22-23'!$S64&gt;0,'FY22-23'!J64/'FY22-23'!$S64*'Multi-Year'!$P64,0)+IF('FY22-23'!$S64&lt;0,'FY22-23'!J64/'FY22-23'!$S64*'Multi-Year'!$P64,0)</f>
        <v>72171.068468782629</v>
      </c>
      <c r="K64" s="94">
        <f>IF('FY22-23'!$S64&gt;0,'FY22-23'!K64/'FY22-23'!$S64*'Multi-Year'!$P64,0)+IF('FY22-23'!$S64&lt;0,'FY22-23'!K64/'FY22-23'!$S64*'Multi-Year'!$P64,0)</f>
        <v>41152.358053493183</v>
      </c>
      <c r="L64" s="94">
        <f>IF('FY22-23'!$S64&gt;0,'FY22-23'!L64/'FY22-23'!$S64*'Multi-Year'!$P64,0)+IF('FY22-23'!$S64&lt;0,'FY22-23'!L64/'FY22-23'!$S64*'Multi-Year'!$P64,0)</f>
        <v>71045.695372044473</v>
      </c>
      <c r="M64" s="94">
        <f>IF('FY22-23'!$S64&gt;0,'FY22-23'!M64/'FY22-23'!$S64*'Multi-Year'!$P64,0)+IF('FY22-23'!$S64&lt;0,'FY22-23'!M64/'FY22-23'!$S64*'Multi-Year'!$P64,0)</f>
        <v>28607.387339101559</v>
      </c>
      <c r="N64" s="94">
        <f>IF('FY22-23'!$S64&gt;0,'FY22-23'!N64/'FY22-23'!$S64*'Multi-Year'!$P64,0)+IF('FY22-23'!$S64&lt;0,'FY22-23'!N64/'FY22-23'!$S64*'Multi-Year'!$P64,0)</f>
        <v>27225.048812077435</v>
      </c>
      <c r="O64" s="94">
        <f>IF('FY22-23'!$S64&gt;0,'FY22-23'!O64/'FY22-23'!$S64*'Multi-Year'!$P64,0)+IF('FY22-23'!$S64&lt;0,'FY22-23'!O64/'FY22-23'!$S64*'Multi-Year'!$P64,0)</f>
        <v>17382.026493022699</v>
      </c>
      <c r="P64" s="94">
        <f>IF('FY22-23'!$S64&gt;0,'FY22-23'!P64/'FY22-23'!$S64*'Multi-Year'!$P64,0)+IF('FY22-23'!$S64&lt;0,'FY22-23'!P64/'FY22-23'!$S64*'Multi-Year'!$P64,0)</f>
        <v>20541.577209933545</v>
      </c>
      <c r="Q64" s="606">
        <f>IF('FY22-23'!$S64&gt;0,'FY22-23'!Q64/'FY22-23'!$S64*'Multi-Year'!$P64,0)+IF('FY22-23'!$S64&lt;0,'FY22-23'!Q64/'FY22-23'!$S64*'Multi-Year'!$P64,0)</f>
        <v>0</v>
      </c>
      <c r="R64" s="94"/>
      <c r="S64" s="625">
        <f t="shared" ref="S64" si="21">SUM(E64:Q64)</f>
        <v>401362.2614239711</v>
      </c>
      <c r="T64" s="94"/>
      <c r="U64" s="94">
        <f>'FY22-23'!S64</f>
        <v>374754.6792007201</v>
      </c>
      <c r="V64" s="94">
        <f t="shared" ref="V64" si="22">U64-S64</f>
        <v>-26607.582223250996</v>
      </c>
    </row>
    <row r="65" spans="1:22" s="95" customFormat="1" ht="12" customHeight="1">
      <c r="A65" s="124"/>
      <c r="B65" s="124" t="s">
        <v>186</v>
      </c>
      <c r="C65" s="102">
        <v>2200</v>
      </c>
      <c r="D65" s="103" t="s">
        <v>277</v>
      </c>
      <c r="E65" s="94">
        <f>IF('FY22-23'!$S65&gt;0,'FY22-23'!E65/'FY22-23'!$S65*'Multi-Year'!$P65,0)+IF('FY22-23'!$S65&lt;0,'FY22-23'!E65/'FY22-23'!$S65*'Multi-Year'!$P65,0)</f>
        <v>0</v>
      </c>
      <c r="F65" s="94">
        <f>IF('FY22-23'!$S65&gt;0,'FY22-23'!F65/'FY22-23'!$S65*'Multi-Year'!$P65,0)+IF('FY22-23'!$S65&lt;0,'FY22-23'!F65/'FY22-23'!$S65*'Multi-Year'!$P65,0)</f>
        <v>0</v>
      </c>
      <c r="G65" s="94">
        <f>IF('FY22-23'!$S65&gt;0,'FY22-23'!G65/'FY22-23'!$S65*'Multi-Year'!$P65,0)+IF('FY22-23'!$S65&lt;0,'FY22-23'!G65/'FY22-23'!$S65*'Multi-Year'!$P65,0)</f>
        <v>0</v>
      </c>
      <c r="H65" s="94">
        <f>IF('FY22-23'!$S65&gt;0,'FY22-23'!H65/'FY22-23'!$S65*'Multi-Year'!$P65,0)+IF('FY22-23'!$S65&lt;0,'FY22-23'!H65/'FY22-23'!$S65*'Multi-Year'!$P65,0)</f>
        <v>0</v>
      </c>
      <c r="I65" s="94">
        <f>IF('FY22-23'!$S65&gt;0,'FY22-23'!I65/'FY22-23'!$S65*'Multi-Year'!$P65,0)+IF('FY22-23'!$S65&lt;0,'FY22-23'!I65/'FY22-23'!$S65*'Multi-Year'!$P65,0)</f>
        <v>0</v>
      </c>
      <c r="J65" s="94">
        <f>IF('FY22-23'!$S65&gt;0,'FY22-23'!J65/'FY22-23'!$S65*'Multi-Year'!$P65,0)+IF('FY22-23'!$S65&lt;0,'FY22-23'!J65/'FY22-23'!$S65*'Multi-Year'!$P65,0)</f>
        <v>0</v>
      </c>
      <c r="K65" s="94">
        <f>IF('FY22-23'!$S65&gt;0,'FY22-23'!K65/'FY22-23'!$S65*'Multi-Year'!$P65,0)+IF('FY22-23'!$S65&lt;0,'FY22-23'!K65/'FY22-23'!$S65*'Multi-Year'!$P65,0)</f>
        <v>0</v>
      </c>
      <c r="L65" s="94">
        <f>IF('FY22-23'!$S65&gt;0,'FY22-23'!L65/'FY22-23'!$S65*'Multi-Year'!$P65,0)+IF('FY22-23'!$S65&lt;0,'FY22-23'!L65/'FY22-23'!$S65*'Multi-Year'!$P65,0)</f>
        <v>0</v>
      </c>
      <c r="M65" s="94">
        <f>IF('FY22-23'!$S65&gt;0,'FY22-23'!M65/'FY22-23'!$S65*'Multi-Year'!$P65,0)+IF('FY22-23'!$S65&lt;0,'FY22-23'!M65/'FY22-23'!$S65*'Multi-Year'!$P65,0)</f>
        <v>0</v>
      </c>
      <c r="N65" s="94">
        <f>IF('FY22-23'!$S65&gt;0,'FY22-23'!N65/'FY22-23'!$S65*'Multi-Year'!$P65,0)+IF('FY22-23'!$S65&lt;0,'FY22-23'!N65/'FY22-23'!$S65*'Multi-Year'!$P65,0)</f>
        <v>0</v>
      </c>
      <c r="O65" s="94">
        <f>IF('FY22-23'!$S65&gt;0,'FY22-23'!O65/'FY22-23'!$S65*'Multi-Year'!$P65,0)+IF('FY22-23'!$S65&lt;0,'FY22-23'!O65/'FY22-23'!$S65*'Multi-Year'!$P65,0)</f>
        <v>0</v>
      </c>
      <c r="P65" s="94">
        <f>IF('FY22-23'!$S65&gt;0,'FY22-23'!P65/'FY22-23'!$S65*'Multi-Year'!$P65,0)+IF('FY22-23'!$S65&lt;0,'FY22-23'!P65/'FY22-23'!$S65*'Multi-Year'!$P65,0)</f>
        <v>0</v>
      </c>
      <c r="Q65" s="606">
        <f>IF('FY22-23'!$S65&gt;0,'FY22-23'!Q65/'FY22-23'!$S65*'Multi-Year'!$P65,0)+IF('FY22-23'!$S65&lt;0,'FY22-23'!Q65/'FY22-23'!$S65*'Multi-Year'!$P65,0)</f>
        <v>0</v>
      </c>
      <c r="R65" s="94"/>
      <c r="S65" s="625">
        <f t="shared" ref="S65:S68" si="23">SUM(E65:Q65)</f>
        <v>0</v>
      </c>
      <c r="T65" s="94"/>
      <c r="U65" s="94">
        <f>'FY22-23'!S65</f>
        <v>0</v>
      </c>
      <c r="V65" s="94">
        <f t="shared" ref="V65:V68" si="24">U65-S65</f>
        <v>0</v>
      </c>
    </row>
    <row r="66" spans="1:22" s="95" customFormat="1" ht="12" customHeight="1">
      <c r="A66" s="124"/>
      <c r="B66" s="124" t="s">
        <v>186</v>
      </c>
      <c r="C66" s="102">
        <v>2300</v>
      </c>
      <c r="D66" s="103" t="s">
        <v>22</v>
      </c>
      <c r="E66" s="94">
        <f>IF('FY22-23'!$S66&gt;0,'FY22-23'!E66/'FY22-23'!$S66*'Multi-Year'!$P66,0)+IF('FY22-23'!$S66&lt;0,'FY22-23'!E66/'FY22-23'!$S66*'Multi-Year'!$P66,0)</f>
        <v>0</v>
      </c>
      <c r="F66" s="94">
        <f>IF('FY22-23'!$S66&gt;0,'FY22-23'!F66/'FY22-23'!$S66*'Multi-Year'!$P66,0)+IF('FY22-23'!$S66&lt;0,'FY22-23'!F66/'FY22-23'!$S66*'Multi-Year'!$P66,0)</f>
        <v>0</v>
      </c>
      <c r="G66" s="94">
        <f>IF('FY22-23'!$S66&gt;0,'FY22-23'!G66/'FY22-23'!$S66*'Multi-Year'!$P66,0)+IF('FY22-23'!$S66&lt;0,'FY22-23'!G66/'FY22-23'!$S66*'Multi-Year'!$P66,0)</f>
        <v>0</v>
      </c>
      <c r="H66" s="94">
        <f>IF('FY22-23'!$S66&gt;0,'FY22-23'!H66/'FY22-23'!$S66*'Multi-Year'!$P66,0)+IF('FY22-23'!$S66&lt;0,'FY22-23'!H66/'FY22-23'!$S66*'Multi-Year'!$P66,0)</f>
        <v>0</v>
      </c>
      <c r="I66" s="94">
        <f>IF('FY22-23'!$S66&gt;0,'FY22-23'!I66/'FY22-23'!$S66*'Multi-Year'!$P66,0)+IF('FY22-23'!$S66&lt;0,'FY22-23'!I66/'FY22-23'!$S66*'Multi-Year'!$P66,0)</f>
        <v>0</v>
      </c>
      <c r="J66" s="94">
        <f>IF('FY22-23'!$S66&gt;0,'FY22-23'!J66/'FY22-23'!$S66*'Multi-Year'!$P66,0)+IF('FY22-23'!$S66&lt;0,'FY22-23'!J66/'FY22-23'!$S66*'Multi-Year'!$P66,0)</f>
        <v>0</v>
      </c>
      <c r="K66" s="94">
        <f>IF('FY22-23'!$S66&gt;0,'FY22-23'!K66/'FY22-23'!$S66*'Multi-Year'!$P66,0)+IF('FY22-23'!$S66&lt;0,'FY22-23'!K66/'FY22-23'!$S66*'Multi-Year'!$P66,0)</f>
        <v>0</v>
      </c>
      <c r="L66" s="94">
        <f>IF('FY22-23'!$S66&gt;0,'FY22-23'!L66/'FY22-23'!$S66*'Multi-Year'!$P66,0)+IF('FY22-23'!$S66&lt;0,'FY22-23'!L66/'FY22-23'!$S66*'Multi-Year'!$P66,0)</f>
        <v>0</v>
      </c>
      <c r="M66" s="94">
        <f>IF('FY22-23'!$S66&gt;0,'FY22-23'!M66/'FY22-23'!$S66*'Multi-Year'!$P66,0)+IF('FY22-23'!$S66&lt;0,'FY22-23'!M66/'FY22-23'!$S66*'Multi-Year'!$P66,0)</f>
        <v>0</v>
      </c>
      <c r="N66" s="94">
        <f>IF('FY22-23'!$S66&gt;0,'FY22-23'!N66/'FY22-23'!$S66*'Multi-Year'!$P66,0)+IF('FY22-23'!$S66&lt;0,'FY22-23'!N66/'FY22-23'!$S66*'Multi-Year'!$P66,0)</f>
        <v>0</v>
      </c>
      <c r="O66" s="94">
        <f>IF('FY22-23'!$S66&gt;0,'FY22-23'!O66/'FY22-23'!$S66*'Multi-Year'!$P66,0)+IF('FY22-23'!$S66&lt;0,'FY22-23'!O66/'FY22-23'!$S66*'Multi-Year'!$P66,0)</f>
        <v>0</v>
      </c>
      <c r="P66" s="94">
        <f>IF('FY22-23'!$S66&gt;0,'FY22-23'!P66/'FY22-23'!$S66*'Multi-Year'!$P66,0)+IF('FY22-23'!$S66&lt;0,'FY22-23'!P66/'FY22-23'!$S66*'Multi-Year'!$P66,0)</f>
        <v>0</v>
      </c>
      <c r="Q66" s="606">
        <f>IF('FY22-23'!$S66&gt;0,'FY22-23'!Q66/'FY22-23'!$S66*'Multi-Year'!$P66,0)+IF('FY22-23'!$S66&lt;0,'FY22-23'!Q66/'FY22-23'!$S66*'Multi-Year'!$P66,0)</f>
        <v>0</v>
      </c>
      <c r="R66" s="94"/>
      <c r="S66" s="625">
        <f t="shared" si="23"/>
        <v>0</v>
      </c>
      <c r="T66" s="94"/>
      <c r="U66" s="94">
        <f>'FY22-23'!S66</f>
        <v>0</v>
      </c>
      <c r="V66" s="94">
        <f t="shared" si="24"/>
        <v>0</v>
      </c>
    </row>
    <row r="67" spans="1:22" s="95" customFormat="1" ht="12" customHeight="1">
      <c r="A67" s="124"/>
      <c r="B67" s="124" t="s">
        <v>186</v>
      </c>
      <c r="C67" s="102">
        <v>2400</v>
      </c>
      <c r="D67" s="105" t="s">
        <v>241</v>
      </c>
      <c r="E67" s="94">
        <f>IF('FY22-23'!$S67&gt;0,'FY22-23'!E67/'FY22-23'!$S67*'Multi-Year'!$P67,0)+IF('FY22-23'!$S67&lt;0,'FY22-23'!E67/'FY22-23'!$S67*'Multi-Year'!$P67,0)</f>
        <v>0</v>
      </c>
      <c r="F67" s="94">
        <f>IF('FY22-23'!$S67&gt;0,'FY22-23'!F67/'FY22-23'!$S67*'Multi-Year'!$P67,0)+IF('FY22-23'!$S67&lt;0,'FY22-23'!F67/'FY22-23'!$S67*'Multi-Year'!$P67,0)</f>
        <v>0</v>
      </c>
      <c r="G67" s="94">
        <f>IF('FY22-23'!$S67&gt;0,'FY22-23'!G67/'FY22-23'!$S67*'Multi-Year'!$P67,0)+IF('FY22-23'!$S67&lt;0,'FY22-23'!G67/'FY22-23'!$S67*'Multi-Year'!$P67,0)</f>
        <v>0</v>
      </c>
      <c r="H67" s="94">
        <f>IF('FY22-23'!$S67&gt;0,'FY22-23'!H67/'FY22-23'!$S67*'Multi-Year'!$P67,0)+IF('FY22-23'!$S67&lt;0,'FY22-23'!H67/'FY22-23'!$S67*'Multi-Year'!$P67,0)</f>
        <v>0</v>
      </c>
      <c r="I67" s="94">
        <f>IF('FY22-23'!$S67&gt;0,'FY22-23'!I67/'FY22-23'!$S67*'Multi-Year'!$P67,0)+IF('FY22-23'!$S67&lt;0,'FY22-23'!I67/'FY22-23'!$S67*'Multi-Year'!$P67,0)</f>
        <v>0</v>
      </c>
      <c r="J67" s="94">
        <f>IF('FY22-23'!$S67&gt;0,'FY22-23'!J67/'FY22-23'!$S67*'Multi-Year'!$P67,0)+IF('FY22-23'!$S67&lt;0,'FY22-23'!J67/'FY22-23'!$S67*'Multi-Year'!$P67,0)</f>
        <v>0</v>
      </c>
      <c r="K67" s="94">
        <f>IF('FY22-23'!$S67&gt;0,'FY22-23'!K67/'FY22-23'!$S67*'Multi-Year'!$P67,0)+IF('FY22-23'!$S67&lt;0,'FY22-23'!K67/'FY22-23'!$S67*'Multi-Year'!$P67,0)</f>
        <v>0</v>
      </c>
      <c r="L67" s="94">
        <f>IF('FY22-23'!$S67&gt;0,'FY22-23'!L67/'FY22-23'!$S67*'Multi-Year'!$P67,0)+IF('FY22-23'!$S67&lt;0,'FY22-23'!L67/'FY22-23'!$S67*'Multi-Year'!$P67,0)</f>
        <v>11283.011277945765</v>
      </c>
      <c r="M67" s="94">
        <f>IF('FY22-23'!$S67&gt;0,'FY22-23'!M67/'FY22-23'!$S67*'Multi-Year'!$P67,0)+IF('FY22-23'!$S67&lt;0,'FY22-23'!M67/'FY22-23'!$S67*'Multi-Year'!$P67,0)</f>
        <v>24822.61503315773</v>
      </c>
      <c r="N67" s="94">
        <f>IF('FY22-23'!$S67&gt;0,'FY22-23'!N67/'FY22-23'!$S67*'Multi-Year'!$P67,0)+IF('FY22-23'!$S67&lt;0,'FY22-23'!N67/'FY22-23'!$S67*'Multi-Year'!$P67,0)</f>
        <v>41078.881360123516</v>
      </c>
      <c r="O67" s="94">
        <f>IF('FY22-23'!$S67&gt;0,'FY22-23'!O67/'FY22-23'!$S67*'Multi-Year'!$P67,0)+IF('FY22-23'!$S67&lt;0,'FY22-23'!O67/'FY22-23'!$S67*'Multi-Year'!$P67,0)</f>
        <v>27417.097459733595</v>
      </c>
      <c r="P67" s="94">
        <f>IF('FY22-23'!$S67&gt;0,'FY22-23'!P67/'FY22-23'!$S67*'Multi-Year'!$P67,0)+IF('FY22-23'!$S67&lt;0,'FY22-23'!P67/'FY22-23'!$S67*'Multi-Year'!$P67,0)</f>
        <v>15720.316446437295</v>
      </c>
      <c r="Q67" s="606">
        <f>IF('FY22-23'!$S67&gt;0,'FY22-23'!Q67/'FY22-23'!$S67*'Multi-Year'!$P67,0)+IF('FY22-23'!$S67&lt;0,'FY22-23'!Q67/'FY22-23'!$S67*'Multi-Year'!$P67,0)</f>
        <v>0</v>
      </c>
      <c r="R67" s="125"/>
      <c r="S67" s="625">
        <f t="shared" si="23"/>
        <v>120321.92157739791</v>
      </c>
      <c r="T67" s="94"/>
      <c r="U67" s="94">
        <f>'FY22-23'!S67</f>
        <v>112345.39829822401</v>
      </c>
      <c r="V67" s="94">
        <f t="shared" si="24"/>
        <v>-7976.5232791738963</v>
      </c>
    </row>
    <row r="68" spans="1:22" s="95" customFormat="1" ht="12" customHeight="1">
      <c r="A68" s="124"/>
      <c r="B68" s="124" t="s">
        <v>186</v>
      </c>
      <c r="C68" s="102">
        <v>2900</v>
      </c>
      <c r="D68" s="103" t="s">
        <v>24</v>
      </c>
      <c r="E68" s="94">
        <f>IF('FY22-23'!$S68&gt;0,'FY22-23'!E68/'FY22-23'!$S68*'Multi-Year'!$P68,0)+IF('FY22-23'!$S68&lt;0,'FY22-23'!E68/'FY22-23'!$S68*'Multi-Year'!$P68,0)</f>
        <v>0</v>
      </c>
      <c r="F68" s="94">
        <f>IF('FY22-23'!$S68&gt;0,'FY22-23'!F68/'FY22-23'!$S68*'Multi-Year'!$P68,0)+IF('FY22-23'!$S68&lt;0,'FY22-23'!F68/'FY22-23'!$S68*'Multi-Year'!$P68,0)</f>
        <v>0</v>
      </c>
      <c r="G68" s="94">
        <f>IF('FY22-23'!$S68&gt;0,'FY22-23'!G68/'FY22-23'!$S68*'Multi-Year'!$P68,0)+IF('FY22-23'!$S68&lt;0,'FY22-23'!G68/'FY22-23'!$S68*'Multi-Year'!$P68,0)</f>
        <v>0</v>
      </c>
      <c r="H68" s="94">
        <f>IF('FY22-23'!$S68&gt;0,'FY22-23'!H68/'FY22-23'!$S68*'Multi-Year'!$P68,0)+IF('FY22-23'!$S68&lt;0,'FY22-23'!H68/'FY22-23'!$S68*'Multi-Year'!$P68,0)</f>
        <v>0</v>
      </c>
      <c r="I68" s="94">
        <f>IF('FY22-23'!$S68&gt;0,'FY22-23'!I68/'FY22-23'!$S68*'Multi-Year'!$P68,0)+IF('FY22-23'!$S68&lt;0,'FY22-23'!I68/'FY22-23'!$S68*'Multi-Year'!$P68,0)</f>
        <v>0</v>
      </c>
      <c r="J68" s="94">
        <f>IF('FY22-23'!$S68&gt;0,'FY22-23'!J68/'FY22-23'!$S68*'Multi-Year'!$P68,0)+IF('FY22-23'!$S68&lt;0,'FY22-23'!J68/'FY22-23'!$S68*'Multi-Year'!$P68,0)</f>
        <v>0</v>
      </c>
      <c r="K68" s="94">
        <f>IF('FY22-23'!$S68&gt;0,'FY22-23'!K68/'FY22-23'!$S68*'Multi-Year'!$P68,0)+IF('FY22-23'!$S68&lt;0,'FY22-23'!K68/'FY22-23'!$S68*'Multi-Year'!$P68,0)</f>
        <v>0</v>
      </c>
      <c r="L68" s="94">
        <f>IF('FY22-23'!$S68&gt;0,'FY22-23'!L68/'FY22-23'!$S68*'Multi-Year'!$P68,0)+IF('FY22-23'!$S68&lt;0,'FY22-23'!L68/'FY22-23'!$S68*'Multi-Year'!$P68,0)</f>
        <v>0</v>
      </c>
      <c r="M68" s="94">
        <f>IF('FY22-23'!$S68&gt;0,'FY22-23'!M68/'FY22-23'!$S68*'Multi-Year'!$P68,0)+IF('FY22-23'!$S68&lt;0,'FY22-23'!M68/'FY22-23'!$S68*'Multi-Year'!$P68,0)</f>
        <v>0</v>
      </c>
      <c r="N68" s="94">
        <f>IF('FY22-23'!$S68&gt;0,'FY22-23'!N68/'FY22-23'!$S68*'Multi-Year'!$P68,0)+IF('FY22-23'!$S68&lt;0,'FY22-23'!N68/'FY22-23'!$S68*'Multi-Year'!$P68,0)</f>
        <v>6116.3007859529298</v>
      </c>
      <c r="O68" s="94">
        <f>IF('FY22-23'!$S68&gt;0,'FY22-23'!O68/'FY22-23'!$S68*'Multi-Year'!$P68,0)+IF('FY22-23'!$S68&lt;0,'FY22-23'!O68/'FY22-23'!$S68*'Multi-Year'!$P68,0)</f>
        <v>14330.45608335509</v>
      </c>
      <c r="P68" s="94">
        <f>IF('FY22-23'!$S68&gt;0,'FY22-23'!P68/'FY22-23'!$S68*'Multi-Year'!$P68,0)+IF('FY22-23'!$S68&lt;0,'FY22-23'!P68/'FY22-23'!$S68*'Multi-Year'!$P68,0)</f>
        <v>24918.278037296783</v>
      </c>
      <c r="Q68" s="606">
        <f>IF('FY22-23'!$S68&gt;0,'FY22-23'!Q68/'FY22-23'!$S68*'Multi-Year'!$P68,0)+IF('FY22-23'!$S68&lt;0,'FY22-23'!Q68/'FY22-23'!$S68*'Multi-Year'!$P68,0)</f>
        <v>0</v>
      </c>
      <c r="R68" s="94"/>
      <c r="S68" s="625">
        <f t="shared" si="23"/>
        <v>45365.0349066048</v>
      </c>
      <c r="T68" s="94"/>
      <c r="U68" s="94">
        <f>'FY22-23'!S68</f>
        <v>44475.524418240006</v>
      </c>
      <c r="V68" s="94">
        <f t="shared" si="24"/>
        <v>-889.51048836479458</v>
      </c>
    </row>
    <row r="69" spans="1:22" s="95" customFormat="1" ht="12" customHeight="1">
      <c r="A69" s="124"/>
      <c r="B69" s="124" t="s">
        <v>186</v>
      </c>
      <c r="C69" s="126"/>
      <c r="D69" s="126"/>
      <c r="E69" s="215">
        <f>SUM(E64:E68)</f>
        <v>9631.0698164995956</v>
      </c>
      <c r="F69" s="215">
        <f t="shared" ref="F69:S69" si="25">SUM(F64:F68)</f>
        <v>26219.468989194989</v>
      </c>
      <c r="G69" s="215">
        <f t="shared" si="25"/>
        <v>28873.996614491716</v>
      </c>
      <c r="H69" s="215">
        <f t="shared" si="25"/>
        <v>30859.318739932183</v>
      </c>
      <c r="I69" s="215">
        <f t="shared" si="25"/>
        <v>27653.245515397099</v>
      </c>
      <c r="J69" s="215">
        <f t="shared" si="25"/>
        <v>72171.068468782629</v>
      </c>
      <c r="K69" s="215">
        <f t="shared" si="25"/>
        <v>41152.358053493183</v>
      </c>
      <c r="L69" s="215">
        <f t="shared" si="25"/>
        <v>82328.706649990243</v>
      </c>
      <c r="M69" s="215">
        <f t="shared" si="25"/>
        <v>53430.002372259289</v>
      </c>
      <c r="N69" s="215">
        <f t="shared" si="25"/>
        <v>74420.230958153887</v>
      </c>
      <c r="O69" s="215">
        <f t="shared" si="25"/>
        <v>59129.58003611138</v>
      </c>
      <c r="P69" s="215">
        <f t="shared" si="25"/>
        <v>61180.171693667624</v>
      </c>
      <c r="Q69" s="603">
        <f t="shared" ref="Q69" si="26">SUM(Q64:Q68)</f>
        <v>0</v>
      </c>
      <c r="R69" s="94">
        <f t="shared" si="25"/>
        <v>0</v>
      </c>
      <c r="S69" s="626">
        <f t="shared" si="25"/>
        <v>567049.2179079738</v>
      </c>
      <c r="T69" s="94"/>
      <c r="U69" s="216">
        <f>SUM(U64:U68)</f>
        <v>531575.60191718419</v>
      </c>
      <c r="V69" s="216">
        <f>SUM(V64:V68)</f>
        <v>-35473.615990789687</v>
      </c>
    </row>
    <row r="70" spans="1:22" s="95" customFormat="1" ht="12" customHeight="1">
      <c r="A70" s="124"/>
      <c r="B70" s="124" t="s">
        <v>3</v>
      </c>
      <c r="C70" s="126"/>
      <c r="D70" s="126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606"/>
      <c r="R70" s="94"/>
      <c r="S70" s="627"/>
      <c r="T70" s="94"/>
      <c r="U70" s="94"/>
      <c r="V70" s="94"/>
    </row>
    <row r="71" spans="1:22" s="95" customFormat="1" ht="12" customHeight="1">
      <c r="A71" s="124"/>
      <c r="B71" s="124" t="s">
        <v>186</v>
      </c>
      <c r="C71" s="102">
        <v>3101</v>
      </c>
      <c r="D71" s="105" t="s">
        <v>69</v>
      </c>
      <c r="E71" s="94">
        <f>IF('FY22-23'!$S71&gt;0,'FY22-23'!E71/'FY22-23'!$S71*'Multi-Year'!$P71,0)+IF('FY22-23'!$S71&lt;0,'FY22-23'!E71/'FY22-23'!$S71*'Multi-Year'!$P71,0)</f>
        <v>121941.86265465105</v>
      </c>
      <c r="F71" s="94">
        <f>IF('FY22-23'!$S71&gt;0,'FY22-23'!F71/'FY22-23'!$S71*'Multi-Year'!$P71,0)+IF('FY22-23'!$S71&lt;0,'FY22-23'!F71/'FY22-23'!$S71*'Multi-Year'!$P71,0)</f>
        <v>182187.601622644</v>
      </c>
      <c r="G71" s="94">
        <f>IF('FY22-23'!$S71&gt;0,'FY22-23'!G71/'FY22-23'!$S71*'Multi-Year'!$P71,0)+IF('FY22-23'!$S71&lt;0,'FY22-23'!G71/'FY22-23'!$S71*'Multi-Year'!$P71,0)</f>
        <v>207929.24119266053</v>
      </c>
      <c r="H71" s="94">
        <f>IF('FY22-23'!$S71&gt;0,'FY22-23'!H71/'FY22-23'!$S71*'Multi-Year'!$P71,0)+IF('FY22-23'!$S71&lt;0,'FY22-23'!H71/'FY22-23'!$S71*'Multi-Year'!$P71,0)</f>
        <v>208580.75999552984</v>
      </c>
      <c r="I71" s="94">
        <f>IF('FY22-23'!$S71&gt;0,'FY22-23'!I71/'FY22-23'!$S71*'Multi-Year'!$P71,0)+IF('FY22-23'!$S71&lt;0,'FY22-23'!I71/'FY22-23'!$S71*'Multi-Year'!$P71,0)</f>
        <v>43720.473575881399</v>
      </c>
      <c r="J71" s="94">
        <f>IF('FY22-23'!$S71&gt;0,'FY22-23'!J71/'FY22-23'!$S71*'Multi-Year'!$P71,0)+IF('FY22-23'!$S71&lt;0,'FY22-23'!J71/'FY22-23'!$S71*'Multi-Year'!$P71,0)</f>
        <v>325231.16660136398</v>
      </c>
      <c r="K71" s="94">
        <f>IF('FY22-23'!$S71&gt;0,'FY22-23'!K71/'FY22-23'!$S71*'Multi-Year'!$P71,0)+IF('FY22-23'!$S71&lt;0,'FY22-23'!K71/'FY22-23'!$S71*'Multi-Year'!$P71,0)</f>
        <v>195080.94334282793</v>
      </c>
      <c r="L71" s="94">
        <f>IF('FY22-23'!$S71&gt;0,'FY22-23'!L71/'FY22-23'!$S71*'Multi-Year'!$P71,0)+IF('FY22-23'!$S71&lt;0,'FY22-23'!L71/'FY22-23'!$S71*'Multi-Year'!$P71,0)</f>
        <v>191946.20201345833</v>
      </c>
      <c r="M71" s="94">
        <f>IF('FY22-23'!$S71&gt;0,'FY22-23'!M71/'FY22-23'!$S71*'Multi-Year'!$P71,0)+IF('FY22-23'!$S71&lt;0,'FY22-23'!M71/'FY22-23'!$S71*'Multi-Year'!$P71,0)</f>
        <v>186792.95999205596</v>
      </c>
      <c r="N71" s="94">
        <f>IF('FY22-23'!$S71&gt;0,'FY22-23'!N71/'FY22-23'!$S71*'Multi-Year'!$P71,0)+IF('FY22-23'!$S71&lt;0,'FY22-23'!N71/'FY22-23'!$S71*'Multi-Year'!$P71,0)</f>
        <v>185023.13292276859</v>
      </c>
      <c r="O71" s="94">
        <f>IF('FY22-23'!$S71&gt;0,'FY22-23'!O71/'FY22-23'!$S71*'Multi-Year'!$P71,0)+IF('FY22-23'!$S71&lt;0,'FY22-23'!O71/'FY22-23'!$S71*'Multi-Year'!$P71,0)</f>
        <v>198094.76008305085</v>
      </c>
      <c r="P71" s="94">
        <f>IF('FY22-23'!$S71&gt;0,'FY22-23'!P71/'FY22-23'!$S71*'Multi-Year'!$P71,0)+IF('FY22-23'!$S71&lt;0,'FY22-23'!P71/'FY22-23'!$S71*'Multi-Year'!$P71,0)</f>
        <v>188733.34743327938</v>
      </c>
      <c r="Q71" s="606">
        <f>IF('FY22-23'!$S71&gt;0,'FY22-23'!Q71/'FY22-23'!$S71*'Multi-Year'!$P71,0)+IF('FY22-23'!$S71&lt;0,'FY22-23'!Q71/'FY22-23'!$S71*'Multi-Year'!$P71,0)</f>
        <v>0</v>
      </c>
      <c r="R71" s="94"/>
      <c r="S71" s="625">
        <f t="shared" ref="S71:S78" si="27">SUM(E71:Q71)</f>
        <v>2235262.4514301722</v>
      </c>
      <c r="T71" s="94"/>
      <c r="U71" s="94">
        <f>'FY22-23'!S71</f>
        <v>2087079.7865827933</v>
      </c>
      <c r="V71" s="94">
        <f t="shared" ref="V71:V78" si="28">U71-S71</f>
        <v>-148182.66484737885</v>
      </c>
    </row>
    <row r="72" spans="1:22" s="95" customFormat="1" ht="12" customHeight="1">
      <c r="A72" s="124"/>
      <c r="B72" s="124" t="s">
        <v>186</v>
      </c>
      <c r="C72" s="102">
        <v>3202</v>
      </c>
      <c r="D72" s="105" t="s">
        <v>70</v>
      </c>
      <c r="E72" s="94">
        <f>IF('FY22-23'!$S72&gt;0,'FY22-23'!E72/'FY22-23'!$S72*'Multi-Year'!$P72,0)+IF('FY22-23'!$S72&lt;0,'FY22-23'!E72/'FY22-23'!$S72*'Multi-Year'!$P72,0)</f>
        <v>0</v>
      </c>
      <c r="F72" s="94">
        <f>IF('FY22-23'!$S72&gt;0,'FY22-23'!F72/'FY22-23'!$S72*'Multi-Year'!$P72,0)+IF('FY22-23'!$S72&lt;0,'FY22-23'!F72/'FY22-23'!$S72*'Multi-Year'!$P72,0)</f>
        <v>0</v>
      </c>
      <c r="G72" s="94">
        <f>IF('FY22-23'!$S72&gt;0,'FY22-23'!G72/'FY22-23'!$S72*'Multi-Year'!$P72,0)+IF('FY22-23'!$S72&lt;0,'FY22-23'!G72/'FY22-23'!$S72*'Multi-Year'!$P72,0)</f>
        <v>0</v>
      </c>
      <c r="H72" s="94">
        <f>IF('FY22-23'!$S72&gt;0,'FY22-23'!H72/'FY22-23'!$S72*'Multi-Year'!$P72,0)+IF('FY22-23'!$S72&lt;0,'FY22-23'!H72/'FY22-23'!$S72*'Multi-Year'!$P72,0)</f>
        <v>0</v>
      </c>
      <c r="I72" s="94">
        <f>IF('FY22-23'!$S72&gt;0,'FY22-23'!I72/'FY22-23'!$S72*'Multi-Year'!$P72,0)+IF('FY22-23'!$S72&lt;0,'FY22-23'!I72/'FY22-23'!$S72*'Multi-Year'!$P72,0)</f>
        <v>0</v>
      </c>
      <c r="J72" s="94">
        <f>IF('FY22-23'!$S72&gt;0,'FY22-23'!J72/'FY22-23'!$S72*'Multi-Year'!$P72,0)+IF('FY22-23'!$S72&lt;0,'FY22-23'!J72/'FY22-23'!$S72*'Multi-Year'!$P72,0)</f>
        <v>0</v>
      </c>
      <c r="K72" s="94">
        <f>IF('FY22-23'!$S72&gt;0,'FY22-23'!K72/'FY22-23'!$S72*'Multi-Year'!$P72,0)+IF('FY22-23'!$S72&lt;0,'FY22-23'!K72/'FY22-23'!$S72*'Multi-Year'!$P72,0)</f>
        <v>0</v>
      </c>
      <c r="L72" s="94">
        <f>IF('FY22-23'!$S72&gt;0,'FY22-23'!L72/'FY22-23'!$S72*'Multi-Year'!$P72,0)+IF('FY22-23'!$S72&lt;0,'FY22-23'!L72/'FY22-23'!$S72*'Multi-Year'!$P72,0)</f>
        <v>0</v>
      </c>
      <c r="M72" s="94">
        <f>IF('FY22-23'!$S72&gt;0,'FY22-23'!M72/'FY22-23'!$S72*'Multi-Year'!$P72,0)+IF('FY22-23'!$S72&lt;0,'FY22-23'!M72/'FY22-23'!$S72*'Multi-Year'!$P72,0)</f>
        <v>0</v>
      </c>
      <c r="N72" s="94">
        <f>IF('FY22-23'!$S72&gt;0,'FY22-23'!N72/'FY22-23'!$S72*'Multi-Year'!$P72,0)+IF('FY22-23'!$S72&lt;0,'FY22-23'!N72/'FY22-23'!$S72*'Multi-Year'!$P72,0)</f>
        <v>0</v>
      </c>
      <c r="O72" s="94">
        <f>IF('FY22-23'!$S72&gt;0,'FY22-23'!O72/'FY22-23'!$S72*'Multi-Year'!$P72,0)+IF('FY22-23'!$S72&lt;0,'FY22-23'!O72/'FY22-23'!$S72*'Multi-Year'!$P72,0)</f>
        <v>0</v>
      </c>
      <c r="P72" s="94">
        <f>IF('FY22-23'!$S72&gt;0,'FY22-23'!P72/'FY22-23'!$S72*'Multi-Year'!$P72,0)+IF('FY22-23'!$S72&lt;0,'FY22-23'!P72/'FY22-23'!$S72*'Multi-Year'!$P72,0)</f>
        <v>0</v>
      </c>
      <c r="Q72" s="606">
        <f>IF('FY22-23'!$S72&gt;0,'FY22-23'!Q72/'FY22-23'!$S72*'Multi-Year'!$P72,0)+IF('FY22-23'!$S72&lt;0,'FY22-23'!Q72/'FY22-23'!$S72*'Multi-Year'!$P72,0)</f>
        <v>0</v>
      </c>
      <c r="R72" s="94"/>
      <c r="S72" s="625">
        <f t="shared" si="27"/>
        <v>0</v>
      </c>
      <c r="T72" s="94"/>
      <c r="U72" s="94">
        <f>'FY22-23'!S72</f>
        <v>0</v>
      </c>
      <c r="V72" s="94">
        <f t="shared" si="28"/>
        <v>0</v>
      </c>
    </row>
    <row r="73" spans="1:22" s="95" customFormat="1" ht="12" customHeight="1">
      <c r="A73" s="124"/>
      <c r="B73" s="124" t="s">
        <v>186</v>
      </c>
      <c r="C73" s="102">
        <v>3301</v>
      </c>
      <c r="D73" s="105" t="s">
        <v>239</v>
      </c>
      <c r="E73" s="94">
        <f>IF('FY22-23'!$S73&gt;0,'FY22-23'!E73/'FY22-23'!$S73*'Multi-Year'!$P73,0)+IF('FY22-23'!$S73&lt;0,'FY22-23'!E73/'FY22-23'!$S73*'Multi-Year'!$P73,0)</f>
        <v>665.51151417800941</v>
      </c>
      <c r="F73" s="94">
        <f>IF('FY22-23'!$S73&gt;0,'FY22-23'!F73/'FY22-23'!$S73*'Multi-Year'!$P73,0)+IF('FY22-23'!$S73&lt;0,'FY22-23'!F73/'FY22-23'!$S73*'Multi-Year'!$P73,0)</f>
        <v>1803.2667660752679</v>
      </c>
      <c r="G73" s="94">
        <f>IF('FY22-23'!$S73&gt;0,'FY22-23'!G73/'FY22-23'!$S73*'Multi-Year'!$P73,0)+IF('FY22-23'!$S73&lt;0,'FY22-23'!G73/'FY22-23'!$S73*'Multi-Year'!$P73,0)</f>
        <v>1929.6882387801527</v>
      </c>
      <c r="H73" s="94">
        <f>IF('FY22-23'!$S73&gt;0,'FY22-23'!H73/'FY22-23'!$S73*'Multi-Year'!$P73,0)+IF('FY22-23'!$S73&lt;0,'FY22-23'!H73/'FY22-23'!$S73*'Multi-Year'!$P73,0)</f>
        <v>1893.2945623191172</v>
      </c>
      <c r="I73" s="94">
        <f>IF('FY22-23'!$S73&gt;0,'FY22-23'!I73/'FY22-23'!$S73*'Multi-Year'!$P73,0)+IF('FY22-23'!$S73&lt;0,'FY22-23'!I73/'FY22-23'!$S73*'Multi-Year'!$P73,0)</f>
        <v>1691.4382329050552</v>
      </c>
      <c r="J73" s="94">
        <f>IF('FY22-23'!$S73&gt;0,'FY22-23'!J73/'FY22-23'!$S73*'Multi-Year'!$P73,0)+IF('FY22-23'!$S73&lt;0,'FY22-23'!J73/'FY22-23'!$S73*'Multi-Year'!$P73,0)</f>
        <v>4350.0387344491846</v>
      </c>
      <c r="K73" s="94">
        <f>IF('FY22-23'!$S73&gt;0,'FY22-23'!K73/'FY22-23'!$S73*'Multi-Year'!$P73,0)+IF('FY22-23'!$S73&lt;0,'FY22-23'!K73/'FY22-23'!$S73*'Multi-Year'!$P73,0)</f>
        <v>2517.2440672842285</v>
      </c>
      <c r="L73" s="94">
        <f>IF('FY22-23'!$S73&gt;0,'FY22-23'!L73/'FY22-23'!$S73*'Multi-Year'!$P73,0)+IF('FY22-23'!$S73&lt;0,'FY22-23'!L73/'FY22-23'!$S73*'Multi-Year'!$P73,0)</f>
        <v>4441.8019757592228</v>
      </c>
      <c r="M73" s="94">
        <f>IF('FY22-23'!$S73&gt;0,'FY22-23'!M73/'FY22-23'!$S73*'Multi-Year'!$P73,0)+IF('FY22-23'!$S73&lt;0,'FY22-23'!M73/'FY22-23'!$S73*'Multi-Year'!$P73,0)</f>
        <v>2137.1309278598314</v>
      </c>
      <c r="N73" s="94">
        <f>IF('FY22-23'!$S73&gt;0,'FY22-23'!N73/'FY22-23'!$S73*'Multi-Year'!$P73,0)+IF('FY22-23'!$S73&lt;0,'FY22-23'!N73/'FY22-23'!$S73*'Multi-Year'!$P73,0)</f>
        <v>2601.8628486137504</v>
      </c>
      <c r="O73" s="94">
        <f>IF('FY22-23'!$S73&gt;0,'FY22-23'!O73/'FY22-23'!$S73*'Multi-Year'!$P73,0)+IF('FY22-23'!$S73&lt;0,'FY22-23'!O73/'FY22-23'!$S73*'Multi-Year'!$P73,0)</f>
        <v>4950.7307420309116</v>
      </c>
      <c r="P73" s="94">
        <f>IF('FY22-23'!$S73&gt;0,'FY22-23'!P73/'FY22-23'!$S73*'Multi-Year'!$P73,0)+IF('FY22-23'!$S73&lt;0,'FY22-23'!P73/'FY22-23'!$S73*'Multi-Year'!$P73,0)</f>
        <v>6175.0429000396398</v>
      </c>
      <c r="Q73" s="606">
        <f>IF('FY22-23'!$S73&gt;0,'FY22-23'!Q73/'FY22-23'!$S73*'Multi-Year'!$P73,0)+IF('FY22-23'!$S73&lt;0,'FY22-23'!Q73/'FY22-23'!$S73*'Multi-Year'!$P73,0)</f>
        <v>0</v>
      </c>
      <c r="R73" s="94"/>
      <c r="S73" s="625">
        <f t="shared" si="27"/>
        <v>35157.051510294368</v>
      </c>
      <c r="T73" s="94"/>
      <c r="U73" s="94">
        <f>'FY22-23'!S73</f>
        <v>32957.687318865414</v>
      </c>
      <c r="V73" s="94">
        <f t="shared" si="28"/>
        <v>-2199.3641914289547</v>
      </c>
    </row>
    <row r="74" spans="1:22" s="95" customFormat="1" ht="12" customHeight="1">
      <c r="A74" s="124"/>
      <c r="B74" s="124" t="s">
        <v>186</v>
      </c>
      <c r="C74" s="102">
        <v>3311</v>
      </c>
      <c r="D74" s="105" t="s">
        <v>240</v>
      </c>
      <c r="E74" s="94">
        <f>IF('FY22-23'!$S74&gt;0,'FY22-23'!E74/'FY22-23'!$S74*'Multi-Year'!$P74,0)+IF('FY22-23'!$S74&lt;0,'FY22-23'!E74/'FY22-23'!$S74*'Multi-Year'!$P74,0)</f>
        <v>9765.3496994964717</v>
      </c>
      <c r="F74" s="94">
        <f>IF('FY22-23'!$S74&gt;0,'FY22-23'!F74/'FY22-23'!$S74*'Multi-Year'!$P74,0)+IF('FY22-23'!$S74&lt;0,'FY22-23'!F74/'FY22-23'!$S74*'Multi-Year'!$P74,0)</f>
        <v>14909.208143410902</v>
      </c>
      <c r="G74" s="94">
        <f>IF('FY22-23'!$S74&gt;0,'FY22-23'!G74/'FY22-23'!$S74*'Multi-Year'!$P74,0)+IF('FY22-23'!$S74&lt;0,'FY22-23'!G74/'FY22-23'!$S74*'Multi-Year'!$P74,0)</f>
        <v>16907.547343555612</v>
      </c>
      <c r="H74" s="94">
        <f>IF('FY22-23'!$S74&gt;0,'FY22-23'!H74/'FY22-23'!$S74*'Multi-Year'!$P74,0)+IF('FY22-23'!$S74&lt;0,'FY22-23'!H74/'FY22-23'!$S74*'Multi-Year'!$P74,0)</f>
        <v>16931.957474332256</v>
      </c>
      <c r="I74" s="94">
        <f>IF('FY22-23'!$S74&gt;0,'FY22-23'!I74/'FY22-23'!$S74*'Multi-Year'!$P74,0)+IF('FY22-23'!$S74&lt;0,'FY22-23'!I74/'FY22-23'!$S74*'Multi-Year'!$P74,0)</f>
        <v>4167.8496372167592</v>
      </c>
      <c r="J74" s="94">
        <f>IF('FY22-23'!$S74&gt;0,'FY22-23'!J74/'FY22-23'!$S74*'Multi-Year'!$P74,0)+IF('FY22-23'!$S74&lt;0,'FY22-23'!J74/'FY22-23'!$S74*'Multi-Year'!$P74,0)</f>
        <v>26493.100572907417</v>
      </c>
      <c r="K74" s="94">
        <f>IF('FY22-23'!$S74&gt;0,'FY22-23'!K74/'FY22-23'!$S74*'Multi-Year'!$P74,0)+IF('FY22-23'!$S74&lt;0,'FY22-23'!K74/'FY22-23'!$S74*'Multi-Year'!$P74,0)</f>
        <v>15996.888493267845</v>
      </c>
      <c r="L74" s="94">
        <f>IF('FY22-23'!$S74&gt;0,'FY22-23'!L74/'FY22-23'!$S74*'Multi-Year'!$P74,0)+IF('FY22-23'!$S74&lt;0,'FY22-23'!L74/'FY22-23'!$S74*'Multi-Year'!$P74,0)</f>
        <v>16287.095156310201</v>
      </c>
      <c r="M74" s="94">
        <f>IF('FY22-23'!$S74&gt;0,'FY22-23'!M74/'FY22-23'!$S74*'Multi-Year'!$P74,0)+IF('FY22-23'!$S74&lt;0,'FY22-23'!M74/'FY22-23'!$S74*'Multi-Year'!$P74,0)</f>
        <v>16564.700329596308</v>
      </c>
      <c r="N74" s="94">
        <f>IF('FY22-23'!$S74&gt;0,'FY22-23'!N74/'FY22-23'!$S74*'Multi-Year'!$P74,0)+IF('FY22-23'!$S74&lt;0,'FY22-23'!N74/'FY22-23'!$S74*'Multi-Year'!$P74,0)</f>
        <v>15355.173544469948</v>
      </c>
      <c r="O74" s="94">
        <f>IF('FY22-23'!$S74&gt;0,'FY22-23'!O74/'FY22-23'!$S74*'Multi-Year'!$P74,0)+IF('FY22-23'!$S74&lt;0,'FY22-23'!O74/'FY22-23'!$S74*'Multi-Year'!$P74,0)</f>
        <v>16201.791840047938</v>
      </c>
      <c r="P74" s="94">
        <f>IF('FY22-23'!$S74&gt;0,'FY22-23'!P74/'FY22-23'!$S74*'Multi-Year'!$P74,0)+IF('FY22-23'!$S74&lt;0,'FY22-23'!P74/'FY22-23'!$S74*'Multi-Year'!$P74,0)</f>
        <v>17709.537865592651</v>
      </c>
      <c r="Q74" s="606">
        <f>IF('FY22-23'!$S74&gt;0,'FY22-23'!Q74/'FY22-23'!$S74*'Multi-Year'!$P74,0)+IF('FY22-23'!$S74&lt;0,'FY22-23'!Q74/'FY22-23'!$S74*'Multi-Year'!$P74,0)</f>
        <v>0</v>
      </c>
      <c r="R74" s="94"/>
      <c r="S74" s="625">
        <f t="shared" si="27"/>
        <v>187290.20010020433</v>
      </c>
      <c r="T74" s="94"/>
      <c r="U74" s="94">
        <f>'FY22-23'!S74</f>
        <v>174904.84570542624</v>
      </c>
      <c r="V74" s="94">
        <f t="shared" si="28"/>
        <v>-12385.354394778085</v>
      </c>
    </row>
    <row r="75" spans="1:22" s="95" customFormat="1" ht="12" customHeight="1">
      <c r="A75" s="124"/>
      <c r="B75" s="124" t="s">
        <v>186</v>
      </c>
      <c r="C75" s="102">
        <v>3401</v>
      </c>
      <c r="D75" s="105" t="s">
        <v>235</v>
      </c>
      <c r="E75" s="94">
        <f>IF('FY22-23'!$S75&gt;0,'FY22-23'!E75/'FY22-23'!$S75*'Multi-Year'!$P75,0)+IF('FY22-23'!$S75&lt;0,'FY22-23'!E75/'FY22-23'!$S75*'Multi-Year'!$P75,0)</f>
        <v>-26740.972886317551</v>
      </c>
      <c r="F75" s="94">
        <f>IF('FY22-23'!$S75&gt;0,'FY22-23'!F75/'FY22-23'!$S75*'Multi-Year'!$P75,0)+IF('FY22-23'!$S75&lt;0,'FY22-23'!F75/'FY22-23'!$S75*'Multi-Year'!$P75,0)</f>
        <v>175945.0300952094</v>
      </c>
      <c r="G75" s="94">
        <f>IF('FY22-23'!$S75&gt;0,'FY22-23'!G75/'FY22-23'!$S75*'Multi-Year'!$P75,0)+IF('FY22-23'!$S75&lt;0,'FY22-23'!G75/'FY22-23'!$S75*'Multi-Year'!$P75,0)</f>
        <v>131273.16312272777</v>
      </c>
      <c r="H75" s="94">
        <f>IF('FY22-23'!$S75&gt;0,'FY22-23'!H75/'FY22-23'!$S75*'Multi-Year'!$P75,0)+IF('FY22-23'!$S75&lt;0,'FY22-23'!H75/'FY22-23'!$S75*'Multi-Year'!$P75,0)</f>
        <v>150178.72541772918</v>
      </c>
      <c r="I75" s="94">
        <f>IF('FY22-23'!$S75&gt;0,'FY22-23'!I75/'FY22-23'!$S75*'Multi-Year'!$P75,0)+IF('FY22-23'!$S75&lt;0,'FY22-23'!I75/'FY22-23'!$S75*'Multi-Year'!$P75,0)</f>
        <v>159619.85693601071</v>
      </c>
      <c r="J75" s="94">
        <f>IF('FY22-23'!$S75&gt;0,'FY22-23'!J75/'FY22-23'!$S75*'Multi-Year'!$P75,0)+IF('FY22-23'!$S75&lt;0,'FY22-23'!J75/'FY22-23'!$S75*'Multi-Year'!$P75,0)</f>
        <v>154447.55606770481</v>
      </c>
      <c r="K75" s="94">
        <f>IF('FY22-23'!$S75&gt;0,'FY22-23'!K75/'FY22-23'!$S75*'Multi-Year'!$P75,0)+IF('FY22-23'!$S75&lt;0,'FY22-23'!K75/'FY22-23'!$S75*'Multi-Year'!$P75,0)</f>
        <v>144694.08894833017</v>
      </c>
      <c r="L75" s="94">
        <f>IF('FY22-23'!$S75&gt;0,'FY22-23'!L75/'FY22-23'!$S75*'Multi-Year'!$P75,0)+IF('FY22-23'!$S75&lt;0,'FY22-23'!L75/'FY22-23'!$S75*'Multi-Year'!$P75,0)</f>
        <v>134857.13904663551</v>
      </c>
      <c r="M75" s="94">
        <f>IF('FY22-23'!$S75&gt;0,'FY22-23'!M75/'FY22-23'!$S75*'Multi-Year'!$P75,0)+IF('FY22-23'!$S75&lt;0,'FY22-23'!M75/'FY22-23'!$S75*'Multi-Year'!$P75,0)</f>
        <v>140964.30958290538</v>
      </c>
      <c r="N75" s="94">
        <f>IF('FY22-23'!$S75&gt;0,'FY22-23'!N75/'FY22-23'!$S75*'Multi-Year'!$P75,0)+IF('FY22-23'!$S75&lt;0,'FY22-23'!N75/'FY22-23'!$S75*'Multi-Year'!$P75,0)</f>
        <v>139579.34128351774</v>
      </c>
      <c r="O75" s="94">
        <f>IF('FY22-23'!$S75&gt;0,'FY22-23'!O75/'FY22-23'!$S75*'Multi-Year'!$P75,0)+IF('FY22-23'!$S75&lt;0,'FY22-23'!O75/'FY22-23'!$S75*'Multi-Year'!$P75,0)</f>
        <v>143224.9055615144</v>
      </c>
      <c r="P75" s="94">
        <f>IF('FY22-23'!$S75&gt;0,'FY22-23'!P75/'FY22-23'!$S75*'Multi-Year'!$P75,0)+IF('FY22-23'!$S75&lt;0,'FY22-23'!P75/'FY22-23'!$S75*'Multi-Year'!$P75,0)</f>
        <v>168891.18333923313</v>
      </c>
      <c r="Q75" s="606">
        <f>IF('FY22-23'!$S75&gt;0,'FY22-23'!Q75/'FY22-23'!$S75*'Multi-Year'!$P75,0)+IF('FY22-23'!$S75&lt;0,'FY22-23'!Q75/'FY22-23'!$S75*'Multi-Year'!$P75,0)</f>
        <v>0</v>
      </c>
      <c r="R75" s="94"/>
      <c r="S75" s="625">
        <f t="shared" si="27"/>
        <v>1616934.3265152005</v>
      </c>
      <c r="T75" s="94"/>
      <c r="U75" s="94">
        <f>'FY22-23'!S75</f>
        <v>1425868.0128000006</v>
      </c>
      <c r="V75" s="94">
        <f t="shared" si="28"/>
        <v>-191066.31371519994</v>
      </c>
    </row>
    <row r="76" spans="1:22" s="95" customFormat="1" ht="12" customHeight="1">
      <c r="A76" s="124"/>
      <c r="B76" s="124" t="s">
        <v>186</v>
      </c>
      <c r="C76" s="102">
        <v>3501</v>
      </c>
      <c r="D76" s="105" t="s">
        <v>236</v>
      </c>
      <c r="E76" s="94">
        <f>IF('FY22-23'!$S76&gt;0,'FY22-23'!E76/'FY22-23'!$S76*'Multi-Year'!$P76,0)+IF('FY22-23'!$S76&lt;0,'FY22-23'!E76/'FY22-23'!$S76*'Multi-Year'!$P76,0)</f>
        <v>20160.630873206861</v>
      </c>
      <c r="F76" s="94">
        <f>IF('FY22-23'!$S76&gt;0,'FY22-23'!F76/'FY22-23'!$S76*'Multi-Year'!$P76,0)+IF('FY22-23'!$S76&lt;0,'FY22-23'!F76/'FY22-23'!$S76*'Multi-Year'!$P76,0)</f>
        <v>17137.709923434653</v>
      </c>
      <c r="G76" s="94">
        <f>IF('FY22-23'!$S76&gt;0,'FY22-23'!G76/'FY22-23'!$S76*'Multi-Year'!$P76,0)+IF('FY22-23'!$S76&lt;0,'FY22-23'!G76/'FY22-23'!$S76*'Multi-Year'!$P76,0)</f>
        <v>5782.4446122641339</v>
      </c>
      <c r="H76" s="94">
        <f>IF('FY22-23'!$S76&gt;0,'FY22-23'!H76/'FY22-23'!$S76*'Multi-Year'!$P76,0)+IF('FY22-23'!$S76&lt;0,'FY22-23'!H76/'FY22-23'!$S76*'Multi-Year'!$P76,0)</f>
        <v>2771.5589140923498</v>
      </c>
      <c r="I76" s="94">
        <f>IF('FY22-23'!$S76&gt;0,'FY22-23'!I76/'FY22-23'!$S76*'Multi-Year'!$P76,0)+IF('FY22-23'!$S76&lt;0,'FY22-23'!I76/'FY22-23'!$S76*'Multi-Year'!$P76,0)</f>
        <v>-6297.117116457086</v>
      </c>
      <c r="J76" s="94">
        <f>IF('FY22-23'!$S76&gt;0,'FY22-23'!J76/'FY22-23'!$S76*'Multi-Year'!$P76,0)+IF('FY22-23'!$S76&lt;0,'FY22-23'!J76/'FY22-23'!$S76*'Multi-Year'!$P76,0)</f>
        <v>6218.7523267306269</v>
      </c>
      <c r="K76" s="94">
        <f>IF('FY22-23'!$S76&gt;0,'FY22-23'!K76/'FY22-23'!$S76*'Multi-Year'!$P76,0)+IF('FY22-23'!$S76&lt;0,'FY22-23'!K76/'FY22-23'!$S76*'Multi-Year'!$P76,0)</f>
        <v>31979.76885742374</v>
      </c>
      <c r="L76" s="94">
        <f>IF('FY22-23'!$S76&gt;0,'FY22-23'!L76/'FY22-23'!$S76*'Multi-Year'!$P76,0)+IF('FY22-23'!$S76&lt;0,'FY22-23'!L76/'FY22-23'!$S76*'Multi-Year'!$P76,0)</f>
        <v>8172.1203265663762</v>
      </c>
      <c r="M76" s="94">
        <f>IF('FY22-23'!$S76&gt;0,'FY22-23'!M76/'FY22-23'!$S76*'Multi-Year'!$P76,0)+IF('FY22-23'!$S76&lt;0,'FY22-23'!M76/'FY22-23'!$S76*'Multi-Year'!$P76,0)</f>
        <v>1138.3025611976543</v>
      </c>
      <c r="N76" s="94">
        <f>IF('FY22-23'!$S76&gt;0,'FY22-23'!N76/'FY22-23'!$S76*'Multi-Year'!$P76,0)+IF('FY22-23'!$S76&lt;0,'FY22-23'!N76/'FY22-23'!$S76*'Multi-Year'!$P76,0)</f>
        <v>3087.7745688561713</v>
      </c>
      <c r="O76" s="94">
        <f>IF('FY22-23'!$S76&gt;0,'FY22-23'!O76/'FY22-23'!$S76*'Multi-Year'!$P76,0)+IF('FY22-23'!$S76&lt;0,'FY22-23'!O76/'FY22-23'!$S76*'Multi-Year'!$P76,0)</f>
        <v>2569.2820389072695</v>
      </c>
      <c r="P76" s="94">
        <f>IF('FY22-23'!$S76&gt;0,'FY22-23'!P76/'FY22-23'!$S76*'Multi-Year'!$P76,0)+IF('FY22-23'!$S76&lt;0,'FY22-23'!P76/'FY22-23'!$S76*'Multi-Year'!$P76,0)</f>
        <v>-1219.7711218508225</v>
      </c>
      <c r="Q76" s="606">
        <f>IF('FY22-23'!$S76&gt;0,'FY22-23'!Q76/'FY22-23'!$S76*'Multi-Year'!$P76,0)+IF('FY22-23'!$S76&lt;0,'FY22-23'!Q76/'FY22-23'!$S76*'Multi-Year'!$P76,0)</f>
        <v>0</v>
      </c>
      <c r="R76" s="94"/>
      <c r="S76" s="625">
        <f t="shared" si="27"/>
        <v>91501.45676437192</v>
      </c>
      <c r="T76" s="94"/>
      <c r="U76" s="94">
        <f>'FY22-23'!S76</f>
        <v>86824.430007000003</v>
      </c>
      <c r="V76" s="94">
        <f t="shared" si="28"/>
        <v>-4677.0267573719175</v>
      </c>
    </row>
    <row r="77" spans="1:22" s="95" customFormat="1" ht="12" customHeight="1">
      <c r="A77" s="124"/>
      <c r="B77" s="124" t="s">
        <v>186</v>
      </c>
      <c r="C77" s="102">
        <v>3601</v>
      </c>
      <c r="D77" s="105" t="s">
        <v>237</v>
      </c>
      <c r="E77" s="94">
        <f>IF('FY22-23'!$S77&gt;0,'FY22-23'!E77/'FY22-23'!$S77*'Multi-Year'!$P77,0)+IF('FY22-23'!$S77&lt;0,'FY22-23'!E77/'FY22-23'!$S77*'Multi-Year'!$P77,0)</f>
        <v>0</v>
      </c>
      <c r="F77" s="94">
        <f>IF('FY22-23'!$S77&gt;0,'FY22-23'!F77/'FY22-23'!$S77*'Multi-Year'!$P77,0)+IF('FY22-23'!$S77&lt;0,'FY22-23'!F77/'FY22-23'!$S77*'Multi-Year'!$P77,0)</f>
        <v>41508.836178123624</v>
      </c>
      <c r="G77" s="94">
        <f>IF('FY22-23'!$S77&gt;0,'FY22-23'!G77/'FY22-23'!$S77*'Multi-Year'!$P77,0)+IF('FY22-23'!$S77&lt;0,'FY22-23'!G77/'FY22-23'!$S77*'Multi-Year'!$P77,0)</f>
        <v>20754.418089061812</v>
      </c>
      <c r="H77" s="94">
        <f>IF('FY22-23'!$S77&gt;0,'FY22-23'!H77/'FY22-23'!$S77*'Multi-Year'!$P77,0)+IF('FY22-23'!$S77&lt;0,'FY22-23'!H77/'FY22-23'!$S77*'Multi-Year'!$P77,0)</f>
        <v>20754.418089061812</v>
      </c>
      <c r="I77" s="94">
        <f>IF('FY22-23'!$S77&gt;0,'FY22-23'!I77/'FY22-23'!$S77*'Multi-Year'!$P77,0)+IF('FY22-23'!$S77&lt;0,'FY22-23'!I77/'FY22-23'!$S77*'Multi-Year'!$P77,0)</f>
        <v>20754.418089061812</v>
      </c>
      <c r="J77" s="94">
        <f>IF('FY22-23'!$S77&gt;0,'FY22-23'!J77/'FY22-23'!$S77*'Multi-Year'!$P77,0)+IF('FY22-23'!$S77&lt;0,'FY22-23'!J77/'FY22-23'!$S77*'Multi-Year'!$P77,0)</f>
        <v>20754.418089061812</v>
      </c>
      <c r="K77" s="94">
        <f>IF('FY22-23'!$S77&gt;0,'FY22-23'!K77/'FY22-23'!$S77*'Multi-Year'!$P77,0)+IF('FY22-23'!$S77&lt;0,'FY22-23'!K77/'FY22-23'!$S77*'Multi-Year'!$P77,0)</f>
        <v>21181.272437282874</v>
      </c>
      <c r="L77" s="94">
        <f>IF('FY22-23'!$S77&gt;0,'FY22-23'!L77/'FY22-23'!$S77*'Multi-Year'!$P77,0)+IF('FY22-23'!$S77&lt;0,'FY22-23'!L77/'FY22-23'!$S77*'Multi-Year'!$P77,0)</f>
        <v>20754.418089061812</v>
      </c>
      <c r="M77" s="94">
        <f>IF('FY22-23'!$S77&gt;0,'FY22-23'!M77/'FY22-23'!$S77*'Multi-Year'!$P77,0)+IF('FY22-23'!$S77&lt;0,'FY22-23'!M77/'FY22-23'!$S77*'Multi-Year'!$P77,0)</f>
        <v>20754.418089061812</v>
      </c>
      <c r="N77" s="94">
        <f>IF('FY22-23'!$S77&gt;0,'FY22-23'!N77/'FY22-23'!$S77*'Multi-Year'!$P77,0)+IF('FY22-23'!$S77&lt;0,'FY22-23'!N77/'FY22-23'!$S77*'Multi-Year'!$P77,0)</f>
        <v>12172.069157660562</v>
      </c>
      <c r="O77" s="94">
        <f>IF('FY22-23'!$S77&gt;0,'FY22-23'!O77/'FY22-23'!$S77*'Multi-Year'!$P77,0)+IF('FY22-23'!$S77&lt;0,'FY22-23'!O77/'FY22-23'!$S77*'Multi-Year'!$P77,0)</f>
        <v>21533.221417614492</v>
      </c>
      <c r="P77" s="94">
        <f>IF('FY22-23'!$S77&gt;0,'FY22-23'!P77/'FY22-23'!$S77*'Multi-Year'!$P77,0)+IF('FY22-23'!$S77&lt;0,'FY22-23'!P77/'FY22-23'!$S77*'Multi-Year'!$P77,0)</f>
        <v>-40089.99038692411</v>
      </c>
      <c r="Q77" s="606">
        <f>IF('FY22-23'!$S77&gt;0,'FY22-23'!Q77/'FY22-23'!$S77*'Multi-Year'!$P77,0)+IF('FY22-23'!$S77&lt;0,'FY22-23'!Q77/'FY22-23'!$S77*'Multi-Year'!$P77,0)</f>
        <v>0</v>
      </c>
      <c r="R77" s="94"/>
      <c r="S77" s="625">
        <f t="shared" si="27"/>
        <v>180831.91733812832</v>
      </c>
      <c r="T77" s="94"/>
      <c r="U77" s="94">
        <f>'FY22-23'!S77</f>
        <v>168873.64412937712</v>
      </c>
      <c r="V77" s="94">
        <f t="shared" si="28"/>
        <v>-11958.273208751198</v>
      </c>
    </row>
    <row r="78" spans="1:22" s="95" customFormat="1" ht="12" customHeight="1">
      <c r="A78" s="124"/>
      <c r="B78" s="124" t="s">
        <v>186</v>
      </c>
      <c r="C78" s="102">
        <v>3901</v>
      </c>
      <c r="D78" s="105" t="s">
        <v>238</v>
      </c>
      <c r="E78" s="94">
        <f>IF('FY22-23'!$S78&gt;0,'FY22-23'!E78/'FY22-23'!$S78*'Multi-Year'!$P78,0)+IF('FY22-23'!$S78&lt;0,'FY22-23'!E78/'FY22-23'!$S78*'Multi-Year'!$P78,0)</f>
        <v>0</v>
      </c>
      <c r="F78" s="94">
        <f>IF('FY22-23'!$S78&gt;0,'FY22-23'!F78/'FY22-23'!$S78*'Multi-Year'!$P78,0)+IF('FY22-23'!$S78&lt;0,'FY22-23'!F78/'FY22-23'!$S78*'Multi-Year'!$P78,0)</f>
        <v>0</v>
      </c>
      <c r="G78" s="94">
        <f>IF('FY22-23'!$S78&gt;0,'FY22-23'!G78/'FY22-23'!$S78*'Multi-Year'!$P78,0)+IF('FY22-23'!$S78&lt;0,'FY22-23'!G78/'FY22-23'!$S78*'Multi-Year'!$P78,0)</f>
        <v>0</v>
      </c>
      <c r="H78" s="94">
        <f>IF('FY22-23'!$S78&gt;0,'FY22-23'!H78/'FY22-23'!$S78*'Multi-Year'!$P78,0)+IF('FY22-23'!$S78&lt;0,'FY22-23'!H78/'FY22-23'!$S78*'Multi-Year'!$P78,0)</f>
        <v>0</v>
      </c>
      <c r="I78" s="94">
        <f>IF('FY22-23'!$S78&gt;0,'FY22-23'!I78/'FY22-23'!$S78*'Multi-Year'!$P78,0)+IF('FY22-23'!$S78&lt;0,'FY22-23'!I78/'FY22-23'!$S78*'Multi-Year'!$P78,0)</f>
        <v>-133.80130894399966</v>
      </c>
      <c r="J78" s="94">
        <f>IF('FY22-23'!$S78&gt;0,'FY22-23'!J78/'FY22-23'!$S78*'Multi-Year'!$P78,0)+IF('FY22-23'!$S78&lt;0,'FY22-23'!J78/'FY22-23'!$S78*'Multi-Year'!$P78,0)</f>
        <v>0</v>
      </c>
      <c r="K78" s="94">
        <f>IF('FY22-23'!$S78&gt;0,'FY22-23'!K78/'FY22-23'!$S78*'Multi-Year'!$P78,0)+IF('FY22-23'!$S78&lt;0,'FY22-23'!K78/'FY22-23'!$S78*'Multi-Year'!$P78,0)</f>
        <v>0</v>
      </c>
      <c r="L78" s="94">
        <f>IF('FY22-23'!$S78&gt;0,'FY22-23'!L78/'FY22-23'!$S78*'Multi-Year'!$P78,0)+IF('FY22-23'!$S78&lt;0,'FY22-23'!L78/'FY22-23'!$S78*'Multi-Year'!$P78,0)</f>
        <v>0</v>
      </c>
      <c r="M78" s="94">
        <f>IF('FY22-23'!$S78&gt;0,'FY22-23'!M78/'FY22-23'!$S78*'Multi-Year'!$P78,0)+IF('FY22-23'!$S78&lt;0,'FY22-23'!M78/'FY22-23'!$S78*'Multi-Year'!$P78,0)</f>
        <v>0</v>
      </c>
      <c r="N78" s="94">
        <f>IF('FY22-23'!$S78&gt;0,'FY22-23'!N78/'FY22-23'!$S78*'Multi-Year'!$P78,0)+IF('FY22-23'!$S78&lt;0,'FY22-23'!N78/'FY22-23'!$S78*'Multi-Year'!$P78,0)</f>
        <v>0</v>
      </c>
      <c r="O78" s="94">
        <f>IF('FY22-23'!$S78&gt;0,'FY22-23'!O78/'FY22-23'!$S78*'Multi-Year'!$P78,0)+IF('FY22-23'!$S78&lt;0,'FY22-23'!O78/'FY22-23'!$S78*'Multi-Year'!$P78,0)</f>
        <v>0</v>
      </c>
      <c r="P78" s="94">
        <f>IF('FY22-23'!$S78&gt;0,'FY22-23'!P78/'FY22-23'!$S78*'Multi-Year'!$P78,0)+IF('FY22-23'!$S78&lt;0,'FY22-23'!P78/'FY22-23'!$S78*'Multi-Year'!$P78,0)</f>
        <v>0</v>
      </c>
      <c r="Q78" s="606">
        <f>IF('FY22-23'!$S78&gt;0,'FY22-23'!Q78/'FY22-23'!$S78*'Multi-Year'!$P78,0)+IF('FY22-23'!$S78&lt;0,'FY22-23'!Q78/'FY22-23'!$S78*'Multi-Year'!$P78,0)</f>
        <v>0</v>
      </c>
      <c r="R78" s="94"/>
      <c r="S78" s="625">
        <f t="shared" si="27"/>
        <v>-133.80130894399966</v>
      </c>
      <c r="T78" s="94"/>
      <c r="U78" s="94">
        <f>'FY22-23'!S78</f>
        <v>-124.9531330711031</v>
      </c>
      <c r="V78" s="94">
        <f t="shared" si="28"/>
        <v>8.8481758728965616</v>
      </c>
    </row>
    <row r="79" spans="1:22" s="95" customFormat="1" ht="12" customHeight="1">
      <c r="A79" s="124"/>
      <c r="B79" s="124" t="s">
        <v>186</v>
      </c>
      <c r="C79" s="126"/>
      <c r="D79" s="126"/>
      <c r="E79" s="215">
        <f t="shared" ref="E79:P79" si="29">SUM(E71:E78)</f>
        <v>125792.38185521483</v>
      </c>
      <c r="F79" s="215">
        <f t="shared" si="29"/>
        <v>433491.65272889787</v>
      </c>
      <c r="G79" s="215">
        <f t="shared" si="29"/>
        <v>384576.50259904994</v>
      </c>
      <c r="H79" s="215">
        <f t="shared" si="29"/>
        <v>401110.71445306455</v>
      </c>
      <c r="I79" s="215">
        <f t="shared" si="29"/>
        <v>223523.11804567464</v>
      </c>
      <c r="J79" s="215">
        <f t="shared" si="29"/>
        <v>537495.03239221789</v>
      </c>
      <c r="K79" s="215">
        <f t="shared" si="29"/>
        <v>411450.20614641684</v>
      </c>
      <c r="L79" s="215">
        <f t="shared" si="29"/>
        <v>376458.77660779149</v>
      </c>
      <c r="M79" s="215">
        <f t="shared" si="29"/>
        <v>368351.82148267695</v>
      </c>
      <c r="N79" s="215">
        <f t="shared" si="29"/>
        <v>357819.35432588682</v>
      </c>
      <c r="O79" s="215">
        <f t="shared" si="29"/>
        <v>386574.69168316585</v>
      </c>
      <c r="P79" s="215">
        <f t="shared" si="29"/>
        <v>340199.35002936987</v>
      </c>
      <c r="Q79" s="603">
        <f t="shared" ref="Q79" si="30">SUM(Q71:Q78)</f>
        <v>0</v>
      </c>
      <c r="R79" s="94"/>
      <c r="S79" s="626">
        <f>SUM(E79:R79)</f>
        <v>4346843.6023494275</v>
      </c>
      <c r="T79" s="94"/>
      <c r="U79" s="216">
        <f>SUM(U71:U78)</f>
        <v>3976383.4534103917</v>
      </c>
      <c r="V79" s="216">
        <f>SUM(V71:V78)</f>
        <v>-370460.14893903601</v>
      </c>
    </row>
    <row r="80" spans="1:22" s="95" customFormat="1" ht="12" customHeight="1">
      <c r="A80" s="124"/>
      <c r="B80" s="124" t="s">
        <v>288</v>
      </c>
      <c r="C80" s="126"/>
      <c r="D80" s="12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606"/>
      <c r="R80" s="94"/>
      <c r="S80" s="627"/>
      <c r="T80" s="94"/>
      <c r="U80" s="94"/>
      <c r="V80" s="94"/>
    </row>
    <row r="81" spans="1:24" s="95" customFormat="1" ht="12" customHeight="1">
      <c r="A81" s="124"/>
      <c r="B81" s="124" t="s">
        <v>186</v>
      </c>
      <c r="C81" s="102">
        <v>4100</v>
      </c>
      <c r="D81" s="127" t="s">
        <v>78</v>
      </c>
      <c r="E81" s="94">
        <f>IF('FY22-23'!$S81&gt;0,'FY22-23'!E81/'FY22-23'!$S81*'Multi-Year'!$P81,0)+IF('FY22-23'!$S81&lt;0,'FY22-23'!E81/'FY22-23'!$S81*'Multi-Year'!$P81,0)</f>
        <v>0</v>
      </c>
      <c r="F81" s="94">
        <f>IF('FY22-23'!$S81&gt;0,'FY22-23'!F81/'FY22-23'!$S81*'Multi-Year'!$P81,0)+IF('FY22-23'!$S81&lt;0,'FY22-23'!F81/'FY22-23'!$S81*'Multi-Year'!$P81,0)</f>
        <v>0</v>
      </c>
      <c r="G81" s="94">
        <f>IF('FY22-23'!$S81&gt;0,'FY22-23'!G81/'FY22-23'!$S81*'Multi-Year'!$P81,0)+IF('FY22-23'!$S81&lt;0,'FY22-23'!G81/'FY22-23'!$S81*'Multi-Year'!$P81,0)</f>
        <v>0</v>
      </c>
      <c r="H81" s="94">
        <f>IF('FY22-23'!$S81&gt;0,'FY22-23'!H81/'FY22-23'!$S81*'Multi-Year'!$P81,0)+IF('FY22-23'!$S81&lt;0,'FY22-23'!H81/'FY22-23'!$S81*'Multi-Year'!$P81,0)</f>
        <v>0</v>
      </c>
      <c r="I81" s="94">
        <f>IF('FY22-23'!$S81&gt;0,'FY22-23'!I81/'FY22-23'!$S81*'Multi-Year'!$P81,0)+IF('FY22-23'!$S81&lt;0,'FY22-23'!I81/'FY22-23'!$S81*'Multi-Year'!$P81,0)</f>
        <v>0</v>
      </c>
      <c r="J81" s="94">
        <f>IF('FY22-23'!$S81&gt;0,'FY22-23'!J81/'FY22-23'!$S81*'Multi-Year'!$P81,0)+IF('FY22-23'!$S81&lt;0,'FY22-23'!J81/'FY22-23'!$S81*'Multi-Year'!$P81,0)</f>
        <v>0</v>
      </c>
      <c r="K81" s="94">
        <f>IF('FY22-23'!$S81&gt;0,'FY22-23'!K81/'FY22-23'!$S81*'Multi-Year'!$P81,0)+IF('FY22-23'!$S81&lt;0,'FY22-23'!K81/'FY22-23'!$S81*'Multi-Year'!$P81,0)</f>
        <v>0</v>
      </c>
      <c r="L81" s="94">
        <f>IF('FY22-23'!$S81&gt;0,'FY22-23'!L81/'FY22-23'!$S81*'Multi-Year'!$P81,0)+IF('FY22-23'!$S81&lt;0,'FY22-23'!L81/'FY22-23'!$S81*'Multi-Year'!$P81,0)</f>
        <v>0</v>
      </c>
      <c r="M81" s="94">
        <f>IF('FY22-23'!$S81&gt;0,'FY22-23'!M81/'FY22-23'!$S81*'Multi-Year'!$P81,0)+IF('FY22-23'!$S81&lt;0,'FY22-23'!M81/'FY22-23'!$S81*'Multi-Year'!$P81,0)</f>
        <v>0</v>
      </c>
      <c r="N81" s="94">
        <f>IF('FY22-23'!$S81&gt;0,'FY22-23'!N81/'FY22-23'!$S81*'Multi-Year'!$P81,0)+IF('FY22-23'!$S81&lt;0,'FY22-23'!N81/'FY22-23'!$S81*'Multi-Year'!$P81,0)</f>
        <v>0</v>
      </c>
      <c r="O81" s="94">
        <f>IF('FY22-23'!$S81&gt;0,'FY22-23'!O81/'FY22-23'!$S81*'Multi-Year'!$P81,0)+IF('FY22-23'!$S81&lt;0,'FY22-23'!O81/'FY22-23'!$S81*'Multi-Year'!$P81,0)</f>
        <v>0</v>
      </c>
      <c r="P81" s="94">
        <f>IF('FY22-23'!$S81&gt;0,'FY22-23'!P81/'FY22-23'!$S81*'Multi-Year'!$P81,0)+IF('FY22-23'!$S81&lt;0,'FY22-23'!P81/'FY22-23'!$S81*'Multi-Year'!$P81,0)</f>
        <v>0</v>
      </c>
      <c r="Q81" s="606">
        <f>IF('FY22-23'!$S81&gt;0,'FY22-23'!Q81/'FY22-23'!$S81*'Multi-Year'!$P81,0)+IF('FY22-23'!$S81&lt;0,'FY22-23'!Q81/'FY22-23'!$S81*'Multi-Year'!$P81,0)</f>
        <v>0</v>
      </c>
      <c r="R81" s="94"/>
      <c r="S81" s="625">
        <f t="shared" ref="S81:S89" si="31">SUM(E81:Q81)</f>
        <v>0</v>
      </c>
      <c r="T81" s="94"/>
      <c r="U81" s="94">
        <f>'FY22-23'!S81</f>
        <v>0</v>
      </c>
      <c r="V81" s="94">
        <f t="shared" ref="V81:V89" si="32">U81-S81</f>
        <v>0</v>
      </c>
    </row>
    <row r="82" spans="1:24" s="95" customFormat="1" ht="12" customHeight="1">
      <c r="A82" s="124"/>
      <c r="B82" s="124" t="s">
        <v>186</v>
      </c>
      <c r="C82" s="102">
        <v>4200</v>
      </c>
      <c r="D82" s="127" t="s">
        <v>79</v>
      </c>
      <c r="E82" s="94">
        <f>IF('FY22-23'!$S82&gt;0,'FY22-23'!E82/'FY22-23'!$S82*'Multi-Year'!$P82,0)+IF('FY22-23'!$S82&lt;0,'FY22-23'!E82/'FY22-23'!$S82*'Multi-Year'!$P82,0)</f>
        <v>0</v>
      </c>
      <c r="F82" s="94">
        <f>IF('FY22-23'!$S82&gt;0,'FY22-23'!F82/'FY22-23'!$S82*'Multi-Year'!$P82,0)+IF('FY22-23'!$S82&lt;0,'FY22-23'!F82/'FY22-23'!$S82*'Multi-Year'!$P82,0)</f>
        <v>0</v>
      </c>
      <c r="G82" s="94">
        <f>IF('FY22-23'!$S82&gt;0,'FY22-23'!G82/'FY22-23'!$S82*'Multi-Year'!$P82,0)+IF('FY22-23'!$S82&lt;0,'FY22-23'!G82/'FY22-23'!$S82*'Multi-Year'!$P82,0)</f>
        <v>0</v>
      </c>
      <c r="H82" s="94">
        <f>IF('FY22-23'!$S82&gt;0,'FY22-23'!H82/'FY22-23'!$S82*'Multi-Year'!$P82,0)+IF('FY22-23'!$S82&lt;0,'FY22-23'!H82/'FY22-23'!$S82*'Multi-Year'!$P82,0)</f>
        <v>0</v>
      </c>
      <c r="I82" s="94">
        <f>IF('FY22-23'!$S82&gt;0,'FY22-23'!I82/'FY22-23'!$S82*'Multi-Year'!$P82,0)+IF('FY22-23'!$S82&lt;0,'FY22-23'!I82/'FY22-23'!$S82*'Multi-Year'!$P82,0)</f>
        <v>0</v>
      </c>
      <c r="J82" s="94">
        <f>IF('FY22-23'!$S82&gt;0,'FY22-23'!J82/'FY22-23'!$S82*'Multi-Year'!$P82,0)+IF('FY22-23'!$S82&lt;0,'FY22-23'!J82/'FY22-23'!$S82*'Multi-Year'!$P82,0)</f>
        <v>0</v>
      </c>
      <c r="K82" s="94">
        <f>IF('FY22-23'!$S82&gt;0,'FY22-23'!K82/'FY22-23'!$S82*'Multi-Year'!$P82,0)+IF('FY22-23'!$S82&lt;0,'FY22-23'!K82/'FY22-23'!$S82*'Multi-Year'!$P82,0)</f>
        <v>0</v>
      </c>
      <c r="L82" s="94">
        <f>IF('FY22-23'!$S82&gt;0,'FY22-23'!L82/'FY22-23'!$S82*'Multi-Year'!$P82,0)+IF('FY22-23'!$S82&lt;0,'FY22-23'!L82/'FY22-23'!$S82*'Multi-Year'!$P82,0)</f>
        <v>0</v>
      </c>
      <c r="M82" s="94">
        <f>IF('FY22-23'!$S82&gt;0,'FY22-23'!M82/'FY22-23'!$S82*'Multi-Year'!$P82,0)+IF('FY22-23'!$S82&lt;0,'FY22-23'!M82/'FY22-23'!$S82*'Multi-Year'!$P82,0)</f>
        <v>0</v>
      </c>
      <c r="N82" s="94">
        <f>IF('FY22-23'!$S82&gt;0,'FY22-23'!N82/'FY22-23'!$S82*'Multi-Year'!$P82,0)+IF('FY22-23'!$S82&lt;0,'FY22-23'!N82/'FY22-23'!$S82*'Multi-Year'!$P82,0)</f>
        <v>0</v>
      </c>
      <c r="O82" s="94">
        <f>IF('FY22-23'!$S82&gt;0,'FY22-23'!O82/'FY22-23'!$S82*'Multi-Year'!$P82,0)+IF('FY22-23'!$S82&lt;0,'FY22-23'!O82/'FY22-23'!$S82*'Multi-Year'!$P82,0)</f>
        <v>0</v>
      </c>
      <c r="P82" s="94">
        <f>IF('FY22-23'!$S82&gt;0,'FY22-23'!P82/'FY22-23'!$S82*'Multi-Year'!$P82,0)+IF('FY22-23'!$S82&lt;0,'FY22-23'!P82/'FY22-23'!$S82*'Multi-Year'!$P82,0)</f>
        <v>0</v>
      </c>
      <c r="Q82" s="606">
        <f>IF('FY22-23'!$S82&gt;0,'FY22-23'!Q82/'FY22-23'!$S82*'Multi-Year'!$P82,0)+IF('FY22-23'!$S82&lt;0,'FY22-23'!Q82/'FY22-23'!$S82*'Multi-Year'!$P82,0)</f>
        <v>0</v>
      </c>
      <c r="R82" s="94"/>
      <c r="S82" s="625">
        <f t="shared" si="31"/>
        <v>0</v>
      </c>
      <c r="T82" s="94"/>
      <c r="U82" s="94">
        <f>'FY22-23'!S82</f>
        <v>0</v>
      </c>
      <c r="V82" s="94">
        <f t="shared" si="32"/>
        <v>0</v>
      </c>
    </row>
    <row r="83" spans="1:24" s="95" customFormat="1" ht="12" customHeight="1">
      <c r="A83" s="124"/>
      <c r="B83" s="124" t="s">
        <v>186</v>
      </c>
      <c r="C83" s="102">
        <v>4302</v>
      </c>
      <c r="D83" s="127" t="s">
        <v>80</v>
      </c>
      <c r="E83" s="94">
        <f>IF('FY22-23'!$S83&gt;0,'FY22-23'!E83/'FY22-23'!$S83*'Multi-Year'!$P83,0)+IF('FY22-23'!$S83&lt;0,'FY22-23'!E83/'FY22-23'!$S83*'Multi-Year'!$P83,0)</f>
        <v>126153.98718650492</v>
      </c>
      <c r="F83" s="94">
        <f>IF('FY22-23'!$S83&gt;0,'FY22-23'!F83/'FY22-23'!$S83*'Multi-Year'!$P83,0)+IF('FY22-23'!$S83&lt;0,'FY22-23'!F83/'FY22-23'!$S83*'Multi-Year'!$P83,0)</f>
        <v>286734.58634699672</v>
      </c>
      <c r="G83" s="94">
        <f>IF('FY22-23'!$S83&gt;0,'FY22-23'!G83/'FY22-23'!$S83*'Multi-Year'!$P83,0)+IF('FY22-23'!$S83&lt;0,'FY22-23'!G83/'FY22-23'!$S83*'Multi-Year'!$P83,0)</f>
        <v>379160.940034197</v>
      </c>
      <c r="H83" s="94">
        <f>IF('FY22-23'!$S83&gt;0,'FY22-23'!H83/'FY22-23'!$S83*'Multi-Year'!$P83,0)+IF('FY22-23'!$S83&lt;0,'FY22-23'!H83/'FY22-23'!$S83*'Multi-Year'!$P83,0)</f>
        <v>403262.31392826099</v>
      </c>
      <c r="I83" s="94">
        <f>IF('FY22-23'!$S83&gt;0,'FY22-23'!I83/'FY22-23'!$S83*'Multi-Year'!$P83,0)+IF('FY22-23'!$S83&lt;0,'FY22-23'!I83/'FY22-23'!$S83*'Multi-Year'!$P83,0)</f>
        <v>226652.74019651971</v>
      </c>
      <c r="J83" s="94">
        <f>IF('FY22-23'!$S83&gt;0,'FY22-23'!J83/'FY22-23'!$S83*'Multi-Year'!$P83,0)+IF('FY22-23'!$S83&lt;0,'FY22-23'!J83/'FY22-23'!$S83*'Multi-Year'!$P83,0)</f>
        <v>200926.42406657658</v>
      </c>
      <c r="K83" s="94">
        <f>IF('FY22-23'!$S83&gt;0,'FY22-23'!K83/'FY22-23'!$S83*'Multi-Year'!$P83,0)+IF('FY22-23'!$S83&lt;0,'FY22-23'!K83/'FY22-23'!$S83*'Multi-Year'!$P83,0)</f>
        <v>242820.43788574153</v>
      </c>
      <c r="L83" s="94">
        <f>IF('FY22-23'!$S83&gt;0,'FY22-23'!L83/'FY22-23'!$S83*'Multi-Year'!$P83,0)+IF('FY22-23'!$S83&lt;0,'FY22-23'!L83/'FY22-23'!$S83*'Multi-Year'!$P83,0)</f>
        <v>207942.99950792346</v>
      </c>
      <c r="M83" s="94">
        <f>IF('FY22-23'!$S83&gt;0,'FY22-23'!M83/'FY22-23'!$S83*'Multi-Year'!$P83,0)+IF('FY22-23'!$S83&lt;0,'FY22-23'!M83/'FY22-23'!$S83*'Multi-Year'!$P83,0)</f>
        <v>252534.59185105219</v>
      </c>
      <c r="N83" s="94">
        <f>IF('FY22-23'!$S83&gt;0,'FY22-23'!N83/'FY22-23'!$S83*'Multi-Year'!$P83,0)+IF('FY22-23'!$S83&lt;0,'FY22-23'!N83/'FY22-23'!$S83*'Multi-Year'!$P83,0)</f>
        <v>240420.44014537882</v>
      </c>
      <c r="O83" s="94">
        <f>IF('FY22-23'!$S83&gt;0,'FY22-23'!O83/'FY22-23'!$S83*'Multi-Year'!$P83,0)+IF('FY22-23'!$S83&lt;0,'FY22-23'!O83/'FY22-23'!$S83*'Multi-Year'!$P83,0)</f>
        <v>287113.60704521998</v>
      </c>
      <c r="P83" s="94">
        <f>IF('FY22-23'!$S83&gt;0,'FY22-23'!P83/'FY22-23'!$S83*'Multi-Year'!$P83,0)+IF('FY22-23'!$S83&lt;0,'FY22-23'!P83/'FY22-23'!$S83*'Multi-Year'!$P83,0)</f>
        <v>410561.90019179351</v>
      </c>
      <c r="Q83" s="606">
        <f>IF('FY22-23'!$S83&gt;0,'FY22-23'!Q83/'FY22-23'!$S83*'Multi-Year'!$P83,0)+IF('FY22-23'!$S83&lt;0,'FY22-23'!Q83/'FY22-23'!$S83*'Multi-Year'!$P83,0)</f>
        <v>0</v>
      </c>
      <c r="R83" s="94"/>
      <c r="S83" s="625">
        <f t="shared" si="31"/>
        <v>3264284.9683861653</v>
      </c>
      <c r="T83" s="94"/>
      <c r="U83" s="94">
        <f>'FY22-23'!S83</f>
        <v>3046514.9036390288</v>
      </c>
      <c r="V83" s="94">
        <f t="shared" si="32"/>
        <v>-217770.06474713655</v>
      </c>
      <c r="X83" s="94"/>
    </row>
    <row r="84" spans="1:24" s="95" customFormat="1" ht="12" customHeight="1">
      <c r="A84" s="124"/>
      <c r="B84" s="124" t="s">
        <v>186</v>
      </c>
      <c r="C84" s="102">
        <v>4305</v>
      </c>
      <c r="D84" s="127" t="s">
        <v>97</v>
      </c>
      <c r="E84" s="94">
        <f>IF('FY22-23'!$S84&gt;0,'FY22-23'!E84/'FY22-23'!$S84*'Multi-Year'!$P84,0)+IF('FY22-23'!$S84&lt;0,'FY22-23'!E84/'FY22-23'!$S84*'Multi-Year'!$P84,0)</f>
        <v>11935.13576280931</v>
      </c>
      <c r="F84" s="94">
        <f>IF('FY22-23'!$S84&gt;0,'FY22-23'!F84/'FY22-23'!$S84*'Multi-Year'!$P84,0)+IF('FY22-23'!$S84&lt;0,'FY22-23'!F84/'FY22-23'!$S84*'Multi-Year'!$P84,0)</f>
        <v>13766.643982600228</v>
      </c>
      <c r="G84" s="94">
        <f>IF('FY22-23'!$S84&gt;0,'FY22-23'!G84/'FY22-23'!$S84*'Multi-Year'!$P84,0)+IF('FY22-23'!$S84&lt;0,'FY22-23'!G84/'FY22-23'!$S84*'Multi-Year'!$P84,0)</f>
        <v>20252.697229539514</v>
      </c>
      <c r="H84" s="94">
        <f>IF('FY22-23'!$S84&gt;0,'FY22-23'!H84/'FY22-23'!$S84*'Multi-Year'!$P84,0)+IF('FY22-23'!$S84&lt;0,'FY22-23'!H84/'FY22-23'!$S84*'Multi-Year'!$P84,0)</f>
        <v>12452.903308583647</v>
      </c>
      <c r="I84" s="94">
        <f>IF('FY22-23'!$S84&gt;0,'FY22-23'!I84/'FY22-23'!$S84*'Multi-Year'!$P84,0)+IF('FY22-23'!$S84&lt;0,'FY22-23'!I84/'FY22-23'!$S84*'Multi-Year'!$P84,0)</f>
        <v>13540.560420082065</v>
      </c>
      <c r="J84" s="94">
        <f>IF('FY22-23'!$S84&gt;0,'FY22-23'!J84/'FY22-23'!$S84*'Multi-Year'!$P84,0)+IF('FY22-23'!$S84&lt;0,'FY22-23'!J84/'FY22-23'!$S84*'Multi-Year'!$P84,0)</f>
        <v>2530.5341536308551</v>
      </c>
      <c r="K84" s="94">
        <f>IF('FY22-23'!$S84&gt;0,'FY22-23'!K84/'FY22-23'!$S84*'Multi-Year'!$P84,0)+IF('FY22-23'!$S84&lt;0,'FY22-23'!K84/'FY22-23'!$S84*'Multi-Year'!$P84,0)</f>
        <v>15975.025373728164</v>
      </c>
      <c r="L84" s="94">
        <f>IF('FY22-23'!$S84&gt;0,'FY22-23'!L84/'FY22-23'!$S84*'Multi-Year'!$P84,0)+IF('FY22-23'!$S84&lt;0,'FY22-23'!L84/'FY22-23'!$S84*'Multi-Year'!$P84,0)</f>
        <v>29279.951075803896</v>
      </c>
      <c r="M84" s="94">
        <f>IF('FY22-23'!$S84&gt;0,'FY22-23'!M84/'FY22-23'!$S84*'Multi-Year'!$P84,0)+IF('FY22-23'!$S84&lt;0,'FY22-23'!M84/'FY22-23'!$S84*'Multi-Year'!$P84,0)</f>
        <v>11669.827206447797</v>
      </c>
      <c r="N84" s="94">
        <f>IF('FY22-23'!$S84&gt;0,'FY22-23'!N84/'FY22-23'!$S84*'Multi-Year'!$P84,0)+IF('FY22-23'!$S84&lt;0,'FY22-23'!N84/'FY22-23'!$S84*'Multi-Year'!$P84,0)</f>
        <v>13480.346613743588</v>
      </c>
      <c r="O84" s="94">
        <f>IF('FY22-23'!$S84&gt;0,'FY22-23'!O84/'FY22-23'!$S84*'Multi-Year'!$P84,0)+IF('FY22-23'!$S84&lt;0,'FY22-23'!O84/'FY22-23'!$S84*'Multi-Year'!$P84,0)</f>
        <v>82186.731927777568</v>
      </c>
      <c r="P84" s="94">
        <f>IF('FY22-23'!$S84&gt;0,'FY22-23'!P84/'FY22-23'!$S84*'Multi-Year'!$P84,0)+IF('FY22-23'!$S84&lt;0,'FY22-23'!P84/'FY22-23'!$S84*'Multi-Year'!$P84,0)</f>
        <v>329473.38503810385</v>
      </c>
      <c r="Q84" s="606">
        <f>IF('FY22-23'!$S84&gt;0,'FY22-23'!Q84/'FY22-23'!$S84*'Multi-Year'!$P84,0)+IF('FY22-23'!$S84&lt;0,'FY22-23'!Q84/'FY22-23'!$S84*'Multi-Year'!$P84,0)</f>
        <v>0</v>
      </c>
      <c r="R84" s="94"/>
      <c r="S84" s="625">
        <f t="shared" si="31"/>
        <v>556543.74209285039</v>
      </c>
      <c r="T84" s="94"/>
      <c r="U84" s="94">
        <f>'FY22-23'!S84</f>
        <v>519415.06983416178</v>
      </c>
      <c r="V84" s="94">
        <f t="shared" si="32"/>
        <v>-37128.672258688603</v>
      </c>
    </row>
    <row r="85" spans="1:24" s="95" customFormat="1" ht="12" customHeight="1">
      <c r="A85" s="124"/>
      <c r="B85" s="124" t="s">
        <v>186</v>
      </c>
      <c r="C85" s="102">
        <f>'Multi-Year'!D85</f>
        <v>4310</v>
      </c>
      <c r="D85" s="127" t="s">
        <v>39</v>
      </c>
      <c r="E85" s="94">
        <f>IF('FY22-23'!$S85&gt;0,'FY22-23'!E85/'FY22-23'!$S85*'Multi-Year'!$P85,0)+IF('FY22-23'!$S85&lt;0,'FY22-23'!E85/'FY22-23'!$S85*'Multi-Year'!$P85,0)</f>
        <v>1364.6999446025413</v>
      </c>
      <c r="F85" s="94">
        <f>IF('FY22-23'!$S85&gt;0,'FY22-23'!F85/'FY22-23'!$S85*'Multi-Year'!$P85,0)+IF('FY22-23'!$S85&lt;0,'FY22-23'!F85/'FY22-23'!$S85*'Multi-Year'!$P85,0)</f>
        <v>2216.4850423060998</v>
      </c>
      <c r="G85" s="94">
        <f>IF('FY22-23'!$S85&gt;0,'FY22-23'!G85/'FY22-23'!$S85*'Multi-Year'!$P85,0)+IF('FY22-23'!$S85&lt;0,'FY22-23'!G85/'FY22-23'!$S85*'Multi-Year'!$P85,0)</f>
        <v>1496.1143522882485</v>
      </c>
      <c r="H85" s="94">
        <f>IF('FY22-23'!$S85&gt;0,'FY22-23'!H85/'FY22-23'!$S85*'Multi-Year'!$P85,0)+IF('FY22-23'!$S85&lt;0,'FY22-23'!H85/'FY22-23'!$S85*'Multi-Year'!$P85,0)</f>
        <v>2895.7442369618184</v>
      </c>
      <c r="I85" s="94">
        <f>IF('FY22-23'!$S85&gt;0,'FY22-23'!I85/'FY22-23'!$S85*'Multi-Year'!$P85,0)+IF('FY22-23'!$S85&lt;0,'FY22-23'!I85/'FY22-23'!$S85*'Multi-Year'!$P85,0)</f>
        <v>2501.9756054817485</v>
      </c>
      <c r="J85" s="94">
        <f>IF('FY22-23'!$S85&gt;0,'FY22-23'!J85/'FY22-23'!$S85*'Multi-Year'!$P85,0)+IF('FY22-23'!$S85&lt;0,'FY22-23'!J85/'FY22-23'!$S85*'Multi-Year'!$P85,0)</f>
        <v>21940.534714167352</v>
      </c>
      <c r="K85" s="94">
        <f>IF('FY22-23'!$S85&gt;0,'FY22-23'!K85/'FY22-23'!$S85*'Multi-Year'!$P85,0)+IF('FY22-23'!$S85&lt;0,'FY22-23'!K85/'FY22-23'!$S85*'Multi-Year'!$P85,0)</f>
        <v>-14619.378263457891</v>
      </c>
      <c r="L85" s="94">
        <f>IF('FY22-23'!$S85&gt;0,'FY22-23'!L85/'FY22-23'!$S85*'Multi-Year'!$P85,0)+IF('FY22-23'!$S85&lt;0,'FY22-23'!L85/'FY22-23'!$S85*'Multi-Year'!$P85,0)</f>
        <v>3091.2285075495502</v>
      </c>
      <c r="M85" s="94">
        <f>IF('FY22-23'!$S85&gt;0,'FY22-23'!M85/'FY22-23'!$S85*'Multi-Year'!$P85,0)+IF('FY22-23'!$S85&lt;0,'FY22-23'!M85/'FY22-23'!$S85*'Multi-Year'!$P85,0)</f>
        <v>2500.231481436082</v>
      </c>
      <c r="N85" s="94">
        <f>IF('FY22-23'!$S85&gt;0,'FY22-23'!N85/'FY22-23'!$S85*'Multi-Year'!$P85,0)+IF('FY22-23'!$S85&lt;0,'FY22-23'!N85/'FY22-23'!$S85*'Multi-Year'!$P85,0)</f>
        <v>3418.5187238740568</v>
      </c>
      <c r="O85" s="94">
        <f>IF('FY22-23'!$S85&gt;0,'FY22-23'!O85/'FY22-23'!$S85*'Multi-Year'!$P85,0)+IF('FY22-23'!$S85&lt;0,'FY22-23'!O85/'FY22-23'!$S85*'Multi-Year'!$P85,0)</f>
        <v>4668.2013997780396</v>
      </c>
      <c r="P85" s="94">
        <f>IF('FY22-23'!$S85&gt;0,'FY22-23'!P85/'FY22-23'!$S85*'Multi-Year'!$P85,0)+IF('FY22-23'!$S85&lt;0,'FY22-23'!P85/'FY22-23'!$S85*'Multi-Year'!$P85,0)</f>
        <v>86509.679820039688</v>
      </c>
      <c r="Q85" s="606">
        <f>IF('FY22-23'!$S85&gt;0,'FY22-23'!Q85/'FY22-23'!$S85*'Multi-Year'!$P85,0)+IF('FY22-23'!$S85&lt;0,'FY22-23'!Q85/'FY22-23'!$S85*'Multi-Year'!$P85,0)</f>
        <v>0</v>
      </c>
      <c r="R85" s="94"/>
      <c r="S85" s="625">
        <f>SUM(E85:Q85)</f>
        <v>117984.03556502734</v>
      </c>
      <c r="T85" s="94"/>
      <c r="U85" s="94">
        <f>'FY22-23'!S85</f>
        <v>110112.97304660171</v>
      </c>
      <c r="V85" s="94">
        <f>U85-S85</f>
        <v>-7871.0625184256351</v>
      </c>
    </row>
    <row r="86" spans="1:24" s="95" customFormat="1" ht="12" customHeight="1">
      <c r="A86" s="124"/>
      <c r="B86" s="124" t="s">
        <v>186</v>
      </c>
      <c r="C86" s="102">
        <f>'Multi-Year'!D86</f>
        <v>4311</v>
      </c>
      <c r="D86" s="127" t="s">
        <v>36</v>
      </c>
      <c r="E86" s="94">
        <f>IF('FY22-23'!$S86&gt;0,'FY22-23'!E86/'FY22-23'!$S86*'Multi-Year'!$P86,0)+IF('FY22-23'!$S86&lt;0,'FY22-23'!E86/'FY22-23'!$S86*'Multi-Year'!$P86,0)</f>
        <v>0</v>
      </c>
      <c r="F86" s="94">
        <f>IF('FY22-23'!$S86&gt;0,'FY22-23'!F86/'FY22-23'!$S86*'Multi-Year'!$P86,0)+IF('FY22-23'!$S86&lt;0,'FY22-23'!F86/'FY22-23'!$S86*'Multi-Year'!$P86,0)</f>
        <v>575.11007307165107</v>
      </c>
      <c r="G86" s="94">
        <f>IF('FY22-23'!$S86&gt;0,'FY22-23'!G86/'FY22-23'!$S86*'Multi-Year'!$P86,0)+IF('FY22-23'!$S86&lt;0,'FY22-23'!G86/'FY22-23'!$S86*'Multi-Year'!$P86,0)</f>
        <v>545.34131640106239</v>
      </c>
      <c r="H86" s="94">
        <f>IF('FY22-23'!$S86&gt;0,'FY22-23'!H86/'FY22-23'!$S86*'Multi-Year'!$P86,0)+IF('FY22-23'!$S86&lt;0,'FY22-23'!H86/'FY22-23'!$S86*'Multi-Year'!$P86,0)</f>
        <v>85.189188080839529</v>
      </c>
      <c r="I86" s="94">
        <f>IF('FY22-23'!$S86&gt;0,'FY22-23'!I86/'FY22-23'!$S86*'Multi-Year'!$P86,0)+IF('FY22-23'!$S86&lt;0,'FY22-23'!I86/'FY22-23'!$S86*'Multi-Year'!$P86,0)</f>
        <v>1891.5440542880008</v>
      </c>
      <c r="J86" s="94">
        <f>IF('FY22-23'!$S86&gt;0,'FY22-23'!J86/'FY22-23'!$S86*'Multi-Year'!$P86,0)+IF('FY22-23'!$S86&lt;0,'FY22-23'!J86/'FY22-23'!$S86*'Multi-Year'!$P86,0)</f>
        <v>0</v>
      </c>
      <c r="K86" s="94">
        <f>IF('FY22-23'!$S86&gt;0,'FY22-23'!K86/'FY22-23'!$S86*'Multi-Year'!$P86,0)+IF('FY22-23'!$S86&lt;0,'FY22-23'!K86/'FY22-23'!$S86*'Multi-Year'!$P86,0)</f>
        <v>1320.230713832766</v>
      </c>
      <c r="L86" s="94">
        <f>IF('FY22-23'!$S86&gt;0,'FY22-23'!L86/'FY22-23'!$S86*'Multi-Year'!$P86,0)+IF('FY22-23'!$S86&lt;0,'FY22-23'!L86/'FY22-23'!$S86*'Multi-Year'!$P86,0)</f>
        <v>0</v>
      </c>
      <c r="M86" s="94">
        <f>IF('FY22-23'!$S86&gt;0,'FY22-23'!M86/'FY22-23'!$S86*'Multi-Year'!$P86,0)+IF('FY22-23'!$S86&lt;0,'FY22-23'!M86/'FY22-23'!$S86*'Multi-Year'!$P86,0)</f>
        <v>2147.2184016353558</v>
      </c>
      <c r="N86" s="94">
        <f>IF('FY22-23'!$S86&gt;0,'FY22-23'!N86/'FY22-23'!$S86*'Multi-Year'!$P86,0)+IF('FY22-23'!$S86&lt;0,'FY22-23'!N86/'FY22-23'!$S86*'Multi-Year'!$P86,0)</f>
        <v>0</v>
      </c>
      <c r="O86" s="94">
        <f>IF('FY22-23'!$S86&gt;0,'FY22-23'!O86/'FY22-23'!$S86*'Multi-Year'!$P86,0)+IF('FY22-23'!$S86&lt;0,'FY22-23'!O86/'FY22-23'!$S86*'Multi-Year'!$P86,0)</f>
        <v>0</v>
      </c>
      <c r="P86" s="94">
        <f>IF('FY22-23'!$S86&gt;0,'FY22-23'!P86/'FY22-23'!$S86*'Multi-Year'!$P86,0)+IF('FY22-23'!$S86&lt;0,'FY22-23'!P86/'FY22-23'!$S86*'Multi-Year'!$P86,0)</f>
        <v>0</v>
      </c>
      <c r="Q86" s="606">
        <f>IF('FY22-23'!$S86&gt;0,'FY22-23'!Q86/'FY22-23'!$S86*'Multi-Year'!$P86,0)+IF('FY22-23'!$S86&lt;0,'FY22-23'!Q86/'FY22-23'!$S86*'Multi-Year'!$P86,0)</f>
        <v>0</v>
      </c>
      <c r="R86" s="94"/>
      <c r="S86" s="625">
        <f>SUM(E86:Q86)</f>
        <v>6564.6337473096755</v>
      </c>
      <c r="T86" s="94"/>
      <c r="U86" s="94">
        <f>'FY22-23'!S86</f>
        <v>6126.6876947934206</v>
      </c>
      <c r="V86" s="94">
        <f>U86-S86</f>
        <v>-437.94605251625489</v>
      </c>
    </row>
    <row r="87" spans="1:24" s="95" customFormat="1" ht="12" customHeight="1">
      <c r="A87" s="124"/>
      <c r="B87" s="124" t="s">
        <v>186</v>
      </c>
      <c r="C87" s="102">
        <f>'Multi-Year'!D87</f>
        <v>4312</v>
      </c>
      <c r="D87" s="127" t="s">
        <v>34</v>
      </c>
      <c r="E87" s="94">
        <f>IF('FY22-23'!$S87&gt;0,'FY22-23'!E87/'FY22-23'!$S87*'Multi-Year'!$P87,0)+IF('FY22-23'!$S87&lt;0,'FY22-23'!E87/'FY22-23'!$S87*'Multi-Year'!$P87,0)</f>
        <v>0</v>
      </c>
      <c r="F87" s="94">
        <f>IF('FY22-23'!$S87&gt;0,'FY22-23'!F87/'FY22-23'!$S87*'Multi-Year'!$P87,0)+IF('FY22-23'!$S87&lt;0,'FY22-23'!F87/'FY22-23'!$S87*'Multi-Year'!$P87,0)</f>
        <v>0</v>
      </c>
      <c r="G87" s="94">
        <f>IF('FY22-23'!$S87&gt;0,'FY22-23'!G87/'FY22-23'!$S87*'Multi-Year'!$P87,0)+IF('FY22-23'!$S87&lt;0,'FY22-23'!G87/'FY22-23'!$S87*'Multi-Year'!$P87,0)</f>
        <v>0</v>
      </c>
      <c r="H87" s="94">
        <f>IF('FY22-23'!$S87&gt;0,'FY22-23'!H87/'FY22-23'!$S87*'Multi-Year'!$P87,0)+IF('FY22-23'!$S87&lt;0,'FY22-23'!H87/'FY22-23'!$S87*'Multi-Year'!$P87,0)</f>
        <v>0</v>
      </c>
      <c r="I87" s="94">
        <f>IF('FY22-23'!$S87&gt;0,'FY22-23'!I87/'FY22-23'!$S87*'Multi-Year'!$P87,0)+IF('FY22-23'!$S87&lt;0,'FY22-23'!I87/'FY22-23'!$S87*'Multi-Year'!$P87,0)</f>
        <v>0</v>
      </c>
      <c r="J87" s="94">
        <f>IF('FY22-23'!$S87&gt;0,'FY22-23'!J87/'FY22-23'!$S87*'Multi-Year'!$P87,0)+IF('FY22-23'!$S87&lt;0,'FY22-23'!J87/'FY22-23'!$S87*'Multi-Year'!$P87,0)</f>
        <v>0</v>
      </c>
      <c r="K87" s="94">
        <f>IF('FY22-23'!$S87&gt;0,'FY22-23'!K87/'FY22-23'!$S87*'Multi-Year'!$P87,0)+IF('FY22-23'!$S87&lt;0,'FY22-23'!K87/'FY22-23'!$S87*'Multi-Year'!$P87,0)</f>
        <v>0</v>
      </c>
      <c r="L87" s="94">
        <f>IF('FY22-23'!$S87&gt;0,'FY22-23'!L87/'FY22-23'!$S87*'Multi-Year'!$P87,0)+IF('FY22-23'!$S87&lt;0,'FY22-23'!L87/'FY22-23'!$S87*'Multi-Year'!$P87,0)</f>
        <v>0</v>
      </c>
      <c r="M87" s="94">
        <f>IF('FY22-23'!$S87&gt;0,'FY22-23'!M87/'FY22-23'!$S87*'Multi-Year'!$P87,0)+IF('FY22-23'!$S87&lt;0,'FY22-23'!M87/'FY22-23'!$S87*'Multi-Year'!$P87,0)</f>
        <v>0</v>
      </c>
      <c r="N87" s="94">
        <f>IF('FY22-23'!$S87&gt;0,'FY22-23'!N87/'FY22-23'!$S87*'Multi-Year'!$P87,0)+IF('FY22-23'!$S87&lt;0,'FY22-23'!N87/'FY22-23'!$S87*'Multi-Year'!$P87,0)</f>
        <v>0</v>
      </c>
      <c r="O87" s="94">
        <f>IF('FY22-23'!$S87&gt;0,'FY22-23'!O87/'FY22-23'!$S87*'Multi-Year'!$P87,0)+IF('FY22-23'!$S87&lt;0,'FY22-23'!O87/'FY22-23'!$S87*'Multi-Year'!$P87,0)</f>
        <v>0</v>
      </c>
      <c r="P87" s="94">
        <f>IF('FY22-23'!$S87&gt;0,'FY22-23'!P87/'FY22-23'!$S87*'Multi-Year'!$P87,0)+IF('FY22-23'!$S87&lt;0,'FY22-23'!P87/'FY22-23'!$S87*'Multi-Year'!$P87,0)</f>
        <v>0</v>
      </c>
      <c r="Q87" s="606">
        <f>IF('FY22-23'!$S87&gt;0,'FY22-23'!Q87/'FY22-23'!$S87*'Multi-Year'!$P87,0)+IF('FY22-23'!$S87&lt;0,'FY22-23'!Q87/'FY22-23'!$S87*'Multi-Year'!$P87,0)</f>
        <v>0</v>
      </c>
      <c r="R87" s="94"/>
      <c r="S87" s="625">
        <f>SUM(E87:Q87)</f>
        <v>0</v>
      </c>
      <c r="T87" s="94"/>
      <c r="U87" s="94">
        <f>'FY22-23'!S87</f>
        <v>0</v>
      </c>
      <c r="V87" s="94">
        <f>U87-S87</f>
        <v>0</v>
      </c>
    </row>
    <row r="88" spans="1:24" s="95" customFormat="1" ht="12" customHeight="1">
      <c r="A88" s="124"/>
      <c r="B88" s="124" t="s">
        <v>186</v>
      </c>
      <c r="C88" s="102">
        <v>4400</v>
      </c>
      <c r="D88" s="127" t="s">
        <v>83</v>
      </c>
      <c r="E88" s="94">
        <f>IF('FY22-23'!$S88&gt;0,'FY22-23'!E88/'FY22-23'!$S88*'Multi-Year'!$P88,0)+IF('FY22-23'!$S88&lt;0,'FY22-23'!E88/'FY22-23'!$S88*'Multi-Year'!$P88,0)</f>
        <v>0</v>
      </c>
      <c r="F88" s="94">
        <f>IF('FY22-23'!$S88&gt;0,'FY22-23'!F88/'FY22-23'!$S88*'Multi-Year'!$P88,0)+IF('FY22-23'!$S88&lt;0,'FY22-23'!F88/'FY22-23'!$S88*'Multi-Year'!$P88,0)</f>
        <v>0</v>
      </c>
      <c r="G88" s="94">
        <f>IF('FY22-23'!$S88&gt;0,'FY22-23'!G88/'FY22-23'!$S88*'Multi-Year'!$P88,0)+IF('FY22-23'!$S88&lt;0,'FY22-23'!G88/'FY22-23'!$S88*'Multi-Year'!$P88,0)</f>
        <v>0</v>
      </c>
      <c r="H88" s="94">
        <f>IF('FY22-23'!$S88&gt;0,'FY22-23'!H88/'FY22-23'!$S88*'Multi-Year'!$P88,0)+IF('FY22-23'!$S88&lt;0,'FY22-23'!H88/'FY22-23'!$S88*'Multi-Year'!$P88,0)</f>
        <v>0</v>
      </c>
      <c r="I88" s="94">
        <f>IF('FY22-23'!$S88&gt;0,'FY22-23'!I88/'FY22-23'!$S88*'Multi-Year'!$P88,0)+IF('FY22-23'!$S88&lt;0,'FY22-23'!I88/'FY22-23'!$S88*'Multi-Year'!$P88,0)</f>
        <v>0</v>
      </c>
      <c r="J88" s="94">
        <f>IF('FY22-23'!$S88&gt;0,'FY22-23'!J88/'FY22-23'!$S88*'Multi-Year'!$P88,0)+IF('FY22-23'!$S88&lt;0,'FY22-23'!J88/'FY22-23'!$S88*'Multi-Year'!$P88,0)</f>
        <v>77171.015833934405</v>
      </c>
      <c r="K88" s="94">
        <f>IF('FY22-23'!$S88&gt;0,'FY22-23'!K88/'FY22-23'!$S88*'Multi-Year'!$P88,0)+IF('FY22-23'!$S88&lt;0,'FY22-23'!K88/'FY22-23'!$S88*'Multi-Year'!$P88,0)</f>
        <v>86.572924156800028</v>
      </c>
      <c r="L88" s="94">
        <f>IF('FY22-23'!$S88&gt;0,'FY22-23'!L88/'FY22-23'!$S88*'Multi-Year'!$P88,0)+IF('FY22-23'!$S88&lt;0,'FY22-23'!L88/'FY22-23'!$S88*'Multi-Year'!$P88,0)</f>
        <v>21.637818878400005</v>
      </c>
      <c r="M88" s="94">
        <f>IF('FY22-23'!$S88&gt;0,'FY22-23'!M88/'FY22-23'!$S88*'Multi-Year'!$P88,0)+IF('FY22-23'!$S88&lt;0,'FY22-23'!M88/'FY22-23'!$S88*'Multi-Year'!$P88,0)</f>
        <v>0</v>
      </c>
      <c r="N88" s="94">
        <f>IF('FY22-23'!$S88&gt;0,'FY22-23'!N88/'FY22-23'!$S88*'Multi-Year'!$P88,0)+IF('FY22-23'!$S88&lt;0,'FY22-23'!N88/'FY22-23'!$S88*'Multi-Year'!$P88,0)</f>
        <v>230.52557711520006</v>
      </c>
      <c r="O88" s="94">
        <f>IF('FY22-23'!$S88&gt;0,'FY22-23'!O88/'FY22-23'!$S88*'Multi-Year'!$P88,0)+IF('FY22-23'!$S88&lt;0,'FY22-23'!O88/'FY22-23'!$S88*'Multi-Year'!$P88,0)</f>
        <v>0</v>
      </c>
      <c r="P88" s="94">
        <f>IF('FY22-23'!$S88&gt;0,'FY22-23'!P88/'FY22-23'!$S88*'Multi-Year'!$P88,0)+IF('FY22-23'!$S88&lt;0,'FY22-23'!P88/'FY22-23'!$S88*'Multi-Year'!$P88,0)</f>
        <v>398915.11027454416</v>
      </c>
      <c r="Q88" s="606">
        <f>IF('FY22-23'!$S88&gt;0,'FY22-23'!Q88/'FY22-23'!$S88*'Multi-Year'!$P88,0)+IF('FY22-23'!$S88&lt;0,'FY22-23'!Q88/'FY22-23'!$S88*'Multi-Year'!$P88,0)</f>
        <v>0</v>
      </c>
      <c r="R88" s="94"/>
      <c r="S88" s="625">
        <f t="shared" si="31"/>
        <v>476424.86242862896</v>
      </c>
      <c r="T88" s="94"/>
      <c r="U88" s="94">
        <f>'FY22-23'!S88</f>
        <v>467083.19845944014</v>
      </c>
      <c r="V88" s="94">
        <f t="shared" si="32"/>
        <v>-9341.6639691888122</v>
      </c>
    </row>
    <row r="89" spans="1:24" s="95" customFormat="1" ht="12" customHeight="1">
      <c r="A89" s="124"/>
      <c r="B89" s="124" t="s">
        <v>186</v>
      </c>
      <c r="C89" s="102">
        <v>4700</v>
      </c>
      <c r="D89" s="127" t="s">
        <v>84</v>
      </c>
      <c r="E89" s="94">
        <f>IF('FY22-23'!$S89&gt;0,'FY22-23'!E89/'FY22-23'!$S89*'Multi-Year'!$P89,0)+IF('FY22-23'!$S89&lt;0,'FY22-23'!E89/'FY22-23'!$S89*'Multi-Year'!$P89,0)</f>
        <v>0</v>
      </c>
      <c r="F89" s="94">
        <f>IF('FY22-23'!$S89&gt;0,'FY22-23'!F89/'FY22-23'!$S89*'Multi-Year'!$P89,0)+IF('FY22-23'!$S89&lt;0,'FY22-23'!F89/'FY22-23'!$S89*'Multi-Year'!$P89,0)</f>
        <v>0</v>
      </c>
      <c r="G89" s="94">
        <f>IF('FY22-23'!$S89&gt;0,'FY22-23'!G89/'FY22-23'!$S89*'Multi-Year'!$P89,0)+IF('FY22-23'!$S89&lt;0,'FY22-23'!G89/'FY22-23'!$S89*'Multi-Year'!$P89,0)</f>
        <v>0</v>
      </c>
      <c r="H89" s="94">
        <f>IF('FY22-23'!$S89&gt;0,'FY22-23'!H89/'FY22-23'!$S89*'Multi-Year'!$P89,0)+IF('FY22-23'!$S89&lt;0,'FY22-23'!H89/'FY22-23'!$S89*'Multi-Year'!$P89,0)</f>
        <v>0</v>
      </c>
      <c r="I89" s="94">
        <f>IF('FY22-23'!$S89&gt;0,'FY22-23'!I89/'FY22-23'!$S89*'Multi-Year'!$P89,0)+IF('FY22-23'!$S89&lt;0,'FY22-23'!I89/'FY22-23'!$S89*'Multi-Year'!$P89,0)</f>
        <v>0</v>
      </c>
      <c r="J89" s="94">
        <f>IF('FY22-23'!$S89&gt;0,'FY22-23'!J89/'FY22-23'!$S89*'Multi-Year'!$P89,0)+IF('FY22-23'!$S89&lt;0,'FY22-23'!J89/'FY22-23'!$S89*'Multi-Year'!$P89,0)</f>
        <v>0</v>
      </c>
      <c r="K89" s="94">
        <f>IF('FY22-23'!$S89&gt;0,'FY22-23'!K89/'FY22-23'!$S89*'Multi-Year'!$P89,0)+IF('FY22-23'!$S89&lt;0,'FY22-23'!K89/'FY22-23'!$S89*'Multi-Year'!$P89,0)</f>
        <v>0</v>
      </c>
      <c r="L89" s="94">
        <f>IF('FY22-23'!$S89&gt;0,'FY22-23'!L89/'FY22-23'!$S89*'Multi-Year'!$P89,0)+IF('FY22-23'!$S89&lt;0,'FY22-23'!L89/'FY22-23'!$S89*'Multi-Year'!$P89,0)</f>
        <v>0</v>
      </c>
      <c r="M89" s="94">
        <f>IF('FY22-23'!$S89&gt;0,'FY22-23'!M89/'FY22-23'!$S89*'Multi-Year'!$P89,0)+IF('FY22-23'!$S89&lt;0,'FY22-23'!M89/'FY22-23'!$S89*'Multi-Year'!$P89,0)</f>
        <v>0</v>
      </c>
      <c r="N89" s="94">
        <f>IF('FY22-23'!$S89&gt;0,'FY22-23'!N89/'FY22-23'!$S89*'Multi-Year'!$P89,0)+IF('FY22-23'!$S89&lt;0,'FY22-23'!N89/'FY22-23'!$S89*'Multi-Year'!$P89,0)</f>
        <v>148195.6336361632</v>
      </c>
      <c r="O89" s="94">
        <f>IF('FY22-23'!$S89&gt;0,'FY22-23'!O89/'FY22-23'!$S89*'Multi-Year'!$P89,0)+IF('FY22-23'!$S89&lt;0,'FY22-23'!O89/'FY22-23'!$S89*'Multi-Year'!$P89,0)</f>
        <v>0</v>
      </c>
      <c r="P89" s="94">
        <f>IF('FY22-23'!$S89&gt;0,'FY22-23'!P89/'FY22-23'!$S89*'Multi-Year'!$P89,0)+IF('FY22-23'!$S89&lt;0,'FY22-23'!P89/'FY22-23'!$S89*'Multi-Year'!$P89,0)</f>
        <v>0</v>
      </c>
      <c r="Q89" s="606">
        <f>IF('FY22-23'!$S89&gt;0,'FY22-23'!Q89/'FY22-23'!$S89*'Multi-Year'!$P89,0)+IF('FY22-23'!$S89&lt;0,'FY22-23'!Q89/'FY22-23'!$S89*'Multi-Year'!$P89,0)</f>
        <v>0</v>
      </c>
      <c r="R89" s="94"/>
      <c r="S89" s="625">
        <f t="shared" si="31"/>
        <v>148195.6336361632</v>
      </c>
      <c r="T89" s="94"/>
      <c r="U89" s="94">
        <f>'FY22-23'!S89</f>
        <v>138309.06642627114</v>
      </c>
      <c r="V89" s="94">
        <f t="shared" si="32"/>
        <v>-9886.5672098920622</v>
      </c>
    </row>
    <row r="90" spans="1:24" s="95" customFormat="1" ht="12" customHeight="1">
      <c r="A90" s="124"/>
      <c r="B90" s="124" t="s">
        <v>186</v>
      </c>
      <c r="C90" s="126"/>
      <c r="D90" s="126"/>
      <c r="E90" s="215">
        <f t="shared" ref="E90:Q90" si="33">SUM(E81:E89)</f>
        <v>139453.82289391677</v>
      </c>
      <c r="F90" s="215">
        <f t="shared" si="33"/>
        <v>303292.8254449747</v>
      </c>
      <c r="G90" s="215">
        <f t="shared" si="33"/>
        <v>401455.09293242585</v>
      </c>
      <c r="H90" s="215">
        <f t="shared" si="33"/>
        <v>418696.15066188731</v>
      </c>
      <c r="I90" s="215">
        <f t="shared" si="33"/>
        <v>244586.82027637152</v>
      </c>
      <c r="J90" s="215">
        <f t="shared" si="33"/>
        <v>302568.5087683092</v>
      </c>
      <c r="K90" s="215">
        <f t="shared" si="33"/>
        <v>245582.88863400137</v>
      </c>
      <c r="L90" s="215">
        <f t="shared" si="33"/>
        <v>240335.81691015532</v>
      </c>
      <c r="M90" s="215">
        <f t="shared" si="33"/>
        <v>268851.86894057138</v>
      </c>
      <c r="N90" s="215">
        <f t="shared" si="33"/>
        <v>405745.46469627484</v>
      </c>
      <c r="O90" s="215">
        <f t="shared" si="33"/>
        <v>373968.54037277558</v>
      </c>
      <c r="P90" s="215">
        <f t="shared" si="33"/>
        <v>1225460.0753244811</v>
      </c>
      <c r="Q90" s="603">
        <f t="shared" si="33"/>
        <v>0</v>
      </c>
      <c r="R90" s="94"/>
      <c r="S90" s="626">
        <f>SUM(E90:R90)</f>
        <v>4569997.8758561444</v>
      </c>
      <c r="T90" s="94"/>
      <c r="U90" s="216">
        <f>SUM(U81:U89)</f>
        <v>4287561.8991002971</v>
      </c>
      <c r="V90" s="216">
        <f>SUM(V81:V89)</f>
        <v>-282435.97675584792</v>
      </c>
    </row>
    <row r="91" spans="1:24" s="95" customFormat="1" ht="12" customHeight="1">
      <c r="A91" s="124"/>
      <c r="B91" s="124" t="s">
        <v>284</v>
      </c>
      <c r="C91" s="126"/>
      <c r="D91" s="126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606"/>
      <c r="R91" s="94"/>
      <c r="S91" s="627"/>
      <c r="T91" s="94"/>
      <c r="U91" s="94"/>
      <c r="V91" s="94"/>
    </row>
    <row r="92" spans="1:24" s="95" customFormat="1" ht="12" customHeight="1">
      <c r="A92" s="124"/>
      <c r="B92" s="124" t="s">
        <v>186</v>
      </c>
      <c r="C92" s="102">
        <v>5101</v>
      </c>
      <c r="D92" s="127" t="s">
        <v>85</v>
      </c>
      <c r="E92" s="94">
        <f>IF('FY22-23'!$S92&gt;0,'FY22-23'!E92/'FY22-23'!$S92*'Multi-Year'!$P92,0)+IF('FY22-23'!$S92&lt;0,'FY22-23'!E92/'FY22-23'!$S92*'Multi-Year'!$P92,0)</f>
        <v>0</v>
      </c>
      <c r="F92" s="94">
        <f>IF('FY22-23'!$S92&gt;0,'FY22-23'!F92/'FY22-23'!$S92*'Multi-Year'!$P92,0)+IF('FY22-23'!$S92&lt;0,'FY22-23'!F92/'FY22-23'!$S92*'Multi-Year'!$P92,0)</f>
        <v>0</v>
      </c>
      <c r="G92" s="94">
        <f>IF('FY22-23'!$S92&gt;0,'FY22-23'!G92/'FY22-23'!$S92*'Multi-Year'!$P92,0)+IF('FY22-23'!$S92&lt;0,'FY22-23'!G92/'FY22-23'!$S92*'Multi-Year'!$P92,0)</f>
        <v>0</v>
      </c>
      <c r="H92" s="94">
        <f>IF('FY22-23'!$S92&gt;0,'FY22-23'!H92/'FY22-23'!$S92*'Multi-Year'!$P92,0)+IF('FY22-23'!$S92&lt;0,'FY22-23'!H92/'FY22-23'!$S92*'Multi-Year'!$P92,0)</f>
        <v>0</v>
      </c>
      <c r="I92" s="94">
        <f>IF('FY22-23'!$S92&gt;0,'FY22-23'!I92/'FY22-23'!$S92*'Multi-Year'!$P92,0)+IF('FY22-23'!$S92&lt;0,'FY22-23'!I92/'FY22-23'!$S92*'Multi-Year'!$P92,0)</f>
        <v>0</v>
      </c>
      <c r="J92" s="94">
        <f>IF('FY22-23'!$S92&gt;0,'FY22-23'!J92/'FY22-23'!$S92*'Multi-Year'!$P92,0)+IF('FY22-23'!$S92&lt;0,'FY22-23'!J92/'FY22-23'!$S92*'Multi-Year'!$P92,0)</f>
        <v>0</v>
      </c>
      <c r="K92" s="94">
        <f>IF('FY22-23'!$S92&gt;0,'FY22-23'!K92/'FY22-23'!$S92*'Multi-Year'!$P92,0)+IF('FY22-23'!$S92&lt;0,'FY22-23'!K92/'FY22-23'!$S92*'Multi-Year'!$P92,0)</f>
        <v>0</v>
      </c>
      <c r="L92" s="94">
        <f>IF('FY22-23'!$S92&gt;0,'FY22-23'!L92/'FY22-23'!$S92*'Multi-Year'!$P92,0)+IF('FY22-23'!$S92&lt;0,'FY22-23'!L92/'FY22-23'!$S92*'Multi-Year'!$P92,0)</f>
        <v>0</v>
      </c>
      <c r="M92" s="94">
        <f>IF('FY22-23'!$S92&gt;0,'FY22-23'!M92/'FY22-23'!$S92*'Multi-Year'!$P92,0)+IF('FY22-23'!$S92&lt;0,'FY22-23'!M92/'FY22-23'!$S92*'Multi-Year'!$P92,0)</f>
        <v>0</v>
      </c>
      <c r="N92" s="94">
        <f>IF('FY22-23'!$S92&gt;0,'FY22-23'!N92/'FY22-23'!$S92*'Multi-Year'!$P92,0)+IF('FY22-23'!$S92&lt;0,'FY22-23'!N92/'FY22-23'!$S92*'Multi-Year'!$P92,0)</f>
        <v>0</v>
      </c>
      <c r="O92" s="94">
        <f>IF('FY22-23'!$S92&gt;0,'FY22-23'!O92/'FY22-23'!$S92*'Multi-Year'!$P92,0)+IF('FY22-23'!$S92&lt;0,'FY22-23'!O92/'FY22-23'!$S92*'Multi-Year'!$P92,0)</f>
        <v>0</v>
      </c>
      <c r="P92" s="94">
        <f>IF('FY22-23'!$S92&gt;0,'FY22-23'!P92/'FY22-23'!$S92*'Multi-Year'!$P92,0)+IF('FY22-23'!$S92&lt;0,'FY22-23'!P92/'FY22-23'!$S92*'Multi-Year'!$P92,0)</f>
        <v>0</v>
      </c>
      <c r="Q92" s="606">
        <f>IF('FY22-23'!$S92&gt;0,'FY22-23'!Q92/'FY22-23'!$S92*'Multi-Year'!$P92,0)+IF('FY22-23'!$S92&lt;0,'FY22-23'!Q92/'FY22-23'!$S92*'Multi-Year'!$P92,0)</f>
        <v>0</v>
      </c>
      <c r="R92" s="94"/>
      <c r="S92" s="625">
        <f t="shared" ref="S92:S95" si="34">SUM(E92:Q92)</f>
        <v>0</v>
      </c>
      <c r="T92" s="94"/>
      <c r="U92" s="94">
        <f>'FY22-23'!S92</f>
        <v>0</v>
      </c>
      <c r="V92" s="94">
        <f t="shared" ref="V92:V95" si="35">U92-S92</f>
        <v>0</v>
      </c>
    </row>
    <row r="93" spans="1:24" s="95" customFormat="1" ht="12" customHeight="1">
      <c r="A93" s="124"/>
      <c r="B93" s="124" t="s">
        <v>186</v>
      </c>
      <c r="C93" s="102">
        <v>5102</v>
      </c>
      <c r="D93" s="127" t="s">
        <v>86</v>
      </c>
      <c r="E93" s="94">
        <f>IF('FY22-23'!$S93&gt;0,'FY22-23'!E93/'FY22-23'!$S93*'Multi-Year'!$P93,0)+IF('FY22-23'!$S93&lt;0,'FY22-23'!E93/'FY22-23'!$S93*'Multi-Year'!$P93,0)</f>
        <v>1156.8169690643247</v>
      </c>
      <c r="F93" s="94">
        <f>IF('FY22-23'!$S93&gt;0,'FY22-23'!F93/'FY22-23'!$S93*'Multi-Year'!$P93,0)+IF('FY22-23'!$S93&lt;0,'FY22-23'!F93/'FY22-23'!$S93*'Multi-Year'!$P93,0)</f>
        <v>19424.558657162564</v>
      </c>
      <c r="G93" s="94">
        <f>IF('FY22-23'!$S93&gt;0,'FY22-23'!G93/'FY22-23'!$S93*'Multi-Year'!$P93,0)+IF('FY22-23'!$S93&lt;0,'FY22-23'!G93/'FY22-23'!$S93*'Multi-Year'!$P93,0)</f>
        <v>50942.980230079469</v>
      </c>
      <c r="H93" s="94">
        <f>IF('FY22-23'!$S93&gt;0,'FY22-23'!H93/'FY22-23'!$S93*'Multi-Year'!$P93,0)+IF('FY22-23'!$S93&lt;0,'FY22-23'!H93/'FY22-23'!$S93*'Multi-Year'!$P93,0)</f>
        <v>62597.549317325043</v>
      </c>
      <c r="I93" s="94">
        <f>IF('FY22-23'!$S93&gt;0,'FY22-23'!I93/'FY22-23'!$S93*'Multi-Year'!$P93,0)+IF('FY22-23'!$S93&lt;0,'FY22-23'!I93/'FY22-23'!$S93*'Multi-Year'!$P93,0)</f>
        <v>230028.20159956563</v>
      </c>
      <c r="J93" s="94">
        <f>IF('FY22-23'!$S93&gt;0,'FY22-23'!J93/'FY22-23'!$S93*'Multi-Year'!$P93,0)+IF('FY22-23'!$S93&lt;0,'FY22-23'!J93/'FY22-23'!$S93*'Multi-Year'!$P93,0)</f>
        <v>55783.754992063055</v>
      </c>
      <c r="K93" s="94">
        <f>IF('FY22-23'!$S93&gt;0,'FY22-23'!K93/'FY22-23'!$S93*'Multi-Year'!$P93,0)+IF('FY22-23'!$S93&lt;0,'FY22-23'!K93/'FY22-23'!$S93*'Multi-Year'!$P93,0)</f>
        <v>173765.91592036095</v>
      </c>
      <c r="L93" s="94">
        <f>IF('FY22-23'!$S93&gt;0,'FY22-23'!L93/'FY22-23'!$S93*'Multi-Year'!$P93,0)+IF('FY22-23'!$S93&lt;0,'FY22-23'!L93/'FY22-23'!$S93*'Multi-Year'!$P93,0)</f>
        <v>77379.676897343481</v>
      </c>
      <c r="M93" s="94">
        <f>IF('FY22-23'!$S93&gt;0,'FY22-23'!M93/'FY22-23'!$S93*'Multi-Year'!$P93,0)+IF('FY22-23'!$S93&lt;0,'FY22-23'!M93/'FY22-23'!$S93*'Multi-Year'!$P93,0)</f>
        <v>108709.59069585535</v>
      </c>
      <c r="N93" s="94">
        <f>IF('FY22-23'!$S93&gt;0,'FY22-23'!N93/'FY22-23'!$S93*'Multi-Year'!$P93,0)+IF('FY22-23'!$S93&lt;0,'FY22-23'!N93/'FY22-23'!$S93*'Multi-Year'!$P93,0)</f>
        <v>223423.18010904879</v>
      </c>
      <c r="O93" s="94">
        <f>IF('FY22-23'!$S93&gt;0,'FY22-23'!O93/'FY22-23'!$S93*'Multi-Year'!$P93,0)+IF('FY22-23'!$S93&lt;0,'FY22-23'!O93/'FY22-23'!$S93*'Multi-Year'!$P93,0)</f>
        <v>267269.31959731248</v>
      </c>
      <c r="P93" s="94">
        <f>IF('FY22-23'!$S93&gt;0,'FY22-23'!P93/'FY22-23'!$S93*'Multi-Year'!$P93,0)+IF('FY22-23'!$S93&lt;0,'FY22-23'!P93/'FY22-23'!$S93*'Multi-Year'!$P93,0)</f>
        <v>201700.80327806284</v>
      </c>
      <c r="Q93" s="606">
        <f>IF('FY22-23'!$S93&gt;0,'FY22-23'!Q93/'FY22-23'!$S93*'Multi-Year'!$P93,0)+IF('FY22-23'!$S93&lt;0,'FY22-23'!Q93/'FY22-23'!$S93*'Multi-Year'!$P93,0)</f>
        <v>0</v>
      </c>
      <c r="R93" s="94"/>
      <c r="S93" s="625">
        <f t="shared" si="34"/>
        <v>1472182.3482632441</v>
      </c>
      <c r="T93" s="94"/>
      <c r="U93" s="94">
        <f>'FY22-23'!S93</f>
        <v>1373968.7276983159</v>
      </c>
      <c r="V93" s="94">
        <f t="shared" si="35"/>
        <v>-98213.620564928278</v>
      </c>
    </row>
    <row r="94" spans="1:24" s="95" customFormat="1" ht="12" customHeight="1">
      <c r="A94" s="124"/>
      <c r="B94" s="124" t="s">
        <v>186</v>
      </c>
      <c r="C94" s="102">
        <v>5103</v>
      </c>
      <c r="D94" s="127" t="s">
        <v>87</v>
      </c>
      <c r="E94" s="94">
        <f>IF('FY22-23'!$S94&gt;0,'FY22-23'!E94/'FY22-23'!$S94*'Multi-Year'!$P94,0)+IF('FY22-23'!$S94&lt;0,'FY22-23'!E94/'FY22-23'!$S94*'Multi-Year'!$P94,0)</f>
        <v>0</v>
      </c>
      <c r="F94" s="94">
        <f>IF('FY22-23'!$S94&gt;0,'FY22-23'!F94/'FY22-23'!$S94*'Multi-Year'!$P94,0)+IF('FY22-23'!$S94&lt;0,'FY22-23'!F94/'FY22-23'!$S94*'Multi-Year'!$P94,0)</f>
        <v>0</v>
      </c>
      <c r="G94" s="94">
        <f>IF('FY22-23'!$S94&gt;0,'FY22-23'!G94/'FY22-23'!$S94*'Multi-Year'!$P94,0)+IF('FY22-23'!$S94&lt;0,'FY22-23'!G94/'FY22-23'!$S94*'Multi-Year'!$P94,0)</f>
        <v>0</v>
      </c>
      <c r="H94" s="94">
        <f>IF('FY22-23'!$S94&gt;0,'FY22-23'!H94/'FY22-23'!$S94*'Multi-Year'!$P94,0)+IF('FY22-23'!$S94&lt;0,'FY22-23'!H94/'FY22-23'!$S94*'Multi-Year'!$P94,0)</f>
        <v>0</v>
      </c>
      <c r="I94" s="94">
        <f>IF('FY22-23'!$S94&gt;0,'FY22-23'!I94/'FY22-23'!$S94*'Multi-Year'!$P94,0)+IF('FY22-23'!$S94&lt;0,'FY22-23'!I94/'FY22-23'!$S94*'Multi-Year'!$P94,0)</f>
        <v>0</v>
      </c>
      <c r="J94" s="94">
        <f>IF('FY22-23'!$S94&gt;0,'FY22-23'!J94/'FY22-23'!$S94*'Multi-Year'!$P94,0)+IF('FY22-23'!$S94&lt;0,'FY22-23'!J94/'FY22-23'!$S94*'Multi-Year'!$P94,0)</f>
        <v>0</v>
      </c>
      <c r="K94" s="94">
        <f>IF('FY22-23'!$S94&gt;0,'FY22-23'!K94/'FY22-23'!$S94*'Multi-Year'!$P94,0)+IF('FY22-23'!$S94&lt;0,'FY22-23'!K94/'FY22-23'!$S94*'Multi-Year'!$P94,0)</f>
        <v>0</v>
      </c>
      <c r="L94" s="94">
        <f>IF('FY22-23'!$S94&gt;0,'FY22-23'!L94/'FY22-23'!$S94*'Multi-Year'!$P94,0)+IF('FY22-23'!$S94&lt;0,'FY22-23'!L94/'FY22-23'!$S94*'Multi-Year'!$P94,0)</f>
        <v>0</v>
      </c>
      <c r="M94" s="94">
        <f>IF('FY22-23'!$S94&gt;0,'FY22-23'!M94/'FY22-23'!$S94*'Multi-Year'!$P94,0)+IF('FY22-23'!$S94&lt;0,'FY22-23'!M94/'FY22-23'!$S94*'Multi-Year'!$P94,0)</f>
        <v>0</v>
      </c>
      <c r="N94" s="94">
        <f>IF('FY22-23'!$S94&gt;0,'FY22-23'!N94/'FY22-23'!$S94*'Multi-Year'!$P94,0)+IF('FY22-23'!$S94&lt;0,'FY22-23'!N94/'FY22-23'!$S94*'Multi-Year'!$P94,0)</f>
        <v>0</v>
      </c>
      <c r="O94" s="94">
        <f>IF('FY22-23'!$S94&gt;0,'FY22-23'!O94/'FY22-23'!$S94*'Multi-Year'!$P94,0)+IF('FY22-23'!$S94&lt;0,'FY22-23'!O94/'FY22-23'!$S94*'Multi-Year'!$P94,0)</f>
        <v>0</v>
      </c>
      <c r="P94" s="94">
        <f>IF('FY22-23'!$S94&gt;0,'FY22-23'!P94/'FY22-23'!$S94*'Multi-Year'!$P94,0)+IF('FY22-23'!$S94&lt;0,'FY22-23'!P94/'FY22-23'!$S94*'Multi-Year'!$P94,0)</f>
        <v>0</v>
      </c>
      <c r="Q94" s="606">
        <f>IF('FY22-23'!$S94&gt;0,'FY22-23'!Q94/'FY22-23'!$S94*'Multi-Year'!$P94,0)+IF('FY22-23'!$S94&lt;0,'FY22-23'!Q94/'FY22-23'!$S94*'Multi-Year'!$P94,0)</f>
        <v>0</v>
      </c>
      <c r="R94" s="94"/>
      <c r="S94" s="625">
        <f t="shared" si="34"/>
        <v>0</v>
      </c>
      <c r="T94" s="94"/>
      <c r="U94" s="94">
        <f>'FY22-23'!S94</f>
        <v>0</v>
      </c>
      <c r="V94" s="94">
        <f t="shared" si="35"/>
        <v>0</v>
      </c>
    </row>
    <row r="95" spans="1:24" s="95" customFormat="1" ht="12" customHeight="1">
      <c r="A95" s="124"/>
      <c r="B95" s="124" t="s">
        <v>186</v>
      </c>
      <c r="C95" s="102">
        <v>5104</v>
      </c>
      <c r="D95" s="127" t="s">
        <v>88</v>
      </c>
      <c r="E95" s="94">
        <f>IF('FY22-23'!$S95&gt;0,'FY22-23'!E95/'FY22-23'!$S95*'Multi-Year'!$P95,0)+IF('FY22-23'!$S95&lt;0,'FY22-23'!E95/'FY22-23'!$S95*'Multi-Year'!$P95,0)</f>
        <v>0</v>
      </c>
      <c r="F95" s="94">
        <f>IF('FY22-23'!$S95&gt;0,'FY22-23'!F95/'FY22-23'!$S95*'Multi-Year'!$P95,0)+IF('FY22-23'!$S95&lt;0,'FY22-23'!F95/'FY22-23'!$S95*'Multi-Year'!$P95,0)</f>
        <v>0</v>
      </c>
      <c r="G95" s="94">
        <f>IF('FY22-23'!$S95&gt;0,'FY22-23'!G95/'FY22-23'!$S95*'Multi-Year'!$P95,0)+IF('FY22-23'!$S95&lt;0,'FY22-23'!G95/'FY22-23'!$S95*'Multi-Year'!$P95,0)</f>
        <v>0</v>
      </c>
      <c r="H95" s="94">
        <f>IF('FY22-23'!$S95&gt;0,'FY22-23'!H95/'FY22-23'!$S95*'Multi-Year'!$P95,0)+IF('FY22-23'!$S95&lt;0,'FY22-23'!H95/'FY22-23'!$S95*'Multi-Year'!$P95,0)</f>
        <v>0</v>
      </c>
      <c r="I95" s="94">
        <f>IF('FY22-23'!$S95&gt;0,'FY22-23'!I95/'FY22-23'!$S95*'Multi-Year'!$P95,0)+IF('FY22-23'!$S95&lt;0,'FY22-23'!I95/'FY22-23'!$S95*'Multi-Year'!$P95,0)</f>
        <v>0</v>
      </c>
      <c r="J95" s="94">
        <f>IF('FY22-23'!$S95&gt;0,'FY22-23'!J95/'FY22-23'!$S95*'Multi-Year'!$P95,0)+IF('FY22-23'!$S95&lt;0,'FY22-23'!J95/'FY22-23'!$S95*'Multi-Year'!$P95,0)</f>
        <v>0</v>
      </c>
      <c r="K95" s="94">
        <f>IF('FY22-23'!$S95&gt;0,'FY22-23'!K95/'FY22-23'!$S95*'Multi-Year'!$P95,0)+IF('FY22-23'!$S95&lt;0,'FY22-23'!K95/'FY22-23'!$S95*'Multi-Year'!$P95,0)</f>
        <v>0</v>
      </c>
      <c r="L95" s="94">
        <f>IF('FY22-23'!$S95&gt;0,'FY22-23'!L95/'FY22-23'!$S95*'Multi-Year'!$P95,0)+IF('FY22-23'!$S95&lt;0,'FY22-23'!L95/'FY22-23'!$S95*'Multi-Year'!$P95,0)</f>
        <v>0</v>
      </c>
      <c r="M95" s="94">
        <f>IF('FY22-23'!$S95&gt;0,'FY22-23'!M95/'FY22-23'!$S95*'Multi-Year'!$P95,0)+IF('FY22-23'!$S95&lt;0,'FY22-23'!M95/'FY22-23'!$S95*'Multi-Year'!$P95,0)</f>
        <v>0</v>
      </c>
      <c r="N95" s="94">
        <f>IF('FY22-23'!$S95&gt;0,'FY22-23'!N95/'FY22-23'!$S95*'Multi-Year'!$P95,0)+IF('FY22-23'!$S95&lt;0,'FY22-23'!N95/'FY22-23'!$S95*'Multi-Year'!$P95,0)</f>
        <v>0</v>
      </c>
      <c r="O95" s="94">
        <f>IF('FY22-23'!$S95&gt;0,'FY22-23'!O95/'FY22-23'!$S95*'Multi-Year'!$P95,0)+IF('FY22-23'!$S95&lt;0,'FY22-23'!O95/'FY22-23'!$S95*'Multi-Year'!$P95,0)</f>
        <v>0</v>
      </c>
      <c r="P95" s="94">
        <f>IF('FY22-23'!$S95&gt;0,'FY22-23'!P95/'FY22-23'!$S95*'Multi-Year'!$P95,0)+IF('FY22-23'!$S95&lt;0,'FY22-23'!P95/'FY22-23'!$S95*'Multi-Year'!$P95,0)</f>
        <v>0</v>
      </c>
      <c r="Q95" s="606">
        <f>IF('FY22-23'!$S95&gt;0,'FY22-23'!Q95/'FY22-23'!$S95*'Multi-Year'!$P95,0)+IF('FY22-23'!$S95&lt;0,'FY22-23'!Q95/'FY22-23'!$S95*'Multi-Year'!$P95,0)</f>
        <v>0</v>
      </c>
      <c r="R95" s="94"/>
      <c r="S95" s="625">
        <f t="shared" si="34"/>
        <v>0</v>
      </c>
      <c r="T95" s="94"/>
      <c r="U95" s="94">
        <f>'FY22-23'!S95</f>
        <v>0</v>
      </c>
      <c r="V95" s="94">
        <f t="shared" si="35"/>
        <v>0</v>
      </c>
    </row>
    <row r="96" spans="1:24" s="95" customFormat="1" ht="12" customHeight="1">
      <c r="A96" s="124"/>
      <c r="B96" s="124" t="s">
        <v>186</v>
      </c>
      <c r="C96" s="102">
        <v>5105</v>
      </c>
      <c r="D96" s="127" t="s">
        <v>89</v>
      </c>
      <c r="E96" s="94">
        <f>IF('FY22-23'!$S96&gt;0,'FY22-23'!E96/'FY22-23'!$S96*'Multi-Year'!$P96,0)+IF('FY22-23'!$S96&lt;0,'FY22-23'!E96/'FY22-23'!$S96*'Multi-Year'!$P96,0)</f>
        <v>0</v>
      </c>
      <c r="F96" s="94">
        <f>IF('FY22-23'!$S96&gt;0,'FY22-23'!F96/'FY22-23'!$S96*'Multi-Year'!$P96,0)+IF('FY22-23'!$S96&lt;0,'FY22-23'!F96/'FY22-23'!$S96*'Multi-Year'!$P96,0)</f>
        <v>68.803913883118156</v>
      </c>
      <c r="G96" s="94">
        <f>IF('FY22-23'!$S96&gt;0,'FY22-23'!G96/'FY22-23'!$S96*'Multi-Year'!$P96,0)+IF('FY22-23'!$S96&lt;0,'FY22-23'!G96/'FY22-23'!$S96*'Multi-Year'!$P96,0)</f>
        <v>68.803913883118156</v>
      </c>
      <c r="H96" s="94">
        <f>IF('FY22-23'!$S96&gt;0,'FY22-23'!H96/'FY22-23'!$S96*'Multi-Year'!$P96,0)+IF('FY22-23'!$S96&lt;0,'FY22-23'!H96/'FY22-23'!$S96*'Multi-Year'!$P96,0)</f>
        <v>0</v>
      </c>
      <c r="I96" s="94">
        <f>IF('FY22-23'!$S96&gt;0,'FY22-23'!I96/'FY22-23'!$S96*'Multi-Year'!$P96,0)+IF('FY22-23'!$S96&lt;0,'FY22-23'!I96/'FY22-23'!$S96*'Multi-Year'!$P96,0)</f>
        <v>0</v>
      </c>
      <c r="J96" s="94">
        <f>IF('FY22-23'!$S96&gt;0,'FY22-23'!J96/'FY22-23'!$S96*'Multi-Year'!$P96,0)+IF('FY22-23'!$S96&lt;0,'FY22-23'!J96/'FY22-23'!$S96*'Multi-Year'!$P96,0)</f>
        <v>0</v>
      </c>
      <c r="K96" s="94">
        <f>IF('FY22-23'!$S96&gt;0,'FY22-23'!K96/'FY22-23'!$S96*'Multi-Year'!$P96,0)+IF('FY22-23'!$S96&lt;0,'FY22-23'!K96/'FY22-23'!$S96*'Multi-Year'!$P96,0)</f>
        <v>68.803913883118156</v>
      </c>
      <c r="L96" s="94">
        <f>IF('FY22-23'!$S96&gt;0,'FY22-23'!L96/'FY22-23'!$S96*'Multi-Year'!$P96,0)+IF('FY22-23'!$S96&lt;0,'FY22-23'!L96/'FY22-23'!$S96*'Multi-Year'!$P96,0)</f>
        <v>0</v>
      </c>
      <c r="M96" s="94">
        <f>IF('FY22-23'!$S96&gt;0,'FY22-23'!M96/'FY22-23'!$S96*'Multi-Year'!$P96,0)+IF('FY22-23'!$S96&lt;0,'FY22-23'!M96/'FY22-23'!$S96*'Multi-Year'!$P96,0)</f>
        <v>0</v>
      </c>
      <c r="N96" s="94">
        <f>IF('FY22-23'!$S96&gt;0,'FY22-23'!N96/'FY22-23'!$S96*'Multi-Year'!$P96,0)+IF('FY22-23'!$S96&lt;0,'FY22-23'!N96/'FY22-23'!$S96*'Multi-Year'!$P96,0)</f>
        <v>0</v>
      </c>
      <c r="O96" s="94">
        <f>IF('FY22-23'!$S96&gt;0,'FY22-23'!O96/'FY22-23'!$S96*'Multi-Year'!$P96,0)+IF('FY22-23'!$S96&lt;0,'FY22-23'!O96/'FY22-23'!$S96*'Multi-Year'!$P96,0)</f>
        <v>0</v>
      </c>
      <c r="P96" s="94">
        <f>IF('FY22-23'!$S96&gt;0,'FY22-23'!P96/'FY22-23'!$S96*'Multi-Year'!$P96,0)+IF('FY22-23'!$S96&lt;0,'FY22-23'!P96/'FY22-23'!$S96*'Multi-Year'!$P96,0)</f>
        <v>0</v>
      </c>
      <c r="Q96" s="606">
        <f>IF('FY22-23'!$S96&gt;0,'FY22-23'!Q96/'FY22-23'!$S96*'Multi-Year'!$P96,0)+IF('FY22-23'!$S96&lt;0,'FY22-23'!Q96/'FY22-23'!$S96*'Multi-Year'!$P96,0)</f>
        <v>0</v>
      </c>
      <c r="R96" s="94"/>
      <c r="S96" s="625">
        <f t="shared" ref="S96:S97" si="36">SUM(E96:Q96)</f>
        <v>206.41174164935447</v>
      </c>
      <c r="T96" s="94"/>
      <c r="U96" s="94">
        <f>'FY22-23'!S96</f>
        <v>192.64140640629756</v>
      </c>
      <c r="V96" s="94">
        <f t="shared" ref="V96:V97" si="37">U96-S96</f>
        <v>-13.770335243056905</v>
      </c>
    </row>
    <row r="97" spans="1:22" s="95" customFormat="1" ht="12" customHeight="1">
      <c r="A97" s="124"/>
      <c r="B97" s="124" t="s">
        <v>186</v>
      </c>
      <c r="C97" s="102">
        <v>5106</v>
      </c>
      <c r="D97" s="127" t="s">
        <v>169</v>
      </c>
      <c r="E97" s="94">
        <f>IF('FY22-23'!$S97&gt;0,'FY22-23'!E97/'FY22-23'!$S97*'Multi-Year'!$P97,0)+IF('FY22-23'!$S97&lt;0,'FY22-23'!E97/'FY22-23'!$S97*'Multi-Year'!$P97,0)</f>
        <v>49628.005617962604</v>
      </c>
      <c r="F97" s="94">
        <f>IF('FY22-23'!$S97&gt;0,'FY22-23'!F97/'FY22-23'!$S97*'Multi-Year'!$P97,0)+IF('FY22-23'!$S97&lt;0,'FY22-23'!F97/'FY22-23'!$S97*'Multi-Year'!$P97,0)</f>
        <v>60097.092404889918</v>
      </c>
      <c r="G97" s="94">
        <f>IF('FY22-23'!$S97&gt;0,'FY22-23'!G97/'FY22-23'!$S97*'Multi-Year'!$P97,0)+IF('FY22-23'!$S97&lt;0,'FY22-23'!G97/'FY22-23'!$S97*'Multi-Year'!$P97,0)</f>
        <v>108803.02591258756</v>
      </c>
      <c r="H97" s="94">
        <f>IF('FY22-23'!$S97&gt;0,'FY22-23'!H97/'FY22-23'!$S97*'Multi-Year'!$P97,0)+IF('FY22-23'!$S97&lt;0,'FY22-23'!H97/'FY22-23'!$S97*'Multi-Year'!$P97,0)</f>
        <v>485823.26131454442</v>
      </c>
      <c r="I97" s="94">
        <f>IF('FY22-23'!$S97&gt;0,'FY22-23'!I97/'FY22-23'!$S97*'Multi-Year'!$P97,0)+IF('FY22-23'!$S97&lt;0,'FY22-23'!I97/'FY22-23'!$S97*'Multi-Year'!$P97,0)</f>
        <v>274856.84057064255</v>
      </c>
      <c r="J97" s="94">
        <f>IF('FY22-23'!$S97&gt;0,'FY22-23'!J97/'FY22-23'!$S97*'Multi-Year'!$P97,0)+IF('FY22-23'!$S97&lt;0,'FY22-23'!J97/'FY22-23'!$S97*'Multi-Year'!$P97,0)</f>
        <v>386813.5037831621</v>
      </c>
      <c r="K97" s="94">
        <f>IF('FY22-23'!$S97&gt;0,'FY22-23'!K97/'FY22-23'!$S97*'Multi-Year'!$P97,0)+IF('FY22-23'!$S97&lt;0,'FY22-23'!K97/'FY22-23'!$S97*'Multi-Year'!$P97,0)</f>
        <v>488505.13085730775</v>
      </c>
      <c r="L97" s="94">
        <f>IF('FY22-23'!$S97&gt;0,'FY22-23'!L97/'FY22-23'!$S97*'Multi-Year'!$P97,0)+IF('FY22-23'!$S97&lt;0,'FY22-23'!L97/'FY22-23'!$S97*'Multi-Year'!$P97,0)</f>
        <v>407338.68776666606</v>
      </c>
      <c r="M97" s="94">
        <f>IF('FY22-23'!$S97&gt;0,'FY22-23'!M97/'FY22-23'!$S97*'Multi-Year'!$P97,0)+IF('FY22-23'!$S97&lt;0,'FY22-23'!M97/'FY22-23'!$S97*'Multi-Year'!$P97,0)</f>
        <v>386890.44694259169</v>
      </c>
      <c r="N97" s="94">
        <f>IF('FY22-23'!$S97&gt;0,'FY22-23'!N97/'FY22-23'!$S97*'Multi-Year'!$P97,0)+IF('FY22-23'!$S97&lt;0,'FY22-23'!N97/'FY22-23'!$S97*'Multi-Year'!$P97,0)</f>
        <v>301013.20785813144</v>
      </c>
      <c r="O97" s="94">
        <f>IF('FY22-23'!$S97&gt;0,'FY22-23'!O97/'FY22-23'!$S97*'Multi-Year'!$P97,0)+IF('FY22-23'!$S97&lt;0,'FY22-23'!O97/'FY22-23'!$S97*'Multi-Year'!$P97,0)</f>
        <v>234038.98688202197</v>
      </c>
      <c r="P97" s="94">
        <f>IF('FY22-23'!$S97&gt;0,'FY22-23'!P97/'FY22-23'!$S97*'Multi-Year'!$P97,0)+IF('FY22-23'!$S97&lt;0,'FY22-23'!P97/'FY22-23'!$S97*'Multi-Year'!$P97,0)</f>
        <v>1165550.6880201835</v>
      </c>
      <c r="Q97" s="606">
        <f>IF('FY22-23'!$S97&gt;0,'FY22-23'!Q97/'FY22-23'!$S97*'Multi-Year'!$P97,0)+IF('FY22-23'!$S97&lt;0,'FY22-23'!Q97/'FY22-23'!$S97*'Multi-Year'!$P97,0)</f>
        <v>0</v>
      </c>
      <c r="R97" s="94"/>
      <c r="S97" s="625">
        <f t="shared" si="36"/>
        <v>4349358.8779306915</v>
      </c>
      <c r="T97" s="94"/>
      <c r="U97" s="94">
        <f>'FY22-23'!S97</f>
        <v>4059200.3367406521</v>
      </c>
      <c r="V97" s="94">
        <f t="shared" si="37"/>
        <v>-290158.54119003937</v>
      </c>
    </row>
    <row r="98" spans="1:22" s="95" customFormat="1" ht="12" customHeight="1">
      <c r="A98" s="124"/>
      <c r="B98" s="124" t="s">
        <v>186</v>
      </c>
      <c r="C98" s="102">
        <v>5107</v>
      </c>
      <c r="D98" s="127" t="s">
        <v>549</v>
      </c>
      <c r="E98" s="94">
        <f>IF('FY22-23'!$S98&gt;0,'FY22-23'!E98/'FY22-23'!$S98*'Multi-Year'!$P98,0)+IF('FY22-23'!$S98&lt;0,'FY22-23'!E98/'FY22-23'!$S98*'Multi-Year'!$P98,0)</f>
        <v>328099.2870835549</v>
      </c>
      <c r="F98" s="94">
        <f>IF('FY22-23'!$S98&gt;0,'FY22-23'!F98/'FY22-23'!$S98*'Multi-Year'!$P98,0)+IF('FY22-23'!$S98&lt;0,'FY22-23'!F98/'FY22-23'!$S98*'Multi-Year'!$P98,0)</f>
        <v>328099.2870835549</v>
      </c>
      <c r="G98" s="94">
        <f>IF('FY22-23'!$S98&gt;0,'FY22-23'!G98/'FY22-23'!$S98*'Multi-Year'!$P98,0)+IF('FY22-23'!$S98&lt;0,'FY22-23'!G98/'FY22-23'!$S98*'Multi-Year'!$P98,0)</f>
        <v>328099.2870835549</v>
      </c>
      <c r="H98" s="94">
        <f>IF('FY22-23'!$S98&gt;0,'FY22-23'!H98/'FY22-23'!$S98*'Multi-Year'!$P98,0)+IF('FY22-23'!$S98&lt;0,'FY22-23'!H98/'FY22-23'!$S98*'Multi-Year'!$P98,0)</f>
        <v>328099.2870835549</v>
      </c>
      <c r="I98" s="94">
        <f>IF('FY22-23'!$S98&gt;0,'FY22-23'!I98/'FY22-23'!$S98*'Multi-Year'!$P98,0)+IF('FY22-23'!$S98&lt;0,'FY22-23'!I98/'FY22-23'!$S98*'Multi-Year'!$P98,0)</f>
        <v>328099.2870835549</v>
      </c>
      <c r="J98" s="94">
        <f>IF('FY22-23'!$S98&gt;0,'FY22-23'!J98/'FY22-23'!$S98*'Multi-Year'!$P98,0)+IF('FY22-23'!$S98&lt;0,'FY22-23'!J98/'FY22-23'!$S98*'Multi-Year'!$P98,0)</f>
        <v>328099.2870835549</v>
      </c>
      <c r="K98" s="94">
        <f>IF('FY22-23'!$S98&gt;0,'FY22-23'!K98/'FY22-23'!$S98*'Multi-Year'!$P98,0)+IF('FY22-23'!$S98&lt;0,'FY22-23'!K98/'FY22-23'!$S98*'Multi-Year'!$P98,0)</f>
        <v>328099.2870835549</v>
      </c>
      <c r="L98" s="94">
        <f>IF('FY22-23'!$S98&gt;0,'FY22-23'!L98/'FY22-23'!$S98*'Multi-Year'!$P98,0)+IF('FY22-23'!$S98&lt;0,'FY22-23'!L98/'FY22-23'!$S98*'Multi-Year'!$P98,0)</f>
        <v>328099.2870835549</v>
      </c>
      <c r="M98" s="94">
        <f>IF('FY22-23'!$S98&gt;0,'FY22-23'!M98/'FY22-23'!$S98*'Multi-Year'!$P98,0)+IF('FY22-23'!$S98&lt;0,'FY22-23'!M98/'FY22-23'!$S98*'Multi-Year'!$P98,0)</f>
        <v>328099.2870835549</v>
      </c>
      <c r="N98" s="94">
        <f>IF('FY22-23'!$S98&gt;0,'FY22-23'!N98/'FY22-23'!$S98*'Multi-Year'!$P98,0)+IF('FY22-23'!$S98&lt;0,'FY22-23'!N98/'FY22-23'!$S98*'Multi-Year'!$P98,0)</f>
        <v>328099.2870835549</v>
      </c>
      <c r="O98" s="94">
        <f>IF('FY22-23'!$S98&gt;0,'FY22-23'!O98/'FY22-23'!$S98*'Multi-Year'!$P98,0)+IF('FY22-23'!$S98&lt;0,'FY22-23'!O98/'FY22-23'!$S98*'Multi-Year'!$P98,0)</f>
        <v>328099.2870835549</v>
      </c>
      <c r="P98" s="94">
        <f>IF('FY22-23'!$S98&gt;0,'FY22-23'!P98/'FY22-23'!$S98*'Multi-Year'!$P98,0)+IF('FY22-23'!$S98&lt;0,'FY22-23'!P98/'FY22-23'!$S98*'Multi-Year'!$P98,0)</f>
        <v>328099.2870835549</v>
      </c>
      <c r="Q98" s="606">
        <f>IF('FY22-23'!$S98&gt;0,'FY22-23'!Q98/'FY22-23'!$S98*'Multi-Year'!$P98,0)+IF('FY22-23'!$S98&lt;0,'FY22-23'!Q98/'FY22-23'!$S98*'Multi-Year'!$P98,0)</f>
        <v>0</v>
      </c>
      <c r="R98" s="94"/>
      <c r="S98" s="625">
        <f t="shared" ref="S98" si="38">SUM(E98:Q98)</f>
        <v>3937191.4450026597</v>
      </c>
      <c r="T98" s="94"/>
      <c r="U98" s="94">
        <f>'FY22-23'!S98</f>
        <v>3748005.7472188286</v>
      </c>
      <c r="V98" s="94">
        <f t="shared" ref="V98" si="39">U98-S98</f>
        <v>-189185.69778383104</v>
      </c>
    </row>
    <row r="99" spans="1:22" s="95" customFormat="1" ht="12" customHeight="1">
      <c r="A99" s="124"/>
      <c r="B99" s="124" t="s">
        <v>186</v>
      </c>
      <c r="C99" s="126"/>
      <c r="D99" s="126"/>
      <c r="E99" s="215">
        <f>SUM(E92:E98)</f>
        <v>378884.10967058182</v>
      </c>
      <c r="F99" s="215">
        <f t="shared" ref="F99:Q99" si="40">SUM(F92:F98)</f>
        <v>407689.74205949053</v>
      </c>
      <c r="G99" s="215">
        <f t="shared" si="40"/>
        <v>487914.09714010503</v>
      </c>
      <c r="H99" s="215">
        <f t="shared" si="40"/>
        <v>876520.09771542437</v>
      </c>
      <c r="I99" s="215">
        <f t="shared" si="40"/>
        <v>832984.32925376308</v>
      </c>
      <c r="J99" s="215">
        <f t="shared" si="40"/>
        <v>770696.54585878004</v>
      </c>
      <c r="K99" s="215">
        <f t="shared" si="40"/>
        <v>990439.1377751067</v>
      </c>
      <c r="L99" s="215">
        <f t="shared" si="40"/>
        <v>812817.65174756444</v>
      </c>
      <c r="M99" s="215">
        <f t="shared" si="40"/>
        <v>823699.32472200191</v>
      </c>
      <c r="N99" s="215">
        <f t="shared" si="40"/>
        <v>852535.67505073512</v>
      </c>
      <c r="O99" s="215">
        <f t="shared" si="40"/>
        <v>829407.59356288938</v>
      </c>
      <c r="P99" s="215">
        <f t="shared" si="40"/>
        <v>1695350.7783818012</v>
      </c>
      <c r="Q99" s="603">
        <f t="shared" si="40"/>
        <v>0</v>
      </c>
      <c r="R99" s="94"/>
      <c r="S99" s="626">
        <f>SUM(E99:R99)</f>
        <v>9758939.0829382427</v>
      </c>
      <c r="T99" s="113">
        <f>SUM(T92:T98)</f>
        <v>0</v>
      </c>
      <c r="U99" s="216">
        <f>SUM(U92:U98)</f>
        <v>9181367.4530642033</v>
      </c>
      <c r="V99" s="216">
        <f>SUM(V92:V98)</f>
        <v>-577571.62987404177</v>
      </c>
    </row>
    <row r="100" spans="1:22" s="95" customFormat="1" ht="12" customHeight="1">
      <c r="A100" s="124"/>
      <c r="B100" s="124" t="s">
        <v>286</v>
      </c>
      <c r="C100" s="126"/>
      <c r="D100" s="126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606"/>
      <c r="R100" s="94"/>
      <c r="S100" s="627"/>
      <c r="T100" s="94"/>
      <c r="U100" s="94"/>
      <c r="V100" s="94"/>
    </row>
    <row r="101" spans="1:22" s="95" customFormat="1" ht="12" customHeight="1">
      <c r="A101" s="124"/>
      <c r="B101" s="124" t="s">
        <v>186</v>
      </c>
      <c r="C101" s="102">
        <v>5201</v>
      </c>
      <c r="D101" s="127" t="s">
        <v>144</v>
      </c>
      <c r="E101" s="94">
        <f>IF('FY22-23'!$S101&gt;0,'FY22-23'!E101/'FY22-23'!$S101*'Multi-Year'!$P101,0)+IF('FY22-23'!$S101&lt;0,'FY22-23'!E101/'FY22-23'!$S101*'Multi-Year'!$P101,0)</f>
        <v>0</v>
      </c>
      <c r="F101" s="94">
        <f>IF('FY22-23'!$S101&gt;0,'FY22-23'!F101/'FY22-23'!$S101*'Multi-Year'!$P101,0)+IF('FY22-23'!$S101&lt;0,'FY22-23'!F101/'FY22-23'!$S101*'Multi-Year'!$P101,0)</f>
        <v>623.89808719259963</v>
      </c>
      <c r="G101" s="94">
        <f>IF('FY22-23'!$S101&gt;0,'FY22-23'!G101/'FY22-23'!$S101*'Multi-Year'!$P101,0)+IF('FY22-23'!$S101&lt;0,'FY22-23'!G101/'FY22-23'!$S101*'Multi-Year'!$P101,0)</f>
        <v>184.42628684241916</v>
      </c>
      <c r="H101" s="94">
        <f>IF('FY22-23'!$S101&gt;0,'FY22-23'!H101/'FY22-23'!$S101*'Multi-Year'!$P101,0)+IF('FY22-23'!$S101&lt;0,'FY22-23'!H101/'FY22-23'!$S101*'Multi-Year'!$P101,0)</f>
        <v>0</v>
      </c>
      <c r="I101" s="94">
        <f>IF('FY22-23'!$S101&gt;0,'FY22-23'!I101/'FY22-23'!$S101*'Multi-Year'!$P101,0)+IF('FY22-23'!$S101&lt;0,'FY22-23'!I101/'FY22-23'!$S101*'Multi-Year'!$P101,0)</f>
        <v>5829.4795296666534</v>
      </c>
      <c r="J101" s="94">
        <f>IF('FY22-23'!$S101&gt;0,'FY22-23'!J101/'FY22-23'!$S101*'Multi-Year'!$P101,0)+IF('FY22-23'!$S101&lt;0,'FY22-23'!J101/'FY22-23'!$S101*'Multi-Year'!$P101,0)</f>
        <v>-258.09476439032062</v>
      </c>
      <c r="K101" s="94">
        <f>IF('FY22-23'!$S101&gt;0,'FY22-23'!K101/'FY22-23'!$S101*'Multi-Year'!$P101,0)+IF('FY22-23'!$S101&lt;0,'FY22-23'!K101/'FY22-23'!$S101*'Multi-Year'!$P101,0)</f>
        <v>734.34741196203356</v>
      </c>
      <c r="L101" s="94">
        <f>IF('FY22-23'!$S101&gt;0,'FY22-23'!L101/'FY22-23'!$S101*'Multi-Year'!$P101,0)+IF('FY22-23'!$S101&lt;0,'FY22-23'!L101/'FY22-23'!$S101*'Multi-Year'!$P101,0)</f>
        <v>1530.7358078341942</v>
      </c>
      <c r="M101" s="94">
        <f>IF('FY22-23'!$S101&gt;0,'FY22-23'!M101/'FY22-23'!$S101*'Multi-Year'!$P101,0)+IF('FY22-23'!$S101&lt;0,'FY22-23'!M101/'FY22-23'!$S101*'Multi-Year'!$P101,0)</f>
        <v>2249.3386442275264</v>
      </c>
      <c r="N101" s="94">
        <f>IF('FY22-23'!$S101&gt;0,'FY22-23'!N101/'FY22-23'!$S101*'Multi-Year'!$P101,0)+IF('FY22-23'!$S101&lt;0,'FY22-23'!N101/'FY22-23'!$S101*'Multi-Year'!$P101,0)</f>
        <v>0</v>
      </c>
      <c r="O101" s="94">
        <f>IF('FY22-23'!$S101&gt;0,'FY22-23'!O101/'FY22-23'!$S101*'Multi-Year'!$P101,0)+IF('FY22-23'!$S101&lt;0,'FY22-23'!O101/'FY22-23'!$S101*'Multi-Year'!$P101,0)</f>
        <v>0</v>
      </c>
      <c r="P101" s="94">
        <f>IF('FY22-23'!$S101&gt;0,'FY22-23'!P101/'FY22-23'!$S101*'Multi-Year'!$P101,0)+IF('FY22-23'!$S101&lt;0,'FY22-23'!P101/'FY22-23'!$S101*'Multi-Year'!$P101,0)</f>
        <v>12208.868319663494</v>
      </c>
      <c r="Q101" s="606">
        <f>IF('FY22-23'!$S101&gt;0,'FY22-23'!Q101/'FY22-23'!$S101*'Multi-Year'!$P101,0)+IF('FY22-23'!$S101&lt;0,'FY22-23'!Q101/'FY22-23'!$S101*'Multi-Year'!$P101,0)</f>
        <v>0</v>
      </c>
      <c r="R101" s="94"/>
      <c r="S101" s="625">
        <f t="shared" ref="S101:S108" si="41">SUM(E101:Q101)</f>
        <v>23102.999322998599</v>
      </c>
      <c r="T101" s="94"/>
      <c r="U101" s="94">
        <f>'FY22-23'!S101</f>
        <v>21561.73019142832</v>
      </c>
      <c r="V101" s="94">
        <f t="shared" ref="V101:V108" si="42">U101-S101</f>
        <v>-1541.2691315702796</v>
      </c>
    </row>
    <row r="102" spans="1:22" s="95" customFormat="1" ht="12" customHeight="1">
      <c r="A102" s="124"/>
      <c r="B102" s="124" t="s">
        <v>186</v>
      </c>
      <c r="C102" s="102">
        <v>5300</v>
      </c>
      <c r="D102" s="127" t="s">
        <v>37</v>
      </c>
      <c r="E102" s="94">
        <f>IF('FY22-23'!$S102&gt;0,'FY22-23'!E102/'FY22-23'!$S102*'Multi-Year'!$P102,0)+IF('FY22-23'!$S102&lt;0,'FY22-23'!E102/'FY22-23'!$S102*'Multi-Year'!$P102,0)</f>
        <v>0</v>
      </c>
      <c r="F102" s="94">
        <f>IF('FY22-23'!$S102&gt;0,'FY22-23'!F102/'FY22-23'!$S102*'Multi-Year'!$P102,0)+IF('FY22-23'!$S102&lt;0,'FY22-23'!F102/'FY22-23'!$S102*'Multi-Year'!$P102,0)</f>
        <v>0</v>
      </c>
      <c r="G102" s="94">
        <f>IF('FY22-23'!$S102&gt;0,'FY22-23'!G102/'FY22-23'!$S102*'Multi-Year'!$P102,0)+IF('FY22-23'!$S102&lt;0,'FY22-23'!G102/'FY22-23'!$S102*'Multi-Year'!$P102,0)</f>
        <v>0</v>
      </c>
      <c r="H102" s="94">
        <f>IF('FY22-23'!$S102&gt;0,'FY22-23'!H102/'FY22-23'!$S102*'Multi-Year'!$P102,0)+IF('FY22-23'!$S102&lt;0,'FY22-23'!H102/'FY22-23'!$S102*'Multi-Year'!$P102,0)</f>
        <v>0</v>
      </c>
      <c r="I102" s="94">
        <f>IF('FY22-23'!$S102&gt;0,'FY22-23'!I102/'FY22-23'!$S102*'Multi-Year'!$P102,0)+IF('FY22-23'!$S102&lt;0,'FY22-23'!I102/'FY22-23'!$S102*'Multi-Year'!$P102,0)</f>
        <v>0</v>
      </c>
      <c r="J102" s="94">
        <f>IF('FY22-23'!$S102&gt;0,'FY22-23'!J102/'FY22-23'!$S102*'Multi-Year'!$P102,0)+IF('FY22-23'!$S102&lt;0,'FY22-23'!J102/'FY22-23'!$S102*'Multi-Year'!$P102,0)</f>
        <v>0</v>
      </c>
      <c r="K102" s="94">
        <f>IF('FY22-23'!$S102&gt;0,'FY22-23'!K102/'FY22-23'!$S102*'Multi-Year'!$P102,0)+IF('FY22-23'!$S102&lt;0,'FY22-23'!K102/'FY22-23'!$S102*'Multi-Year'!$P102,0)</f>
        <v>0</v>
      </c>
      <c r="L102" s="94">
        <f>IF('FY22-23'!$S102&gt;0,'FY22-23'!L102/'FY22-23'!$S102*'Multi-Year'!$P102,0)+IF('FY22-23'!$S102&lt;0,'FY22-23'!L102/'FY22-23'!$S102*'Multi-Year'!$P102,0)</f>
        <v>0</v>
      </c>
      <c r="M102" s="94">
        <f>IF('FY22-23'!$S102&gt;0,'FY22-23'!M102/'FY22-23'!$S102*'Multi-Year'!$P102,0)+IF('FY22-23'!$S102&lt;0,'FY22-23'!M102/'FY22-23'!$S102*'Multi-Year'!$P102,0)</f>
        <v>0</v>
      </c>
      <c r="N102" s="94">
        <f>IF('FY22-23'!$S102&gt;0,'FY22-23'!N102/'FY22-23'!$S102*'Multi-Year'!$P102,0)+IF('FY22-23'!$S102&lt;0,'FY22-23'!N102/'FY22-23'!$S102*'Multi-Year'!$P102,0)</f>
        <v>0</v>
      </c>
      <c r="O102" s="94">
        <f>IF('FY22-23'!$S102&gt;0,'FY22-23'!O102/'FY22-23'!$S102*'Multi-Year'!$P102,0)+IF('FY22-23'!$S102&lt;0,'FY22-23'!O102/'FY22-23'!$S102*'Multi-Year'!$P102,0)</f>
        <v>0</v>
      </c>
      <c r="P102" s="94">
        <f>IF('FY22-23'!$S102&gt;0,'FY22-23'!P102/'FY22-23'!$S102*'Multi-Year'!$P102,0)+IF('FY22-23'!$S102&lt;0,'FY22-23'!P102/'FY22-23'!$S102*'Multi-Year'!$P102,0)</f>
        <v>0</v>
      </c>
      <c r="Q102" s="606">
        <f>IF('FY22-23'!$S102&gt;0,'FY22-23'!Q102/'FY22-23'!$S102*'Multi-Year'!$P102,0)+IF('FY22-23'!$S102&lt;0,'FY22-23'!Q102/'FY22-23'!$S102*'Multi-Year'!$P102,0)</f>
        <v>0</v>
      </c>
      <c r="R102" s="94"/>
      <c r="S102" s="625">
        <f t="shared" si="41"/>
        <v>0</v>
      </c>
      <c r="T102" s="94"/>
      <c r="U102" s="94">
        <f>'FY22-23'!S102</f>
        <v>0</v>
      </c>
      <c r="V102" s="94">
        <f t="shared" si="42"/>
        <v>0</v>
      </c>
    </row>
    <row r="103" spans="1:22" s="95" customFormat="1" ht="12" customHeight="1">
      <c r="A103" s="124"/>
      <c r="B103" s="124" t="s">
        <v>186</v>
      </c>
      <c r="C103" s="102">
        <v>5400</v>
      </c>
      <c r="D103" s="127" t="s">
        <v>38</v>
      </c>
      <c r="E103" s="94">
        <f>IF('FY22-23'!$S103&gt;0,'FY22-23'!E103/'FY22-23'!$S103*'Multi-Year'!$P103,0)+IF('FY22-23'!$S103&lt;0,'FY22-23'!E103/'FY22-23'!$S103*'Multi-Year'!$P103,0)</f>
        <v>0</v>
      </c>
      <c r="F103" s="94">
        <f>IF('FY22-23'!$S103&gt;0,'FY22-23'!F103/'FY22-23'!$S103*'Multi-Year'!$P103,0)+IF('FY22-23'!$S103&lt;0,'FY22-23'!F103/'FY22-23'!$S103*'Multi-Year'!$P103,0)</f>
        <v>3075.8754700319173</v>
      </c>
      <c r="G103" s="94">
        <f>IF('FY22-23'!$S103&gt;0,'FY22-23'!G103/'FY22-23'!$S103*'Multi-Year'!$P103,0)+IF('FY22-23'!$S103&lt;0,'FY22-23'!G103/'FY22-23'!$S103*'Multi-Year'!$P103,0)</f>
        <v>1537.9377350159587</v>
      </c>
      <c r="H103" s="94">
        <f>IF('FY22-23'!$S103&gt;0,'FY22-23'!H103/'FY22-23'!$S103*'Multi-Year'!$P103,0)+IF('FY22-23'!$S103&lt;0,'FY22-23'!H103/'FY22-23'!$S103*'Multi-Year'!$P103,0)</f>
        <v>1537.9377350159587</v>
      </c>
      <c r="I103" s="94">
        <f>IF('FY22-23'!$S103&gt;0,'FY22-23'!I103/'FY22-23'!$S103*'Multi-Year'!$P103,0)+IF('FY22-23'!$S103&lt;0,'FY22-23'!I103/'FY22-23'!$S103*'Multi-Year'!$P103,0)</f>
        <v>1537.9377350159587</v>
      </c>
      <c r="J103" s="94">
        <f>IF('FY22-23'!$S103&gt;0,'FY22-23'!J103/'FY22-23'!$S103*'Multi-Year'!$P103,0)+IF('FY22-23'!$S103&lt;0,'FY22-23'!J103/'FY22-23'!$S103*'Multi-Year'!$P103,0)</f>
        <v>1537.9377350159587</v>
      </c>
      <c r="K103" s="94">
        <f>IF('FY22-23'!$S103&gt;0,'FY22-23'!K103/'FY22-23'!$S103*'Multi-Year'!$P103,0)+IF('FY22-23'!$S103&lt;0,'FY22-23'!K103/'FY22-23'!$S103*'Multi-Year'!$P103,0)</f>
        <v>1537.9377350159587</v>
      </c>
      <c r="L103" s="94">
        <f>IF('FY22-23'!$S103&gt;0,'FY22-23'!L103/'FY22-23'!$S103*'Multi-Year'!$P103,0)+IF('FY22-23'!$S103&lt;0,'FY22-23'!L103/'FY22-23'!$S103*'Multi-Year'!$P103,0)</f>
        <v>1537.9377350159587</v>
      </c>
      <c r="M103" s="94">
        <f>IF('FY22-23'!$S103&gt;0,'FY22-23'!M103/'FY22-23'!$S103*'Multi-Year'!$P103,0)+IF('FY22-23'!$S103&lt;0,'FY22-23'!M103/'FY22-23'!$S103*'Multi-Year'!$P103,0)</f>
        <v>5871.884287076251</v>
      </c>
      <c r="N103" s="94">
        <f>IF('FY22-23'!$S103&gt;0,'FY22-23'!N103/'FY22-23'!$S103*'Multi-Year'!$P103,0)+IF('FY22-23'!$S103&lt;0,'FY22-23'!N103/'FY22-23'!$S103*'Multi-Year'!$P103,0)</f>
        <v>27061.211723506796</v>
      </c>
      <c r="O103" s="94">
        <f>IF('FY22-23'!$S103&gt;0,'FY22-23'!O103/'FY22-23'!$S103*'Multi-Year'!$P103,0)+IF('FY22-23'!$S103&lt;0,'FY22-23'!O103/'FY22-23'!$S103*'Multi-Year'!$P103,0)</f>
        <v>81814.236863738857</v>
      </c>
      <c r="P103" s="94">
        <f>IF('FY22-23'!$S103&gt;0,'FY22-23'!P103/'FY22-23'!$S103*'Multi-Year'!$P103,0)+IF('FY22-23'!$S103&lt;0,'FY22-23'!P103/'FY22-23'!$S103*'Multi-Year'!$P103,0)</f>
        <v>31631.267585150472</v>
      </c>
      <c r="Q103" s="606">
        <f>IF('FY22-23'!$S103&gt;0,'FY22-23'!Q103/'FY22-23'!$S103*'Multi-Year'!$P103,0)+IF('FY22-23'!$S103&lt;0,'FY22-23'!Q103/'FY22-23'!$S103*'Multi-Year'!$P103,0)</f>
        <v>0</v>
      </c>
      <c r="R103" s="94"/>
      <c r="S103" s="625">
        <f t="shared" si="41"/>
        <v>158682.10233960004</v>
      </c>
      <c r="T103" s="94"/>
      <c r="U103" s="94">
        <f>'FY22-23'!S103</f>
        <v>148095.95191603858</v>
      </c>
      <c r="V103" s="94">
        <f t="shared" si="42"/>
        <v>-10586.150423561456</v>
      </c>
    </row>
    <row r="104" spans="1:22" s="95" customFormat="1" ht="12" customHeight="1">
      <c r="A104" s="124"/>
      <c r="B104" s="124" t="s">
        <v>186</v>
      </c>
      <c r="C104" s="102">
        <v>5501</v>
      </c>
      <c r="D104" s="127" t="s">
        <v>101</v>
      </c>
      <c r="E104" s="94">
        <f>IF('FY22-23'!$S104&gt;0,'FY22-23'!E104/'FY22-23'!$S104*'Multi-Year'!$P104,0)+IF('FY22-23'!$S104&lt;0,'FY22-23'!E104/'FY22-23'!$S104*'Multi-Year'!$P104,0)</f>
        <v>183.8923713182356</v>
      </c>
      <c r="F104" s="94">
        <f>IF('FY22-23'!$S104&gt;0,'FY22-23'!F104/'FY22-23'!$S104*'Multi-Year'!$P104,0)+IF('FY22-23'!$S104&lt;0,'FY22-23'!F104/'FY22-23'!$S104*'Multi-Year'!$P104,0)</f>
        <v>0</v>
      </c>
      <c r="G104" s="94">
        <f>IF('FY22-23'!$S104&gt;0,'FY22-23'!G104/'FY22-23'!$S104*'Multi-Year'!$P104,0)+IF('FY22-23'!$S104&lt;0,'FY22-23'!G104/'FY22-23'!$S104*'Multi-Year'!$P104,0)</f>
        <v>0</v>
      </c>
      <c r="H104" s="94">
        <f>IF('FY22-23'!$S104&gt;0,'FY22-23'!H104/'FY22-23'!$S104*'Multi-Year'!$P104,0)+IF('FY22-23'!$S104&lt;0,'FY22-23'!H104/'FY22-23'!$S104*'Multi-Year'!$P104,0)</f>
        <v>0</v>
      </c>
      <c r="I104" s="94">
        <f>IF('FY22-23'!$S104&gt;0,'FY22-23'!I104/'FY22-23'!$S104*'Multi-Year'!$P104,0)+IF('FY22-23'!$S104&lt;0,'FY22-23'!I104/'FY22-23'!$S104*'Multi-Year'!$P104,0)</f>
        <v>0</v>
      </c>
      <c r="J104" s="94">
        <f>IF('FY22-23'!$S104&gt;0,'FY22-23'!J104/'FY22-23'!$S104*'Multi-Year'!$P104,0)+IF('FY22-23'!$S104&lt;0,'FY22-23'!J104/'FY22-23'!$S104*'Multi-Year'!$P104,0)</f>
        <v>0</v>
      </c>
      <c r="K104" s="94">
        <f>IF('FY22-23'!$S104&gt;0,'FY22-23'!K104/'FY22-23'!$S104*'Multi-Year'!$P104,0)+IF('FY22-23'!$S104&lt;0,'FY22-23'!K104/'FY22-23'!$S104*'Multi-Year'!$P104,0)</f>
        <v>0</v>
      </c>
      <c r="L104" s="94">
        <f>IF('FY22-23'!$S104&gt;0,'FY22-23'!L104/'FY22-23'!$S104*'Multi-Year'!$P104,0)+IF('FY22-23'!$S104&lt;0,'FY22-23'!L104/'FY22-23'!$S104*'Multi-Year'!$P104,0)</f>
        <v>0</v>
      </c>
      <c r="M104" s="94">
        <f>IF('FY22-23'!$S104&gt;0,'FY22-23'!M104/'FY22-23'!$S104*'Multi-Year'!$P104,0)+IF('FY22-23'!$S104&lt;0,'FY22-23'!M104/'FY22-23'!$S104*'Multi-Year'!$P104,0)</f>
        <v>0</v>
      </c>
      <c r="N104" s="94">
        <f>IF('FY22-23'!$S104&gt;0,'FY22-23'!N104/'FY22-23'!$S104*'Multi-Year'!$P104,0)+IF('FY22-23'!$S104&lt;0,'FY22-23'!N104/'FY22-23'!$S104*'Multi-Year'!$P104,0)</f>
        <v>0</v>
      </c>
      <c r="O104" s="94">
        <f>IF('FY22-23'!$S104&gt;0,'FY22-23'!O104/'FY22-23'!$S104*'Multi-Year'!$P104,0)+IF('FY22-23'!$S104&lt;0,'FY22-23'!O104/'FY22-23'!$S104*'Multi-Year'!$P104,0)</f>
        <v>0</v>
      </c>
      <c r="P104" s="94">
        <f>IF('FY22-23'!$S104&gt;0,'FY22-23'!P104/'FY22-23'!$S104*'Multi-Year'!$P104,0)+IF('FY22-23'!$S104&lt;0,'FY22-23'!P104/'FY22-23'!$S104*'Multi-Year'!$P104,0)</f>
        <v>0</v>
      </c>
      <c r="Q104" s="606">
        <f>IF('FY22-23'!$S104&gt;0,'FY22-23'!Q104/'FY22-23'!$S104*'Multi-Year'!$P104,0)+IF('FY22-23'!$S104&lt;0,'FY22-23'!Q104/'FY22-23'!$S104*'Multi-Year'!$P104,0)</f>
        <v>0</v>
      </c>
      <c r="R104" s="94"/>
      <c r="S104" s="625">
        <f t="shared" si="41"/>
        <v>183.8923713182356</v>
      </c>
      <c r="T104" s="94"/>
      <c r="U104" s="94">
        <f>'FY22-23'!S104</f>
        <v>171.62436959770102</v>
      </c>
      <c r="V104" s="94">
        <f t="shared" si="42"/>
        <v>-12.268001720534585</v>
      </c>
    </row>
    <row r="105" spans="1:22" s="95" customFormat="1" ht="12" customHeight="1">
      <c r="A105" s="124"/>
      <c r="B105" s="124" t="s">
        <v>186</v>
      </c>
      <c r="C105" s="102">
        <v>5502</v>
      </c>
      <c r="D105" s="127" t="s">
        <v>514</v>
      </c>
      <c r="E105" s="94">
        <f>IF('FY22-23'!$S105&gt;0,'FY22-23'!E105/'FY22-23'!$S105*'Multi-Year'!$P105,0)+IF('FY22-23'!$S105&lt;0,'FY22-23'!E105/'FY22-23'!$S105*'Multi-Year'!$P105,0)</f>
        <v>0</v>
      </c>
      <c r="F105" s="94">
        <f>IF('FY22-23'!$S105&gt;0,'FY22-23'!F105/'FY22-23'!$S105*'Multi-Year'!$P105,0)+IF('FY22-23'!$S105&lt;0,'FY22-23'!F105/'FY22-23'!$S105*'Multi-Year'!$P105,0)</f>
        <v>700.02257615174528</v>
      </c>
      <c r="G105" s="94">
        <f>IF('FY22-23'!$S105&gt;0,'FY22-23'!G105/'FY22-23'!$S105*'Multi-Year'!$P105,0)+IF('FY22-23'!$S105&lt;0,'FY22-23'!G105/'FY22-23'!$S105*'Multi-Year'!$P105,0)</f>
        <v>593.23947131503837</v>
      </c>
      <c r="H105" s="94">
        <f>IF('FY22-23'!$S105&gt;0,'FY22-23'!H105/'FY22-23'!$S105*'Multi-Year'!$P105,0)+IF('FY22-23'!$S105&lt;0,'FY22-23'!H105/'FY22-23'!$S105*'Multi-Year'!$P105,0)</f>
        <v>0</v>
      </c>
      <c r="I105" s="94">
        <f>IF('FY22-23'!$S105&gt;0,'FY22-23'!I105/'FY22-23'!$S105*'Multi-Year'!$P105,0)+IF('FY22-23'!$S105&lt;0,'FY22-23'!I105/'FY22-23'!$S105*'Multi-Year'!$P105,0)</f>
        <v>990.70991709611405</v>
      </c>
      <c r="J105" s="94">
        <f>IF('FY22-23'!$S105&gt;0,'FY22-23'!J105/'FY22-23'!$S105*'Multi-Year'!$P105,0)+IF('FY22-23'!$S105&lt;0,'FY22-23'!J105/'FY22-23'!$S105*'Multi-Year'!$P105,0)</f>
        <v>0</v>
      </c>
      <c r="K105" s="94">
        <f>IF('FY22-23'!$S105&gt;0,'FY22-23'!K105/'FY22-23'!$S105*'Multi-Year'!$P105,0)+IF('FY22-23'!$S105&lt;0,'FY22-23'!K105/'FY22-23'!$S105*'Multi-Year'!$P105,0)</f>
        <v>0</v>
      </c>
      <c r="L105" s="94">
        <f>IF('FY22-23'!$S105&gt;0,'FY22-23'!L105/'FY22-23'!$S105*'Multi-Year'!$P105,0)+IF('FY22-23'!$S105&lt;0,'FY22-23'!L105/'FY22-23'!$S105*'Multi-Year'!$P105,0)</f>
        <v>41.526762992052689</v>
      </c>
      <c r="M105" s="94">
        <f>IF('FY22-23'!$S105&gt;0,'FY22-23'!M105/'FY22-23'!$S105*'Multi-Year'!$P105,0)+IF('FY22-23'!$S105&lt;0,'FY22-23'!M105/'FY22-23'!$S105*'Multi-Year'!$P105,0)</f>
        <v>0</v>
      </c>
      <c r="N105" s="94">
        <f>IF('FY22-23'!$S105&gt;0,'FY22-23'!N105/'FY22-23'!$S105*'Multi-Year'!$P105,0)+IF('FY22-23'!$S105&lt;0,'FY22-23'!N105/'FY22-23'!$S105*'Multi-Year'!$P105,0)</f>
        <v>41.526762992052689</v>
      </c>
      <c r="O105" s="94">
        <f>IF('FY22-23'!$S105&gt;0,'FY22-23'!O105/'FY22-23'!$S105*'Multi-Year'!$P105,0)+IF('FY22-23'!$S105&lt;0,'FY22-23'!O105/'FY22-23'!$S105*'Multi-Year'!$P105,0)</f>
        <v>0</v>
      </c>
      <c r="P105" s="94">
        <f>IF('FY22-23'!$S105&gt;0,'FY22-23'!P105/'FY22-23'!$S105*'Multi-Year'!$P105,0)+IF('FY22-23'!$S105&lt;0,'FY22-23'!P105/'FY22-23'!$S105*'Multi-Year'!$P105,0)</f>
        <v>0</v>
      </c>
      <c r="Q105" s="606">
        <f>IF('FY22-23'!$S105&gt;0,'FY22-23'!Q105/'FY22-23'!$S105*'Multi-Year'!$P105,0)+IF('FY22-23'!$S105&lt;0,'FY22-23'!Q105/'FY22-23'!$S105*'Multi-Year'!$P105,0)</f>
        <v>0</v>
      </c>
      <c r="R105" s="94"/>
      <c r="S105" s="625">
        <f>SUM(E105:Q105)</f>
        <v>2367.0254905470033</v>
      </c>
      <c r="T105" s="94"/>
      <c r="U105" s="94">
        <f>'FY22-23'!S105</f>
        <v>2209.1142483219146</v>
      </c>
      <c r="V105" s="94">
        <f>U105-S105</f>
        <v>-157.9112422250887</v>
      </c>
    </row>
    <row r="106" spans="1:22" s="95" customFormat="1" ht="12" customHeight="1">
      <c r="A106" s="124"/>
      <c r="B106" s="124" t="s">
        <v>186</v>
      </c>
      <c r="C106" s="102">
        <v>5516</v>
      </c>
      <c r="D106" s="127" t="s">
        <v>103</v>
      </c>
      <c r="E106" s="94">
        <f>IF('FY22-23'!$S106&gt;0,'FY22-23'!E106/'FY22-23'!$S106*'Multi-Year'!$P106,0)+IF('FY22-23'!$S106&lt;0,'FY22-23'!E106/'FY22-23'!$S106*'Multi-Year'!$P106,0)</f>
        <v>0</v>
      </c>
      <c r="F106" s="94">
        <f>IF('FY22-23'!$S106&gt;0,'FY22-23'!F106/'FY22-23'!$S106*'Multi-Year'!$P106,0)+IF('FY22-23'!$S106&lt;0,'FY22-23'!F106/'FY22-23'!$S106*'Multi-Year'!$P106,0)</f>
        <v>0</v>
      </c>
      <c r="G106" s="94">
        <f>IF('FY22-23'!$S106&gt;0,'FY22-23'!G106/'FY22-23'!$S106*'Multi-Year'!$P106,0)+IF('FY22-23'!$S106&lt;0,'FY22-23'!G106/'FY22-23'!$S106*'Multi-Year'!$P106,0)</f>
        <v>0</v>
      </c>
      <c r="H106" s="94">
        <f>IF('FY22-23'!$S106&gt;0,'FY22-23'!H106/'FY22-23'!$S106*'Multi-Year'!$P106,0)+IF('FY22-23'!$S106&lt;0,'FY22-23'!H106/'FY22-23'!$S106*'Multi-Year'!$P106,0)</f>
        <v>0</v>
      </c>
      <c r="I106" s="94">
        <f>IF('FY22-23'!$S106&gt;0,'FY22-23'!I106/'FY22-23'!$S106*'Multi-Year'!$P106,0)+IF('FY22-23'!$S106&lt;0,'FY22-23'!I106/'FY22-23'!$S106*'Multi-Year'!$P106,0)</f>
        <v>0</v>
      </c>
      <c r="J106" s="94">
        <f>IF('FY22-23'!$S106&gt;0,'FY22-23'!J106/'FY22-23'!$S106*'Multi-Year'!$P106,0)+IF('FY22-23'!$S106&lt;0,'FY22-23'!J106/'FY22-23'!$S106*'Multi-Year'!$P106,0)</f>
        <v>0</v>
      </c>
      <c r="K106" s="94">
        <f>IF('FY22-23'!$S106&gt;0,'FY22-23'!K106/'FY22-23'!$S106*'Multi-Year'!$P106,0)+IF('FY22-23'!$S106&lt;0,'FY22-23'!K106/'FY22-23'!$S106*'Multi-Year'!$P106,0)</f>
        <v>0</v>
      </c>
      <c r="L106" s="94">
        <f>IF('FY22-23'!$S106&gt;0,'FY22-23'!L106/'FY22-23'!$S106*'Multi-Year'!$P106,0)+IF('FY22-23'!$S106&lt;0,'FY22-23'!L106/'FY22-23'!$S106*'Multi-Year'!$P106,0)</f>
        <v>0</v>
      </c>
      <c r="M106" s="94">
        <f>IF('FY22-23'!$S106&gt;0,'FY22-23'!M106/'FY22-23'!$S106*'Multi-Year'!$P106,0)+IF('FY22-23'!$S106&lt;0,'FY22-23'!M106/'FY22-23'!$S106*'Multi-Year'!$P106,0)</f>
        <v>0</v>
      </c>
      <c r="N106" s="94">
        <f>IF('FY22-23'!$S106&gt;0,'FY22-23'!N106/'FY22-23'!$S106*'Multi-Year'!$P106,0)+IF('FY22-23'!$S106&lt;0,'FY22-23'!N106/'FY22-23'!$S106*'Multi-Year'!$P106,0)</f>
        <v>0</v>
      </c>
      <c r="O106" s="94">
        <f>IF('FY22-23'!$S106&gt;0,'FY22-23'!O106/'FY22-23'!$S106*'Multi-Year'!$P106,0)+IF('FY22-23'!$S106&lt;0,'FY22-23'!O106/'FY22-23'!$S106*'Multi-Year'!$P106,0)</f>
        <v>0</v>
      </c>
      <c r="P106" s="94">
        <f>IF('FY22-23'!$S106&gt;0,'FY22-23'!P106/'FY22-23'!$S106*'Multi-Year'!$P106,0)+IF('FY22-23'!$S106&lt;0,'FY22-23'!P106/'FY22-23'!$S106*'Multi-Year'!$P106,0)</f>
        <v>0</v>
      </c>
      <c r="Q106" s="606">
        <f>IF('FY22-23'!$S106&gt;0,'FY22-23'!Q106/'FY22-23'!$S106*'Multi-Year'!$P106,0)+IF('FY22-23'!$S106&lt;0,'FY22-23'!Q106/'FY22-23'!$S106*'Multi-Year'!$P106,0)</f>
        <v>0</v>
      </c>
      <c r="R106" s="94"/>
      <c r="S106" s="625">
        <f t="shared" si="41"/>
        <v>0</v>
      </c>
      <c r="T106" s="94"/>
      <c r="U106" s="94">
        <f>'FY22-23'!S106</f>
        <v>0</v>
      </c>
      <c r="V106" s="94">
        <f t="shared" si="42"/>
        <v>0</v>
      </c>
    </row>
    <row r="107" spans="1:22" s="95" customFormat="1" ht="12" customHeight="1">
      <c r="A107" s="124"/>
      <c r="B107" s="124"/>
      <c r="C107" s="102">
        <v>5531</v>
      </c>
      <c r="D107" s="127" t="s">
        <v>313</v>
      </c>
      <c r="E107" s="94">
        <f>IF('FY22-23'!$S107&gt;0,'FY22-23'!E107/'FY22-23'!$S107*'Multi-Year'!$P107,0)+IF('FY22-23'!$S107&lt;0,'FY22-23'!E107/'FY22-23'!$S107*'Multi-Year'!$P107,0)</f>
        <v>0</v>
      </c>
      <c r="F107" s="94">
        <f>IF('FY22-23'!$S107&gt;0,'FY22-23'!F107/'FY22-23'!$S107*'Multi-Year'!$P107,0)+IF('FY22-23'!$S107&lt;0,'FY22-23'!F107/'FY22-23'!$S107*'Multi-Year'!$P107,0)</f>
        <v>0</v>
      </c>
      <c r="G107" s="94">
        <f>IF('FY22-23'!$S107&gt;0,'FY22-23'!G107/'FY22-23'!$S107*'Multi-Year'!$P107,0)+IF('FY22-23'!$S107&lt;0,'FY22-23'!G107/'FY22-23'!$S107*'Multi-Year'!$P107,0)</f>
        <v>0</v>
      </c>
      <c r="H107" s="94">
        <f>IF('FY22-23'!$S107&gt;0,'FY22-23'!H107/'FY22-23'!$S107*'Multi-Year'!$P107,0)+IF('FY22-23'!$S107&lt;0,'FY22-23'!H107/'FY22-23'!$S107*'Multi-Year'!$P107,0)</f>
        <v>0</v>
      </c>
      <c r="I107" s="94">
        <f>IF('FY22-23'!$S107&gt;0,'FY22-23'!I107/'FY22-23'!$S107*'Multi-Year'!$P107,0)+IF('FY22-23'!$S107&lt;0,'FY22-23'!I107/'FY22-23'!$S107*'Multi-Year'!$P107,0)</f>
        <v>0</v>
      </c>
      <c r="J107" s="94">
        <f>IF('FY22-23'!$S107&gt;0,'FY22-23'!J107/'FY22-23'!$S107*'Multi-Year'!$P107,0)+IF('FY22-23'!$S107&lt;0,'FY22-23'!J107/'FY22-23'!$S107*'Multi-Year'!$P107,0)</f>
        <v>0</v>
      </c>
      <c r="K107" s="94">
        <f>IF('FY22-23'!$S107&gt;0,'FY22-23'!K107/'FY22-23'!$S107*'Multi-Year'!$P107,0)+IF('FY22-23'!$S107&lt;0,'FY22-23'!K107/'FY22-23'!$S107*'Multi-Year'!$P107,0)</f>
        <v>0</v>
      </c>
      <c r="L107" s="94">
        <f>IF('FY22-23'!$S107&gt;0,'FY22-23'!L107/'FY22-23'!$S107*'Multi-Year'!$P107,0)+IF('FY22-23'!$S107&lt;0,'FY22-23'!L107/'FY22-23'!$S107*'Multi-Year'!$P107,0)</f>
        <v>0</v>
      </c>
      <c r="M107" s="94">
        <f>IF('FY22-23'!$S107&gt;0,'FY22-23'!M107/'FY22-23'!$S107*'Multi-Year'!$P107,0)+IF('FY22-23'!$S107&lt;0,'FY22-23'!M107/'FY22-23'!$S107*'Multi-Year'!$P107,0)</f>
        <v>0</v>
      </c>
      <c r="N107" s="94">
        <f>IF('FY22-23'!$S107&gt;0,'FY22-23'!N107/'FY22-23'!$S107*'Multi-Year'!$P107,0)+IF('FY22-23'!$S107&lt;0,'FY22-23'!N107/'FY22-23'!$S107*'Multi-Year'!$P107,0)</f>
        <v>0</v>
      </c>
      <c r="O107" s="94">
        <f>IF('FY22-23'!$S107&gt;0,'FY22-23'!O107/'FY22-23'!$S107*'Multi-Year'!$P107,0)+IF('FY22-23'!$S107&lt;0,'FY22-23'!O107/'FY22-23'!$S107*'Multi-Year'!$P107,0)</f>
        <v>0</v>
      </c>
      <c r="P107" s="94">
        <f>IF('FY22-23'!$S107&gt;0,'FY22-23'!P107/'FY22-23'!$S107*'Multi-Year'!$P107,0)+IF('FY22-23'!$S107&lt;0,'FY22-23'!P107/'FY22-23'!$S107*'Multi-Year'!$P107,0)</f>
        <v>0</v>
      </c>
      <c r="Q107" s="606">
        <f>IF('FY22-23'!$S107&gt;0,'FY22-23'!Q107/'FY22-23'!$S107*'Multi-Year'!$P107,0)+IF('FY22-23'!$S107&lt;0,'FY22-23'!Q107/'FY22-23'!$S107*'Multi-Year'!$P107,0)</f>
        <v>0</v>
      </c>
      <c r="R107" s="94"/>
      <c r="S107" s="625">
        <f t="shared" si="41"/>
        <v>0</v>
      </c>
      <c r="T107" s="94"/>
      <c r="U107" s="94">
        <f>'FY22-23'!S107</f>
        <v>0</v>
      </c>
      <c r="V107" s="94">
        <f t="shared" si="42"/>
        <v>0</v>
      </c>
    </row>
    <row r="108" spans="1:22" s="95" customFormat="1" ht="12" customHeight="1">
      <c r="A108" s="124"/>
      <c r="B108" s="124" t="s">
        <v>186</v>
      </c>
      <c r="C108" s="102">
        <v>5900</v>
      </c>
      <c r="D108" s="127" t="s">
        <v>104</v>
      </c>
      <c r="E108" s="94">
        <f>IF('FY22-23'!$S108&gt;0,'FY22-23'!E108/'FY22-23'!$S108*'Multi-Year'!$P108,0)+IF('FY22-23'!$S108&lt;0,'FY22-23'!E108/'FY22-23'!$S108*'Multi-Year'!$P108,0)</f>
        <v>0</v>
      </c>
      <c r="F108" s="94">
        <f>IF('FY22-23'!$S108&gt;0,'FY22-23'!F108/'FY22-23'!$S108*'Multi-Year'!$P108,0)+IF('FY22-23'!$S108&lt;0,'FY22-23'!F108/'FY22-23'!$S108*'Multi-Year'!$P108,0)</f>
        <v>384.18188162361895</v>
      </c>
      <c r="G108" s="94">
        <f>IF('FY22-23'!$S108&gt;0,'FY22-23'!G108/'FY22-23'!$S108*'Multi-Year'!$P108,0)+IF('FY22-23'!$S108&lt;0,'FY22-23'!G108/'FY22-23'!$S108*'Multi-Year'!$P108,0)</f>
        <v>384.18188162361895</v>
      </c>
      <c r="H108" s="94">
        <f>IF('FY22-23'!$S108&gt;0,'FY22-23'!H108/'FY22-23'!$S108*'Multi-Year'!$P108,0)+IF('FY22-23'!$S108&lt;0,'FY22-23'!H108/'FY22-23'!$S108*'Multi-Year'!$P108,0)</f>
        <v>0</v>
      </c>
      <c r="I108" s="94">
        <f>IF('FY22-23'!$S108&gt;0,'FY22-23'!I108/'FY22-23'!$S108*'Multi-Year'!$P108,0)+IF('FY22-23'!$S108&lt;0,'FY22-23'!I108/'FY22-23'!$S108*'Multi-Year'!$P108,0)</f>
        <v>0</v>
      </c>
      <c r="J108" s="94">
        <f>IF('FY22-23'!$S108&gt;0,'FY22-23'!J108/'FY22-23'!$S108*'Multi-Year'!$P108,0)+IF('FY22-23'!$S108&lt;0,'FY22-23'!J108/'FY22-23'!$S108*'Multi-Year'!$P108,0)</f>
        <v>0</v>
      </c>
      <c r="K108" s="94">
        <f>IF('FY22-23'!$S108&gt;0,'FY22-23'!K108/'FY22-23'!$S108*'Multi-Year'!$P108,0)+IF('FY22-23'!$S108&lt;0,'FY22-23'!K108/'FY22-23'!$S108*'Multi-Year'!$P108,0)</f>
        <v>0</v>
      </c>
      <c r="L108" s="94">
        <f>IF('FY22-23'!$S108&gt;0,'FY22-23'!L108/'FY22-23'!$S108*'Multi-Year'!$P108,0)+IF('FY22-23'!$S108&lt;0,'FY22-23'!L108/'FY22-23'!$S108*'Multi-Year'!$P108,0)</f>
        <v>0</v>
      </c>
      <c r="M108" s="94">
        <f>IF('FY22-23'!$S108&gt;0,'FY22-23'!M108/'FY22-23'!$S108*'Multi-Year'!$P108,0)+IF('FY22-23'!$S108&lt;0,'FY22-23'!M108/'FY22-23'!$S108*'Multi-Year'!$P108,0)</f>
        <v>0</v>
      </c>
      <c r="N108" s="94">
        <f>IF('FY22-23'!$S108&gt;0,'FY22-23'!N108/'FY22-23'!$S108*'Multi-Year'!$P108,0)+IF('FY22-23'!$S108&lt;0,'FY22-23'!N108/'FY22-23'!$S108*'Multi-Year'!$P108,0)</f>
        <v>83.041661194679079</v>
      </c>
      <c r="O108" s="94">
        <f>IF('FY22-23'!$S108&gt;0,'FY22-23'!O108/'FY22-23'!$S108*'Multi-Year'!$P108,0)+IF('FY22-23'!$S108&lt;0,'FY22-23'!O108/'FY22-23'!$S108*'Multi-Year'!$P108,0)</f>
        <v>84.358652820998472</v>
      </c>
      <c r="P108" s="94">
        <f>IF('FY22-23'!$S108&gt;0,'FY22-23'!P108/'FY22-23'!$S108*'Multi-Year'!$P108,0)+IF('FY22-23'!$S108&lt;0,'FY22-23'!P108/'FY22-23'!$S108*'Multi-Year'!$P108,0)</f>
        <v>88.974055907829452</v>
      </c>
      <c r="Q108" s="606">
        <f>IF('FY22-23'!$S108&gt;0,'FY22-23'!Q108/'FY22-23'!$S108*'Multi-Year'!$P108,0)+IF('FY22-23'!$S108&lt;0,'FY22-23'!Q108/'FY22-23'!$S108*'Multi-Year'!$P108,0)</f>
        <v>0</v>
      </c>
      <c r="R108" s="94"/>
      <c r="S108" s="625">
        <f t="shared" si="41"/>
        <v>1024.738133170745</v>
      </c>
      <c r="T108" s="94"/>
      <c r="U108" s="94">
        <f>'FY22-23'!S108</f>
        <v>956.37483408053708</v>
      </c>
      <c r="V108" s="94">
        <f t="shared" si="42"/>
        <v>-68.363299090207875</v>
      </c>
    </row>
    <row r="109" spans="1:22" s="95" customFormat="1" ht="12" customHeight="1">
      <c r="A109" s="124"/>
      <c r="B109" s="124" t="s">
        <v>186</v>
      </c>
      <c r="C109" s="102">
        <v>5901</v>
      </c>
      <c r="D109" s="127" t="s">
        <v>40</v>
      </c>
      <c r="E109" s="94">
        <f>IF('FY22-23'!$S109&gt;0,'FY22-23'!E109/'FY22-23'!$S109*'Multi-Year'!$P109,0)+IF('FY22-23'!$S109&lt;0,'FY22-23'!E109/'FY22-23'!$S109*'Multi-Year'!$P109,0)</f>
        <v>0</v>
      </c>
      <c r="F109" s="94">
        <f>IF('FY22-23'!$S109&gt;0,'FY22-23'!F109/'FY22-23'!$S109*'Multi-Year'!$P109,0)+IF('FY22-23'!$S109&lt;0,'FY22-23'!F109/'FY22-23'!$S109*'Multi-Year'!$P109,0)</f>
        <v>0</v>
      </c>
      <c r="G109" s="94">
        <f>IF('FY22-23'!$S109&gt;0,'FY22-23'!G109/'FY22-23'!$S109*'Multi-Year'!$P109,0)+IF('FY22-23'!$S109&lt;0,'FY22-23'!G109/'FY22-23'!$S109*'Multi-Year'!$P109,0)</f>
        <v>23.148204170712805</v>
      </c>
      <c r="H109" s="94">
        <f>IF('FY22-23'!$S109&gt;0,'FY22-23'!H109/'FY22-23'!$S109*'Multi-Year'!$P109,0)+IF('FY22-23'!$S109&lt;0,'FY22-23'!H109/'FY22-23'!$S109*'Multi-Year'!$P109,0)</f>
        <v>0</v>
      </c>
      <c r="I109" s="94">
        <f>IF('FY22-23'!$S109&gt;0,'FY22-23'!I109/'FY22-23'!$S109*'Multi-Year'!$P109,0)+IF('FY22-23'!$S109&lt;0,'FY22-23'!I109/'FY22-23'!$S109*'Multi-Year'!$P109,0)</f>
        <v>0</v>
      </c>
      <c r="J109" s="94">
        <f>IF('FY22-23'!$S109&gt;0,'FY22-23'!J109/'FY22-23'!$S109*'Multi-Year'!$P109,0)+IF('FY22-23'!$S109&lt;0,'FY22-23'!J109/'FY22-23'!$S109*'Multi-Year'!$P109,0)</f>
        <v>88.760489698156064</v>
      </c>
      <c r="K109" s="94">
        <f>IF('FY22-23'!$S109&gt;0,'FY22-23'!K109/'FY22-23'!$S109*'Multi-Year'!$P109,0)+IF('FY22-23'!$S109&lt;0,'FY22-23'!K109/'FY22-23'!$S109*'Multi-Year'!$P109,0)</f>
        <v>106.77124004728064</v>
      </c>
      <c r="L109" s="94">
        <f>IF('FY22-23'!$S109&gt;0,'FY22-23'!L109/'FY22-23'!$S109*'Multi-Year'!$P109,0)+IF('FY22-23'!$S109&lt;0,'FY22-23'!L109/'FY22-23'!$S109*'Multi-Year'!$P109,0)</f>
        <v>255.24721492800847</v>
      </c>
      <c r="M109" s="94">
        <f>IF('FY22-23'!$S109&gt;0,'FY22-23'!M109/'FY22-23'!$S109*'Multi-Year'!$P109,0)+IF('FY22-23'!$S109&lt;0,'FY22-23'!M109/'FY22-23'!$S109*'Multi-Year'!$P109,0)</f>
        <v>0</v>
      </c>
      <c r="N109" s="94">
        <f>IF('FY22-23'!$S109&gt;0,'FY22-23'!N109/'FY22-23'!$S109*'Multi-Year'!$P109,0)+IF('FY22-23'!$S109&lt;0,'FY22-23'!N109/'FY22-23'!$S109*'Multi-Year'!$P109,0)</f>
        <v>0</v>
      </c>
      <c r="O109" s="94">
        <f>IF('FY22-23'!$S109&gt;0,'FY22-23'!O109/'FY22-23'!$S109*'Multi-Year'!$P109,0)+IF('FY22-23'!$S109&lt;0,'FY22-23'!O109/'FY22-23'!$S109*'Multi-Year'!$P109,0)</f>
        <v>412.89467203526686</v>
      </c>
      <c r="P109" s="94">
        <f>IF('FY22-23'!$S109&gt;0,'FY22-23'!P109/'FY22-23'!$S109*'Multi-Year'!$P109,0)+IF('FY22-23'!$S109&lt;0,'FY22-23'!P109/'FY22-23'!$S109*'Multi-Year'!$P109,0)</f>
        <v>580.7814424174228</v>
      </c>
      <c r="Q109" s="606">
        <f>IF('FY22-23'!$S109&gt;0,'FY22-23'!Q109/'FY22-23'!$S109*'Multi-Year'!$P109,0)+IF('FY22-23'!$S109&lt;0,'FY22-23'!Q109/'FY22-23'!$S109*'Multi-Year'!$P109,0)</f>
        <v>0</v>
      </c>
      <c r="R109" s="94"/>
      <c r="S109" s="625">
        <f>SUM(E109:Q109)</f>
        <v>1467.6032632968477</v>
      </c>
      <c r="T109" s="94"/>
      <c r="U109" s="94">
        <f>'FY22-23'!S109</f>
        <v>1369.6951269770975</v>
      </c>
      <c r="V109" s="94">
        <f>U109-S109</f>
        <v>-97.908136319750156</v>
      </c>
    </row>
    <row r="110" spans="1:22" s="95" customFormat="1" ht="12" customHeight="1">
      <c r="A110" s="124"/>
      <c r="B110" s="124" t="s">
        <v>186</v>
      </c>
      <c r="C110" s="102"/>
      <c r="D110" s="103"/>
      <c r="E110" s="215">
        <f t="shared" ref="E110:Q110" si="43">SUM(E101:E109)</f>
        <v>183.8923713182356</v>
      </c>
      <c r="F110" s="215">
        <f t="shared" si="43"/>
        <v>4783.9780149998815</v>
      </c>
      <c r="G110" s="215">
        <f t="shared" si="43"/>
        <v>2722.933578967748</v>
      </c>
      <c r="H110" s="215">
        <f t="shared" si="43"/>
        <v>1537.9377350159587</v>
      </c>
      <c r="I110" s="215">
        <f t="shared" si="43"/>
        <v>8358.1271817787256</v>
      </c>
      <c r="J110" s="215">
        <f t="shared" si="43"/>
        <v>1368.603460323794</v>
      </c>
      <c r="K110" s="215">
        <f t="shared" si="43"/>
        <v>2379.0563870252727</v>
      </c>
      <c r="L110" s="215">
        <f t="shared" si="43"/>
        <v>3365.4475207702139</v>
      </c>
      <c r="M110" s="215">
        <f t="shared" si="43"/>
        <v>8121.2229313037769</v>
      </c>
      <c r="N110" s="215">
        <f t="shared" si="43"/>
        <v>27185.780147693527</v>
      </c>
      <c r="O110" s="215">
        <f t="shared" si="43"/>
        <v>82311.490188595126</v>
      </c>
      <c r="P110" s="215">
        <f t="shared" si="43"/>
        <v>44509.891403139212</v>
      </c>
      <c r="Q110" s="603">
        <f t="shared" si="43"/>
        <v>0</v>
      </c>
      <c r="R110" s="94"/>
      <c r="S110" s="626">
        <f>SUM(E110:R110)</f>
        <v>186828.36092093147</v>
      </c>
      <c r="T110" s="113"/>
      <c r="U110" s="216">
        <f>SUM(U101:U109)</f>
        <v>174364.49068644419</v>
      </c>
      <c r="V110" s="216">
        <f>SUM(V101:V109)</f>
        <v>-12463.870234487316</v>
      </c>
    </row>
    <row r="111" spans="1:22" s="95" customFormat="1" ht="12" customHeight="1">
      <c r="A111" s="124"/>
      <c r="B111" s="124" t="s">
        <v>287</v>
      </c>
      <c r="C111" s="126"/>
      <c r="D111" s="126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606"/>
      <c r="R111" s="94"/>
      <c r="S111" s="627"/>
      <c r="T111" s="94"/>
      <c r="U111" s="94"/>
      <c r="V111" s="94"/>
    </row>
    <row r="112" spans="1:22" s="95" customFormat="1" ht="12" customHeight="1">
      <c r="A112" s="124"/>
      <c r="B112" s="124" t="s">
        <v>186</v>
      </c>
      <c r="C112" s="102">
        <v>5601</v>
      </c>
      <c r="D112" s="127" t="s">
        <v>29</v>
      </c>
      <c r="E112" s="94">
        <f>IF('FY22-23'!$S112&gt;0,'FY22-23'!E112/'FY22-23'!$S112*'Multi-Year'!$P112,0)+IF('FY22-23'!$S112&lt;0,'FY22-23'!E112/'FY22-23'!$S112*'Multi-Year'!$P112,0)</f>
        <v>0</v>
      </c>
      <c r="F112" s="94">
        <f>IF('FY22-23'!$S112&gt;0,'FY22-23'!F112/'FY22-23'!$S112*'Multi-Year'!$P112,0)+IF('FY22-23'!$S112&lt;0,'FY22-23'!F112/'FY22-23'!$S112*'Multi-Year'!$P112,0)</f>
        <v>0</v>
      </c>
      <c r="G112" s="94">
        <f>IF('FY22-23'!$S112&gt;0,'FY22-23'!G112/'FY22-23'!$S112*'Multi-Year'!$P112,0)+IF('FY22-23'!$S112&lt;0,'FY22-23'!G112/'FY22-23'!$S112*'Multi-Year'!$P112,0)</f>
        <v>4953.5495854805713</v>
      </c>
      <c r="H112" s="94">
        <f>IF('FY22-23'!$S112&gt;0,'FY22-23'!H112/'FY22-23'!$S112*'Multi-Year'!$P112,0)+IF('FY22-23'!$S112&lt;0,'FY22-23'!H112/'FY22-23'!$S112*'Multi-Year'!$P112,0)</f>
        <v>23833.51440797593</v>
      </c>
      <c r="I112" s="94">
        <f>IF('FY22-23'!$S112&gt;0,'FY22-23'!I112/'FY22-23'!$S112*'Multi-Year'!$P112,0)+IF('FY22-23'!$S112&lt;0,'FY22-23'!I112/'FY22-23'!$S112*'Multi-Year'!$P112,0)</f>
        <v>8930.5083532823264</v>
      </c>
      <c r="J112" s="94">
        <f>IF('FY22-23'!$S112&gt;0,'FY22-23'!J112/'FY22-23'!$S112*'Multi-Year'!$P112,0)+IF('FY22-23'!$S112&lt;0,'FY22-23'!J112/'FY22-23'!$S112*'Multi-Year'!$P112,0)</f>
        <v>0</v>
      </c>
      <c r="K112" s="94">
        <f>IF('FY22-23'!$S112&gt;0,'FY22-23'!K112/'FY22-23'!$S112*'Multi-Year'!$P112,0)+IF('FY22-23'!$S112&lt;0,'FY22-23'!K112/'FY22-23'!$S112*'Multi-Year'!$P112,0)</f>
        <v>0</v>
      </c>
      <c r="L112" s="94">
        <f>IF('FY22-23'!$S112&gt;0,'FY22-23'!L112/'FY22-23'!$S112*'Multi-Year'!$P112,0)+IF('FY22-23'!$S112&lt;0,'FY22-23'!L112/'FY22-23'!$S112*'Multi-Year'!$P112,0)</f>
        <v>0</v>
      </c>
      <c r="M112" s="94">
        <f>IF('FY22-23'!$S112&gt;0,'FY22-23'!M112/'FY22-23'!$S112*'Multi-Year'!$P112,0)+IF('FY22-23'!$S112&lt;0,'FY22-23'!M112/'FY22-23'!$S112*'Multi-Year'!$P112,0)</f>
        <v>0</v>
      </c>
      <c r="N112" s="94">
        <f>IF('FY22-23'!$S112&gt;0,'FY22-23'!N112/'FY22-23'!$S112*'Multi-Year'!$P112,0)+IF('FY22-23'!$S112&lt;0,'FY22-23'!N112/'FY22-23'!$S112*'Multi-Year'!$P112,0)</f>
        <v>0</v>
      </c>
      <c r="O112" s="94">
        <f>IF('FY22-23'!$S112&gt;0,'FY22-23'!O112/'FY22-23'!$S112*'Multi-Year'!$P112,0)+IF('FY22-23'!$S112&lt;0,'FY22-23'!O112/'FY22-23'!$S112*'Multi-Year'!$P112,0)</f>
        <v>0</v>
      </c>
      <c r="P112" s="94">
        <f>IF('FY22-23'!$S112&gt;0,'FY22-23'!P112/'FY22-23'!$S112*'Multi-Year'!$P112,0)+IF('FY22-23'!$S112&lt;0,'FY22-23'!P112/'FY22-23'!$S112*'Multi-Year'!$P112,0)</f>
        <v>-149.49634677138968</v>
      </c>
      <c r="Q112" s="606">
        <f>IF('FY22-23'!$S112&gt;0,'FY22-23'!Q112/'FY22-23'!$S112*'Multi-Year'!$P112,0)+IF('FY22-23'!$S112&lt;0,'FY22-23'!Q112/'FY22-23'!$S112*'Multi-Year'!$P112,0)</f>
        <v>0</v>
      </c>
      <c r="R112" s="94"/>
      <c r="S112" s="625">
        <f t="shared" ref="S112:S117" si="44">SUM(E112:Q112)</f>
        <v>37568.075999967441</v>
      </c>
      <c r="T112" s="94"/>
      <c r="U112" s="94">
        <f>'FY22-23'!S112</f>
        <v>35061.798998366387</v>
      </c>
      <c r="V112" s="94">
        <f t="shared" ref="V112:V117" si="45">U112-S112</f>
        <v>-2506.2770016010545</v>
      </c>
    </row>
    <row r="113" spans="1:22" s="95" customFormat="1" ht="12" customHeight="1">
      <c r="A113" s="124"/>
      <c r="B113" s="124" t="s">
        <v>186</v>
      </c>
      <c r="C113" s="102">
        <v>5602</v>
      </c>
      <c r="D113" s="127" t="s">
        <v>30</v>
      </c>
      <c r="E113" s="94">
        <f>IF('FY22-23'!$S113&gt;0,'FY22-23'!E113/'FY22-23'!$S113*'Multi-Year'!$P113,0)+IF('FY22-23'!$S113&lt;0,'FY22-23'!E113/'FY22-23'!$S113*'Multi-Year'!$P113,0)</f>
        <v>0</v>
      </c>
      <c r="F113" s="94">
        <f>IF('FY22-23'!$S113&gt;0,'FY22-23'!F113/'FY22-23'!$S113*'Multi-Year'!$P113,0)+IF('FY22-23'!$S113&lt;0,'FY22-23'!F113/'FY22-23'!$S113*'Multi-Year'!$P113,0)</f>
        <v>0</v>
      </c>
      <c r="G113" s="94">
        <f>IF('FY22-23'!$S113&gt;0,'FY22-23'!G113/'FY22-23'!$S113*'Multi-Year'!$P113,0)+IF('FY22-23'!$S113&lt;0,'FY22-23'!G113/'FY22-23'!$S113*'Multi-Year'!$P113,0)</f>
        <v>0</v>
      </c>
      <c r="H113" s="94">
        <f>IF('FY22-23'!$S113&gt;0,'FY22-23'!H113/'FY22-23'!$S113*'Multi-Year'!$P113,0)+IF('FY22-23'!$S113&lt;0,'FY22-23'!H113/'FY22-23'!$S113*'Multi-Year'!$P113,0)</f>
        <v>0</v>
      </c>
      <c r="I113" s="94">
        <f>IF('FY22-23'!$S113&gt;0,'FY22-23'!I113/'FY22-23'!$S113*'Multi-Year'!$P113,0)+IF('FY22-23'!$S113&lt;0,'FY22-23'!I113/'FY22-23'!$S113*'Multi-Year'!$P113,0)</f>
        <v>0</v>
      </c>
      <c r="J113" s="94">
        <f>IF('FY22-23'!$S113&gt;0,'FY22-23'!J113/'FY22-23'!$S113*'Multi-Year'!$P113,0)+IF('FY22-23'!$S113&lt;0,'FY22-23'!J113/'FY22-23'!$S113*'Multi-Year'!$P113,0)</f>
        <v>0</v>
      </c>
      <c r="K113" s="94">
        <f>IF('FY22-23'!$S113&gt;0,'FY22-23'!K113/'FY22-23'!$S113*'Multi-Year'!$P113,0)+IF('FY22-23'!$S113&lt;0,'FY22-23'!K113/'FY22-23'!$S113*'Multi-Year'!$P113,0)</f>
        <v>0</v>
      </c>
      <c r="L113" s="94">
        <f>IF('FY22-23'!$S113&gt;0,'FY22-23'!L113/'FY22-23'!$S113*'Multi-Year'!$P113,0)+IF('FY22-23'!$S113&lt;0,'FY22-23'!L113/'FY22-23'!$S113*'Multi-Year'!$P113,0)</f>
        <v>0</v>
      </c>
      <c r="M113" s="94">
        <f>IF('FY22-23'!$S113&gt;0,'FY22-23'!M113/'FY22-23'!$S113*'Multi-Year'!$P113,0)+IF('FY22-23'!$S113&lt;0,'FY22-23'!M113/'FY22-23'!$S113*'Multi-Year'!$P113,0)</f>
        <v>0</v>
      </c>
      <c r="N113" s="94">
        <f>IF('FY22-23'!$S113&gt;0,'FY22-23'!N113/'FY22-23'!$S113*'Multi-Year'!$P113,0)+IF('FY22-23'!$S113&lt;0,'FY22-23'!N113/'FY22-23'!$S113*'Multi-Year'!$P113,0)</f>
        <v>0</v>
      </c>
      <c r="O113" s="94">
        <f>IF('FY22-23'!$S113&gt;0,'FY22-23'!O113/'FY22-23'!$S113*'Multi-Year'!$P113,0)+IF('FY22-23'!$S113&lt;0,'FY22-23'!O113/'FY22-23'!$S113*'Multi-Year'!$P113,0)</f>
        <v>0</v>
      </c>
      <c r="P113" s="94">
        <f>IF('FY22-23'!$S113&gt;0,'FY22-23'!P113/'FY22-23'!$S113*'Multi-Year'!$P113,0)+IF('FY22-23'!$S113&lt;0,'FY22-23'!P113/'FY22-23'!$S113*'Multi-Year'!$P113,0)</f>
        <v>0</v>
      </c>
      <c r="Q113" s="606">
        <f>IF('FY22-23'!$S113&gt;0,'FY22-23'!Q113/'FY22-23'!$S113*'Multi-Year'!$P113,0)+IF('FY22-23'!$S113&lt;0,'FY22-23'!Q113/'FY22-23'!$S113*'Multi-Year'!$P113,0)</f>
        <v>0</v>
      </c>
      <c r="R113" s="94"/>
      <c r="S113" s="625">
        <f t="shared" si="44"/>
        <v>0</v>
      </c>
      <c r="T113" s="94"/>
      <c r="U113" s="94">
        <f>'FY22-23'!S113</f>
        <v>0</v>
      </c>
      <c r="V113" s="94">
        <f t="shared" si="45"/>
        <v>0</v>
      </c>
    </row>
    <row r="114" spans="1:22" s="95" customFormat="1" ht="12" customHeight="1">
      <c r="A114" s="124"/>
      <c r="B114" s="124" t="s">
        <v>186</v>
      </c>
      <c r="C114" s="102">
        <v>5603</v>
      </c>
      <c r="D114" s="127" t="s">
        <v>31</v>
      </c>
      <c r="E114" s="94">
        <f>IF('FY22-23'!$S114&gt;0,'FY22-23'!E114/'FY22-23'!$S114*'Multi-Year'!$P114,0)+IF('FY22-23'!$S114&lt;0,'FY22-23'!E114/'FY22-23'!$S114*'Multi-Year'!$P114,0)</f>
        <v>0</v>
      </c>
      <c r="F114" s="94">
        <f>IF('FY22-23'!$S114&gt;0,'FY22-23'!F114/'FY22-23'!$S114*'Multi-Year'!$P114,0)+IF('FY22-23'!$S114&lt;0,'FY22-23'!F114/'FY22-23'!$S114*'Multi-Year'!$P114,0)</f>
        <v>0</v>
      </c>
      <c r="G114" s="94">
        <f>IF('FY22-23'!$S114&gt;0,'FY22-23'!G114/'FY22-23'!$S114*'Multi-Year'!$P114,0)+IF('FY22-23'!$S114&lt;0,'FY22-23'!G114/'FY22-23'!$S114*'Multi-Year'!$P114,0)</f>
        <v>0</v>
      </c>
      <c r="H114" s="94">
        <f>IF('FY22-23'!$S114&gt;0,'FY22-23'!H114/'FY22-23'!$S114*'Multi-Year'!$P114,0)+IF('FY22-23'!$S114&lt;0,'FY22-23'!H114/'FY22-23'!$S114*'Multi-Year'!$P114,0)</f>
        <v>0</v>
      </c>
      <c r="I114" s="94">
        <f>IF('FY22-23'!$S114&gt;0,'FY22-23'!I114/'FY22-23'!$S114*'Multi-Year'!$P114,0)+IF('FY22-23'!$S114&lt;0,'FY22-23'!I114/'FY22-23'!$S114*'Multi-Year'!$P114,0)</f>
        <v>0</v>
      </c>
      <c r="J114" s="94">
        <f>IF('FY22-23'!$S114&gt;0,'FY22-23'!J114/'FY22-23'!$S114*'Multi-Year'!$P114,0)+IF('FY22-23'!$S114&lt;0,'FY22-23'!J114/'FY22-23'!$S114*'Multi-Year'!$P114,0)</f>
        <v>0</v>
      </c>
      <c r="K114" s="94">
        <f>IF('FY22-23'!$S114&gt;0,'FY22-23'!K114/'FY22-23'!$S114*'Multi-Year'!$P114,0)+IF('FY22-23'!$S114&lt;0,'FY22-23'!K114/'FY22-23'!$S114*'Multi-Year'!$P114,0)</f>
        <v>0</v>
      </c>
      <c r="L114" s="94">
        <f>IF('FY22-23'!$S114&gt;0,'FY22-23'!L114/'FY22-23'!$S114*'Multi-Year'!$P114,0)+IF('FY22-23'!$S114&lt;0,'FY22-23'!L114/'FY22-23'!$S114*'Multi-Year'!$P114,0)</f>
        <v>0</v>
      </c>
      <c r="M114" s="94">
        <f>IF('FY22-23'!$S114&gt;0,'FY22-23'!M114/'FY22-23'!$S114*'Multi-Year'!$P114,0)+IF('FY22-23'!$S114&lt;0,'FY22-23'!M114/'FY22-23'!$S114*'Multi-Year'!$P114,0)</f>
        <v>0</v>
      </c>
      <c r="N114" s="94">
        <f>IF('FY22-23'!$S114&gt;0,'FY22-23'!N114/'FY22-23'!$S114*'Multi-Year'!$P114,0)+IF('FY22-23'!$S114&lt;0,'FY22-23'!N114/'FY22-23'!$S114*'Multi-Year'!$P114,0)</f>
        <v>0</v>
      </c>
      <c r="O114" s="94">
        <f>IF('FY22-23'!$S114&gt;0,'FY22-23'!O114/'FY22-23'!$S114*'Multi-Year'!$P114,0)+IF('FY22-23'!$S114&lt;0,'FY22-23'!O114/'FY22-23'!$S114*'Multi-Year'!$P114,0)</f>
        <v>0</v>
      </c>
      <c r="P114" s="94">
        <f>IF('FY22-23'!$S114&gt;0,'FY22-23'!P114/'FY22-23'!$S114*'Multi-Year'!$P114,0)+IF('FY22-23'!$S114&lt;0,'FY22-23'!P114/'FY22-23'!$S114*'Multi-Year'!$P114,0)</f>
        <v>0</v>
      </c>
      <c r="Q114" s="606">
        <f>IF('FY22-23'!$S114&gt;0,'FY22-23'!Q114/'FY22-23'!$S114*'Multi-Year'!$P114,0)+IF('FY22-23'!$S114&lt;0,'FY22-23'!Q114/'FY22-23'!$S114*'Multi-Year'!$P114,0)</f>
        <v>0</v>
      </c>
      <c r="R114" s="94"/>
      <c r="S114" s="625">
        <f t="shared" si="44"/>
        <v>0</v>
      </c>
      <c r="T114" s="94"/>
      <c r="U114" s="94">
        <f>'FY22-23'!S114</f>
        <v>0</v>
      </c>
      <c r="V114" s="94">
        <f t="shared" si="45"/>
        <v>0</v>
      </c>
    </row>
    <row r="115" spans="1:22" s="95" customFormat="1" ht="12" customHeight="1">
      <c r="A115" s="124"/>
      <c r="B115" s="124" t="s">
        <v>186</v>
      </c>
      <c r="C115" s="102">
        <v>5604</v>
      </c>
      <c r="D115" s="127" t="s">
        <v>32</v>
      </c>
      <c r="E115" s="94">
        <f>IF('FY22-23'!$S115&gt;0,'FY22-23'!E115/'FY22-23'!$S115*'Multi-Year'!$P115,0)+IF('FY22-23'!$S115&lt;0,'FY22-23'!E115/'FY22-23'!$S115*'Multi-Year'!$P115,0)</f>
        <v>0</v>
      </c>
      <c r="F115" s="94">
        <f>IF('FY22-23'!$S115&gt;0,'FY22-23'!F115/'FY22-23'!$S115*'Multi-Year'!$P115,0)+IF('FY22-23'!$S115&lt;0,'FY22-23'!F115/'FY22-23'!$S115*'Multi-Year'!$P115,0)</f>
        <v>0</v>
      </c>
      <c r="G115" s="94">
        <f>IF('FY22-23'!$S115&gt;0,'FY22-23'!G115/'FY22-23'!$S115*'Multi-Year'!$P115,0)+IF('FY22-23'!$S115&lt;0,'FY22-23'!G115/'FY22-23'!$S115*'Multi-Year'!$P115,0)</f>
        <v>0</v>
      </c>
      <c r="H115" s="94">
        <f>IF('FY22-23'!$S115&gt;0,'FY22-23'!H115/'FY22-23'!$S115*'Multi-Year'!$P115,0)+IF('FY22-23'!$S115&lt;0,'FY22-23'!H115/'FY22-23'!$S115*'Multi-Year'!$P115,0)</f>
        <v>0</v>
      </c>
      <c r="I115" s="94">
        <f>IF('FY22-23'!$S115&gt;0,'FY22-23'!I115/'FY22-23'!$S115*'Multi-Year'!$P115,0)+IF('FY22-23'!$S115&lt;0,'FY22-23'!I115/'FY22-23'!$S115*'Multi-Year'!$P115,0)</f>
        <v>345.26537230535234</v>
      </c>
      <c r="J115" s="94">
        <f>IF('FY22-23'!$S115&gt;0,'FY22-23'!J115/'FY22-23'!$S115*'Multi-Year'!$P115,0)+IF('FY22-23'!$S115&lt;0,'FY22-23'!J115/'FY22-23'!$S115*'Multi-Year'!$P115,0)</f>
        <v>3765.8841639078637</v>
      </c>
      <c r="K115" s="94">
        <f>IF('FY22-23'!$S115&gt;0,'FY22-23'!K115/'FY22-23'!$S115*'Multi-Year'!$P115,0)+IF('FY22-23'!$S115&lt;0,'FY22-23'!K115/'FY22-23'!$S115*'Multi-Year'!$P115,0)</f>
        <v>8956.7295379144489</v>
      </c>
      <c r="L115" s="94">
        <f>IF('FY22-23'!$S115&gt;0,'FY22-23'!L115/'FY22-23'!$S115*'Multi-Year'!$P115,0)+IF('FY22-23'!$S115&lt;0,'FY22-23'!L115/'FY22-23'!$S115*'Multi-Year'!$P115,0)</f>
        <v>1305.1268368930844</v>
      </c>
      <c r="M115" s="94">
        <f>IF('FY22-23'!$S115&gt;0,'FY22-23'!M115/'FY22-23'!$S115*'Multi-Year'!$P115,0)+IF('FY22-23'!$S115&lt;0,'FY22-23'!M115/'FY22-23'!$S115*'Multi-Year'!$P115,0)</f>
        <v>711.88736557804611</v>
      </c>
      <c r="N115" s="94">
        <f>IF('FY22-23'!$S115&gt;0,'FY22-23'!N115/'FY22-23'!$S115*'Multi-Year'!$P115,0)+IF('FY22-23'!$S115&lt;0,'FY22-23'!N115/'FY22-23'!$S115*'Multi-Year'!$P115,0)</f>
        <v>-3440.7889336272219</v>
      </c>
      <c r="O115" s="94">
        <f>IF('FY22-23'!$S115&gt;0,'FY22-23'!O115/'FY22-23'!$S115*'Multi-Year'!$P115,0)+IF('FY22-23'!$S115&lt;0,'FY22-23'!O115/'FY22-23'!$S115*'Multi-Year'!$P115,0)</f>
        <v>-4329.4616616571502</v>
      </c>
      <c r="P115" s="94">
        <f>IF('FY22-23'!$S115&gt;0,'FY22-23'!P115/'FY22-23'!$S115*'Multi-Year'!$P115,0)+IF('FY22-23'!$S115&lt;0,'FY22-23'!P115/'FY22-23'!$S115*'Multi-Year'!$P115,0)</f>
        <v>-2313.6339381286498</v>
      </c>
      <c r="Q115" s="606">
        <f>IF('FY22-23'!$S115&gt;0,'FY22-23'!Q115/'FY22-23'!$S115*'Multi-Year'!$P115,0)+IF('FY22-23'!$S115&lt;0,'FY22-23'!Q115/'FY22-23'!$S115*'Multi-Year'!$P115,0)</f>
        <v>0</v>
      </c>
      <c r="R115" s="94"/>
      <c r="S115" s="625">
        <f t="shared" si="44"/>
        <v>5001.0087431857737</v>
      </c>
      <c r="T115" s="94"/>
      <c r="U115" s="94">
        <f>'FY22-23'!S115</f>
        <v>4667.3767201387855</v>
      </c>
      <c r="V115" s="94">
        <f t="shared" si="45"/>
        <v>-333.63202304698825</v>
      </c>
    </row>
    <row r="116" spans="1:22" s="95" customFormat="1" ht="12" customHeight="1">
      <c r="A116" s="124"/>
      <c r="B116" s="124" t="s">
        <v>186</v>
      </c>
      <c r="C116" s="102">
        <v>5605</v>
      </c>
      <c r="D116" s="127" t="s">
        <v>99</v>
      </c>
      <c r="E116" s="94">
        <f>IF('FY22-23'!$S116&gt;0,'FY22-23'!E116/'FY22-23'!$S116*'Multi-Year'!$P116,0)+IF('FY22-23'!$S116&lt;0,'FY22-23'!E116/'FY22-23'!$S116*'Multi-Year'!$P116,0)</f>
        <v>0</v>
      </c>
      <c r="F116" s="94">
        <f>IF('FY22-23'!$S116&gt;0,'FY22-23'!F116/'FY22-23'!$S116*'Multi-Year'!$P116,0)+IF('FY22-23'!$S116&lt;0,'FY22-23'!F116/'FY22-23'!$S116*'Multi-Year'!$P116,0)</f>
        <v>0</v>
      </c>
      <c r="G116" s="94">
        <f>IF('FY22-23'!$S116&gt;0,'FY22-23'!G116/'FY22-23'!$S116*'Multi-Year'!$P116,0)+IF('FY22-23'!$S116&lt;0,'FY22-23'!G116/'FY22-23'!$S116*'Multi-Year'!$P116,0)</f>
        <v>0</v>
      </c>
      <c r="H116" s="94">
        <f>IF('FY22-23'!$S116&gt;0,'FY22-23'!H116/'FY22-23'!$S116*'Multi-Year'!$P116,0)+IF('FY22-23'!$S116&lt;0,'FY22-23'!H116/'FY22-23'!$S116*'Multi-Year'!$P116,0)</f>
        <v>0</v>
      </c>
      <c r="I116" s="94">
        <f>IF('FY22-23'!$S116&gt;0,'FY22-23'!I116/'FY22-23'!$S116*'Multi-Year'!$P116,0)+IF('FY22-23'!$S116&lt;0,'FY22-23'!I116/'FY22-23'!$S116*'Multi-Year'!$P116,0)</f>
        <v>0</v>
      </c>
      <c r="J116" s="94">
        <f>IF('FY22-23'!$S116&gt;0,'FY22-23'!J116/'FY22-23'!$S116*'Multi-Year'!$P116,0)+IF('FY22-23'!$S116&lt;0,'FY22-23'!J116/'FY22-23'!$S116*'Multi-Year'!$P116,0)</f>
        <v>0</v>
      </c>
      <c r="K116" s="94">
        <f>IF('FY22-23'!$S116&gt;0,'FY22-23'!K116/'FY22-23'!$S116*'Multi-Year'!$P116,0)+IF('FY22-23'!$S116&lt;0,'FY22-23'!K116/'FY22-23'!$S116*'Multi-Year'!$P116,0)</f>
        <v>0</v>
      </c>
      <c r="L116" s="94">
        <f>IF('FY22-23'!$S116&gt;0,'FY22-23'!L116/'FY22-23'!$S116*'Multi-Year'!$P116,0)+IF('FY22-23'!$S116&lt;0,'FY22-23'!L116/'FY22-23'!$S116*'Multi-Year'!$P116,0)</f>
        <v>0</v>
      </c>
      <c r="M116" s="94">
        <f>IF('FY22-23'!$S116&gt;0,'FY22-23'!M116/'FY22-23'!$S116*'Multi-Year'!$P116,0)+IF('FY22-23'!$S116&lt;0,'FY22-23'!M116/'FY22-23'!$S116*'Multi-Year'!$P116,0)</f>
        <v>0</v>
      </c>
      <c r="N116" s="94">
        <f>IF('FY22-23'!$S116&gt;0,'FY22-23'!N116/'FY22-23'!$S116*'Multi-Year'!$P116,0)+IF('FY22-23'!$S116&lt;0,'FY22-23'!N116/'FY22-23'!$S116*'Multi-Year'!$P116,0)</f>
        <v>0</v>
      </c>
      <c r="O116" s="94">
        <f>IF('FY22-23'!$S116&gt;0,'FY22-23'!O116/'FY22-23'!$S116*'Multi-Year'!$P116,0)+IF('FY22-23'!$S116&lt;0,'FY22-23'!O116/'FY22-23'!$S116*'Multi-Year'!$P116,0)</f>
        <v>0</v>
      </c>
      <c r="P116" s="94">
        <f>IF('FY22-23'!$S116&gt;0,'FY22-23'!P116/'FY22-23'!$S116*'Multi-Year'!$P116,0)+IF('FY22-23'!$S116&lt;0,'FY22-23'!P116/'FY22-23'!$S116*'Multi-Year'!$P116,0)</f>
        <v>0</v>
      </c>
      <c r="Q116" s="606">
        <f>IF('FY22-23'!$S116&gt;0,'FY22-23'!Q116/'FY22-23'!$S116*'Multi-Year'!$P116,0)+IF('FY22-23'!$S116&lt;0,'FY22-23'!Q116/'FY22-23'!$S116*'Multi-Year'!$P116,0)</f>
        <v>0</v>
      </c>
      <c r="R116" s="94"/>
      <c r="S116" s="625">
        <f t="shared" si="44"/>
        <v>0</v>
      </c>
      <c r="T116" s="94"/>
      <c r="U116" s="94">
        <f>'FY22-23'!S116</f>
        <v>0</v>
      </c>
      <c r="V116" s="94">
        <f t="shared" si="45"/>
        <v>0</v>
      </c>
    </row>
    <row r="117" spans="1:22" s="95" customFormat="1" ht="12" customHeight="1">
      <c r="A117" s="124"/>
      <c r="B117" s="124" t="s">
        <v>186</v>
      </c>
      <c r="C117" s="102">
        <v>5610</v>
      </c>
      <c r="D117" s="127" t="s">
        <v>33</v>
      </c>
      <c r="E117" s="94">
        <f>IF('FY22-23'!$S117&gt;0,'FY22-23'!E117/'FY22-23'!$S117*'Multi-Year'!$P117,0)+IF('FY22-23'!$S117&lt;0,'FY22-23'!E117/'FY22-23'!$S117*'Multi-Year'!$P117,0)</f>
        <v>0</v>
      </c>
      <c r="F117" s="94">
        <f>IF('FY22-23'!$S117&gt;0,'FY22-23'!F117/'FY22-23'!$S117*'Multi-Year'!$P117,0)+IF('FY22-23'!$S117&lt;0,'FY22-23'!F117/'FY22-23'!$S117*'Multi-Year'!$P117,0)</f>
        <v>0</v>
      </c>
      <c r="G117" s="94">
        <f>IF('FY22-23'!$S117&gt;0,'FY22-23'!G117/'FY22-23'!$S117*'Multi-Year'!$P117,0)+IF('FY22-23'!$S117&lt;0,'FY22-23'!G117/'FY22-23'!$S117*'Multi-Year'!$P117,0)</f>
        <v>41.526762992052703</v>
      </c>
      <c r="H117" s="94">
        <f>IF('FY22-23'!$S117&gt;0,'FY22-23'!H117/'FY22-23'!$S117*'Multi-Year'!$P117,0)+IF('FY22-23'!$S117&lt;0,'FY22-23'!H117/'FY22-23'!$S117*'Multi-Year'!$P117,0)</f>
        <v>0</v>
      </c>
      <c r="I117" s="94">
        <f>IF('FY22-23'!$S117&gt;0,'FY22-23'!I117/'FY22-23'!$S117*'Multi-Year'!$P117,0)+IF('FY22-23'!$S117&lt;0,'FY22-23'!I117/'FY22-23'!$S117*'Multi-Year'!$P117,0)</f>
        <v>0</v>
      </c>
      <c r="J117" s="94">
        <f>IF('FY22-23'!$S117&gt;0,'FY22-23'!J117/'FY22-23'!$S117*'Multi-Year'!$P117,0)+IF('FY22-23'!$S117&lt;0,'FY22-23'!J117/'FY22-23'!$S117*'Multi-Year'!$P117,0)</f>
        <v>0</v>
      </c>
      <c r="K117" s="94">
        <f>IF('FY22-23'!$S117&gt;0,'FY22-23'!K117/'FY22-23'!$S117*'Multi-Year'!$P117,0)+IF('FY22-23'!$S117&lt;0,'FY22-23'!K117/'FY22-23'!$S117*'Multi-Year'!$P117,0)</f>
        <v>23729.578852601542</v>
      </c>
      <c r="L117" s="94">
        <f>IF('FY22-23'!$S117&gt;0,'FY22-23'!L117/'FY22-23'!$S117*'Multi-Year'!$P117,0)+IF('FY22-23'!$S117&lt;0,'FY22-23'!L117/'FY22-23'!$S117*'Multi-Year'!$P117,0)</f>
        <v>-41.526762992052703</v>
      </c>
      <c r="M117" s="94">
        <f>IF('FY22-23'!$S117&gt;0,'FY22-23'!M117/'FY22-23'!$S117*'Multi-Year'!$P117,0)+IF('FY22-23'!$S117&lt;0,'FY22-23'!M117/'FY22-23'!$S117*'Multi-Year'!$P117,0)</f>
        <v>0</v>
      </c>
      <c r="N117" s="94">
        <f>IF('FY22-23'!$S117&gt;0,'FY22-23'!N117/'FY22-23'!$S117*'Multi-Year'!$P117,0)+IF('FY22-23'!$S117&lt;0,'FY22-23'!N117/'FY22-23'!$S117*'Multi-Year'!$P117,0)</f>
        <v>0</v>
      </c>
      <c r="O117" s="94">
        <f>IF('FY22-23'!$S117&gt;0,'FY22-23'!O117/'FY22-23'!$S117*'Multi-Year'!$P117,0)+IF('FY22-23'!$S117&lt;0,'FY22-23'!O117/'FY22-23'!$S117*'Multi-Year'!$P117,0)</f>
        <v>0</v>
      </c>
      <c r="P117" s="94">
        <f>IF('FY22-23'!$S117&gt;0,'FY22-23'!P117/'FY22-23'!$S117*'Multi-Year'!$P117,0)+IF('FY22-23'!$S117&lt;0,'FY22-23'!P117/'FY22-23'!$S117*'Multi-Year'!$P117,0)</f>
        <v>0</v>
      </c>
      <c r="Q117" s="606">
        <f>IF('FY22-23'!$S117&gt;0,'FY22-23'!Q117/'FY22-23'!$S117*'Multi-Year'!$P117,0)+IF('FY22-23'!$S117&lt;0,'FY22-23'!Q117/'FY22-23'!$S117*'Multi-Year'!$P117,0)</f>
        <v>0</v>
      </c>
      <c r="R117" s="94"/>
      <c r="S117" s="625">
        <f t="shared" si="44"/>
        <v>23729.578852601542</v>
      </c>
      <c r="T117" s="94"/>
      <c r="U117" s="94">
        <f>'FY22-23'!S117</f>
        <v>22146.508755106915</v>
      </c>
      <c r="V117" s="94">
        <f t="shared" si="45"/>
        <v>-1583.0700974946267</v>
      </c>
    </row>
    <row r="118" spans="1:22" s="95" customFormat="1" ht="12" customHeight="1">
      <c r="A118" s="124"/>
      <c r="B118" s="124" t="s">
        <v>186</v>
      </c>
      <c r="C118" s="126"/>
      <c r="D118" s="126"/>
      <c r="E118" s="215">
        <f t="shared" ref="E118:P118" si="46">SUM(E112:E117)</f>
        <v>0</v>
      </c>
      <c r="F118" s="215">
        <f t="shared" si="46"/>
        <v>0</v>
      </c>
      <c r="G118" s="215">
        <f t="shared" si="46"/>
        <v>4995.076348472624</v>
      </c>
      <c r="H118" s="215">
        <f t="shared" si="46"/>
        <v>23833.51440797593</v>
      </c>
      <c r="I118" s="215">
        <f t="shared" si="46"/>
        <v>9275.7737255876782</v>
      </c>
      <c r="J118" s="215">
        <f t="shared" si="46"/>
        <v>3765.8841639078637</v>
      </c>
      <c r="K118" s="215">
        <f t="shared" si="46"/>
        <v>32686.308390515991</v>
      </c>
      <c r="L118" s="215">
        <f t="shared" si="46"/>
        <v>1263.6000739010317</v>
      </c>
      <c r="M118" s="215">
        <f t="shared" si="46"/>
        <v>711.88736557804611</v>
      </c>
      <c r="N118" s="215">
        <f t="shared" si="46"/>
        <v>-3440.7889336272219</v>
      </c>
      <c r="O118" s="215">
        <f t="shared" si="46"/>
        <v>-4329.4616616571502</v>
      </c>
      <c r="P118" s="215">
        <f t="shared" si="46"/>
        <v>-2463.1302849000394</v>
      </c>
      <c r="Q118" s="603">
        <f t="shared" ref="Q118" si="47">SUM(Q112:Q117)</f>
        <v>0</v>
      </c>
      <c r="R118" s="94"/>
      <c r="S118" s="626">
        <f>SUM(E118:R118)</f>
        <v>66298.66359575477</v>
      </c>
      <c r="T118" s="94"/>
      <c r="U118" s="216">
        <f>SUM(U112:U117)</f>
        <v>61875.684473612084</v>
      </c>
      <c r="V118" s="216">
        <f>SUM(V112:V117)</f>
        <v>-4422.9791221426694</v>
      </c>
    </row>
    <row r="119" spans="1:22" s="95" customFormat="1" ht="12" customHeight="1">
      <c r="A119" s="124"/>
      <c r="B119" s="124" t="s">
        <v>285</v>
      </c>
      <c r="C119" s="126"/>
      <c r="D119" s="126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606"/>
      <c r="R119" s="94"/>
      <c r="S119" s="627"/>
      <c r="T119" s="94"/>
      <c r="U119" s="94"/>
      <c r="V119" s="94"/>
    </row>
    <row r="120" spans="1:22" s="95" customFormat="1" ht="12" customHeight="1">
      <c r="A120" s="124"/>
      <c r="B120" s="124" t="s">
        <v>186</v>
      </c>
      <c r="C120" s="102">
        <v>5801</v>
      </c>
      <c r="D120" s="127" t="s">
        <v>92</v>
      </c>
      <c r="E120" s="94">
        <f>IF('FY22-23'!$S120&gt;0,'FY22-23'!E120/'FY22-23'!$S120*'Multi-Year'!$P120,0)+IF('FY22-23'!$S120&lt;0,'FY22-23'!E120/'FY22-23'!$S120*'Multi-Year'!$P120,0)</f>
        <v>0</v>
      </c>
      <c r="F120" s="94">
        <f>IF('FY22-23'!$S120&gt;0,'FY22-23'!F120/'FY22-23'!$S120*'Multi-Year'!$P120,0)+IF('FY22-23'!$S120&lt;0,'FY22-23'!F120/'FY22-23'!$S120*'Multi-Year'!$P120,0)</f>
        <v>0</v>
      </c>
      <c r="G120" s="94">
        <f>IF('FY22-23'!$S120&gt;0,'FY22-23'!G120/'FY22-23'!$S120*'Multi-Year'!$P120,0)+IF('FY22-23'!$S120&lt;0,'FY22-23'!G120/'FY22-23'!$S120*'Multi-Year'!$P120,0)</f>
        <v>0</v>
      </c>
      <c r="H120" s="94">
        <f>IF('FY22-23'!$S120&gt;0,'FY22-23'!H120/'FY22-23'!$S120*'Multi-Year'!$P120,0)+IF('FY22-23'!$S120&lt;0,'FY22-23'!H120/'FY22-23'!$S120*'Multi-Year'!$P120,0)</f>
        <v>830.53525984105397</v>
      </c>
      <c r="I120" s="94">
        <f>IF('FY22-23'!$S120&gt;0,'FY22-23'!I120/'FY22-23'!$S120*'Multi-Year'!$P120,0)+IF('FY22-23'!$S120&lt;0,'FY22-23'!I120/'FY22-23'!$S120*'Multi-Year'!$P120,0)</f>
        <v>0</v>
      </c>
      <c r="J120" s="94">
        <f>IF('FY22-23'!$S120&gt;0,'FY22-23'!J120/'FY22-23'!$S120*'Multi-Year'!$P120,0)+IF('FY22-23'!$S120&lt;0,'FY22-23'!J120/'FY22-23'!$S120*'Multi-Year'!$P120,0)</f>
        <v>0</v>
      </c>
      <c r="K120" s="94">
        <f>IF('FY22-23'!$S120&gt;0,'FY22-23'!K120/'FY22-23'!$S120*'Multi-Year'!$P120,0)+IF('FY22-23'!$S120&lt;0,'FY22-23'!K120/'FY22-23'!$S120*'Multi-Year'!$P120,0)</f>
        <v>0</v>
      </c>
      <c r="L120" s="94">
        <f>IF('FY22-23'!$S120&gt;0,'FY22-23'!L120/'FY22-23'!$S120*'Multi-Year'!$P120,0)+IF('FY22-23'!$S120&lt;0,'FY22-23'!L120/'FY22-23'!$S120*'Multi-Year'!$P120,0)</f>
        <v>0</v>
      </c>
      <c r="M120" s="94">
        <f>IF('FY22-23'!$S120&gt;0,'FY22-23'!M120/'FY22-23'!$S120*'Multi-Year'!$P120,0)+IF('FY22-23'!$S120&lt;0,'FY22-23'!M120/'FY22-23'!$S120*'Multi-Year'!$P120,0)</f>
        <v>0</v>
      </c>
      <c r="N120" s="94">
        <f>IF('FY22-23'!$S120&gt;0,'FY22-23'!N120/'FY22-23'!$S120*'Multi-Year'!$P120,0)+IF('FY22-23'!$S120&lt;0,'FY22-23'!N120/'FY22-23'!$S120*'Multi-Year'!$P120,0)</f>
        <v>1067.8310483670696</v>
      </c>
      <c r="O120" s="94">
        <f>IF('FY22-23'!$S120&gt;0,'FY22-23'!O120/'FY22-23'!$S120*'Multi-Year'!$P120,0)+IF('FY22-23'!$S120&lt;0,'FY22-23'!O120/'FY22-23'!$S120*'Multi-Year'!$P120,0)</f>
        <v>0</v>
      </c>
      <c r="P120" s="94">
        <f>IF('FY22-23'!$S120&gt;0,'FY22-23'!P120/'FY22-23'!$S120*'Multi-Year'!$P120,0)+IF('FY22-23'!$S120&lt;0,'FY22-23'!P120/'FY22-23'!$S120*'Multi-Year'!$P120,0)</f>
        <v>31931.589135109003</v>
      </c>
      <c r="Q120" s="606">
        <f>IF('FY22-23'!$S120&gt;0,'FY22-23'!Q120/'FY22-23'!$S120*'Multi-Year'!$P120,0)+IF('FY22-23'!$S120&lt;0,'FY22-23'!Q120/'FY22-23'!$S120*'Multi-Year'!$P120,0)</f>
        <v>0</v>
      </c>
      <c r="R120" s="94"/>
      <c r="S120" s="625">
        <f t="shared" ref="S120:S133" si="48">SUM(E120:Q120)</f>
        <v>33829.955443317129</v>
      </c>
      <c r="T120" s="94"/>
      <c r="U120" s="94">
        <f>'FY22-23'!S120</f>
        <v>31573.059474174399</v>
      </c>
      <c r="V120" s="94">
        <f t="shared" ref="V120:V133" si="49">U120-S120</f>
        <v>-2256.8959691427299</v>
      </c>
    </row>
    <row r="121" spans="1:22" s="95" customFormat="1" ht="12" customHeight="1">
      <c r="A121" s="124"/>
      <c r="B121" s="124" t="s">
        <v>186</v>
      </c>
      <c r="C121" s="102">
        <v>5802</v>
      </c>
      <c r="D121" s="127" t="s">
        <v>170</v>
      </c>
      <c r="E121" s="94">
        <f>IF('FY22-23'!$S121&gt;0,'FY22-23'!E121/'FY22-23'!$S121*'Multi-Year'!$P121,0)+IF('FY22-23'!$S121&lt;0,'FY22-23'!E121/'FY22-23'!$S121*'Multi-Year'!$P121,0)</f>
        <v>0</v>
      </c>
      <c r="F121" s="94">
        <f>IF('FY22-23'!$S121&gt;0,'FY22-23'!F121/'FY22-23'!$S121*'Multi-Year'!$P121,0)+IF('FY22-23'!$S121&lt;0,'FY22-23'!F121/'FY22-23'!$S121*'Multi-Year'!$P121,0)</f>
        <v>0</v>
      </c>
      <c r="G121" s="94">
        <f>IF('FY22-23'!$S121&gt;0,'FY22-23'!G121/'FY22-23'!$S121*'Multi-Year'!$P121,0)+IF('FY22-23'!$S121&lt;0,'FY22-23'!G121/'FY22-23'!$S121*'Multi-Year'!$P121,0)</f>
        <v>0</v>
      </c>
      <c r="H121" s="94">
        <f>IF('FY22-23'!$S121&gt;0,'FY22-23'!H121/'FY22-23'!$S121*'Multi-Year'!$P121,0)+IF('FY22-23'!$S121&lt;0,'FY22-23'!H121/'FY22-23'!$S121*'Multi-Year'!$P121,0)</f>
        <v>0</v>
      </c>
      <c r="I121" s="94">
        <f>IF('FY22-23'!$S121&gt;0,'FY22-23'!I121/'FY22-23'!$S121*'Multi-Year'!$P121,0)+IF('FY22-23'!$S121&lt;0,'FY22-23'!I121/'FY22-23'!$S121*'Multi-Year'!$P121,0)</f>
        <v>0</v>
      </c>
      <c r="J121" s="94">
        <f>IF('FY22-23'!$S121&gt;0,'FY22-23'!J121/'FY22-23'!$S121*'Multi-Year'!$P121,0)+IF('FY22-23'!$S121&lt;0,'FY22-23'!J121/'FY22-23'!$S121*'Multi-Year'!$P121,0)</f>
        <v>0</v>
      </c>
      <c r="K121" s="94">
        <f>IF('FY22-23'!$S121&gt;0,'FY22-23'!K121/'FY22-23'!$S121*'Multi-Year'!$P121,0)+IF('FY22-23'!$S121&lt;0,'FY22-23'!K121/'FY22-23'!$S121*'Multi-Year'!$P121,0)</f>
        <v>0</v>
      </c>
      <c r="L121" s="94">
        <f>IF('FY22-23'!$S121&gt;0,'FY22-23'!L121/'FY22-23'!$S121*'Multi-Year'!$P121,0)+IF('FY22-23'!$S121&lt;0,'FY22-23'!L121/'FY22-23'!$S121*'Multi-Year'!$P121,0)</f>
        <v>0</v>
      </c>
      <c r="M121" s="94">
        <f>IF('FY22-23'!$S121&gt;0,'FY22-23'!M121/'FY22-23'!$S121*'Multi-Year'!$P121,0)+IF('FY22-23'!$S121&lt;0,'FY22-23'!M121/'FY22-23'!$S121*'Multi-Year'!$P121,0)</f>
        <v>0</v>
      </c>
      <c r="N121" s="94">
        <f>IF('FY22-23'!$S121&gt;0,'FY22-23'!N121/'FY22-23'!$S121*'Multi-Year'!$P121,0)+IF('FY22-23'!$S121&lt;0,'FY22-23'!N121/'FY22-23'!$S121*'Multi-Year'!$P121,0)</f>
        <v>0</v>
      </c>
      <c r="O121" s="94">
        <f>IF('FY22-23'!$S121&gt;0,'FY22-23'!O121/'FY22-23'!$S121*'Multi-Year'!$P121,0)+IF('FY22-23'!$S121&lt;0,'FY22-23'!O121/'FY22-23'!$S121*'Multi-Year'!$P121,0)</f>
        <v>0</v>
      </c>
      <c r="P121" s="94">
        <f>IF('FY22-23'!$S121&gt;0,'FY22-23'!P121/'FY22-23'!$S121*'Multi-Year'!$P121,0)+IF('FY22-23'!$S121&lt;0,'FY22-23'!P121/'FY22-23'!$S121*'Multi-Year'!$P121,0)</f>
        <v>0</v>
      </c>
      <c r="Q121" s="606">
        <f>IF('FY22-23'!$S121&gt;0,'FY22-23'!Q121/'FY22-23'!$S121*'Multi-Year'!$P121,0)+IF('FY22-23'!$S121&lt;0,'FY22-23'!Q121/'FY22-23'!$S121*'Multi-Year'!$P121,0)</f>
        <v>0</v>
      </c>
      <c r="R121" s="94"/>
      <c r="S121" s="625">
        <f t="shared" si="48"/>
        <v>0</v>
      </c>
      <c r="T121" s="94"/>
      <c r="U121" s="94">
        <f>'FY22-23'!S121</f>
        <v>0</v>
      </c>
      <c r="V121" s="94">
        <f t="shared" si="49"/>
        <v>0</v>
      </c>
    </row>
    <row r="122" spans="1:22" s="95" customFormat="1" ht="12" customHeight="1">
      <c r="A122" s="124"/>
      <c r="B122" s="124" t="s">
        <v>186</v>
      </c>
      <c r="C122" s="102">
        <v>5803</v>
      </c>
      <c r="D122" s="127" t="s">
        <v>93</v>
      </c>
      <c r="E122" s="94">
        <f>IF('FY22-23'!$S122&gt;0,'FY22-23'!E122/'FY22-23'!$S122*'Multi-Year'!$P122,0)+IF('FY22-23'!$S122&lt;0,'FY22-23'!E122/'FY22-23'!$S122*'Multi-Year'!$P122,0)</f>
        <v>3731.8905337104002</v>
      </c>
      <c r="F122" s="94">
        <f>IF('FY22-23'!$S122&gt;0,'FY22-23'!F122/'FY22-23'!$S122*'Multi-Year'!$P122,0)+IF('FY22-23'!$S122&lt;0,'FY22-23'!F122/'FY22-23'!$S122*'Multi-Year'!$P122,0)</f>
        <v>389.6755776</v>
      </c>
      <c r="G122" s="94">
        <f>IF('FY22-23'!$S122&gt;0,'FY22-23'!G122/'FY22-23'!$S122*'Multi-Year'!$P122,0)+IF('FY22-23'!$S122&lt;0,'FY22-23'!G122/'FY22-23'!$S122*'Multi-Year'!$P122,0)</f>
        <v>476.27015040000003</v>
      </c>
      <c r="H122" s="94">
        <f>IF('FY22-23'!$S122&gt;0,'FY22-23'!H122/'FY22-23'!$S122*'Multi-Year'!$P122,0)+IF('FY22-23'!$S122&lt;0,'FY22-23'!H122/'FY22-23'!$S122*'Multi-Year'!$P122,0)</f>
        <v>1646.3793153600002</v>
      </c>
      <c r="I122" s="94">
        <f>IF('FY22-23'!$S122&gt;0,'FY22-23'!I122/'FY22-23'!$S122*'Multi-Year'!$P122,0)+IF('FY22-23'!$S122&lt;0,'FY22-23'!I122/'FY22-23'!$S122*'Multi-Year'!$P122,0)</f>
        <v>0</v>
      </c>
      <c r="J122" s="94">
        <f>IF('FY22-23'!$S122&gt;0,'FY22-23'!J122/'FY22-23'!$S122*'Multi-Year'!$P122,0)+IF('FY22-23'!$S122&lt;0,'FY22-23'!J122/'FY22-23'!$S122*'Multi-Year'!$P122,0)</f>
        <v>297.66884400000004</v>
      </c>
      <c r="K122" s="94">
        <f>IF('FY22-23'!$S122&gt;0,'FY22-23'!K122/'FY22-23'!$S122*'Multi-Year'!$P122,0)+IF('FY22-23'!$S122&lt;0,'FY22-23'!K122/'FY22-23'!$S122*'Multi-Year'!$P122,0)</f>
        <v>1401.8578904159999</v>
      </c>
      <c r="L122" s="94">
        <f>IF('FY22-23'!$S122&gt;0,'FY22-23'!L122/'FY22-23'!$S122*'Multi-Year'!$P122,0)+IF('FY22-23'!$S122&lt;0,'FY22-23'!L122/'FY22-23'!$S122*'Multi-Year'!$P122,0)</f>
        <v>1067.5054205136</v>
      </c>
      <c r="M122" s="94">
        <f>IF('FY22-23'!$S122&gt;0,'FY22-23'!M122/'FY22-23'!$S122*'Multi-Year'!$P122,0)+IF('FY22-23'!$S122&lt;0,'FY22-23'!M122/'FY22-23'!$S122*'Multi-Year'!$P122,0)</f>
        <v>3832.5134273040007</v>
      </c>
      <c r="N122" s="94">
        <f>IF('FY22-23'!$S122&gt;0,'FY22-23'!N122/'FY22-23'!$S122*'Multi-Year'!$P122,0)+IF('FY22-23'!$S122&lt;0,'FY22-23'!N122/'FY22-23'!$S122*'Multi-Year'!$P122,0)</f>
        <v>6700.2550704000005</v>
      </c>
      <c r="O122" s="94">
        <f>IF('FY22-23'!$S122&gt;0,'FY22-23'!O122/'FY22-23'!$S122*'Multi-Year'!$P122,0)+IF('FY22-23'!$S122&lt;0,'FY22-23'!O122/'FY22-23'!$S122*'Multi-Year'!$P122,0)</f>
        <v>333.38910528000002</v>
      </c>
      <c r="P122" s="94">
        <f>IF('FY22-23'!$S122&gt;0,'FY22-23'!P122/'FY22-23'!$S122*'Multi-Year'!$P122,0)+IF('FY22-23'!$S122&lt;0,'FY22-23'!P122/'FY22-23'!$S122*'Multi-Year'!$P122,0)</f>
        <v>48343.444413739206</v>
      </c>
      <c r="Q122" s="606">
        <f>IF('FY22-23'!$S122&gt;0,'FY22-23'!Q122/'FY22-23'!$S122*'Multi-Year'!$P122,0)+IF('FY22-23'!$S122&lt;0,'FY22-23'!Q122/'FY22-23'!$S122*'Multi-Year'!$P122,0)</f>
        <v>0</v>
      </c>
      <c r="R122" s="94"/>
      <c r="S122" s="625">
        <f t="shared" si="48"/>
        <v>68220.849748723209</v>
      </c>
      <c r="T122" s="94"/>
      <c r="U122" s="94">
        <f>'FY22-23'!S122</f>
        <v>66883.186028160009</v>
      </c>
      <c r="V122" s="94">
        <f t="shared" si="49"/>
        <v>-1337.6637205631996</v>
      </c>
    </row>
    <row r="123" spans="1:22" s="95" customFormat="1" ht="12" customHeight="1">
      <c r="A123" s="124"/>
      <c r="B123" s="124" t="s">
        <v>186</v>
      </c>
      <c r="C123" s="102">
        <v>5804</v>
      </c>
      <c r="D123" s="127" t="s">
        <v>35</v>
      </c>
      <c r="E123" s="94">
        <f>IF('FY22-23'!$S123&gt;0,'FY22-23'!E123/'FY22-23'!$S123*'Multi-Year'!$P123,0)+IF('FY22-23'!$S123&lt;0,'FY22-23'!E123/'FY22-23'!$S123*'Multi-Year'!$P123,0)</f>
        <v>373.74086692847425</v>
      </c>
      <c r="F123" s="94">
        <f>IF('FY22-23'!$S123&gt;0,'FY22-23'!F123/'FY22-23'!$S123*'Multi-Year'!$P123,0)+IF('FY22-23'!$S123&lt;0,'FY22-23'!F123/'FY22-23'!$S123*'Multi-Year'!$P123,0)</f>
        <v>0</v>
      </c>
      <c r="G123" s="94">
        <f>IF('FY22-23'!$S123&gt;0,'FY22-23'!G123/'FY22-23'!$S123*'Multi-Year'!$P123,0)+IF('FY22-23'!$S123&lt;0,'FY22-23'!G123/'FY22-23'!$S123*'Multi-Year'!$P123,0)</f>
        <v>0</v>
      </c>
      <c r="H123" s="94">
        <f>IF('FY22-23'!$S123&gt;0,'FY22-23'!H123/'FY22-23'!$S123*'Multi-Year'!$P123,0)+IF('FY22-23'!$S123&lt;0,'FY22-23'!H123/'FY22-23'!$S123*'Multi-Year'!$P123,0)</f>
        <v>189.64679418999151</v>
      </c>
      <c r="I123" s="94">
        <f>IF('FY22-23'!$S123&gt;0,'FY22-23'!I123/'FY22-23'!$S123*'Multi-Year'!$P123,0)+IF('FY22-23'!$S123&lt;0,'FY22-23'!I123/'FY22-23'!$S123*'Multi-Year'!$P123,0)</f>
        <v>10310.502011455368</v>
      </c>
      <c r="J123" s="94">
        <f>IF('FY22-23'!$S123&gt;0,'FY22-23'!J123/'FY22-23'!$S123*'Multi-Year'!$P123,0)+IF('FY22-23'!$S123&lt;0,'FY22-23'!J123/'FY22-23'!$S123*'Multi-Year'!$P123,0)</f>
        <v>0</v>
      </c>
      <c r="K123" s="94">
        <f>IF('FY22-23'!$S123&gt;0,'FY22-23'!K123/'FY22-23'!$S123*'Multi-Year'!$P123,0)+IF('FY22-23'!$S123&lt;0,'FY22-23'!K123/'FY22-23'!$S123*'Multi-Year'!$P123,0)</f>
        <v>6582.5851737116664</v>
      </c>
      <c r="L123" s="94">
        <f>IF('FY22-23'!$S123&gt;0,'FY22-23'!L123/'FY22-23'!$S123*'Multi-Year'!$P123,0)+IF('FY22-23'!$S123&lt;0,'FY22-23'!L123/'FY22-23'!$S123*'Multi-Year'!$P123,0)</f>
        <v>0</v>
      </c>
      <c r="M123" s="94">
        <f>IF('FY22-23'!$S123&gt;0,'FY22-23'!M123/'FY22-23'!$S123*'Multi-Year'!$P123,0)+IF('FY22-23'!$S123&lt;0,'FY22-23'!M123/'FY22-23'!$S123*'Multi-Year'!$P123,0)</f>
        <v>0</v>
      </c>
      <c r="N123" s="94">
        <f>IF('FY22-23'!$S123&gt;0,'FY22-23'!N123/'FY22-23'!$S123*'Multi-Year'!$P123,0)+IF('FY22-23'!$S123&lt;0,'FY22-23'!N123/'FY22-23'!$S123*'Multi-Year'!$P123,0)</f>
        <v>157.26778384561669</v>
      </c>
      <c r="O123" s="94">
        <f>IF('FY22-23'!$S123&gt;0,'FY22-23'!O123/'FY22-23'!$S123*'Multi-Year'!$P123,0)+IF('FY22-23'!$S123&lt;0,'FY22-23'!O123/'FY22-23'!$S123*'Multi-Year'!$P123,0)</f>
        <v>145.34367047218441</v>
      </c>
      <c r="P123" s="94">
        <f>IF('FY22-23'!$S123&gt;0,'FY22-23'!P123/'FY22-23'!$S123*'Multi-Year'!$P123,0)+IF('FY22-23'!$S123&lt;0,'FY22-23'!P123/'FY22-23'!$S123*'Multi-Year'!$P123,0)</f>
        <v>21574.933092785319</v>
      </c>
      <c r="Q123" s="606">
        <f>IF('FY22-23'!$S123&gt;0,'FY22-23'!Q123/'FY22-23'!$S123*'Multi-Year'!$P123,0)+IF('FY22-23'!$S123&lt;0,'FY22-23'!Q123/'FY22-23'!$S123*'Multi-Year'!$P123,0)</f>
        <v>0</v>
      </c>
      <c r="R123" s="94"/>
      <c r="S123" s="625">
        <f t="shared" si="48"/>
        <v>39334.019393388618</v>
      </c>
      <c r="T123" s="94"/>
      <c r="U123" s="94">
        <f>'FY22-23'!S123</f>
        <v>36709.931106667078</v>
      </c>
      <c r="V123" s="94">
        <f t="shared" si="49"/>
        <v>-2624.0882867215405</v>
      </c>
    </row>
    <row r="124" spans="1:22" s="95" customFormat="1" ht="12" customHeight="1">
      <c r="A124" s="124"/>
      <c r="B124" s="124" t="s">
        <v>186</v>
      </c>
      <c r="C124" s="102">
        <v>5805</v>
      </c>
      <c r="D124" s="127" t="s">
        <v>94</v>
      </c>
      <c r="E124" s="94">
        <f>IF('FY22-23'!$S124&gt;0,'FY22-23'!E124/'FY22-23'!$S124*'Multi-Year'!$P124,0)+IF('FY22-23'!$S124&lt;0,'FY22-23'!E124/'FY22-23'!$S124*'Multi-Year'!$P124,0)</f>
        <v>889.8592069725579</v>
      </c>
      <c r="F124" s="94">
        <f>IF('FY22-23'!$S124&gt;0,'FY22-23'!F124/'FY22-23'!$S124*'Multi-Year'!$P124,0)+IF('FY22-23'!$S124&lt;0,'FY22-23'!F124/'FY22-23'!$S124*'Multi-Year'!$P124,0)</f>
        <v>593.2394713150386</v>
      </c>
      <c r="G124" s="94">
        <f>IF('FY22-23'!$S124&gt;0,'FY22-23'!G124/'FY22-23'!$S124*'Multi-Year'!$P124,0)+IF('FY22-23'!$S124&lt;0,'FY22-23'!G124/'FY22-23'!$S124*'Multi-Year'!$P124,0)</f>
        <v>0</v>
      </c>
      <c r="H124" s="94">
        <f>IF('FY22-23'!$S124&gt;0,'FY22-23'!H124/'FY22-23'!$S124*'Multi-Year'!$P124,0)+IF('FY22-23'!$S124&lt;0,'FY22-23'!H124/'FY22-23'!$S124*'Multi-Year'!$P124,0)</f>
        <v>3379.0920286104601</v>
      </c>
      <c r="I124" s="94">
        <f>IF('FY22-23'!$S124&gt;0,'FY22-23'!I124/'FY22-23'!$S124*'Multi-Year'!$P124,0)+IF('FY22-23'!$S124&lt;0,'FY22-23'!I124/'FY22-23'!$S124*'Multi-Year'!$P124,0)</f>
        <v>0</v>
      </c>
      <c r="J124" s="94">
        <f>IF('FY22-23'!$S124&gt;0,'FY22-23'!J124/'FY22-23'!$S124*'Multi-Year'!$P124,0)+IF('FY22-23'!$S124&lt;0,'FY22-23'!J124/'FY22-23'!$S124*'Multi-Year'!$P124,0)</f>
        <v>1779.7184139451158</v>
      </c>
      <c r="K124" s="94">
        <f>IF('FY22-23'!$S124&gt;0,'FY22-23'!K124/'FY22-23'!$S124*'Multi-Year'!$P124,0)+IF('FY22-23'!$S124&lt;0,'FY22-23'!K124/'FY22-23'!$S124*'Multi-Year'!$P124,0)</f>
        <v>1186.4789426300772</v>
      </c>
      <c r="L124" s="94">
        <f>IF('FY22-23'!$S124&gt;0,'FY22-23'!L124/'FY22-23'!$S124*'Multi-Year'!$P124,0)+IF('FY22-23'!$S124&lt;0,'FY22-23'!L124/'FY22-23'!$S124*'Multi-Year'!$P124,0)</f>
        <v>1010.8800591208256</v>
      </c>
      <c r="M124" s="94">
        <f>IF('FY22-23'!$S124&gt;0,'FY22-23'!M124/'FY22-23'!$S124*'Multi-Year'!$P124,0)+IF('FY22-23'!$S124&lt;0,'FY22-23'!M124/'FY22-23'!$S124*'Multi-Year'!$P124,0)</f>
        <v>1483.0986782875964</v>
      </c>
      <c r="N124" s="94">
        <f>IF('FY22-23'!$S124&gt;0,'FY22-23'!N124/'FY22-23'!$S124*'Multi-Year'!$P124,0)+IF('FY22-23'!$S124&lt;0,'FY22-23'!N124/'FY22-23'!$S124*'Multi-Year'!$P124,0)</f>
        <v>10381.690748013176</v>
      </c>
      <c r="O124" s="94">
        <f>IF('FY22-23'!$S124&gt;0,'FY22-23'!O124/'FY22-23'!$S124*'Multi-Year'!$P124,0)+IF('FY22-23'!$S124&lt;0,'FY22-23'!O124/'FY22-23'!$S124*'Multi-Year'!$P124,0)</f>
        <v>0</v>
      </c>
      <c r="P124" s="94">
        <f>IF('FY22-23'!$S124&gt;0,'FY22-23'!P124/'FY22-23'!$S124*'Multi-Year'!$P124,0)+IF('FY22-23'!$S124&lt;0,'FY22-23'!P124/'FY22-23'!$S124*'Multi-Year'!$P124,0)</f>
        <v>2491.6057795231618</v>
      </c>
      <c r="Q124" s="606">
        <f>IF('FY22-23'!$S124&gt;0,'FY22-23'!Q124/'FY22-23'!$S124*'Multi-Year'!$P124,0)+IF('FY22-23'!$S124&lt;0,'FY22-23'!Q124/'FY22-23'!$S124*'Multi-Year'!$P124,0)</f>
        <v>0</v>
      </c>
      <c r="R124" s="94"/>
      <c r="S124" s="625">
        <f t="shared" si="48"/>
        <v>23195.663328418006</v>
      </c>
      <c r="T124" s="94"/>
      <c r="U124" s="94">
        <f>'FY22-23'!S124</f>
        <v>21648.212308117014</v>
      </c>
      <c r="V124" s="94">
        <f t="shared" si="49"/>
        <v>-1547.4510203009922</v>
      </c>
    </row>
    <row r="125" spans="1:22" s="95" customFormat="1" ht="12" customHeight="1">
      <c r="A125" s="124"/>
      <c r="B125" s="124" t="s">
        <v>186</v>
      </c>
      <c r="C125" s="102">
        <f>'Multi-Year'!D125</f>
        <v>5806</v>
      </c>
      <c r="D125" s="127" t="s">
        <v>81</v>
      </c>
      <c r="E125" s="94">
        <f>IF('FY22-23'!$S125&gt;0,'FY22-23'!E125/'FY22-23'!$S125*'Multi-Year'!$P125,0)+IF('FY22-23'!$S125&lt;0,'FY22-23'!E125/'FY22-23'!$S125*'Multi-Year'!$P125,0)</f>
        <v>0</v>
      </c>
      <c r="F125" s="94">
        <f>IF('FY22-23'!$S125&gt;0,'FY22-23'!F125/'FY22-23'!$S125*'Multi-Year'!$P125,0)+IF('FY22-23'!$S125&lt;0,'FY22-23'!F125/'FY22-23'!$S125*'Multi-Year'!$P125,0)</f>
        <v>0</v>
      </c>
      <c r="G125" s="94">
        <f>IF('FY22-23'!$S125&gt;0,'FY22-23'!G125/'FY22-23'!$S125*'Multi-Year'!$P125,0)+IF('FY22-23'!$S125&lt;0,'FY22-23'!G125/'FY22-23'!$S125*'Multi-Year'!$P125,0)</f>
        <v>0</v>
      </c>
      <c r="H125" s="94">
        <f>IF('FY22-23'!$S125&gt;0,'FY22-23'!H125/'FY22-23'!$S125*'Multi-Year'!$P125,0)+IF('FY22-23'!$S125&lt;0,'FY22-23'!H125/'FY22-23'!$S125*'Multi-Year'!$P125,0)</f>
        <v>0</v>
      </c>
      <c r="I125" s="94">
        <f>IF('FY22-23'!$S125&gt;0,'FY22-23'!I125/'FY22-23'!$S125*'Multi-Year'!$P125,0)+IF('FY22-23'!$S125&lt;0,'FY22-23'!I125/'FY22-23'!$S125*'Multi-Year'!$P125,0)</f>
        <v>0</v>
      </c>
      <c r="J125" s="94">
        <f>IF('FY22-23'!$S125&gt;0,'FY22-23'!J125/'FY22-23'!$S125*'Multi-Year'!$P125,0)+IF('FY22-23'!$S125&lt;0,'FY22-23'!J125/'FY22-23'!$S125*'Multi-Year'!$P125,0)</f>
        <v>0</v>
      </c>
      <c r="K125" s="94">
        <f>IF('FY22-23'!$S125&gt;0,'FY22-23'!K125/'FY22-23'!$S125*'Multi-Year'!$P125,0)+IF('FY22-23'!$S125&lt;0,'FY22-23'!K125/'FY22-23'!$S125*'Multi-Year'!$P125,0)</f>
        <v>0</v>
      </c>
      <c r="L125" s="94">
        <f>IF('FY22-23'!$S125&gt;0,'FY22-23'!L125/'FY22-23'!$S125*'Multi-Year'!$P125,0)+IF('FY22-23'!$S125&lt;0,'FY22-23'!L125/'FY22-23'!$S125*'Multi-Year'!$P125,0)</f>
        <v>90368.366411910261</v>
      </c>
      <c r="M125" s="94">
        <f>IF('FY22-23'!$S125&gt;0,'FY22-23'!M125/'FY22-23'!$S125*'Multi-Year'!$P125,0)+IF('FY22-23'!$S125&lt;0,'FY22-23'!M125/'FY22-23'!$S125*'Multi-Year'!$P125,0)</f>
        <v>90368.366411910261</v>
      </c>
      <c r="N125" s="94">
        <f>IF('FY22-23'!$S125&gt;0,'FY22-23'!N125/'FY22-23'!$S125*'Multi-Year'!$P125,0)+IF('FY22-23'!$S125&lt;0,'FY22-23'!N125/'FY22-23'!$S125*'Multi-Year'!$P125,0)</f>
        <v>90368.366411910261</v>
      </c>
      <c r="O125" s="94">
        <f>IF('FY22-23'!$S125&gt;0,'FY22-23'!O125/'FY22-23'!$S125*'Multi-Year'!$P125,0)+IF('FY22-23'!$S125&lt;0,'FY22-23'!O125/'FY22-23'!$S125*'Multi-Year'!$P125,0)</f>
        <v>0</v>
      </c>
      <c r="P125" s="94">
        <f>IF('FY22-23'!$S125&gt;0,'FY22-23'!P125/'FY22-23'!$S125*'Multi-Year'!$P125,0)+IF('FY22-23'!$S125&lt;0,'FY22-23'!P125/'FY22-23'!$S125*'Multi-Year'!$P125,0)</f>
        <v>0</v>
      </c>
      <c r="Q125" s="606">
        <f>IF('FY22-23'!$S125&gt;0,'FY22-23'!Q125/'FY22-23'!$S125*'Multi-Year'!$P125,0)+IF('FY22-23'!$S125&lt;0,'FY22-23'!Q125/'FY22-23'!$S125*'Multi-Year'!$P125,0)</f>
        <v>0</v>
      </c>
      <c r="R125" s="94"/>
      <c r="S125" s="625">
        <f>SUM(E125:Q125)</f>
        <v>271105.09923573077</v>
      </c>
      <c r="T125" s="94"/>
      <c r="U125" s="94">
        <f>'FY22-23'!S125</f>
        <v>253018.87956262659</v>
      </c>
      <c r="V125" s="94">
        <f>U125-S125</f>
        <v>-18086.219673104177</v>
      </c>
    </row>
    <row r="126" spans="1:22" s="95" customFormat="1" ht="12" customHeight="1">
      <c r="A126" s="124"/>
      <c r="B126" s="124" t="s">
        <v>186</v>
      </c>
      <c r="C126" s="102">
        <f>'Multi-Year'!D126</f>
        <v>5807</v>
      </c>
      <c r="D126" s="127" t="s">
        <v>41</v>
      </c>
      <c r="E126" s="94">
        <f>IF('FY22-23'!$S126&gt;0,'FY22-23'!E126/'FY22-23'!$S126*'Multi-Year'!$P126,0)+IF('FY22-23'!$S126&lt;0,'FY22-23'!E126/'FY22-23'!$S126*'Multi-Year'!$P126,0)</f>
        <v>0</v>
      </c>
      <c r="F126" s="94">
        <f>IF('FY22-23'!$S126&gt;0,'FY22-23'!F126/'FY22-23'!$S126*'Multi-Year'!$P126,0)+IF('FY22-23'!$S126&lt;0,'FY22-23'!F126/'FY22-23'!$S126*'Multi-Year'!$P126,0)</f>
        <v>28.47549462312185</v>
      </c>
      <c r="G126" s="94">
        <f>IF('FY22-23'!$S126&gt;0,'FY22-23'!G126/'FY22-23'!$S126*'Multi-Year'!$P126,0)+IF('FY22-23'!$S126&lt;0,'FY22-23'!G126/'FY22-23'!$S126*'Multi-Year'!$P126,0)</f>
        <v>402.27568549872774</v>
      </c>
      <c r="H126" s="94">
        <f>IF('FY22-23'!$S126&gt;0,'FY22-23'!H126/'FY22-23'!$S126*'Multi-Year'!$P126,0)+IF('FY22-23'!$S126&lt;0,'FY22-23'!H126/'FY22-23'!$S126*'Multi-Year'!$P126,0)</f>
        <v>1049.8914867545029</v>
      </c>
      <c r="I126" s="94">
        <f>IF('FY22-23'!$S126&gt;0,'FY22-23'!I126/'FY22-23'!$S126*'Multi-Year'!$P126,0)+IF('FY22-23'!$S126&lt;0,'FY22-23'!I126/'FY22-23'!$S126*'Multi-Year'!$P126,0)</f>
        <v>4.4730256137153903</v>
      </c>
      <c r="J126" s="94">
        <f>IF('FY22-23'!$S126&gt;0,'FY22-23'!J126/'FY22-23'!$S126*'Multi-Year'!$P126,0)+IF('FY22-23'!$S126&lt;0,'FY22-23'!J126/'FY22-23'!$S126*'Multi-Year'!$P126,0)</f>
        <v>0</v>
      </c>
      <c r="K126" s="94">
        <f>IF('FY22-23'!$S126&gt;0,'FY22-23'!K126/'FY22-23'!$S126*'Multi-Year'!$P126,0)+IF('FY22-23'!$S126&lt;0,'FY22-23'!K126/'FY22-23'!$S126*'Multi-Year'!$P126,0)</f>
        <v>0</v>
      </c>
      <c r="L126" s="94">
        <f>IF('FY22-23'!$S126&gt;0,'FY22-23'!L126/'FY22-23'!$S126*'Multi-Year'!$P126,0)+IF('FY22-23'!$S126&lt;0,'FY22-23'!L126/'FY22-23'!$S126*'Multi-Year'!$P126,0)</f>
        <v>0</v>
      </c>
      <c r="M126" s="94">
        <f>IF('FY22-23'!$S126&gt;0,'FY22-23'!M126/'FY22-23'!$S126*'Multi-Year'!$P126,0)+IF('FY22-23'!$S126&lt;0,'FY22-23'!M126/'FY22-23'!$S126*'Multi-Year'!$P126,0)</f>
        <v>59.323947131503864</v>
      </c>
      <c r="N126" s="94">
        <f>IF('FY22-23'!$S126&gt;0,'FY22-23'!N126/'FY22-23'!$S126*'Multi-Year'!$P126,0)+IF('FY22-23'!$S126&lt;0,'FY22-23'!N126/'FY22-23'!$S126*'Multi-Year'!$P126,0)</f>
        <v>0</v>
      </c>
      <c r="O126" s="94">
        <f>IF('FY22-23'!$S126&gt;0,'FY22-23'!O126/'FY22-23'!$S126*'Multi-Year'!$P126,0)+IF('FY22-23'!$S126&lt;0,'FY22-23'!O126/'FY22-23'!$S126*'Multi-Year'!$P126,0)</f>
        <v>147.53865651605011</v>
      </c>
      <c r="P126" s="94">
        <f>IF('FY22-23'!$S126&gt;0,'FY22-23'!P126/'FY22-23'!$S126*'Multi-Year'!$P126,0)+IF('FY22-23'!$S126&lt;0,'FY22-23'!P126/'FY22-23'!$S126*'Multi-Year'!$P126,0)</f>
        <v>89.757132009965346</v>
      </c>
      <c r="Q126" s="606">
        <f>IF('FY22-23'!$S126&gt;0,'FY22-23'!Q126/'FY22-23'!$S126*'Multi-Year'!$P126,0)+IF('FY22-23'!$S126&lt;0,'FY22-23'!Q126/'FY22-23'!$S126*'Multi-Year'!$P126,0)</f>
        <v>0</v>
      </c>
      <c r="R126" s="94"/>
      <c r="S126" s="625">
        <f>SUM(E126:Q126)</f>
        <v>1781.7354281475873</v>
      </c>
      <c r="T126" s="94"/>
      <c r="U126" s="94">
        <f>'FY22-23'!S126</f>
        <v>1662.8706098772025</v>
      </c>
      <c r="V126" s="94">
        <f>U126-S126</f>
        <v>-118.86481827038483</v>
      </c>
    </row>
    <row r="127" spans="1:22" s="95" customFormat="1" ht="12" customHeight="1">
      <c r="A127" s="124"/>
      <c r="B127" s="124" t="s">
        <v>186</v>
      </c>
      <c r="C127" s="102">
        <f>'Multi-Year'!D127</f>
        <v>5808</v>
      </c>
      <c r="D127" s="127" t="s">
        <v>42</v>
      </c>
      <c r="E127" s="94">
        <f>IF('FY22-23'!$S127&gt;0,'FY22-23'!E127/'FY22-23'!$S127*'Multi-Year'!$P127,0)+IF('FY22-23'!$S127&lt;0,'FY22-23'!E127/'FY22-23'!$S127*'Multi-Year'!$P127,0)</f>
        <v>0</v>
      </c>
      <c r="F127" s="94">
        <f>IF('FY22-23'!$S127&gt;0,'FY22-23'!F127/'FY22-23'!$S127*'Multi-Year'!$P127,0)+IF('FY22-23'!$S127&lt;0,'FY22-23'!F127/'FY22-23'!$S127*'Multi-Year'!$P127,0)</f>
        <v>0</v>
      </c>
      <c r="G127" s="94">
        <f>IF('FY22-23'!$S127&gt;0,'FY22-23'!G127/'FY22-23'!$S127*'Multi-Year'!$P127,0)+IF('FY22-23'!$S127&lt;0,'FY22-23'!G127/'FY22-23'!$S127*'Multi-Year'!$P127,0)</f>
        <v>0</v>
      </c>
      <c r="H127" s="94">
        <f>IF('FY22-23'!$S127&gt;0,'FY22-23'!H127/'FY22-23'!$S127*'Multi-Year'!$P127,0)+IF('FY22-23'!$S127&lt;0,'FY22-23'!H127/'FY22-23'!$S127*'Multi-Year'!$P127,0)</f>
        <v>0</v>
      </c>
      <c r="I127" s="94">
        <f>IF('FY22-23'!$S127&gt;0,'FY22-23'!I127/'FY22-23'!$S127*'Multi-Year'!$P127,0)+IF('FY22-23'!$S127&lt;0,'FY22-23'!I127/'FY22-23'!$S127*'Multi-Year'!$P127,0)</f>
        <v>273.73255685418513</v>
      </c>
      <c r="J127" s="94">
        <f>IF('FY22-23'!$S127&gt;0,'FY22-23'!J127/'FY22-23'!$S127*'Multi-Year'!$P127,0)+IF('FY22-23'!$S127&lt;0,'FY22-23'!J127/'FY22-23'!$S127*'Multi-Year'!$P127,0)</f>
        <v>40.257230523438515</v>
      </c>
      <c r="K127" s="94">
        <f>IF('FY22-23'!$S127&gt;0,'FY22-23'!K127/'FY22-23'!$S127*'Multi-Year'!$P127,0)+IF('FY22-23'!$S127&lt;0,'FY22-23'!K127/'FY22-23'!$S127*'Multi-Year'!$P127,0)</f>
        <v>1.7678536245188148</v>
      </c>
      <c r="L127" s="94">
        <f>IF('FY22-23'!$S127&gt;0,'FY22-23'!L127/'FY22-23'!$S127*'Multi-Year'!$P127,0)+IF('FY22-23'!$S127&lt;0,'FY22-23'!L127/'FY22-23'!$S127*'Multi-Year'!$P127,0)</f>
        <v>543.22938388318084</v>
      </c>
      <c r="M127" s="94">
        <f>IF('FY22-23'!$S127&gt;0,'FY22-23'!M127/'FY22-23'!$S127*'Multi-Year'!$P127,0)+IF('FY22-23'!$S127&lt;0,'FY22-23'!M127/'FY22-23'!$S127*'Multi-Year'!$P127,0)</f>
        <v>83.184038667794695</v>
      </c>
      <c r="N127" s="94">
        <f>IF('FY22-23'!$S127&gt;0,'FY22-23'!N127/'FY22-23'!$S127*'Multi-Year'!$P127,0)+IF('FY22-23'!$S127&lt;0,'FY22-23'!N127/'FY22-23'!$S127*'Multi-Year'!$P127,0)</f>
        <v>6.169690501676401</v>
      </c>
      <c r="O127" s="94">
        <f>IF('FY22-23'!$S127&gt;0,'FY22-23'!O127/'FY22-23'!$S127*'Multi-Year'!$P127,0)+IF('FY22-23'!$S127&lt;0,'FY22-23'!O127/'FY22-23'!$S127*'Multi-Year'!$P127,0)</f>
        <v>0</v>
      </c>
      <c r="P127" s="94">
        <f>IF('FY22-23'!$S127&gt;0,'FY22-23'!P127/'FY22-23'!$S127*'Multi-Year'!$P127,0)+IF('FY22-23'!$S127&lt;0,'FY22-23'!P127/'FY22-23'!$S127*'Multi-Year'!$P127,0)</f>
        <v>0</v>
      </c>
      <c r="Q127" s="606">
        <f>IF('FY22-23'!$S127&gt;0,'FY22-23'!Q127/'FY22-23'!$S127*'Multi-Year'!$P127,0)+IF('FY22-23'!$S127&lt;0,'FY22-23'!Q127/'FY22-23'!$S127*'Multi-Year'!$P127,0)</f>
        <v>0</v>
      </c>
      <c r="R127" s="94"/>
      <c r="S127" s="625">
        <f>SUM(E127:Q127)</f>
        <v>948.34075405479439</v>
      </c>
      <c r="T127" s="94"/>
      <c r="U127" s="94">
        <f>'FY22-23'!S127</f>
        <v>885.07414914347044</v>
      </c>
      <c r="V127" s="94">
        <f>U127-S127</f>
        <v>-63.266604911323952</v>
      </c>
    </row>
    <row r="128" spans="1:22" s="95" customFormat="1" ht="12" customHeight="1">
      <c r="A128" s="124"/>
      <c r="B128" s="124" t="s">
        <v>186</v>
      </c>
      <c r="C128" s="102">
        <f>'Multi-Year'!D128</f>
        <v>5809</v>
      </c>
      <c r="D128" s="127" t="s">
        <v>43</v>
      </c>
      <c r="E128" s="94">
        <f>IF('FY22-23'!$S128&gt;0,'FY22-23'!E128/'FY22-23'!$S128*'Multi-Year'!$P128,0)+IF('FY22-23'!$S128&lt;0,'FY22-23'!E128/'FY22-23'!$S128*'Multi-Year'!$P128,0)</f>
        <v>189.83663082081239</v>
      </c>
      <c r="F128" s="94">
        <f>IF('FY22-23'!$S128&gt;0,'FY22-23'!F128/'FY22-23'!$S128*'Multi-Year'!$P128,0)+IF('FY22-23'!$S128&lt;0,'FY22-23'!F128/'FY22-23'!$S128*'Multi-Year'!$P128,0)</f>
        <v>71.188736557804631</v>
      </c>
      <c r="G128" s="94">
        <f>IF('FY22-23'!$S128&gt;0,'FY22-23'!G128/'FY22-23'!$S128*'Multi-Year'!$P128,0)+IF('FY22-23'!$S128&lt;0,'FY22-23'!G128/'FY22-23'!$S128*'Multi-Year'!$P128,0)</f>
        <v>0</v>
      </c>
      <c r="H128" s="94">
        <f>IF('FY22-23'!$S128&gt;0,'FY22-23'!H128/'FY22-23'!$S128*'Multi-Year'!$P128,0)+IF('FY22-23'!$S128&lt;0,'FY22-23'!H128/'FY22-23'!$S128*'Multi-Year'!$P128,0)</f>
        <v>0</v>
      </c>
      <c r="I128" s="94">
        <f>IF('FY22-23'!$S128&gt;0,'FY22-23'!I128/'FY22-23'!$S128*'Multi-Year'!$P128,0)+IF('FY22-23'!$S128&lt;0,'FY22-23'!I128/'FY22-23'!$S128*'Multi-Year'!$P128,0)</f>
        <v>647.77004351831704</v>
      </c>
      <c r="J128" s="94">
        <f>IF('FY22-23'!$S128&gt;0,'FY22-23'!J128/'FY22-23'!$S128*'Multi-Year'!$P128,0)+IF('FY22-23'!$S128&lt;0,'FY22-23'!J128/'FY22-23'!$S128*'Multi-Year'!$P128,0)</f>
        <v>2159.3916755867408</v>
      </c>
      <c r="K128" s="94">
        <f>IF('FY22-23'!$S128&gt;0,'FY22-23'!K128/'FY22-23'!$S128*'Multi-Year'!$P128,0)+IF('FY22-23'!$S128&lt;0,'FY22-23'!K128/'FY22-23'!$S128*'Multi-Year'!$P128,0)</f>
        <v>0</v>
      </c>
      <c r="L128" s="94">
        <f>IF('FY22-23'!$S128&gt;0,'FY22-23'!L128/'FY22-23'!$S128*'Multi-Year'!$P128,0)+IF('FY22-23'!$S128&lt;0,'FY22-23'!L128/'FY22-23'!$S128*'Multi-Year'!$P128,0)</f>
        <v>37543.136212593367</v>
      </c>
      <c r="M128" s="94">
        <f>IF('FY22-23'!$S128&gt;0,'FY22-23'!M128/'FY22-23'!$S128*'Multi-Year'!$P128,0)+IF('FY22-23'!$S128&lt;0,'FY22-23'!M128/'FY22-23'!$S128*'Multi-Year'!$P128,0)</f>
        <v>25.758457844498981</v>
      </c>
      <c r="N128" s="94">
        <f>IF('FY22-23'!$S128&gt;0,'FY22-23'!N128/'FY22-23'!$S128*'Multi-Year'!$P128,0)+IF('FY22-23'!$S128&lt;0,'FY22-23'!N128/'FY22-23'!$S128*'Multi-Year'!$P128,0)</f>
        <v>0</v>
      </c>
      <c r="O128" s="94">
        <f>IF('FY22-23'!$S128&gt;0,'FY22-23'!O128/'FY22-23'!$S128*'Multi-Year'!$P128,0)+IF('FY22-23'!$S128&lt;0,'FY22-23'!O128/'FY22-23'!$S128*'Multi-Year'!$P128,0)</f>
        <v>42.689512355830182</v>
      </c>
      <c r="P128" s="94">
        <f>IF('FY22-23'!$S128&gt;0,'FY22-23'!P128/'FY22-23'!$S128*'Multi-Year'!$P128,0)+IF('FY22-23'!$S128&lt;0,'FY22-23'!P128/'FY22-23'!$S128*'Multi-Year'!$P128,0)</f>
        <v>498.32115590463235</v>
      </c>
      <c r="Q128" s="606">
        <f>IF('FY22-23'!$S128&gt;0,'FY22-23'!Q128/'FY22-23'!$S128*'Multi-Year'!$P128,0)+IF('FY22-23'!$S128&lt;0,'FY22-23'!Q128/'FY22-23'!$S128*'Multi-Year'!$P128,0)</f>
        <v>0</v>
      </c>
      <c r="R128" s="94"/>
      <c r="S128" s="625">
        <f>SUM(E128:Q128)</f>
        <v>41178.092425182003</v>
      </c>
      <c r="T128" s="94"/>
      <c r="U128" s="94">
        <f>'FY22-23'!S128</f>
        <v>38430.980595043926</v>
      </c>
      <c r="V128" s="94">
        <f>U128-S128</f>
        <v>-2747.1118301380775</v>
      </c>
    </row>
    <row r="129" spans="1:22" s="95" customFormat="1" ht="12" customHeight="1">
      <c r="A129" s="124"/>
      <c r="B129" s="124" t="s">
        <v>186</v>
      </c>
      <c r="C129" s="102">
        <v>5810</v>
      </c>
      <c r="D129" s="127" t="s">
        <v>26</v>
      </c>
      <c r="E129" s="94">
        <f>IF('FY22-23'!$S129&gt;0,'FY22-23'!E129/'FY22-23'!$S129*'Multi-Year'!$P129,0)+IF('FY22-23'!$S129&lt;0,'FY22-23'!E129/'FY22-23'!$S129*'Multi-Year'!$P129,0)</f>
        <v>0</v>
      </c>
      <c r="F129" s="94">
        <f>IF('FY22-23'!$S129&gt;0,'FY22-23'!F129/'FY22-23'!$S129*'Multi-Year'!$P129,0)+IF('FY22-23'!$S129&lt;0,'FY22-23'!F129/'FY22-23'!$S129*'Multi-Year'!$P129,0)</f>
        <v>0</v>
      </c>
      <c r="G129" s="94">
        <f>IF('FY22-23'!$S129&gt;0,'FY22-23'!G129/'FY22-23'!$S129*'Multi-Year'!$P129,0)+IF('FY22-23'!$S129&lt;0,'FY22-23'!G129/'FY22-23'!$S129*'Multi-Year'!$P129,0)</f>
        <v>0</v>
      </c>
      <c r="H129" s="94">
        <f>IF('FY22-23'!$S129&gt;0,'FY22-23'!H129/'FY22-23'!$S129*'Multi-Year'!$P129,0)+IF('FY22-23'!$S129&lt;0,'FY22-23'!H129/'FY22-23'!$S129*'Multi-Year'!$P129,0)</f>
        <v>0</v>
      </c>
      <c r="I129" s="94">
        <f>IF('FY22-23'!$S129&gt;0,'FY22-23'!I129/'FY22-23'!$S129*'Multi-Year'!$P129,0)+IF('FY22-23'!$S129&lt;0,'FY22-23'!I129/'FY22-23'!$S129*'Multi-Year'!$P129,0)</f>
        <v>0</v>
      </c>
      <c r="J129" s="94">
        <f>IF('FY22-23'!$S129&gt;0,'FY22-23'!J129/'FY22-23'!$S129*'Multi-Year'!$P129,0)+IF('FY22-23'!$S129&lt;0,'FY22-23'!J129/'FY22-23'!$S129*'Multi-Year'!$P129,0)</f>
        <v>0</v>
      </c>
      <c r="K129" s="94">
        <f>IF('FY22-23'!$S129&gt;0,'FY22-23'!K129/'FY22-23'!$S129*'Multi-Year'!$P129,0)+IF('FY22-23'!$S129&lt;0,'FY22-23'!K129/'FY22-23'!$S129*'Multi-Year'!$P129,0)</f>
        <v>0</v>
      </c>
      <c r="L129" s="94">
        <f>IF('FY22-23'!$S129&gt;0,'FY22-23'!L129/'FY22-23'!$S129*'Multi-Year'!$P129,0)+IF('FY22-23'!$S129&lt;0,'FY22-23'!L129/'FY22-23'!$S129*'Multi-Year'!$P129,0)</f>
        <v>0</v>
      </c>
      <c r="M129" s="94">
        <f>IF('FY22-23'!$S129&gt;0,'FY22-23'!M129/'FY22-23'!$S129*'Multi-Year'!$P129,0)+IF('FY22-23'!$S129&lt;0,'FY22-23'!M129/'FY22-23'!$S129*'Multi-Year'!$P129,0)</f>
        <v>0</v>
      </c>
      <c r="N129" s="94">
        <f>IF('FY22-23'!$S129&gt;0,'FY22-23'!N129/'FY22-23'!$S129*'Multi-Year'!$P129,0)+IF('FY22-23'!$S129&lt;0,'FY22-23'!N129/'FY22-23'!$S129*'Multi-Year'!$P129,0)</f>
        <v>0</v>
      </c>
      <c r="O129" s="94">
        <f>IF('FY22-23'!$S129&gt;0,'FY22-23'!O129/'FY22-23'!$S129*'Multi-Year'!$P129,0)+IF('FY22-23'!$S129&lt;0,'FY22-23'!O129/'FY22-23'!$S129*'Multi-Year'!$P129,0)</f>
        <v>2485.0801453386957</v>
      </c>
      <c r="P129" s="94">
        <f>IF('FY22-23'!$S129&gt;0,'FY22-23'!P129/'FY22-23'!$S129*'Multi-Year'!$P129,0)+IF('FY22-23'!$S129&lt;0,'FY22-23'!P129/'FY22-23'!$S129*'Multi-Year'!$P129,0)</f>
        <v>2914.5855225707842</v>
      </c>
      <c r="Q129" s="606">
        <f>IF('FY22-23'!$S129&gt;0,'FY22-23'!Q129/'FY22-23'!$S129*'Multi-Year'!$P129,0)+IF('FY22-23'!$S129&lt;0,'FY22-23'!Q129/'FY22-23'!$S129*'Multi-Year'!$P129,0)</f>
        <v>0</v>
      </c>
      <c r="R129" s="94"/>
      <c r="S129" s="625">
        <f t="shared" si="48"/>
        <v>5399.6656679094795</v>
      </c>
      <c r="T129" s="94"/>
      <c r="U129" s="94">
        <f>'FY22-23'!S129</f>
        <v>5039.438067224577</v>
      </c>
      <c r="V129" s="94">
        <f t="shared" si="49"/>
        <v>-360.22760068490243</v>
      </c>
    </row>
    <row r="130" spans="1:22" s="95" customFormat="1" ht="12" customHeight="1">
      <c r="A130" s="124"/>
      <c r="B130" s="124" t="s">
        <v>186</v>
      </c>
      <c r="C130" s="102">
        <v>5811</v>
      </c>
      <c r="D130" s="127" t="s">
        <v>27</v>
      </c>
      <c r="E130" s="94">
        <f>IF('FY22-23'!$S130&gt;0,'FY22-23'!E130/'FY22-23'!$S130*'Multi-Year'!$P130,0)+IF('FY22-23'!$S130&lt;0,'FY22-23'!E130/'FY22-23'!$S130*'Multi-Year'!$P130,0)</f>
        <v>54459.021468481318</v>
      </c>
      <c r="F130" s="94">
        <f>IF('FY22-23'!$S130&gt;0,'FY22-23'!F130/'FY22-23'!$S130*'Multi-Year'!$P130,0)+IF('FY22-23'!$S130&lt;0,'FY22-23'!F130/'FY22-23'!$S130*'Multi-Year'!$P130,0)</f>
        <v>54459.021468481318</v>
      </c>
      <c r="G130" s="94">
        <f>IF('FY22-23'!$S130&gt;0,'FY22-23'!G130/'FY22-23'!$S130*'Multi-Year'!$P130,0)+IF('FY22-23'!$S130&lt;0,'FY22-23'!G130/'FY22-23'!$S130*'Multi-Year'!$P130,0)</f>
        <v>54459.021468481318</v>
      </c>
      <c r="H130" s="94">
        <f>IF('FY22-23'!$S130&gt;0,'FY22-23'!H130/'FY22-23'!$S130*'Multi-Year'!$P130,0)+IF('FY22-23'!$S130&lt;0,'FY22-23'!H130/'FY22-23'!$S130*'Multi-Year'!$P130,0)</f>
        <v>54459.021468481318</v>
      </c>
      <c r="I130" s="94">
        <f>IF('FY22-23'!$S130&gt;0,'FY22-23'!I130/'FY22-23'!$S130*'Multi-Year'!$P130,0)+IF('FY22-23'!$S130&lt;0,'FY22-23'!I130/'FY22-23'!$S130*'Multi-Year'!$P130,0)</f>
        <v>54459.021468481318</v>
      </c>
      <c r="J130" s="94">
        <f>IF('FY22-23'!$S130&gt;0,'FY22-23'!J130/'FY22-23'!$S130*'Multi-Year'!$P130,0)+IF('FY22-23'!$S130&lt;0,'FY22-23'!J130/'FY22-23'!$S130*'Multi-Year'!$P130,0)</f>
        <v>54459.021468481318</v>
      </c>
      <c r="K130" s="94">
        <f>IF('FY22-23'!$S130&gt;0,'FY22-23'!K130/'FY22-23'!$S130*'Multi-Year'!$P130,0)+IF('FY22-23'!$S130&lt;0,'FY22-23'!K130/'FY22-23'!$S130*'Multi-Year'!$P130,0)</f>
        <v>54459.021468481318</v>
      </c>
      <c r="L130" s="94">
        <f>IF('FY22-23'!$S130&gt;0,'FY22-23'!L130/'FY22-23'!$S130*'Multi-Year'!$P130,0)+IF('FY22-23'!$S130&lt;0,'FY22-23'!L130/'FY22-23'!$S130*'Multi-Year'!$P130,0)</f>
        <v>54459.021468481318</v>
      </c>
      <c r="M130" s="94">
        <f>IF('FY22-23'!$S130&gt;0,'FY22-23'!M130/'FY22-23'!$S130*'Multi-Year'!$P130,0)+IF('FY22-23'!$S130&lt;0,'FY22-23'!M130/'FY22-23'!$S130*'Multi-Year'!$P130,0)</f>
        <v>54459.021468481318</v>
      </c>
      <c r="N130" s="94">
        <f>IF('FY22-23'!$S130&gt;0,'FY22-23'!N130/'FY22-23'!$S130*'Multi-Year'!$P130,0)+IF('FY22-23'!$S130&lt;0,'FY22-23'!N130/'FY22-23'!$S130*'Multi-Year'!$P130,0)</f>
        <v>54459.021468481318</v>
      </c>
      <c r="O130" s="94">
        <f>IF('FY22-23'!$S130&gt;0,'FY22-23'!O130/'FY22-23'!$S130*'Multi-Year'!$P130,0)+IF('FY22-23'!$S130&lt;0,'FY22-23'!O130/'FY22-23'!$S130*'Multi-Year'!$P130,0)</f>
        <v>54459.021468481318</v>
      </c>
      <c r="P130" s="94">
        <f>IF('FY22-23'!$S130&gt;0,'FY22-23'!P130/'FY22-23'!$S130*'Multi-Year'!$P130,0)+IF('FY22-23'!$S130&lt;0,'FY22-23'!P130/'FY22-23'!$S130*'Multi-Year'!$P130,0)</f>
        <v>54459.021468481318</v>
      </c>
      <c r="Q130" s="606">
        <f>IF('FY22-23'!$S130&gt;0,'FY22-23'!Q130/'FY22-23'!$S130*'Multi-Year'!$P130,0)+IF('FY22-23'!$S130&lt;0,'FY22-23'!Q130/'FY22-23'!$S130*'Multi-Year'!$P130,0)</f>
        <v>0</v>
      </c>
      <c r="R130" s="94"/>
      <c r="S130" s="625">
        <f t="shared" si="48"/>
        <v>653508.25762177585</v>
      </c>
      <c r="T130" s="94"/>
      <c r="U130" s="94">
        <f>'FY22-23'!S130</f>
        <v>622106.90861061402</v>
      </c>
      <c r="V130" s="94">
        <f t="shared" si="49"/>
        <v>-31401.34901116183</v>
      </c>
    </row>
    <row r="131" spans="1:22" s="95" customFormat="1" ht="12" customHeight="1">
      <c r="A131" s="124"/>
      <c r="B131" s="124" t="s">
        <v>186</v>
      </c>
      <c r="C131" s="102">
        <v>5812</v>
      </c>
      <c r="D131" s="127" t="s">
        <v>95</v>
      </c>
      <c r="E131" s="94">
        <f>E19*'Revenue Inputs'!$D$10</f>
        <v>1660.4161078580496</v>
      </c>
      <c r="F131" s="94">
        <f>F19*'Revenue Inputs'!$D$10</f>
        <v>49824.205554643791</v>
      </c>
      <c r="G131" s="94">
        <f>G19*'Revenue Inputs'!$D$10</f>
        <v>48717.261482738431</v>
      </c>
      <c r="H131" s="94">
        <f>H19*'Revenue Inputs'!$D$10</f>
        <v>90900.320153880573</v>
      </c>
      <c r="I131" s="94">
        <f>I19*'Revenue Inputs'!$D$10</f>
        <v>85919.960153880573</v>
      </c>
      <c r="J131" s="94">
        <f>J19*'Revenue Inputs'!$D$10</f>
        <v>85919.960153880573</v>
      </c>
      <c r="K131" s="94">
        <f>K19*'Revenue Inputs'!$D$10</f>
        <v>90900.320153880573</v>
      </c>
      <c r="L131" s="94">
        <f>L19*'Revenue Inputs'!$D$10</f>
        <v>87580.376261738624</v>
      </c>
      <c r="M131" s="94">
        <f>M19*'Revenue Inputs'!$D$10</f>
        <v>95328.310507761838</v>
      </c>
      <c r="N131" s="94">
        <f>N19*'Revenue Inputs'!$D$10</f>
        <v>101062.78050776182</v>
      </c>
      <c r="O131" s="94">
        <f>O19*'Revenue Inputs'!$D$10</f>
        <v>95328.310507761824</v>
      </c>
      <c r="P131" s="94">
        <f>P19*'Revenue Inputs'!$D$10</f>
        <v>95328.310507761824</v>
      </c>
      <c r="Q131" s="606">
        <f>S19*'Revenue Inputs'!$D$10-SUM(E131:P131)</f>
        <v>98622.888381927623</v>
      </c>
      <c r="R131" s="94"/>
      <c r="S131" s="625">
        <f t="shared" si="48"/>
        <v>1027093.4204354761</v>
      </c>
      <c r="T131" s="94"/>
      <c r="U131" s="94">
        <f>'FY22-23'!S131</f>
        <v>977740.62970926019</v>
      </c>
      <c r="V131" s="94">
        <f t="shared" si="49"/>
        <v>-49352.790726215928</v>
      </c>
    </row>
    <row r="132" spans="1:22" s="95" customFormat="1" ht="12" customHeight="1">
      <c r="A132" s="124"/>
      <c r="B132" s="124" t="s">
        <v>186</v>
      </c>
      <c r="C132" s="102">
        <v>5813</v>
      </c>
      <c r="D132" s="127" t="s">
        <v>243</v>
      </c>
      <c r="E132" s="94">
        <f>IF('FY22-23'!$S132&gt;0,'FY22-23'!E132/'FY22-23'!$S132*'Multi-Year'!$P132,0)+IF('FY22-23'!$S132&lt;0,'FY22-23'!E132/'FY22-23'!$S132*'Multi-Year'!$P132,0)</f>
        <v>0</v>
      </c>
      <c r="F132" s="94">
        <f>IF('FY22-23'!$S132&gt;0,'FY22-23'!F132/'FY22-23'!$S132*'Multi-Year'!$P132,0)+IF('FY22-23'!$S132&lt;0,'FY22-23'!F132/'FY22-23'!$S132*'Multi-Year'!$P132,0)</f>
        <v>0</v>
      </c>
      <c r="G132" s="94">
        <f>IF('FY22-23'!$S132&gt;0,'FY22-23'!G132/'FY22-23'!$S132*'Multi-Year'!$P132,0)+IF('FY22-23'!$S132&lt;0,'FY22-23'!G132/'FY22-23'!$S132*'Multi-Year'!$P132,0)</f>
        <v>0</v>
      </c>
      <c r="H132" s="94">
        <f>IF('FY22-23'!$S132&gt;0,'FY22-23'!H132/'FY22-23'!$S132*'Multi-Year'!$P132,0)+IF('FY22-23'!$S132&lt;0,'FY22-23'!H132/'FY22-23'!$S132*'Multi-Year'!$P132,0)</f>
        <v>0</v>
      </c>
      <c r="I132" s="94">
        <f>IF('FY22-23'!$S132&gt;0,'FY22-23'!I132/'FY22-23'!$S132*'Multi-Year'!$P132,0)+IF('FY22-23'!$S132&lt;0,'FY22-23'!I132/'FY22-23'!$S132*'Multi-Year'!$P132,0)</f>
        <v>0</v>
      </c>
      <c r="J132" s="94">
        <f>IF('FY22-23'!$S132&gt;0,'FY22-23'!J132/'FY22-23'!$S132*'Multi-Year'!$P132,0)+IF('FY22-23'!$S132&lt;0,'FY22-23'!J132/'FY22-23'!$S132*'Multi-Year'!$P132,0)</f>
        <v>0</v>
      </c>
      <c r="K132" s="94">
        <f>IF('FY22-23'!$S132&gt;0,'FY22-23'!K132/'FY22-23'!$S132*'Multi-Year'!$P132,0)+IF('FY22-23'!$S132&lt;0,'FY22-23'!K132/'FY22-23'!$S132*'Multi-Year'!$P132,0)</f>
        <v>0</v>
      </c>
      <c r="L132" s="94">
        <f>IF('FY22-23'!$S132&gt;0,'FY22-23'!L132/'FY22-23'!$S132*'Multi-Year'!$P132,0)+IF('FY22-23'!$S132&lt;0,'FY22-23'!L132/'FY22-23'!$S132*'Multi-Year'!$P132,0)</f>
        <v>0</v>
      </c>
      <c r="M132" s="94">
        <f>IF('FY22-23'!$S132&gt;0,'FY22-23'!M132/'FY22-23'!$S132*'Multi-Year'!$P132,0)+IF('FY22-23'!$S132&lt;0,'FY22-23'!M132/'FY22-23'!$S132*'Multi-Year'!$P132,0)</f>
        <v>0</v>
      </c>
      <c r="N132" s="94">
        <f>IF('FY22-23'!$S132&gt;0,'FY22-23'!N132/'FY22-23'!$S132*'Multi-Year'!$P132,0)+IF('FY22-23'!$S132&lt;0,'FY22-23'!N132/'FY22-23'!$S132*'Multi-Year'!$P132,0)</f>
        <v>0</v>
      </c>
      <c r="O132" s="94">
        <f>IF('FY22-23'!$S132&gt;0,'FY22-23'!O132/'FY22-23'!$S132*'Multi-Year'!$P132,0)+IF('FY22-23'!$S132&lt;0,'FY22-23'!O132/'FY22-23'!$S132*'Multi-Year'!$P132,0)</f>
        <v>0</v>
      </c>
      <c r="P132" s="94">
        <f>IF('FY22-23'!$S132&gt;0,'FY22-23'!P132/'FY22-23'!$S132*'Multi-Year'!$P132,0)+IF('FY22-23'!$S132&lt;0,'FY22-23'!P132/'FY22-23'!$S132*'Multi-Year'!$P132,0)</f>
        <v>0</v>
      </c>
      <c r="Q132" s="606">
        <f>IF('FY22-23'!$S132&gt;0,'FY22-23'!Q132/'FY22-23'!$S132*'Multi-Year'!$P132,0)+IF('FY22-23'!$S132&lt;0,'FY22-23'!Q132/'FY22-23'!$S132*'Multi-Year'!$P132,0)</f>
        <v>0</v>
      </c>
      <c r="R132" s="94"/>
      <c r="S132" s="625">
        <f t="shared" si="48"/>
        <v>0</v>
      </c>
      <c r="T132" s="94"/>
      <c r="U132" s="94">
        <f>'FY22-23'!S132</f>
        <v>0</v>
      </c>
      <c r="V132" s="94">
        <f t="shared" si="49"/>
        <v>0</v>
      </c>
    </row>
    <row r="133" spans="1:22" s="95" customFormat="1" ht="12" customHeight="1">
      <c r="A133" s="124"/>
      <c r="B133" s="124" t="s">
        <v>186</v>
      </c>
      <c r="C133" s="102">
        <v>5814</v>
      </c>
      <c r="D133" s="127" t="s">
        <v>336</v>
      </c>
      <c r="E133" s="94">
        <f>IF('Revenue Inputs'!$D$11&lt;1,(E33+E21)*'Revenue Inputs'!$D$11,$V$11*'Revenue Inputs'!$D$11*E9)</f>
        <v>0</v>
      </c>
      <c r="F133" s="94">
        <f>IF('Revenue Inputs'!$D$11&lt;1,(F33+F21)*'Revenue Inputs'!$D$11,$V$11*'Revenue Inputs'!$D$11*F9)</f>
        <v>0</v>
      </c>
      <c r="G133" s="94">
        <f>IF('Revenue Inputs'!$D$11&lt;1,(G33+G21)*'Revenue Inputs'!$D$11,$V$11*'Revenue Inputs'!$D$11*G9)</f>
        <v>0</v>
      </c>
      <c r="H133" s="94">
        <f>IF('Revenue Inputs'!$D$11&lt;1,(H33+H21)*'Revenue Inputs'!$D$11,$V$11*'Revenue Inputs'!$D$11*H9)</f>
        <v>0</v>
      </c>
      <c r="I133" s="94">
        <f>IF('Revenue Inputs'!$D$11&lt;1,(I33+I21)*'Revenue Inputs'!$D$11,$V$11*'Revenue Inputs'!$D$11*I9)</f>
        <v>0</v>
      </c>
      <c r="J133" s="94">
        <f>IF('Revenue Inputs'!$D$11&lt;1,(J33+J21)*'Revenue Inputs'!$D$11,$V$11*'Revenue Inputs'!$D$11*J9)</f>
        <v>0</v>
      </c>
      <c r="K133" s="94">
        <f>IF('Revenue Inputs'!$D$11&lt;1,(K33+K21)*'Revenue Inputs'!$D$11,$V$11*'Revenue Inputs'!$D$11*K9)</f>
        <v>0</v>
      </c>
      <c r="L133" s="94">
        <f>IF('Revenue Inputs'!$D$11&lt;1,(L33+L21)*'Revenue Inputs'!$D$11,((($D$4*'Revenue Inputs'!$D$11)-SUM($E$133:$K$133))*L9))</f>
        <v>0</v>
      </c>
      <c r="M133" s="94">
        <f>IF('Revenue Inputs'!$D$11&lt;1,(M33+M21)*'Revenue Inputs'!$D$11,((($D$4*'Revenue Inputs'!$D$11)-SUM($E$133:$K$133))*M9))</f>
        <v>0</v>
      </c>
      <c r="N133" s="94">
        <f>IF('Revenue Inputs'!$D$11&lt;1,(N33+N21)*'Revenue Inputs'!$D$11,((($D$4*'Revenue Inputs'!$D$11)-SUM($E$133:$K$133))*N9))</f>
        <v>0</v>
      </c>
      <c r="O133" s="94">
        <f>IF('Revenue Inputs'!$D$11&lt;1,(O33+O21)*'Revenue Inputs'!$D$11,((($D$4*'Revenue Inputs'!$D$11)-SUM($E$133:$K$133))*O9))</f>
        <v>0</v>
      </c>
      <c r="P133" s="94">
        <f>IF('Revenue Inputs'!$D$11&lt;1,(P33+P21)*'Revenue Inputs'!$D$11,((($D$4*'Revenue Inputs'!$D$11)-SUM($E$133:$K$133))*P9))</f>
        <v>0</v>
      </c>
      <c r="Q133" s="606">
        <f>IF('Revenue Inputs'!$D$11&lt;1,(Q33+Q21)*'Revenue Inputs'!$D$11,((($D$4*'Revenue Inputs'!$D$11)-SUM($E$133:$K$133))*Q9))</f>
        <v>0</v>
      </c>
      <c r="R133" s="94"/>
      <c r="S133" s="625">
        <f t="shared" si="48"/>
        <v>0</v>
      </c>
      <c r="T133" s="94"/>
      <c r="U133" s="94">
        <f>'FY22-23'!S133</f>
        <v>0</v>
      </c>
      <c r="V133" s="94">
        <f t="shared" si="49"/>
        <v>0</v>
      </c>
    </row>
    <row r="134" spans="1:22" s="95" customFormat="1" ht="12" customHeight="1">
      <c r="A134" s="124"/>
      <c r="B134" s="124" t="s">
        <v>186</v>
      </c>
      <c r="C134" s="102">
        <f>'Multi-Year'!D134</f>
        <v>5815</v>
      </c>
      <c r="D134" s="127" t="s">
        <v>316</v>
      </c>
      <c r="E134" s="94">
        <f>IF('FY22-23'!$S134&gt;0,'FY22-23'!E134/'FY22-23'!$S134*'Multi-Year'!$P134,0)+IF('FY22-23'!$S134&lt;0,'FY22-23'!E134/'FY22-23'!$S134*'Multi-Year'!$P134,0)</f>
        <v>0</v>
      </c>
      <c r="F134" s="94">
        <f>IF('FY22-23'!$S134&gt;0,'FY22-23'!F134/'FY22-23'!$S134*'Multi-Year'!$P134,0)+IF('FY22-23'!$S134&lt;0,'FY22-23'!F134/'FY22-23'!$S134*'Multi-Year'!$P134,0)</f>
        <v>0</v>
      </c>
      <c r="G134" s="94">
        <f>IF('FY22-23'!$S134&gt;0,'FY22-23'!G134/'FY22-23'!$S134*'Multi-Year'!$P134,0)+IF('FY22-23'!$S134&lt;0,'FY22-23'!G134/'FY22-23'!$S134*'Multi-Year'!$P134,0)</f>
        <v>0</v>
      </c>
      <c r="H134" s="94">
        <f>IF('FY22-23'!$S134&gt;0,'FY22-23'!H134/'FY22-23'!$S134*'Multi-Year'!$P134,0)+IF('FY22-23'!$S134&lt;0,'FY22-23'!H134/'FY22-23'!$S134*'Multi-Year'!$P134,0)</f>
        <v>0</v>
      </c>
      <c r="I134" s="94">
        <f>IF('FY22-23'!$S134&gt;0,'FY22-23'!I134/'FY22-23'!$S134*'Multi-Year'!$P134,0)+IF('FY22-23'!$S134&lt;0,'FY22-23'!I134/'FY22-23'!$S134*'Multi-Year'!$P134,0)</f>
        <v>0</v>
      </c>
      <c r="J134" s="94">
        <f>IF('FY22-23'!$S134&gt;0,'FY22-23'!J134/'FY22-23'!$S134*'Multi-Year'!$P134,0)+IF('FY22-23'!$S134&lt;0,'FY22-23'!J134/'FY22-23'!$S134*'Multi-Year'!$P134,0)</f>
        <v>0</v>
      </c>
      <c r="K134" s="94">
        <f>IF('FY22-23'!$S134&gt;0,'FY22-23'!K134/'FY22-23'!$S134*'Multi-Year'!$P134,0)+IF('FY22-23'!$S134&lt;0,'FY22-23'!K134/'FY22-23'!$S134*'Multi-Year'!$P134,0)</f>
        <v>0</v>
      </c>
      <c r="L134" s="94">
        <f>IF('FY22-23'!$S134&gt;0,'FY22-23'!L134/'FY22-23'!$S134*'Multi-Year'!$P134,0)+IF('FY22-23'!$S134&lt;0,'FY22-23'!L134/'FY22-23'!$S134*'Multi-Year'!$P134,0)</f>
        <v>0</v>
      </c>
      <c r="M134" s="94">
        <f>IF('FY22-23'!$S134&gt;0,'FY22-23'!M134/'FY22-23'!$S134*'Multi-Year'!$P134,0)+IF('FY22-23'!$S134&lt;0,'FY22-23'!M134/'FY22-23'!$S134*'Multi-Year'!$P134,0)</f>
        <v>0</v>
      </c>
      <c r="N134" s="94">
        <f>IF('FY22-23'!$S134&gt;0,'FY22-23'!N134/'FY22-23'!$S134*'Multi-Year'!$P134,0)+IF('FY22-23'!$S134&lt;0,'FY22-23'!N134/'FY22-23'!$S134*'Multi-Year'!$P134,0)</f>
        <v>447.95372509439994</v>
      </c>
      <c r="O134" s="94">
        <f>IF('FY22-23'!$S134&gt;0,'FY22-23'!O134/'FY22-23'!$S134*'Multi-Year'!$P134,0)+IF('FY22-23'!$S134&lt;0,'FY22-23'!O134/'FY22-23'!$S134*'Multi-Year'!$P134,0)</f>
        <v>0</v>
      </c>
      <c r="P134" s="94">
        <f>IF('FY22-23'!$S134&gt;0,'FY22-23'!P134/'FY22-23'!$S134*'Multi-Year'!$P134,0)+IF('FY22-23'!$S134&lt;0,'FY22-23'!P134/'FY22-23'!$S134*'Multi-Year'!$P134,0)</f>
        <v>0</v>
      </c>
      <c r="Q134" s="606">
        <f>IF('FY22-23'!$S134&gt;0,'FY22-23'!Q134/'FY22-23'!$S134*'Multi-Year'!$P134,0)+IF('FY22-23'!$S134&lt;0,'FY22-23'!Q134/'FY22-23'!$S134*'Multi-Year'!$P134,0)</f>
        <v>0</v>
      </c>
      <c r="R134" s="94"/>
      <c r="S134" s="625">
        <f>SUM(E134:Q134)</f>
        <v>447.95372509439994</v>
      </c>
      <c r="T134" s="94"/>
      <c r="U134" s="94">
        <f>'FY22-23'!S134</f>
        <v>439.17031871999995</v>
      </c>
      <c r="V134" s="94">
        <f>U134-S134</f>
        <v>-8.7834063743999877</v>
      </c>
    </row>
    <row r="135" spans="1:22" s="95" customFormat="1" ht="12" customHeight="1">
      <c r="A135" s="124"/>
      <c r="B135" s="124"/>
      <c r="C135" s="102">
        <f>'Multi-Year'!D135</f>
        <v>5820</v>
      </c>
      <c r="D135" s="127" t="s">
        <v>515</v>
      </c>
      <c r="E135" s="94">
        <f>IF('FY22-23'!$S135&gt;0,'FY22-23'!E135/'FY22-23'!$S135*'Multi-Year'!$P135,0)+IF('FY22-23'!$S135&lt;0,'FY22-23'!E135/'FY22-23'!$S135*'Multi-Year'!$P135,0)</f>
        <v>0</v>
      </c>
      <c r="F135" s="94">
        <f>IF('FY22-23'!$S135&gt;0,'FY22-23'!F135/'FY22-23'!$S135*'Multi-Year'!$P135,0)+IF('FY22-23'!$S135&lt;0,'FY22-23'!F135/'FY22-23'!$S135*'Multi-Year'!$P135,0)</f>
        <v>0</v>
      </c>
      <c r="G135" s="94">
        <f>IF('FY22-23'!$S135&gt;0,'FY22-23'!G135/'FY22-23'!$S135*'Multi-Year'!$P135,0)+IF('FY22-23'!$S135&lt;0,'FY22-23'!G135/'FY22-23'!$S135*'Multi-Year'!$P135,0)</f>
        <v>0</v>
      </c>
      <c r="H135" s="94">
        <f>IF('FY22-23'!$S135&gt;0,'FY22-23'!H135/'FY22-23'!$S135*'Multi-Year'!$P135,0)+IF('FY22-23'!$S135&lt;0,'FY22-23'!H135/'FY22-23'!$S135*'Multi-Year'!$P135,0)</f>
        <v>0</v>
      </c>
      <c r="I135" s="94">
        <f>IF('FY22-23'!$S135&gt;0,'FY22-23'!I135/'FY22-23'!$S135*'Multi-Year'!$P135,0)+IF('FY22-23'!$S135&lt;0,'FY22-23'!I135/'FY22-23'!$S135*'Multi-Year'!$P135,0)</f>
        <v>0</v>
      </c>
      <c r="J135" s="94">
        <f>IF('FY22-23'!$S135&gt;0,'FY22-23'!J135/'FY22-23'!$S135*'Multi-Year'!$P135,0)+IF('FY22-23'!$S135&lt;0,'FY22-23'!J135/'FY22-23'!$S135*'Multi-Year'!$P135,0)</f>
        <v>0</v>
      </c>
      <c r="K135" s="94">
        <f>IF('FY22-23'!$S135&gt;0,'FY22-23'!K135/'FY22-23'!$S135*'Multi-Year'!$P135,0)+IF('FY22-23'!$S135&lt;0,'FY22-23'!K135/'FY22-23'!$S135*'Multi-Year'!$P135,0)</f>
        <v>0</v>
      </c>
      <c r="L135" s="94">
        <f>IF('FY22-23'!$S135&gt;0,'FY22-23'!L135/'FY22-23'!$S135*'Multi-Year'!$P135,0)+IF('FY22-23'!$S135&lt;0,'FY22-23'!L135/'FY22-23'!$S135*'Multi-Year'!$P135,0)</f>
        <v>0</v>
      </c>
      <c r="M135" s="94">
        <f>IF('FY22-23'!$S135&gt;0,'FY22-23'!M135/'FY22-23'!$S135*'Multi-Year'!$P135,0)+IF('FY22-23'!$S135&lt;0,'FY22-23'!M135/'FY22-23'!$S135*'Multi-Year'!$P135,0)</f>
        <v>0</v>
      </c>
      <c r="N135" s="94">
        <f>IF('FY22-23'!$S135&gt;0,'FY22-23'!N135/'FY22-23'!$S135*'Multi-Year'!$P135,0)+IF('FY22-23'!$S135&lt;0,'FY22-23'!N135/'FY22-23'!$S135*'Multi-Year'!$P135,0)</f>
        <v>0</v>
      </c>
      <c r="O135" s="94">
        <f>IF('FY22-23'!$S135&gt;0,'FY22-23'!O135/'FY22-23'!$S135*'Multi-Year'!$P135,0)+IF('FY22-23'!$S135&lt;0,'FY22-23'!O135/'FY22-23'!$S135*'Multi-Year'!$P135,0)</f>
        <v>0</v>
      </c>
      <c r="P135" s="94">
        <f>IF('FY22-23'!$S135&gt;0,'FY22-23'!P135/'FY22-23'!$S135*'Multi-Year'!$P135,0)+IF('FY22-23'!$S135&lt;0,'FY22-23'!P135/'FY22-23'!$S135*'Multi-Year'!$P135,0)</f>
        <v>0</v>
      </c>
      <c r="Q135" s="606">
        <f>IF('FY22-23'!$S135&gt;0,'FY22-23'!Q135/'FY22-23'!$S135*'Multi-Year'!$P135,0)+IF('FY22-23'!$S135&lt;0,'FY22-23'!Q135/'FY22-23'!$S135*'Multi-Year'!$P135,0)</f>
        <v>0</v>
      </c>
      <c r="R135" s="94"/>
      <c r="S135" s="625">
        <f>SUM(E135:Q135)</f>
        <v>0</v>
      </c>
      <c r="T135" s="94"/>
      <c r="U135" s="94">
        <f>'FY22-23'!S135</f>
        <v>0</v>
      </c>
      <c r="V135" s="94">
        <f>U135-S135</f>
        <v>0</v>
      </c>
    </row>
    <row r="136" spans="1:22" s="95" customFormat="1" ht="12" customHeight="1">
      <c r="A136" s="124"/>
      <c r="B136" s="124" t="s">
        <v>186</v>
      </c>
      <c r="C136" s="126"/>
      <c r="D136" s="126"/>
      <c r="E136" s="215">
        <f t="shared" ref="E136:Q136" si="50">SUM(E120:E135)</f>
        <v>61304.764814771617</v>
      </c>
      <c r="F136" s="215">
        <f t="shared" si="50"/>
        <v>105365.80630322108</v>
      </c>
      <c r="G136" s="215">
        <f t="shared" si="50"/>
        <v>104054.82878711849</v>
      </c>
      <c r="H136" s="215">
        <f t="shared" si="50"/>
        <v>152454.88650711789</v>
      </c>
      <c r="I136" s="215">
        <f t="shared" si="50"/>
        <v>151615.45925980347</v>
      </c>
      <c r="J136" s="215">
        <f t="shared" si="50"/>
        <v>144656.01778641719</v>
      </c>
      <c r="K136" s="215">
        <f t="shared" si="50"/>
        <v>154532.03148274415</v>
      </c>
      <c r="L136" s="215">
        <f t="shared" si="50"/>
        <v>272572.51521824114</v>
      </c>
      <c r="M136" s="215">
        <f t="shared" si="50"/>
        <v>245639.5769373888</v>
      </c>
      <c r="N136" s="215">
        <f t="shared" si="50"/>
        <v>264651.3364543753</v>
      </c>
      <c r="O136" s="215">
        <f t="shared" si="50"/>
        <v>152941.37306620591</v>
      </c>
      <c r="P136" s="215">
        <f t="shared" si="50"/>
        <v>257631.5682078852</v>
      </c>
      <c r="Q136" s="603">
        <f t="shared" si="50"/>
        <v>98622.888381927623</v>
      </c>
      <c r="R136" s="94"/>
      <c r="S136" s="626">
        <f>SUM(E136:R136)</f>
        <v>2166043.0532072182</v>
      </c>
      <c r="T136" s="94"/>
      <c r="U136" s="216">
        <f>SUM(U120:U135)</f>
        <v>2056138.3405396282</v>
      </c>
      <c r="V136" s="216">
        <f>SUM(V120:V135)</f>
        <v>-109904.71266758948</v>
      </c>
    </row>
    <row r="137" spans="1:22" s="95" customFormat="1" ht="12" customHeight="1">
      <c r="A137" s="124"/>
      <c r="B137" s="124" t="s">
        <v>107</v>
      </c>
      <c r="C137" s="102"/>
      <c r="D137" s="103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606"/>
      <c r="R137" s="94"/>
      <c r="S137" s="627"/>
      <c r="T137" s="94"/>
      <c r="U137" s="94"/>
      <c r="V137" s="94"/>
    </row>
    <row r="138" spans="1:22" s="95" customFormat="1" ht="12" customHeight="1">
      <c r="A138" s="124"/>
      <c r="B138" s="124" t="s">
        <v>186</v>
      </c>
      <c r="C138" s="102">
        <v>6900</v>
      </c>
      <c r="D138" s="103" t="s">
        <v>44</v>
      </c>
      <c r="E138" s="94">
        <f>IF('FY22-23'!$S138&gt;0,'FY22-23'!E138/'FY22-23'!$S138*'Multi-Year'!$P138,0)+IF('FY22-23'!$S138&lt;0,'FY22-23'!E138/'FY22-23'!$S138*'Multi-Year'!$P138,0)</f>
        <v>0</v>
      </c>
      <c r="F138" s="94">
        <f>IF('FY22-23'!$S138&gt;0,'FY22-23'!F138/'FY22-23'!$S138*'Multi-Year'!$P138,0)+IF('FY22-23'!$S138&lt;0,'FY22-23'!F138/'FY22-23'!$S138*'Multi-Year'!$P138,0)</f>
        <v>0</v>
      </c>
      <c r="G138" s="94">
        <f>IF('FY22-23'!$S138&gt;0,'FY22-23'!G138/'FY22-23'!$S138*'Multi-Year'!$P138,0)+IF('FY22-23'!$S138&lt;0,'FY22-23'!G138/'FY22-23'!$S138*'Multi-Year'!$P138,0)</f>
        <v>0</v>
      </c>
      <c r="H138" s="94">
        <f>IF('FY22-23'!$S138&gt;0,'FY22-23'!H138/'FY22-23'!$S138*'Multi-Year'!$P138,0)+IF('FY22-23'!$S138&lt;0,'FY22-23'!H138/'FY22-23'!$S138*'Multi-Year'!$P138,0)</f>
        <v>0</v>
      </c>
      <c r="I138" s="94">
        <f>IF('FY22-23'!$S138&gt;0,'FY22-23'!I138/'FY22-23'!$S138*'Multi-Year'!$P138,0)+IF('FY22-23'!$S138&lt;0,'FY22-23'!I138/'FY22-23'!$S138*'Multi-Year'!$P138,0)</f>
        <v>0</v>
      </c>
      <c r="J138" s="94">
        <f>IF('FY22-23'!$S138&gt;0,'FY22-23'!J138/'FY22-23'!$S138*'Multi-Year'!$P138,0)+IF('FY22-23'!$S138&lt;0,'FY22-23'!J138/'FY22-23'!$S138*'Multi-Year'!$P138,0)</f>
        <v>0</v>
      </c>
      <c r="K138" s="94">
        <f>IF('FY22-23'!$S138&gt;0,'FY22-23'!K138/'FY22-23'!$S138*'Multi-Year'!$P138,0)+IF('FY22-23'!$S138&lt;0,'FY22-23'!K138/'FY22-23'!$S138*'Multi-Year'!$P138,0)</f>
        <v>108.24321599999999</v>
      </c>
      <c r="L138" s="94">
        <f>IF('FY22-23'!$S138&gt;0,'FY22-23'!L138/'FY22-23'!$S138*'Multi-Year'!$P138,0)+IF('FY22-23'!$S138&lt;0,'FY22-23'!L138/'FY22-23'!$S138*'Multi-Year'!$P138,0)</f>
        <v>54.121607999999995</v>
      </c>
      <c r="M138" s="94">
        <f>IF('FY22-23'!$S138&gt;0,'FY22-23'!M138/'FY22-23'!$S138*'Multi-Year'!$P138,0)+IF('FY22-23'!$S138&lt;0,'FY22-23'!M138/'FY22-23'!$S138*'Multi-Year'!$P138,0)</f>
        <v>54.121607999999995</v>
      </c>
      <c r="N138" s="94">
        <f>IF('FY22-23'!$S138&gt;0,'FY22-23'!N138/'FY22-23'!$S138*'Multi-Year'!$P138,0)+IF('FY22-23'!$S138&lt;0,'FY22-23'!N138/'FY22-23'!$S138*'Multi-Year'!$P138,0)</f>
        <v>54.121607999999995</v>
      </c>
      <c r="O138" s="94">
        <f>IF('FY22-23'!$S138&gt;0,'FY22-23'!O138/'FY22-23'!$S138*'Multi-Year'!$P138,0)+IF('FY22-23'!$S138&lt;0,'FY22-23'!O138/'FY22-23'!$S138*'Multi-Year'!$P138,0)</f>
        <v>54.121607999999995</v>
      </c>
      <c r="P138" s="94">
        <f>IF('FY22-23'!$S138&gt;0,'FY22-23'!P138/'FY22-23'!$S138*'Multi-Year'!$P138,0)+IF('FY22-23'!$S138&lt;0,'FY22-23'!P138/'FY22-23'!$S138*'Multi-Year'!$P138,0)</f>
        <v>54.121607999999995</v>
      </c>
      <c r="Q138" s="606">
        <f>IF('FY22-23'!$S138&gt;0,'FY22-23'!Q138/'FY22-23'!$S138*'Multi-Year'!$P138,0)+IF('FY22-23'!$S138&lt;0,'FY22-23'!Q138/'FY22-23'!$S138*'Multi-Year'!$P138,0)</f>
        <v>0</v>
      </c>
      <c r="R138" s="94"/>
      <c r="S138" s="625">
        <f t="shared" ref="S138" si="51">SUM(E138:Q138)</f>
        <v>378.85125599999992</v>
      </c>
      <c r="T138" s="94"/>
      <c r="U138" s="94">
        <f>'FY22-23'!S138</f>
        <v>371.42280000000005</v>
      </c>
      <c r="V138" s="94">
        <f t="shared" ref="V138" si="52">U138-S138</f>
        <v>-7.4284559999998692</v>
      </c>
    </row>
    <row r="139" spans="1:22" s="95" customFormat="1" ht="12" customHeight="1">
      <c r="A139" s="124"/>
      <c r="B139" s="124" t="s">
        <v>186</v>
      </c>
      <c r="C139" s="126"/>
      <c r="D139" s="126"/>
      <c r="E139" s="215">
        <f t="shared" ref="E139:P139" si="53">SUM(E138:E138)</f>
        <v>0</v>
      </c>
      <c r="F139" s="215">
        <f t="shared" si="53"/>
        <v>0</v>
      </c>
      <c r="G139" s="215">
        <f t="shared" si="53"/>
        <v>0</v>
      </c>
      <c r="H139" s="215">
        <f t="shared" si="53"/>
        <v>0</v>
      </c>
      <c r="I139" s="215">
        <f t="shared" si="53"/>
        <v>0</v>
      </c>
      <c r="J139" s="215">
        <f t="shared" si="53"/>
        <v>0</v>
      </c>
      <c r="K139" s="215">
        <f t="shared" si="53"/>
        <v>108.24321599999999</v>
      </c>
      <c r="L139" s="215">
        <f t="shared" si="53"/>
        <v>54.121607999999995</v>
      </c>
      <c r="M139" s="215">
        <f t="shared" si="53"/>
        <v>54.121607999999995</v>
      </c>
      <c r="N139" s="215">
        <f t="shared" si="53"/>
        <v>54.121607999999995</v>
      </c>
      <c r="O139" s="215">
        <f t="shared" si="53"/>
        <v>54.121607999999995</v>
      </c>
      <c r="P139" s="215">
        <f t="shared" si="53"/>
        <v>54.121607999999995</v>
      </c>
      <c r="Q139" s="603">
        <f t="shared" ref="Q139" si="54">SUM(Q138:Q138)</f>
        <v>0</v>
      </c>
      <c r="R139" s="94"/>
      <c r="S139" s="626">
        <f>SUM(E139:R139)</f>
        <v>378.85125599999992</v>
      </c>
      <c r="T139" s="113"/>
      <c r="U139" s="216">
        <f>U138</f>
        <v>371.42280000000005</v>
      </c>
      <c r="V139" s="216">
        <f>V138</f>
        <v>-7.4284559999998692</v>
      </c>
    </row>
    <row r="140" spans="1:22" s="95" customFormat="1" ht="12" customHeight="1">
      <c r="A140" s="124"/>
      <c r="B140" s="124" t="s">
        <v>5</v>
      </c>
      <c r="C140" s="102"/>
      <c r="D140" s="103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606"/>
      <c r="R140" s="94"/>
      <c r="S140" s="627"/>
      <c r="T140" s="94"/>
      <c r="U140" s="94"/>
      <c r="V140" s="94"/>
    </row>
    <row r="141" spans="1:22" s="95" customFormat="1" ht="12" customHeight="1">
      <c r="A141" s="124"/>
      <c r="B141" s="124"/>
      <c r="C141" s="102">
        <v>7438</v>
      </c>
      <c r="D141" s="103" t="s">
        <v>45</v>
      </c>
      <c r="E141" s="94">
        <f>E164*0.04</f>
        <v>0</v>
      </c>
      <c r="F141" s="94">
        <f t="shared" ref="F141:P141" si="55">F164*0.04</f>
        <v>0</v>
      </c>
      <c r="G141" s="94">
        <f t="shared" si="55"/>
        <v>0</v>
      </c>
      <c r="H141" s="94">
        <f t="shared" si="55"/>
        <v>0</v>
      </c>
      <c r="I141" s="94">
        <f t="shared" si="55"/>
        <v>0</v>
      </c>
      <c r="J141" s="94">
        <f t="shared" si="55"/>
        <v>0</v>
      </c>
      <c r="K141" s="94">
        <f t="shared" si="55"/>
        <v>0</v>
      </c>
      <c r="L141" s="94">
        <f t="shared" si="55"/>
        <v>0</v>
      </c>
      <c r="M141" s="94">
        <f t="shared" si="55"/>
        <v>0</v>
      </c>
      <c r="N141" s="94">
        <f t="shared" si="55"/>
        <v>0</v>
      </c>
      <c r="O141" s="94">
        <f t="shared" si="55"/>
        <v>0</v>
      </c>
      <c r="P141" s="94">
        <f t="shared" si="55"/>
        <v>0</v>
      </c>
      <c r="Q141" s="606">
        <f t="shared" ref="Q141" si="56">Q164*0.04</f>
        <v>0</v>
      </c>
      <c r="R141" s="94"/>
      <c r="S141" s="625">
        <f t="shared" ref="S141" si="57">SUM(E141:Q141)</f>
        <v>0</v>
      </c>
      <c r="T141" s="94"/>
      <c r="U141" s="94">
        <f>'FY22-23'!S141</f>
        <v>0</v>
      </c>
      <c r="V141" s="94">
        <f t="shared" ref="V141" si="58">U141-S141</f>
        <v>0</v>
      </c>
    </row>
    <row r="142" spans="1:22" s="95" customFormat="1" ht="12" customHeight="1">
      <c r="A142" s="124"/>
      <c r="B142" s="124"/>
      <c r="C142" s="126"/>
      <c r="D142" s="126"/>
      <c r="E142" s="215">
        <f t="shared" ref="E142:P142" si="59">SUM(E141:E141)</f>
        <v>0</v>
      </c>
      <c r="F142" s="215">
        <f t="shared" si="59"/>
        <v>0</v>
      </c>
      <c r="G142" s="215">
        <f t="shared" si="59"/>
        <v>0</v>
      </c>
      <c r="H142" s="215">
        <f t="shared" si="59"/>
        <v>0</v>
      </c>
      <c r="I142" s="215">
        <f t="shared" si="59"/>
        <v>0</v>
      </c>
      <c r="J142" s="215">
        <f t="shared" si="59"/>
        <v>0</v>
      </c>
      <c r="K142" s="215">
        <f t="shared" si="59"/>
        <v>0</v>
      </c>
      <c r="L142" s="215">
        <f t="shared" si="59"/>
        <v>0</v>
      </c>
      <c r="M142" s="215">
        <f t="shared" si="59"/>
        <v>0</v>
      </c>
      <c r="N142" s="215">
        <f t="shared" si="59"/>
        <v>0</v>
      </c>
      <c r="O142" s="215">
        <f t="shared" si="59"/>
        <v>0</v>
      </c>
      <c r="P142" s="215">
        <f t="shared" si="59"/>
        <v>0</v>
      </c>
      <c r="Q142" s="603">
        <f t="shared" ref="Q142" si="60">SUM(Q141:Q141)</f>
        <v>0</v>
      </c>
      <c r="R142" s="94"/>
      <c r="S142" s="626">
        <f>SUM(E142:R142)</f>
        <v>0</v>
      </c>
      <c r="T142" s="113"/>
      <c r="U142" s="216">
        <f>U141</f>
        <v>0</v>
      </c>
      <c r="V142" s="216">
        <f>V141</f>
        <v>0</v>
      </c>
    </row>
    <row r="143" spans="1:22" s="95" customFormat="1" ht="12" customHeight="1">
      <c r="A143" s="124"/>
      <c r="B143" s="124"/>
      <c r="C143" s="126"/>
      <c r="D143" s="126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606"/>
      <c r="R143" s="94"/>
      <c r="S143" s="627"/>
      <c r="T143" s="94"/>
      <c r="U143" s="94"/>
      <c r="V143" s="94"/>
    </row>
    <row r="144" spans="1:22" s="112" customFormat="1" ht="12" customHeight="1">
      <c r="A144" s="91" t="s">
        <v>6</v>
      </c>
      <c r="B144" s="91"/>
      <c r="C144" s="91"/>
      <c r="D144" s="91"/>
      <c r="E144" s="216">
        <f t="shared" ref="E144:Q144" si="61">E139+E110+E118+E136+E99+E90+E79+E69+E142+E62</f>
        <v>1449900.210473143</v>
      </c>
      <c r="F144" s="216">
        <f t="shared" si="61"/>
        <v>2338518.7707979791</v>
      </c>
      <c r="G144" s="216">
        <f t="shared" si="61"/>
        <v>2558255.9655252984</v>
      </c>
      <c r="H144" s="216">
        <f t="shared" si="61"/>
        <v>3035347.6997710094</v>
      </c>
      <c r="I144" s="216">
        <f t="shared" si="61"/>
        <v>1704140.5593987876</v>
      </c>
      <c r="J144" s="216">
        <f t="shared" si="61"/>
        <v>3656969.7566194991</v>
      </c>
      <c r="K144" s="216">
        <f t="shared" si="61"/>
        <v>2938247.0723017994</v>
      </c>
      <c r="L144" s="216">
        <f t="shared" si="61"/>
        <v>2845204.8670746442</v>
      </c>
      <c r="M144" s="216">
        <f t="shared" si="61"/>
        <v>2789337.9987225235</v>
      </c>
      <c r="N144" s="216">
        <f t="shared" si="61"/>
        <v>3001635.8852571277</v>
      </c>
      <c r="O144" s="216">
        <f t="shared" si="61"/>
        <v>2965822.4549169652</v>
      </c>
      <c r="P144" s="216">
        <f t="shared" si="61"/>
        <v>4629890.8850350315</v>
      </c>
      <c r="Q144" s="607">
        <f t="shared" si="61"/>
        <v>98622.888381927623</v>
      </c>
      <c r="R144" s="113"/>
      <c r="S144" s="626">
        <f>SUM(E144:R144)</f>
        <v>34011895.014275737</v>
      </c>
      <c r="T144" s="113"/>
      <c r="U144" s="216">
        <f>U142+U139+U110+U118+U136+U99+U90+U79+U69+U62</f>
        <v>31800465.896172941</v>
      </c>
      <c r="V144" s="216">
        <f>V142+V139+V110+V118+V136+V99+V90+V79+V69+V62</f>
        <v>-2211429.1181027954</v>
      </c>
    </row>
    <row r="145" spans="1:22" s="95" customFormat="1" ht="12" customHeight="1"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606"/>
      <c r="R145" s="94"/>
      <c r="S145" s="627"/>
      <c r="T145" s="113"/>
      <c r="U145" s="113"/>
      <c r="V145" s="113"/>
    </row>
    <row r="146" spans="1:22" s="128" customFormat="1" ht="12" customHeight="1" thickBot="1">
      <c r="A146" s="128" t="s">
        <v>46</v>
      </c>
      <c r="E146" s="129">
        <f t="shared" ref="E146:U146" si="62">E52-E144</f>
        <v>-1394553.0068778747</v>
      </c>
      <c r="F146" s="129">
        <f t="shared" si="62"/>
        <v>-576155.6869814049</v>
      </c>
      <c r="G146" s="129">
        <f t="shared" si="62"/>
        <v>-832791.01743890299</v>
      </c>
      <c r="H146" s="129">
        <f t="shared" si="62"/>
        <v>177464.18961621588</v>
      </c>
      <c r="I146" s="129">
        <f t="shared" si="62"/>
        <v>1342659.3299884377</v>
      </c>
      <c r="J146" s="129">
        <f t="shared" si="62"/>
        <v>-544750.47683227388</v>
      </c>
      <c r="K146" s="129">
        <f t="shared" si="62"/>
        <v>446498.05962805683</v>
      </c>
      <c r="L146" s="129">
        <f t="shared" si="62"/>
        <v>256942.22590784961</v>
      </c>
      <c r="M146" s="129">
        <f t="shared" si="62"/>
        <v>591576.6572869909</v>
      </c>
      <c r="N146" s="129">
        <f t="shared" si="62"/>
        <v>893237.06982288044</v>
      </c>
      <c r="O146" s="129">
        <f t="shared" si="62"/>
        <v>415092.20109254867</v>
      </c>
      <c r="P146" s="129">
        <f t="shared" si="62"/>
        <v>-1183057.3671146827</v>
      </c>
      <c r="Q146" s="608">
        <f t="shared" si="62"/>
        <v>3739271.8145850408</v>
      </c>
      <c r="R146" s="113">
        <f t="shared" si="62"/>
        <v>0</v>
      </c>
      <c r="S146" s="631">
        <f t="shared" si="62"/>
        <v>3331433.9926828817</v>
      </c>
      <c r="T146" s="113">
        <f t="shared" si="62"/>
        <v>0</v>
      </c>
      <c r="U146" s="129">
        <f t="shared" si="62"/>
        <v>3748500.3101478666</v>
      </c>
      <c r="V146" s="129">
        <f>V52+V144</f>
        <v>-417066.31746498402</v>
      </c>
    </row>
    <row r="147" spans="1:22" s="95" customFormat="1" ht="12" customHeight="1" thickTop="1"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606"/>
      <c r="R147" s="94"/>
      <c r="S147" s="627"/>
      <c r="T147" s="94"/>
      <c r="U147" s="94"/>
      <c r="V147" s="94"/>
    </row>
    <row r="148" spans="1:22" s="95" customFormat="1" ht="12" customHeight="1">
      <c r="A148" s="112" t="s">
        <v>47</v>
      </c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606"/>
      <c r="R148" s="94"/>
      <c r="S148" s="633"/>
      <c r="T148" s="94"/>
      <c r="U148" s="94"/>
      <c r="V148" s="94"/>
    </row>
    <row r="149" spans="1:22" s="112" customFormat="1" ht="12" customHeight="1">
      <c r="C149" s="95" t="s">
        <v>46</v>
      </c>
      <c r="D149" s="95"/>
      <c r="E149" s="94">
        <f t="shared" ref="E149:Q149" si="63">E146</f>
        <v>-1394553.0068778747</v>
      </c>
      <c r="F149" s="94">
        <f t="shared" si="63"/>
        <v>-576155.6869814049</v>
      </c>
      <c r="G149" s="94">
        <f t="shared" si="63"/>
        <v>-832791.01743890299</v>
      </c>
      <c r="H149" s="94">
        <f t="shared" si="63"/>
        <v>177464.18961621588</v>
      </c>
      <c r="I149" s="94">
        <f t="shared" si="63"/>
        <v>1342659.3299884377</v>
      </c>
      <c r="J149" s="94">
        <f t="shared" si="63"/>
        <v>-544750.47683227388</v>
      </c>
      <c r="K149" s="94">
        <f t="shared" si="63"/>
        <v>446498.05962805683</v>
      </c>
      <c r="L149" s="94">
        <f t="shared" si="63"/>
        <v>256942.22590784961</v>
      </c>
      <c r="M149" s="94">
        <f t="shared" si="63"/>
        <v>591576.6572869909</v>
      </c>
      <c r="N149" s="94">
        <f t="shared" si="63"/>
        <v>893237.06982288044</v>
      </c>
      <c r="O149" s="94">
        <f t="shared" si="63"/>
        <v>415092.20109254867</v>
      </c>
      <c r="P149" s="94">
        <f t="shared" si="63"/>
        <v>-1183057.3671146827</v>
      </c>
      <c r="Q149" s="606">
        <f t="shared" si="63"/>
        <v>3739271.8145850408</v>
      </c>
      <c r="R149" s="94"/>
      <c r="S149" s="627">
        <f>SUM(E149:R149)</f>
        <v>3331433.9926828817</v>
      </c>
      <c r="T149" s="113"/>
      <c r="U149" s="113"/>
      <c r="V149" s="113"/>
    </row>
    <row r="150" spans="1:22" s="95" customFormat="1" ht="12" customHeight="1">
      <c r="C150" s="95" t="s">
        <v>48</v>
      </c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606"/>
      <c r="R150" s="94"/>
      <c r="S150" s="627"/>
      <c r="T150" s="94"/>
      <c r="U150" s="94"/>
      <c r="V150" s="113"/>
    </row>
    <row r="151" spans="1:22" s="95" customFormat="1" ht="12" customHeight="1">
      <c r="D151" s="130" t="s">
        <v>289</v>
      </c>
      <c r="E151" s="94">
        <f t="shared" ref="E151:Q151" si="64">+E138</f>
        <v>0</v>
      </c>
      <c r="F151" s="94">
        <f t="shared" si="64"/>
        <v>0</v>
      </c>
      <c r="G151" s="94">
        <f t="shared" si="64"/>
        <v>0</v>
      </c>
      <c r="H151" s="94">
        <f t="shared" si="64"/>
        <v>0</v>
      </c>
      <c r="I151" s="94">
        <f t="shared" si="64"/>
        <v>0</v>
      </c>
      <c r="J151" s="94">
        <f t="shared" si="64"/>
        <v>0</v>
      </c>
      <c r="K151" s="94">
        <f t="shared" si="64"/>
        <v>108.24321599999999</v>
      </c>
      <c r="L151" s="94">
        <f t="shared" si="64"/>
        <v>54.121607999999995</v>
      </c>
      <c r="M151" s="94">
        <f t="shared" si="64"/>
        <v>54.121607999999995</v>
      </c>
      <c r="N151" s="94">
        <f t="shared" si="64"/>
        <v>54.121607999999995</v>
      </c>
      <c r="O151" s="94">
        <f t="shared" si="64"/>
        <v>54.121607999999995</v>
      </c>
      <c r="P151" s="94">
        <f t="shared" si="64"/>
        <v>54.121607999999995</v>
      </c>
      <c r="Q151" s="606">
        <f t="shared" si="64"/>
        <v>0</v>
      </c>
      <c r="R151" s="94"/>
      <c r="S151" s="627">
        <f>SUM(E151:R151)</f>
        <v>378.85125599999992</v>
      </c>
      <c r="T151" s="94"/>
      <c r="U151" s="94"/>
      <c r="V151" s="66"/>
    </row>
    <row r="152" spans="1:22" s="95" customFormat="1" ht="12" customHeight="1">
      <c r="D152" s="130" t="s">
        <v>290</v>
      </c>
      <c r="E152" s="304">
        <f>'FY22-23'!Q19+'FY22-23'!Q23+'FY22-23'!Q34</f>
        <v>3128676.5944756195</v>
      </c>
      <c r="F152" s="94">
        <f>'FY22-23'!Q35</f>
        <v>0</v>
      </c>
      <c r="G152" s="94">
        <f>'FY22-23'!Q37</f>
        <v>327344.66183446679</v>
      </c>
      <c r="H152" s="94">
        <v>0</v>
      </c>
      <c r="I152" s="94">
        <v>0</v>
      </c>
      <c r="J152" s="94">
        <v>0</v>
      </c>
      <c r="K152" s="94">
        <f>'FY22-23'!Q52-SUM(E152:I152)</f>
        <v>193484.40563225048</v>
      </c>
      <c r="L152" s="94">
        <v>0</v>
      </c>
      <c r="M152" s="94">
        <v>0</v>
      </c>
      <c r="N152" s="94">
        <v>0</v>
      </c>
      <c r="O152" s="94">
        <v>0</v>
      </c>
      <c r="P152" s="94">
        <v>0</v>
      </c>
      <c r="Q152" s="606">
        <f>-Q52</f>
        <v>-3837894.7029669685</v>
      </c>
      <c r="R152" s="94"/>
      <c r="S152" s="627">
        <f t="shared" ref="S152:S166" si="65">SUM(E152:R152)</f>
        <v>-188389.04102463182</v>
      </c>
      <c r="T152" s="94"/>
      <c r="U152" s="94"/>
      <c r="V152" s="113"/>
    </row>
    <row r="153" spans="1:22" s="95" customFormat="1" ht="12" customHeight="1">
      <c r="D153" s="130" t="s">
        <v>297</v>
      </c>
      <c r="E153" s="94">
        <v>0</v>
      </c>
      <c r="F153" s="94">
        <v>0</v>
      </c>
      <c r="G153" s="94">
        <v>0</v>
      </c>
      <c r="H153" s="94">
        <v>0</v>
      </c>
      <c r="I153" s="94">
        <v>0</v>
      </c>
      <c r="J153" s="94">
        <v>0</v>
      </c>
      <c r="K153" s="94">
        <v>0</v>
      </c>
      <c r="L153" s="94">
        <v>0</v>
      </c>
      <c r="M153" s="94">
        <v>0</v>
      </c>
      <c r="N153" s="94">
        <v>0</v>
      </c>
      <c r="O153" s="94">
        <v>0</v>
      </c>
      <c r="P153" s="94">
        <v>0</v>
      </c>
      <c r="Q153" s="606">
        <v>0</v>
      </c>
      <c r="R153" s="94"/>
      <c r="S153" s="627">
        <f t="shared" si="65"/>
        <v>0</v>
      </c>
      <c r="T153" s="94"/>
      <c r="U153" s="94"/>
      <c r="V153" s="113"/>
    </row>
    <row r="154" spans="1:22" s="95" customFormat="1" ht="12" customHeight="1">
      <c r="D154" s="130" t="s">
        <v>233</v>
      </c>
      <c r="E154" s="94">
        <v>0</v>
      </c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606">
        <v>0</v>
      </c>
      <c r="R154" s="94"/>
      <c r="S154" s="627">
        <f t="shared" si="65"/>
        <v>0</v>
      </c>
      <c r="T154" s="94"/>
      <c r="U154" s="94"/>
      <c r="V154" s="113"/>
    </row>
    <row r="155" spans="1:22" s="95" customFormat="1" ht="12" customHeight="1">
      <c r="D155" s="130" t="s">
        <v>291</v>
      </c>
      <c r="E155" s="94">
        <v>0</v>
      </c>
      <c r="F155" s="94">
        <v>0</v>
      </c>
      <c r="G155" s="94">
        <v>0</v>
      </c>
      <c r="H155" s="94">
        <v>0</v>
      </c>
      <c r="I155" s="94">
        <v>0</v>
      </c>
      <c r="J155" s="94">
        <v>0</v>
      </c>
      <c r="K155" s="94">
        <v>0</v>
      </c>
      <c r="L155" s="94">
        <v>0</v>
      </c>
      <c r="M155" s="94">
        <v>0</v>
      </c>
      <c r="N155" s="94">
        <v>0</v>
      </c>
      <c r="O155" s="94">
        <v>0</v>
      </c>
      <c r="P155" s="94">
        <v>0</v>
      </c>
      <c r="Q155" s="606">
        <v>0</v>
      </c>
      <c r="R155" s="94"/>
      <c r="S155" s="627">
        <f t="shared" si="65"/>
        <v>0</v>
      </c>
      <c r="T155" s="94"/>
      <c r="U155" s="94"/>
      <c r="V155" s="113"/>
    </row>
    <row r="156" spans="1:22" s="95" customFormat="1" ht="12" customHeight="1">
      <c r="D156" s="130" t="s">
        <v>292</v>
      </c>
      <c r="E156" s="94">
        <v>0</v>
      </c>
      <c r="F156" s="94">
        <v>0</v>
      </c>
      <c r="G156" s="94">
        <v>0</v>
      </c>
      <c r="H156" s="94">
        <v>0</v>
      </c>
      <c r="I156" s="94">
        <v>0</v>
      </c>
      <c r="J156" s="94">
        <v>0</v>
      </c>
      <c r="K156" s="94">
        <v>0</v>
      </c>
      <c r="L156" s="94">
        <v>0</v>
      </c>
      <c r="M156" s="94">
        <v>0</v>
      </c>
      <c r="N156" s="94">
        <v>0</v>
      </c>
      <c r="O156" s="94">
        <v>0</v>
      </c>
      <c r="P156" s="94">
        <v>0</v>
      </c>
      <c r="Q156" s="606">
        <v>0</v>
      </c>
      <c r="R156" s="94"/>
      <c r="S156" s="627">
        <f t="shared" si="65"/>
        <v>0</v>
      </c>
      <c r="T156" s="94"/>
      <c r="U156" s="94"/>
      <c r="V156" s="113"/>
    </row>
    <row r="157" spans="1:22" s="95" customFormat="1" ht="12" customHeight="1">
      <c r="D157" s="130" t="s">
        <v>293</v>
      </c>
      <c r="E157" s="94">
        <f>-'FY22-23'!Q157</f>
        <v>-93860.297834268655</v>
      </c>
      <c r="F157" s="94">
        <v>0</v>
      </c>
      <c r="G157" s="94">
        <v>0</v>
      </c>
      <c r="H157" s="94">
        <v>0</v>
      </c>
      <c r="I157" s="94">
        <v>0</v>
      </c>
      <c r="J157" s="94">
        <v>0</v>
      </c>
      <c r="K157" s="94">
        <v>0</v>
      </c>
      <c r="L157" s="94">
        <v>0</v>
      </c>
      <c r="M157" s="94">
        <v>0</v>
      </c>
      <c r="N157" s="94">
        <v>0</v>
      </c>
      <c r="O157" s="94">
        <v>0</v>
      </c>
      <c r="P157" s="94">
        <v>0</v>
      </c>
      <c r="Q157" s="606">
        <f>Q144</f>
        <v>98622.888381927623</v>
      </c>
      <c r="R157" s="94"/>
      <c r="S157" s="627">
        <f t="shared" si="65"/>
        <v>4762.5905476589687</v>
      </c>
      <c r="T157" s="94"/>
      <c r="U157" s="94"/>
      <c r="V157" s="113"/>
    </row>
    <row r="158" spans="1:22" s="95" customFormat="1" ht="12" customHeight="1">
      <c r="D158" s="130" t="s">
        <v>294</v>
      </c>
      <c r="E158" s="94">
        <v>0</v>
      </c>
      <c r="F158" s="94">
        <v>0</v>
      </c>
      <c r="G158" s="94">
        <v>0</v>
      </c>
      <c r="H158" s="94">
        <v>0</v>
      </c>
      <c r="I158" s="94">
        <v>0</v>
      </c>
      <c r="J158" s="94">
        <v>0</v>
      </c>
      <c r="K158" s="94">
        <v>0</v>
      </c>
      <c r="L158" s="94">
        <v>0</v>
      </c>
      <c r="M158" s="94">
        <v>0</v>
      </c>
      <c r="N158" s="94">
        <v>0</v>
      </c>
      <c r="O158" s="94">
        <v>0</v>
      </c>
      <c r="P158" s="94">
        <v>0</v>
      </c>
      <c r="Q158" s="606">
        <v>0</v>
      </c>
      <c r="R158" s="94"/>
      <c r="S158" s="627">
        <f t="shared" si="65"/>
        <v>0</v>
      </c>
      <c r="T158" s="94"/>
      <c r="U158" s="94"/>
      <c r="V158" s="113"/>
    </row>
    <row r="159" spans="1:22" s="95" customFormat="1" ht="12" customHeight="1">
      <c r="D159" s="130" t="s">
        <v>234</v>
      </c>
      <c r="E159" s="94">
        <v>0</v>
      </c>
      <c r="F159" s="94">
        <v>0</v>
      </c>
      <c r="G159" s="94">
        <v>0</v>
      </c>
      <c r="H159" s="94">
        <v>0</v>
      </c>
      <c r="I159" s="94">
        <v>0</v>
      </c>
      <c r="J159" s="94">
        <v>0</v>
      </c>
      <c r="K159" s="94">
        <v>0</v>
      </c>
      <c r="L159" s="94">
        <v>0</v>
      </c>
      <c r="M159" s="94">
        <v>0</v>
      </c>
      <c r="N159" s="94">
        <v>0</v>
      </c>
      <c r="O159" s="94">
        <v>0</v>
      </c>
      <c r="P159" s="94">
        <v>0</v>
      </c>
      <c r="Q159" s="606">
        <v>0</v>
      </c>
      <c r="R159" s="94"/>
      <c r="S159" s="627">
        <f t="shared" si="65"/>
        <v>0</v>
      </c>
      <c r="T159" s="94"/>
      <c r="U159" s="94"/>
      <c r="V159" s="113"/>
    </row>
    <row r="160" spans="1:22" s="95" customFormat="1" ht="11" customHeight="1">
      <c r="C160" s="95" t="s">
        <v>49</v>
      </c>
      <c r="D160" s="130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606"/>
      <c r="R160" s="94"/>
      <c r="S160" s="627"/>
      <c r="T160" s="94"/>
      <c r="U160" s="94"/>
      <c r="V160" s="113"/>
    </row>
    <row r="161" spans="1:22" s="95" customFormat="1" ht="11" customHeight="1">
      <c r="D161" s="130" t="s">
        <v>296</v>
      </c>
      <c r="E161" s="94">
        <v>0</v>
      </c>
      <c r="F161" s="94">
        <v>0</v>
      </c>
      <c r="G161" s="94">
        <v>0</v>
      </c>
      <c r="H161" s="94">
        <v>0</v>
      </c>
      <c r="I161" s="94">
        <v>0</v>
      </c>
      <c r="J161" s="94">
        <v>0</v>
      </c>
      <c r="K161" s="94">
        <v>0</v>
      </c>
      <c r="L161" s="94">
        <v>0</v>
      </c>
      <c r="M161" s="94">
        <v>0</v>
      </c>
      <c r="N161" s="94">
        <v>0</v>
      </c>
      <c r="O161" s="94">
        <v>0</v>
      </c>
      <c r="P161" s="94">
        <v>0</v>
      </c>
      <c r="Q161" s="606">
        <v>0</v>
      </c>
      <c r="R161" s="94"/>
      <c r="S161" s="627">
        <f t="shared" si="65"/>
        <v>0</v>
      </c>
      <c r="T161" s="94"/>
      <c r="U161" s="94"/>
      <c r="V161" s="113"/>
    </row>
    <row r="162" spans="1:22" s="95" customFormat="1" ht="12" customHeight="1">
      <c r="D162" s="95" t="s">
        <v>295</v>
      </c>
      <c r="E162" s="94">
        <v>0</v>
      </c>
      <c r="F162" s="94">
        <v>0</v>
      </c>
      <c r="G162" s="94">
        <v>0</v>
      </c>
      <c r="H162" s="94">
        <v>0</v>
      </c>
      <c r="I162" s="94">
        <v>0</v>
      </c>
      <c r="J162" s="94">
        <v>0</v>
      </c>
      <c r="K162" s="94">
        <v>0</v>
      </c>
      <c r="L162" s="94">
        <v>0</v>
      </c>
      <c r="M162" s="94">
        <v>0</v>
      </c>
      <c r="N162" s="94">
        <v>0</v>
      </c>
      <c r="O162" s="94">
        <v>0</v>
      </c>
      <c r="P162" s="94">
        <v>0</v>
      </c>
      <c r="Q162" s="606">
        <v>0</v>
      </c>
      <c r="R162" s="94"/>
      <c r="S162" s="627">
        <f t="shared" si="65"/>
        <v>0</v>
      </c>
      <c r="T162" s="94"/>
      <c r="U162" s="94"/>
      <c r="V162" s="113"/>
    </row>
    <row r="163" spans="1:22" s="95" customFormat="1" ht="12" customHeight="1">
      <c r="C163" s="95" t="s">
        <v>50</v>
      </c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606"/>
      <c r="R163" s="94"/>
      <c r="S163" s="627"/>
      <c r="T163" s="94"/>
      <c r="U163" s="94"/>
      <c r="V163" s="113"/>
    </row>
    <row r="164" spans="1:22" s="95" customFormat="1" ht="12" customHeight="1">
      <c r="D164" s="95" t="s">
        <v>317</v>
      </c>
      <c r="E164" s="94">
        <v>0</v>
      </c>
      <c r="F164" s="94">
        <v>0</v>
      </c>
      <c r="G164" s="94">
        <v>0</v>
      </c>
      <c r="H164" s="94">
        <v>0</v>
      </c>
      <c r="I164" s="94">
        <v>0</v>
      </c>
      <c r="J164" s="94">
        <v>0</v>
      </c>
      <c r="K164" s="94">
        <v>0</v>
      </c>
      <c r="L164" s="94">
        <v>0</v>
      </c>
      <c r="M164" s="94">
        <v>0</v>
      </c>
      <c r="N164" s="94">
        <v>0</v>
      </c>
      <c r="O164" s="94">
        <v>0</v>
      </c>
      <c r="P164" s="94">
        <v>0</v>
      </c>
      <c r="Q164" s="606">
        <v>0</v>
      </c>
      <c r="R164" s="94"/>
      <c r="S164" s="627">
        <f t="shared" si="65"/>
        <v>0</v>
      </c>
      <c r="T164" s="94"/>
      <c r="U164" s="94"/>
      <c r="V164" s="113"/>
    </row>
    <row r="165" spans="1:22" s="95" customFormat="1" ht="12" customHeight="1">
      <c r="D165" s="95" t="s">
        <v>318</v>
      </c>
      <c r="E165" s="94">
        <f>-'FY22-23'!N164</f>
        <v>0</v>
      </c>
      <c r="F165" s="94">
        <v>0</v>
      </c>
      <c r="G165" s="94">
        <v>0</v>
      </c>
      <c r="H165" s="94">
        <v>0</v>
      </c>
      <c r="I165" s="94">
        <f>-E164</f>
        <v>0</v>
      </c>
      <c r="J165" s="94">
        <f>-F164</f>
        <v>0</v>
      </c>
      <c r="K165" s="94">
        <f t="shared" ref="K165:P165" si="66">-G164</f>
        <v>0</v>
      </c>
      <c r="L165" s="94">
        <f t="shared" si="66"/>
        <v>0</v>
      </c>
      <c r="M165" s="94">
        <f t="shared" si="66"/>
        <v>0</v>
      </c>
      <c r="N165" s="94">
        <f t="shared" si="66"/>
        <v>0</v>
      </c>
      <c r="O165" s="94">
        <f t="shared" si="66"/>
        <v>0</v>
      </c>
      <c r="P165" s="94">
        <f t="shared" si="66"/>
        <v>0</v>
      </c>
      <c r="Q165" s="606">
        <v>0</v>
      </c>
      <c r="R165" s="94"/>
      <c r="S165" s="627">
        <f t="shared" si="65"/>
        <v>0</v>
      </c>
      <c r="T165" s="94"/>
      <c r="U165" s="94"/>
      <c r="V165" s="113"/>
    </row>
    <row r="166" spans="1:22" s="95" customFormat="1" ht="12" customHeight="1">
      <c r="D166" s="95" t="s">
        <v>552</v>
      </c>
      <c r="E166" s="94">
        <f>E177</f>
        <v>0</v>
      </c>
      <c r="F166" s="94">
        <f t="shared" ref="F166:P166" si="67">F177</f>
        <v>0</v>
      </c>
      <c r="G166" s="94">
        <f t="shared" si="67"/>
        <v>0</v>
      </c>
      <c r="H166" s="94">
        <f t="shared" si="67"/>
        <v>0</v>
      </c>
      <c r="I166" s="94">
        <f t="shared" si="67"/>
        <v>0</v>
      </c>
      <c r="J166" s="94">
        <f t="shared" si="67"/>
        <v>0</v>
      </c>
      <c r="K166" s="94">
        <f t="shared" si="67"/>
        <v>0</v>
      </c>
      <c r="L166" s="94">
        <f t="shared" si="67"/>
        <v>0</v>
      </c>
      <c r="M166" s="94">
        <f t="shared" si="67"/>
        <v>0</v>
      </c>
      <c r="N166" s="94">
        <f t="shared" si="67"/>
        <v>0</v>
      </c>
      <c r="O166" s="94">
        <f t="shared" si="67"/>
        <v>0</v>
      </c>
      <c r="P166" s="94">
        <f t="shared" si="67"/>
        <v>0</v>
      </c>
      <c r="Q166" s="606">
        <v>0</v>
      </c>
      <c r="R166" s="94"/>
      <c r="S166" s="627">
        <f t="shared" si="65"/>
        <v>0</v>
      </c>
      <c r="T166" s="94"/>
      <c r="U166" s="94"/>
      <c r="V166" s="113"/>
    </row>
    <row r="167" spans="1:22" s="95" customFormat="1" ht="12" customHeight="1">
      <c r="D167" s="95" t="s">
        <v>553</v>
      </c>
      <c r="E167" s="132">
        <f>E178</f>
        <v>0</v>
      </c>
      <c r="F167" s="132">
        <f t="shared" ref="F167:P167" si="68">F178</f>
        <v>0</v>
      </c>
      <c r="G167" s="132">
        <f t="shared" si="68"/>
        <v>0</v>
      </c>
      <c r="H167" s="132">
        <f t="shared" si="68"/>
        <v>0</v>
      </c>
      <c r="I167" s="132">
        <f t="shared" si="68"/>
        <v>0</v>
      </c>
      <c r="J167" s="132">
        <f t="shared" si="68"/>
        <v>0</v>
      </c>
      <c r="K167" s="132">
        <f t="shared" si="68"/>
        <v>0</v>
      </c>
      <c r="L167" s="132">
        <f t="shared" si="68"/>
        <v>0</v>
      </c>
      <c r="M167" s="132">
        <f t="shared" si="68"/>
        <v>0</v>
      </c>
      <c r="N167" s="132">
        <f t="shared" si="68"/>
        <v>0</v>
      </c>
      <c r="O167" s="132">
        <f t="shared" si="68"/>
        <v>0</v>
      </c>
      <c r="P167" s="132">
        <f t="shared" si="68"/>
        <v>0</v>
      </c>
      <c r="Q167" s="606">
        <v>0</v>
      </c>
      <c r="R167" s="94"/>
      <c r="S167" s="627">
        <f t="shared" ref="S167" si="69">SUM(E167:R167)</f>
        <v>0</v>
      </c>
      <c r="T167" s="94"/>
      <c r="U167" s="94"/>
      <c r="V167" s="113"/>
    </row>
    <row r="168" spans="1:22" s="95" customFormat="1" ht="12" customHeight="1"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131"/>
      <c r="T168" s="94"/>
      <c r="U168" s="94"/>
      <c r="V168" s="113"/>
    </row>
    <row r="169" spans="1:22" s="95" customFormat="1" ht="12" customHeight="1">
      <c r="B169" s="95" t="s">
        <v>51</v>
      </c>
      <c r="E169" s="94">
        <f>SUBTOTAL(9,E149:E168)</f>
        <v>1640263.2897634762</v>
      </c>
      <c r="F169" s="94">
        <f t="shared" ref="F169:P169" si="70">SUBTOTAL(9,F149:F168)</f>
        <v>-576155.6869814049</v>
      </c>
      <c r="G169" s="94">
        <f t="shared" si="70"/>
        <v>-505446.35560443619</v>
      </c>
      <c r="H169" s="94">
        <f t="shared" si="70"/>
        <v>177464.18961621588</v>
      </c>
      <c r="I169" s="94">
        <f t="shared" si="70"/>
        <v>1342659.3299884377</v>
      </c>
      <c r="J169" s="94">
        <f t="shared" si="70"/>
        <v>-544750.47683227388</v>
      </c>
      <c r="K169" s="94">
        <f t="shared" si="70"/>
        <v>640090.70847630734</v>
      </c>
      <c r="L169" s="94">
        <f t="shared" si="70"/>
        <v>256996.3475158496</v>
      </c>
      <c r="M169" s="94">
        <f t="shared" si="70"/>
        <v>591630.77889499092</v>
      </c>
      <c r="N169" s="94">
        <f t="shared" si="70"/>
        <v>893291.19143088046</v>
      </c>
      <c r="O169" s="94">
        <f t="shared" si="70"/>
        <v>415146.32270054868</v>
      </c>
      <c r="P169" s="94">
        <f t="shared" si="70"/>
        <v>-1183003.2455066827</v>
      </c>
      <c r="R169" s="94"/>
      <c r="S169" s="94"/>
      <c r="T169" s="94"/>
      <c r="U169" s="113"/>
      <c r="V169" s="94"/>
    </row>
    <row r="170" spans="1:22" s="95" customFormat="1" ht="12" customHeight="1"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R170" s="94"/>
      <c r="S170" s="94"/>
      <c r="T170" s="94"/>
      <c r="U170" s="94"/>
      <c r="V170" s="94"/>
    </row>
    <row r="171" spans="1:22" s="95" customFormat="1" ht="12" customHeight="1">
      <c r="B171" s="95" t="s">
        <v>52</v>
      </c>
      <c r="E171" s="132">
        <f>'FY22-23'!P173</f>
        <v>10099956.541951014</v>
      </c>
      <c r="F171" s="132">
        <f t="shared" ref="F171:O171" si="71">E173</f>
        <v>11740219.83171449</v>
      </c>
      <c r="G171" s="132">
        <f t="shared" si="71"/>
        <v>11164064.144733086</v>
      </c>
      <c r="H171" s="132">
        <f t="shared" si="71"/>
        <v>10658617.78912865</v>
      </c>
      <c r="I171" s="132">
        <f t="shared" si="71"/>
        <v>10836081.978744866</v>
      </c>
      <c r="J171" s="132">
        <f t="shared" si="71"/>
        <v>12178741.308733303</v>
      </c>
      <c r="K171" s="132">
        <f t="shared" si="71"/>
        <v>11633990.831901029</v>
      </c>
      <c r="L171" s="132">
        <f t="shared" si="71"/>
        <v>12274081.540377336</v>
      </c>
      <c r="M171" s="132">
        <f t="shared" si="71"/>
        <v>12531077.887893185</v>
      </c>
      <c r="N171" s="132">
        <f t="shared" si="71"/>
        <v>13122708.666788176</v>
      </c>
      <c r="O171" s="132">
        <f t="shared" si="71"/>
        <v>14015999.858219055</v>
      </c>
      <c r="P171" s="132">
        <f>O173</f>
        <v>14431146.180919604</v>
      </c>
      <c r="R171" s="94"/>
      <c r="S171" s="94"/>
      <c r="T171" s="94"/>
      <c r="U171" s="94"/>
      <c r="V171" s="94"/>
    </row>
    <row r="172" spans="1:22" s="95" customFormat="1" ht="12" customHeight="1"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R172" s="94"/>
      <c r="S172" s="94"/>
      <c r="T172" s="94"/>
      <c r="U172" s="94"/>
      <c r="V172" s="94"/>
    </row>
    <row r="173" spans="1:22" s="112" customFormat="1" ht="12" customHeight="1" thickBot="1">
      <c r="B173" s="112" t="s">
        <v>53</v>
      </c>
      <c r="E173" s="129">
        <f t="shared" ref="E173:O173" si="72">E169+E171</f>
        <v>11740219.83171449</v>
      </c>
      <c r="F173" s="129">
        <f t="shared" si="72"/>
        <v>11164064.144733086</v>
      </c>
      <c r="G173" s="129">
        <f t="shared" si="72"/>
        <v>10658617.78912865</v>
      </c>
      <c r="H173" s="129">
        <f t="shared" si="72"/>
        <v>10836081.978744866</v>
      </c>
      <c r="I173" s="129">
        <f t="shared" si="72"/>
        <v>12178741.308733303</v>
      </c>
      <c r="J173" s="129">
        <f t="shared" si="72"/>
        <v>11633990.831901029</v>
      </c>
      <c r="K173" s="129">
        <f t="shared" si="72"/>
        <v>12274081.540377336</v>
      </c>
      <c r="L173" s="129">
        <f t="shared" si="72"/>
        <v>12531077.887893185</v>
      </c>
      <c r="M173" s="129">
        <f t="shared" si="72"/>
        <v>13122708.666788176</v>
      </c>
      <c r="N173" s="129">
        <f t="shared" si="72"/>
        <v>14015999.858219055</v>
      </c>
      <c r="O173" s="129">
        <f t="shared" si="72"/>
        <v>14431146.180919604</v>
      </c>
      <c r="P173" s="129">
        <f>P169+P171</f>
        <v>13248142.935412921</v>
      </c>
      <c r="R173" s="113"/>
      <c r="S173" s="113"/>
      <c r="T173" s="113"/>
      <c r="U173" s="113"/>
      <c r="V173" s="113"/>
    </row>
    <row r="174" spans="1:22" s="95" customFormat="1" ht="12" customHeight="1" thickTop="1">
      <c r="A174" s="112"/>
      <c r="B174" s="112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131"/>
      <c r="T174" s="94"/>
      <c r="U174" s="94"/>
      <c r="V174" s="94"/>
    </row>
    <row r="175" spans="1:22" s="95" customFormat="1" ht="12" customHeight="1">
      <c r="A175" s="112"/>
      <c r="B175" s="112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131"/>
      <c r="T175" s="94"/>
      <c r="U175" s="94"/>
      <c r="V175" s="94"/>
    </row>
    <row r="176" spans="1:22" s="95" customFormat="1" ht="12" customHeight="1">
      <c r="A176" s="112"/>
      <c r="B176" s="112"/>
      <c r="D176" s="95" t="s">
        <v>557</v>
      </c>
      <c r="E176" s="315">
        <f>+'FY22-23'!P179</f>
        <v>0</v>
      </c>
      <c r="F176" s="315">
        <f>E179</f>
        <v>0</v>
      </c>
      <c r="G176" s="315">
        <f t="shared" ref="G176:P176" si="73">F179</f>
        <v>0</v>
      </c>
      <c r="H176" s="315">
        <f t="shared" si="73"/>
        <v>0</v>
      </c>
      <c r="I176" s="315">
        <f t="shared" si="73"/>
        <v>0</v>
      </c>
      <c r="J176" s="315">
        <f t="shared" si="73"/>
        <v>0</v>
      </c>
      <c r="K176" s="315">
        <f t="shared" si="73"/>
        <v>0</v>
      </c>
      <c r="L176" s="315">
        <f t="shared" si="73"/>
        <v>0</v>
      </c>
      <c r="M176" s="315">
        <f t="shared" si="73"/>
        <v>0</v>
      </c>
      <c r="N176" s="315">
        <f t="shared" si="73"/>
        <v>0</v>
      </c>
      <c r="O176" s="315">
        <f t="shared" si="73"/>
        <v>0</v>
      </c>
      <c r="P176" s="315">
        <f t="shared" si="73"/>
        <v>0</v>
      </c>
      <c r="Q176" s="94"/>
      <c r="R176" s="94"/>
      <c r="S176" s="131"/>
      <c r="T176" s="94"/>
      <c r="U176" s="94"/>
      <c r="V176" s="94"/>
    </row>
    <row r="177" spans="1:23" s="95" customFormat="1" ht="12" customHeight="1">
      <c r="A177" s="112"/>
      <c r="B177" s="112"/>
      <c r="D177" s="95" t="s">
        <v>558</v>
      </c>
      <c r="E177" s="316">
        <v>0</v>
      </c>
      <c r="F177" s="316">
        <v>0</v>
      </c>
      <c r="G177" s="316">
        <v>0</v>
      </c>
      <c r="H177" s="316">
        <v>0</v>
      </c>
      <c r="I177" s="316">
        <v>0</v>
      </c>
      <c r="J177" s="316">
        <v>0</v>
      </c>
      <c r="K177" s="316">
        <v>0</v>
      </c>
      <c r="L177" s="316">
        <v>0</v>
      </c>
      <c r="M177" s="316">
        <v>0</v>
      </c>
      <c r="N177" s="316">
        <v>0</v>
      </c>
      <c r="O177" s="316">
        <v>0</v>
      </c>
      <c r="P177" s="316">
        <v>0</v>
      </c>
      <c r="Q177" s="94"/>
      <c r="R177" s="94"/>
      <c r="S177" s="131"/>
      <c r="T177" s="94"/>
      <c r="U177" s="94"/>
      <c r="V177" s="94"/>
    </row>
    <row r="178" spans="1:23" s="95" customFormat="1" ht="12" customHeight="1">
      <c r="A178" s="112"/>
      <c r="B178" s="112"/>
      <c r="D178" s="95" t="s">
        <v>559</v>
      </c>
      <c r="E178" s="316">
        <f>-E176</f>
        <v>0</v>
      </c>
      <c r="F178" s="316">
        <v>0</v>
      </c>
      <c r="G178" s="316">
        <v>0</v>
      </c>
      <c r="H178" s="316">
        <v>0</v>
      </c>
      <c r="I178" s="316">
        <v>0</v>
      </c>
      <c r="J178" s="316">
        <v>0</v>
      </c>
      <c r="K178" s="316">
        <v>0</v>
      </c>
      <c r="L178" s="316">
        <v>0</v>
      </c>
      <c r="M178" s="316">
        <v>0</v>
      </c>
      <c r="N178" s="316">
        <v>0</v>
      </c>
      <c r="O178" s="316">
        <v>0</v>
      </c>
      <c r="P178" s="316">
        <f>-E177/2</f>
        <v>0</v>
      </c>
      <c r="Q178" s="94"/>
      <c r="R178" s="94"/>
      <c r="S178" s="131"/>
      <c r="T178" s="94"/>
      <c r="U178" s="94"/>
      <c r="V178" s="94"/>
    </row>
    <row r="179" spans="1:23" s="95" customFormat="1" ht="12" customHeight="1">
      <c r="D179" s="95" t="s">
        <v>560</v>
      </c>
      <c r="E179" s="94">
        <f>SUM(E176:E178)</f>
        <v>0</v>
      </c>
      <c r="F179" s="94">
        <f>SUM(F176:F178)</f>
        <v>0</v>
      </c>
      <c r="G179" s="94">
        <f t="shared" ref="G179:P179" si="74">SUM(G176:G178)</f>
        <v>0</v>
      </c>
      <c r="H179" s="94">
        <f t="shared" si="74"/>
        <v>0</v>
      </c>
      <c r="I179" s="94">
        <f t="shared" si="74"/>
        <v>0</v>
      </c>
      <c r="J179" s="94">
        <f t="shared" si="74"/>
        <v>0</v>
      </c>
      <c r="K179" s="94">
        <f t="shared" si="74"/>
        <v>0</v>
      </c>
      <c r="L179" s="94">
        <f t="shared" si="74"/>
        <v>0</v>
      </c>
      <c r="M179" s="94">
        <f t="shared" si="74"/>
        <v>0</v>
      </c>
      <c r="N179" s="94">
        <f t="shared" si="74"/>
        <v>0</v>
      </c>
      <c r="O179" s="94">
        <f t="shared" si="74"/>
        <v>0</v>
      </c>
      <c r="P179" s="94">
        <f t="shared" si="74"/>
        <v>0</v>
      </c>
      <c r="Q179" s="316"/>
      <c r="R179" s="316"/>
      <c r="S179" s="317"/>
      <c r="T179" s="316"/>
      <c r="U179" s="316"/>
      <c r="V179" s="94"/>
    </row>
    <row r="180" spans="1:23" s="95" customFormat="1" ht="12" customHeight="1">
      <c r="E180" s="315"/>
      <c r="F180" s="315"/>
      <c r="G180" s="315"/>
      <c r="H180" s="315"/>
      <c r="I180" s="315"/>
      <c r="J180" s="315"/>
      <c r="K180" s="315"/>
      <c r="L180" s="315"/>
      <c r="M180" s="316"/>
      <c r="N180" s="316"/>
      <c r="O180" s="316"/>
      <c r="P180" s="316"/>
      <c r="Q180" s="316"/>
      <c r="R180" s="316"/>
      <c r="S180" s="317"/>
      <c r="T180" s="316"/>
      <c r="U180" s="316"/>
      <c r="V180" s="94"/>
    </row>
    <row r="181" spans="1:23" s="95" customFormat="1" ht="12" customHeight="1">
      <c r="E181" s="316"/>
      <c r="F181" s="316"/>
      <c r="G181" s="316"/>
      <c r="H181" s="316"/>
      <c r="I181" s="316"/>
      <c r="J181" s="316"/>
      <c r="K181" s="316"/>
      <c r="L181" s="316"/>
      <c r="M181" s="316"/>
      <c r="N181" s="316"/>
      <c r="O181" s="316"/>
      <c r="P181" s="316"/>
      <c r="Q181" s="316"/>
      <c r="R181" s="316"/>
      <c r="S181" s="317"/>
      <c r="T181" s="316"/>
      <c r="U181" s="316"/>
      <c r="V181" s="94"/>
    </row>
    <row r="182" spans="1:23" s="95" customFormat="1" ht="12" customHeight="1">
      <c r="E182" s="315"/>
      <c r="F182" s="315"/>
      <c r="G182" s="315"/>
      <c r="H182" s="315"/>
      <c r="I182" s="315"/>
      <c r="J182" s="315"/>
      <c r="K182" s="315"/>
      <c r="L182" s="315"/>
      <c r="M182" s="316"/>
      <c r="N182" s="316"/>
      <c r="O182" s="316"/>
      <c r="P182" s="316"/>
      <c r="Q182" s="316"/>
      <c r="R182" s="316"/>
      <c r="S182" s="317"/>
      <c r="T182" s="316"/>
      <c r="U182" s="316"/>
      <c r="V182" s="94"/>
    </row>
    <row r="183" spans="1:23" s="95" customFormat="1" ht="12" customHeight="1">
      <c r="E183" s="315"/>
      <c r="F183" s="315"/>
      <c r="G183" s="315"/>
      <c r="H183" s="315"/>
      <c r="I183" s="315"/>
      <c r="J183" s="315"/>
      <c r="K183" s="315"/>
      <c r="L183" s="315"/>
      <c r="M183" s="316"/>
      <c r="N183" s="316"/>
      <c r="O183" s="316"/>
      <c r="P183" s="316"/>
      <c r="Q183" s="316"/>
      <c r="R183" s="316"/>
      <c r="S183" s="317"/>
      <c r="T183" s="316"/>
      <c r="U183" s="316"/>
      <c r="V183" s="94"/>
    </row>
    <row r="184" spans="1:23" s="95" customFormat="1" ht="12" customHeight="1">
      <c r="E184" s="316"/>
      <c r="F184" s="316"/>
      <c r="G184" s="316"/>
      <c r="H184" s="316"/>
      <c r="I184" s="316"/>
      <c r="J184" s="316"/>
      <c r="K184" s="316"/>
      <c r="L184" s="316"/>
      <c r="M184" s="316"/>
      <c r="N184" s="316"/>
      <c r="O184" s="316"/>
      <c r="P184" s="316"/>
      <c r="Q184" s="316"/>
      <c r="R184" s="316"/>
      <c r="S184" s="317"/>
      <c r="T184" s="316"/>
      <c r="U184" s="316"/>
      <c r="V184" s="94"/>
    </row>
    <row r="185" spans="1:23" s="95" customFormat="1" ht="12">
      <c r="E185" s="316"/>
      <c r="F185" s="316"/>
      <c r="G185" s="316"/>
      <c r="H185" s="316"/>
      <c r="I185" s="316"/>
      <c r="J185" s="316"/>
      <c r="K185" s="316"/>
      <c r="L185" s="316"/>
      <c r="M185" s="316"/>
      <c r="N185" s="316"/>
      <c r="O185" s="316"/>
      <c r="P185" s="316"/>
      <c r="Q185" s="316"/>
      <c r="R185" s="316"/>
      <c r="S185" s="317"/>
      <c r="T185" s="316"/>
      <c r="U185" s="92"/>
      <c r="V185" s="94"/>
    </row>
    <row r="186" spans="1:23" s="95" customFormat="1" ht="12"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133"/>
      <c r="T186" s="94"/>
      <c r="U186" s="94"/>
      <c r="V186" s="94"/>
    </row>
    <row r="187" spans="1:23" ht="12">
      <c r="A187" s="62"/>
      <c r="B187" s="62"/>
      <c r="S187" s="140"/>
      <c r="W187" s="62"/>
    </row>
    <row r="188" spans="1:23">
      <c r="A188" s="62"/>
      <c r="B188" s="62"/>
      <c r="S188" s="140"/>
    </row>
    <row r="189" spans="1:23">
      <c r="A189" s="62"/>
      <c r="B189" s="62"/>
      <c r="S189" s="140"/>
    </row>
    <row r="190" spans="1:23">
      <c r="A190" s="62"/>
      <c r="B190" s="62"/>
      <c r="S190" s="140"/>
    </row>
    <row r="191" spans="1:23">
      <c r="A191" s="62"/>
      <c r="B191" s="62"/>
      <c r="S191" s="140"/>
    </row>
    <row r="192" spans="1:23">
      <c r="A192" s="62"/>
      <c r="B192" s="62"/>
      <c r="S192" s="140"/>
    </row>
  </sheetData>
  <printOptions horizontalCentered="1"/>
  <pageMargins left="0.15" right="0.15" top="0.35" bottom="0.35" header="0.3" footer="0.3"/>
  <pageSetup scale="75" fitToWidth="2" fitToHeight="4" orientation="landscape" copies="4" r:id="rId1"/>
  <headerFooter alignWithMargins="0">
    <oddFooter xml:space="preserve">&amp;R
</oddFooter>
  </headerFooter>
  <rowBreaks count="2" manualBreakCount="2">
    <brk id="90" max="21" man="1"/>
    <brk id="146" max="21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FD610"/>
  </sheetPr>
  <dimension ref="A1:AB58"/>
  <sheetViews>
    <sheetView topLeftCell="G1" zoomScaleNormal="100" zoomScaleSheetLayoutView="100" workbookViewId="0">
      <selection activeCell="V12" sqref="V12"/>
    </sheetView>
  </sheetViews>
  <sheetFormatPr baseColWidth="10" defaultColWidth="8.83203125" defaultRowHeight="14"/>
  <cols>
    <col min="1" max="1" width="1.33203125" style="142" customWidth="1"/>
    <col min="2" max="2" width="22.5" style="142" customWidth="1"/>
    <col min="3" max="3" width="7.5" style="142" bestFit="1" customWidth="1"/>
    <col min="4" max="4" width="9.1640625" style="142" customWidth="1"/>
    <col min="5" max="5" width="4.33203125" style="142" customWidth="1"/>
    <col min="6" max="6" width="34.1640625" style="142" customWidth="1"/>
    <col min="7" max="7" width="15.83203125" style="142" bestFit="1" customWidth="1"/>
    <col min="8" max="8" width="1.6640625" style="142" customWidth="1"/>
    <col min="9" max="9" width="17.5" style="141" customWidth="1"/>
    <col min="10" max="10" width="11.5" style="142" bestFit="1" customWidth="1"/>
    <col min="11" max="12" width="8.83203125" style="142"/>
    <col min="13" max="17" width="13.6640625" style="142" customWidth="1"/>
    <col min="18" max="18" width="9.5" style="142" bestFit="1" customWidth="1"/>
    <col min="19" max="19" width="10" style="142" customWidth="1"/>
    <col min="20" max="24" width="9.5" style="142" bestFit="1" customWidth="1"/>
    <col min="25" max="25" width="8.83203125" style="142"/>
    <col min="26" max="26" width="9.5" style="142" bestFit="1" customWidth="1"/>
    <col min="27" max="27" width="8.83203125" style="142"/>
    <col min="28" max="28" width="9.5" style="142" bestFit="1" customWidth="1"/>
    <col min="29" max="16384" width="8.83203125" style="142"/>
  </cols>
  <sheetData>
    <row r="1" spans="1:28" s="144" customFormat="1" ht="19">
      <c r="A1" s="1065" t="s">
        <v>138</v>
      </c>
      <c r="B1" s="1065"/>
      <c r="C1" s="1065"/>
      <c r="D1" s="1065"/>
      <c r="E1" s="1065"/>
      <c r="F1" s="1065"/>
      <c r="G1" s="1065"/>
      <c r="H1" s="1065"/>
      <c r="I1" s="1065"/>
    </row>
    <row r="2" spans="1:28" s="144" customFormat="1" ht="15">
      <c r="B2" s="145"/>
      <c r="I2" s="143"/>
    </row>
    <row r="3" spans="1:28" s="144" customFormat="1" ht="16" thickBot="1">
      <c r="B3" s="145" t="s">
        <v>54</v>
      </c>
      <c r="C3" s="1067" t="s">
        <v>562</v>
      </c>
      <c r="D3" s="1067"/>
      <c r="E3" s="1067"/>
      <c r="F3" s="1067"/>
      <c r="I3" s="143"/>
    </row>
    <row r="4" spans="1:28" s="144" customFormat="1" ht="16" thickBot="1">
      <c r="I4" s="143"/>
      <c r="K4" s="171" t="s">
        <v>304</v>
      </c>
      <c r="M4" s="505" t="s">
        <v>371</v>
      </c>
      <c r="N4" s="503" t="s">
        <v>372</v>
      </c>
      <c r="O4" s="503" t="s">
        <v>373</v>
      </c>
      <c r="P4" s="503" t="s">
        <v>374</v>
      </c>
      <c r="Q4" s="503" t="s">
        <v>375</v>
      </c>
      <c r="R4" s="503" t="s">
        <v>376</v>
      </c>
      <c r="S4" s="503" t="s">
        <v>377</v>
      </c>
      <c r="T4" s="503" t="s">
        <v>378</v>
      </c>
      <c r="U4" s="503" t="s">
        <v>379</v>
      </c>
      <c r="V4" s="503" t="s">
        <v>380</v>
      </c>
      <c r="W4" s="503" t="s">
        <v>381</v>
      </c>
      <c r="X4" s="506" t="s">
        <v>382</v>
      </c>
      <c r="Z4" s="506" t="s">
        <v>636</v>
      </c>
      <c r="AB4" s="953" t="s">
        <v>637</v>
      </c>
    </row>
    <row r="5" spans="1:28" s="144" customFormat="1" ht="15">
      <c r="B5" s="1066" t="s">
        <v>55</v>
      </c>
      <c r="C5" s="1066"/>
      <c r="D5" s="1066"/>
      <c r="F5" s="1066" t="s">
        <v>56</v>
      </c>
      <c r="G5" s="1066"/>
      <c r="H5" s="146"/>
      <c r="I5" s="371" t="s">
        <v>77</v>
      </c>
    </row>
    <row r="6" spans="1:28" s="144" customFormat="1" ht="15">
      <c r="B6" s="147" t="s">
        <v>58</v>
      </c>
      <c r="C6" s="147"/>
      <c r="D6" s="224">
        <v>0.98</v>
      </c>
      <c r="F6" s="148" t="s">
        <v>57</v>
      </c>
      <c r="G6" s="152"/>
      <c r="H6" s="153"/>
      <c r="I6" s="143"/>
      <c r="K6" s="144" t="s">
        <v>61</v>
      </c>
      <c r="U6" s="1034"/>
      <c r="V6" s="1034"/>
      <c r="W6" s="1034"/>
      <c r="X6" s="1034"/>
    </row>
    <row r="7" spans="1:28" s="144" customFormat="1" ht="15">
      <c r="A7" s="148"/>
      <c r="B7" s="156" t="s">
        <v>225</v>
      </c>
      <c r="D7" s="283">
        <v>0</v>
      </c>
      <c r="F7" s="154" t="s">
        <v>13</v>
      </c>
      <c r="G7" s="388">
        <v>104</v>
      </c>
      <c r="H7" s="589"/>
      <c r="I7" s="143" t="s">
        <v>554</v>
      </c>
      <c r="J7" s="588"/>
      <c r="K7" s="144" t="s">
        <v>128</v>
      </c>
      <c r="M7" s="504">
        <v>1555</v>
      </c>
      <c r="N7" s="504">
        <v>1576</v>
      </c>
      <c r="O7" s="504">
        <v>1519</v>
      </c>
      <c r="P7" s="504">
        <v>1518</v>
      </c>
      <c r="Q7" s="948">
        <v>1421.2346938775511</v>
      </c>
      <c r="R7" s="504">
        <f>ROUND(Q7/$Q$11*$R$11,0)</f>
        <v>1423</v>
      </c>
      <c r="S7" s="504">
        <f>ROUND(R7/$R$11*$S$11,0)</f>
        <v>1419</v>
      </c>
      <c r="T7" s="504">
        <f>ROUND(S7/$S$11*$T$11,0)</f>
        <v>1419</v>
      </c>
      <c r="U7" s="1033">
        <v>1419</v>
      </c>
      <c r="V7" s="504">
        <f t="shared" ref="V7:V10" si="0">ROUND(U7/$S$11*$T$11,0)</f>
        <v>1419</v>
      </c>
      <c r="W7" s="1033">
        <v>1419</v>
      </c>
      <c r="X7" s="504">
        <f t="shared" ref="X7:X10" si="1">ROUND(W7/$S$11*$T$11,0)</f>
        <v>1419</v>
      </c>
      <c r="Z7" s="945">
        <f>AVERAGE(M7:X7)</f>
        <v>1460.5195578231294</v>
      </c>
      <c r="AB7" s="949"/>
    </row>
    <row r="8" spans="1:28" s="144" customFormat="1" ht="16">
      <c r="B8" s="156" t="s">
        <v>135</v>
      </c>
      <c r="D8" s="225">
        <v>175</v>
      </c>
      <c r="F8" s="149" t="s">
        <v>116</v>
      </c>
      <c r="G8" s="385">
        <v>0</v>
      </c>
      <c r="H8" s="155"/>
      <c r="I8" s="143" t="s">
        <v>339</v>
      </c>
      <c r="K8" s="144" t="s">
        <v>127</v>
      </c>
      <c r="M8" s="504">
        <v>860</v>
      </c>
      <c r="N8" s="504">
        <v>872</v>
      </c>
      <c r="O8" s="504">
        <v>841</v>
      </c>
      <c r="P8" s="504">
        <v>840</v>
      </c>
      <c r="Q8" s="948">
        <v>907.31632653061229</v>
      </c>
      <c r="R8" s="504">
        <f t="shared" ref="R8:R10" si="2">ROUND(Q8/$Q$11*$R$11,0)</f>
        <v>908</v>
      </c>
      <c r="S8" s="504">
        <f t="shared" ref="S8:S10" si="3">ROUND(R8/$R$11*$S$11,0)</f>
        <v>905</v>
      </c>
      <c r="T8" s="504">
        <f t="shared" ref="T8:T10" si="4">ROUND(S8/$S$11*$T$11,0)</f>
        <v>905</v>
      </c>
      <c r="U8" s="1033">
        <v>905</v>
      </c>
      <c r="V8" s="504">
        <f t="shared" si="0"/>
        <v>905</v>
      </c>
      <c r="W8" s="1033">
        <v>905</v>
      </c>
      <c r="X8" s="504">
        <f t="shared" si="1"/>
        <v>905</v>
      </c>
      <c r="Z8" s="945">
        <f t="shared" ref="Z8:Z10" si="5">AVERAGE(M8:X8)</f>
        <v>888.19302721088434</v>
      </c>
      <c r="AB8" s="949"/>
    </row>
    <row r="9" spans="1:28" s="144" customFormat="1" ht="16">
      <c r="B9" s="144" t="s">
        <v>167</v>
      </c>
      <c r="D9" s="585">
        <v>2.2674454634730126E-2</v>
      </c>
      <c r="F9" s="149" t="s">
        <v>117</v>
      </c>
      <c r="G9" s="385">
        <v>0</v>
      </c>
      <c r="H9" s="155"/>
      <c r="I9" s="143" t="s">
        <v>339</v>
      </c>
      <c r="K9" s="144" t="s">
        <v>64</v>
      </c>
      <c r="M9" s="504">
        <v>463</v>
      </c>
      <c r="N9" s="504">
        <v>470</v>
      </c>
      <c r="O9" s="504">
        <v>453</v>
      </c>
      <c r="P9" s="504">
        <v>452</v>
      </c>
      <c r="Q9" s="948">
        <v>491.65306122448982</v>
      </c>
      <c r="R9" s="504">
        <f t="shared" si="2"/>
        <v>492</v>
      </c>
      <c r="S9" s="504">
        <f t="shared" si="3"/>
        <v>490</v>
      </c>
      <c r="T9" s="504">
        <f t="shared" si="4"/>
        <v>490</v>
      </c>
      <c r="U9" s="1033">
        <v>490</v>
      </c>
      <c r="V9" s="504">
        <f t="shared" si="0"/>
        <v>490</v>
      </c>
      <c r="W9" s="1033">
        <v>490</v>
      </c>
      <c r="X9" s="504">
        <f t="shared" si="1"/>
        <v>490</v>
      </c>
      <c r="Z9" s="945">
        <f t="shared" si="5"/>
        <v>480.13775510204079</v>
      </c>
      <c r="AB9" s="949"/>
    </row>
    <row r="10" spans="1:28" s="144" customFormat="1" ht="16">
      <c r="B10" s="144" t="s">
        <v>386</v>
      </c>
      <c r="D10" s="283">
        <v>0.03</v>
      </c>
      <c r="F10" s="149" t="s">
        <v>118</v>
      </c>
      <c r="G10" s="385">
        <v>0</v>
      </c>
      <c r="H10" s="155"/>
      <c r="I10" s="143"/>
      <c r="K10" s="144" t="s">
        <v>65</v>
      </c>
      <c r="M10" s="504">
        <v>430</v>
      </c>
      <c r="N10" s="504">
        <v>436</v>
      </c>
      <c r="O10" s="504">
        <v>420</v>
      </c>
      <c r="P10" s="504">
        <v>420</v>
      </c>
      <c r="Q10" s="948">
        <v>412.92857142857144</v>
      </c>
      <c r="R10" s="504">
        <f t="shared" si="2"/>
        <v>413</v>
      </c>
      <c r="S10" s="504">
        <f t="shared" si="3"/>
        <v>412</v>
      </c>
      <c r="T10" s="504">
        <f t="shared" si="4"/>
        <v>412</v>
      </c>
      <c r="U10" s="1033">
        <v>412</v>
      </c>
      <c r="V10" s="504">
        <f t="shared" si="0"/>
        <v>412</v>
      </c>
      <c r="W10" s="1033">
        <v>412</v>
      </c>
      <c r="X10" s="504">
        <f t="shared" si="1"/>
        <v>412</v>
      </c>
      <c r="Z10" s="945">
        <f t="shared" si="5"/>
        <v>416.99404761904765</v>
      </c>
      <c r="AB10" s="949"/>
    </row>
    <row r="11" spans="1:28" s="144" customFormat="1" ht="16">
      <c r="B11" s="144" t="s">
        <v>369</v>
      </c>
      <c r="D11" s="509">
        <v>0</v>
      </c>
      <c r="F11" s="157" t="s">
        <v>119</v>
      </c>
      <c r="G11" s="385">
        <v>0</v>
      </c>
      <c r="H11" s="155"/>
      <c r="I11" s="143"/>
      <c r="K11" s="144" t="s">
        <v>74</v>
      </c>
      <c r="M11" s="947">
        <f>SUM(M7:M10)</f>
        <v>3308</v>
      </c>
      <c r="N11" s="947">
        <f t="shared" ref="N11:Q11" si="6">SUM(N7:N10)</f>
        <v>3354</v>
      </c>
      <c r="O11" s="947">
        <f t="shared" si="6"/>
        <v>3233</v>
      </c>
      <c r="P11" s="947">
        <f t="shared" si="6"/>
        <v>3230</v>
      </c>
      <c r="Q11" s="947">
        <f t="shared" si="6"/>
        <v>3233.1326530612246</v>
      </c>
      <c r="R11" s="947">
        <v>3237</v>
      </c>
      <c r="S11" s="947">
        <v>3227</v>
      </c>
      <c r="T11" s="947">
        <v>3226</v>
      </c>
      <c r="U11" s="1035">
        <f>SUM(U7:U10)</f>
        <v>3226</v>
      </c>
      <c r="V11" s="1035">
        <f t="shared" ref="V11:X11" si="7">SUM(V7:V10)</f>
        <v>3226</v>
      </c>
      <c r="W11" s="1035">
        <f t="shared" si="7"/>
        <v>3226</v>
      </c>
      <c r="X11" s="1035">
        <f t="shared" si="7"/>
        <v>3226</v>
      </c>
      <c r="Z11" s="946">
        <f>SUM(Z7:Z10)</f>
        <v>3245.8443877551022</v>
      </c>
      <c r="AB11" s="946"/>
    </row>
    <row r="12" spans="1:28" s="144" customFormat="1" ht="16">
      <c r="D12" s="338"/>
      <c r="F12" s="149" t="s">
        <v>124</v>
      </c>
      <c r="G12" s="385">
        <v>0</v>
      </c>
      <c r="H12" s="155"/>
      <c r="I12" s="143"/>
      <c r="U12" s="1034"/>
      <c r="V12" s="1034"/>
      <c r="W12" s="1034"/>
      <c r="X12" s="1034"/>
      <c r="Z12" s="946"/>
      <c r="AB12" s="946"/>
    </row>
    <row r="13" spans="1:28" s="144" customFormat="1" ht="15">
      <c r="B13" s="1066" t="s">
        <v>126</v>
      </c>
      <c r="C13" s="1066"/>
      <c r="D13" s="1066"/>
      <c r="F13" s="211" t="s">
        <v>12</v>
      </c>
      <c r="G13" s="386"/>
      <c r="H13" s="158"/>
      <c r="I13" s="143"/>
      <c r="K13" s="144" t="s">
        <v>311</v>
      </c>
      <c r="U13" s="1034"/>
      <c r="V13" s="1034"/>
      <c r="W13" s="1034"/>
      <c r="X13" s="1034"/>
      <c r="Z13" s="946"/>
      <c r="AB13" s="946"/>
    </row>
    <row r="14" spans="1:28" s="144" customFormat="1" ht="15" customHeight="1">
      <c r="B14" s="159" t="s">
        <v>59</v>
      </c>
      <c r="C14" s="159"/>
      <c r="F14" s="156" t="s">
        <v>60</v>
      </c>
      <c r="G14" s="387">
        <v>1.66</v>
      </c>
      <c r="H14" s="160"/>
      <c r="I14" s="143" t="s">
        <v>339</v>
      </c>
      <c r="K14" s="144" t="s">
        <v>128</v>
      </c>
      <c r="M14" s="504">
        <v>1523.8999999999999</v>
      </c>
      <c r="N14" s="504">
        <v>1544.48</v>
      </c>
      <c r="O14" s="504">
        <v>1488.62</v>
      </c>
      <c r="P14" s="504">
        <v>1487.6399999999999</v>
      </c>
      <c r="Q14" s="504">
        <v>1392.81</v>
      </c>
      <c r="R14" s="504">
        <f>R7*$D$6</f>
        <v>1394.54</v>
      </c>
      <c r="S14" s="504">
        <f>S7*$D$6</f>
        <v>1390.62</v>
      </c>
      <c r="T14" s="504">
        <f>T7*$D$6</f>
        <v>1390.62</v>
      </c>
      <c r="U14" s="1033">
        <v>1409.09</v>
      </c>
      <c r="V14" s="1033">
        <v>1409.09</v>
      </c>
      <c r="W14" s="1033">
        <v>1409.09</v>
      </c>
      <c r="X14" s="1033">
        <v>1409.09</v>
      </c>
      <c r="Z14" s="945">
        <f t="shared" ref="Z14:Z17" si="8">AVERAGE(M14:X14)</f>
        <v>1437.465833333333</v>
      </c>
      <c r="AB14" s="945">
        <f>R14</f>
        <v>1394.54</v>
      </c>
    </row>
    <row r="15" spans="1:28" s="144" customFormat="1" ht="15" customHeight="1">
      <c r="B15" s="1068" t="s">
        <v>367</v>
      </c>
      <c r="C15" s="1068"/>
      <c r="D15" s="1068"/>
      <c r="F15" s="156" t="s">
        <v>63</v>
      </c>
      <c r="G15" s="387">
        <v>3.09</v>
      </c>
      <c r="H15" s="160"/>
      <c r="I15" s="143" t="s">
        <v>339</v>
      </c>
      <c r="K15" s="144" t="s">
        <v>127</v>
      </c>
      <c r="M15" s="504">
        <v>842.8</v>
      </c>
      <c r="N15" s="504">
        <v>854.56</v>
      </c>
      <c r="O15" s="504">
        <v>824.18</v>
      </c>
      <c r="P15" s="504">
        <v>823.19999999999993</v>
      </c>
      <c r="Q15" s="504">
        <v>889.17</v>
      </c>
      <c r="R15" s="504">
        <f t="shared" ref="R15:S17" si="9">R8*$D$6</f>
        <v>889.84</v>
      </c>
      <c r="S15" s="504">
        <f t="shared" si="9"/>
        <v>886.9</v>
      </c>
      <c r="T15" s="504">
        <f t="shared" ref="T15" si="10">T8*$D$6</f>
        <v>886.9</v>
      </c>
      <c r="U15" s="1033">
        <v>889.87</v>
      </c>
      <c r="V15" s="1033">
        <v>889.87</v>
      </c>
      <c r="W15" s="1033">
        <v>889.87</v>
      </c>
      <c r="X15" s="1033">
        <v>889.87</v>
      </c>
      <c r="Z15" s="945">
        <f t="shared" si="8"/>
        <v>871.41916666666668</v>
      </c>
      <c r="AB15" s="945">
        <f>Z15</f>
        <v>871.41916666666668</v>
      </c>
    </row>
    <row r="16" spans="1:28" s="144" customFormat="1" ht="15">
      <c r="B16" s="1068"/>
      <c r="C16" s="1068"/>
      <c r="D16" s="1068"/>
      <c r="F16" s="161" t="s">
        <v>141</v>
      </c>
      <c r="G16" s="386">
        <f>(G14+G15)*D7*LCFF!H38*D8</f>
        <v>0</v>
      </c>
      <c r="H16" s="158"/>
      <c r="I16" s="143"/>
      <c r="K16" s="144" t="s">
        <v>64</v>
      </c>
      <c r="M16" s="504">
        <v>453.74</v>
      </c>
      <c r="N16" s="504">
        <v>460.59999999999997</v>
      </c>
      <c r="O16" s="504">
        <v>443.94</v>
      </c>
      <c r="P16" s="504">
        <v>442.96</v>
      </c>
      <c r="Q16" s="504">
        <v>481.82</v>
      </c>
      <c r="R16" s="504">
        <f t="shared" si="9"/>
        <v>482.15999999999997</v>
      </c>
      <c r="S16" s="504">
        <f t="shared" si="9"/>
        <v>480.2</v>
      </c>
      <c r="T16" s="504">
        <f t="shared" ref="T16" si="11">T9*$D$6</f>
        <v>480.2</v>
      </c>
      <c r="U16" s="1033">
        <v>478.88</v>
      </c>
      <c r="V16" s="1033">
        <v>478.88</v>
      </c>
      <c r="W16" s="1033">
        <v>478.88</v>
      </c>
      <c r="X16" s="1033">
        <v>478.88</v>
      </c>
      <c r="Z16" s="945">
        <f t="shared" si="8"/>
        <v>470.09499999999997</v>
      </c>
      <c r="AB16" s="945">
        <f>R16</f>
        <v>482.15999999999997</v>
      </c>
    </row>
    <row r="17" spans="2:28" s="144" customFormat="1" ht="16">
      <c r="B17" s="1069" t="s">
        <v>61</v>
      </c>
      <c r="C17" s="1069"/>
      <c r="D17" s="162" t="s">
        <v>62</v>
      </c>
      <c r="F17" s="148" t="s">
        <v>67</v>
      </c>
      <c r="G17" s="386"/>
      <c r="H17" s="158"/>
      <c r="I17" s="143"/>
      <c r="K17" s="144" t="s">
        <v>65</v>
      </c>
      <c r="M17" s="504">
        <v>421.4</v>
      </c>
      <c r="N17" s="504">
        <v>427.28</v>
      </c>
      <c r="O17" s="504">
        <v>411.59999999999997</v>
      </c>
      <c r="P17" s="504">
        <v>411.59999999999997</v>
      </c>
      <c r="Q17" s="504">
        <v>404.67</v>
      </c>
      <c r="R17" s="504">
        <f t="shared" si="9"/>
        <v>404.74</v>
      </c>
      <c r="S17" s="504">
        <f t="shared" si="9"/>
        <v>403.76</v>
      </c>
      <c r="T17" s="504">
        <f t="shared" ref="T17" si="12">T10*$D$6</f>
        <v>403.76</v>
      </c>
      <c r="U17" s="1033">
        <v>404.12</v>
      </c>
      <c r="V17" s="1033">
        <v>404.12</v>
      </c>
      <c r="W17" s="1033">
        <v>404.12</v>
      </c>
      <c r="X17" s="1033">
        <v>404.12</v>
      </c>
      <c r="Z17" s="945">
        <f t="shared" si="8"/>
        <v>408.77416666666664</v>
      </c>
      <c r="AB17" s="945">
        <f>R17</f>
        <v>404.74</v>
      </c>
    </row>
    <row r="18" spans="2:28" s="144" customFormat="1" ht="15">
      <c r="B18" s="342" t="s">
        <v>128</v>
      </c>
      <c r="C18" s="343">
        <v>1307.4591836734694</v>
      </c>
      <c r="D18" s="344">
        <f>C18*$D$6</f>
        <v>1281.31</v>
      </c>
      <c r="F18" s="154" t="s">
        <v>123</v>
      </c>
      <c r="G18" s="388">
        <v>507.74030790011824</v>
      </c>
      <c r="H18" s="165"/>
      <c r="I18" s="143" t="str">
        <f>+I7</f>
        <v>LA County SELPA</v>
      </c>
      <c r="J18" s="588"/>
      <c r="K18" s="144" t="s">
        <v>74</v>
      </c>
      <c r="M18" s="946">
        <f>SUM(M14:M17)</f>
        <v>3241.8399999999997</v>
      </c>
      <c r="N18" s="946">
        <f t="shared" ref="N18:X18" si="13">SUM(N14:N17)</f>
        <v>3286.92</v>
      </c>
      <c r="O18" s="946">
        <f t="shared" si="13"/>
        <v>3168.3399999999997</v>
      </c>
      <c r="P18" s="946">
        <f t="shared" si="13"/>
        <v>3165.3999999999996</v>
      </c>
      <c r="Q18" s="946">
        <f t="shared" si="13"/>
        <v>3168.4700000000003</v>
      </c>
      <c r="R18" s="946">
        <f t="shared" si="13"/>
        <v>3171.2799999999997</v>
      </c>
      <c r="S18" s="946">
        <f t="shared" si="13"/>
        <v>3161.4799999999996</v>
      </c>
      <c r="T18" s="946">
        <f t="shared" si="13"/>
        <v>3161.4799999999996</v>
      </c>
      <c r="U18" s="1036">
        <f t="shared" si="13"/>
        <v>3181.96</v>
      </c>
      <c r="V18" s="1036">
        <f t="shared" si="13"/>
        <v>3181.96</v>
      </c>
      <c r="W18" s="1036">
        <f t="shared" si="13"/>
        <v>3181.96</v>
      </c>
      <c r="X18" s="1036">
        <f t="shared" si="13"/>
        <v>3181.96</v>
      </c>
      <c r="Z18" s="946">
        <f>SUM(Z14:Z17)</f>
        <v>3187.7541666666662</v>
      </c>
      <c r="AB18" s="946">
        <f>SUM(AB14:AB17)</f>
        <v>3152.8591666666662</v>
      </c>
    </row>
    <row r="19" spans="2:28" s="144" customFormat="1" ht="12.75" customHeight="1">
      <c r="B19" s="342" t="s">
        <v>127</v>
      </c>
      <c r="C19" s="343">
        <v>829.15306122448987</v>
      </c>
      <c r="D19" s="344">
        <f>C19*$D$6</f>
        <v>812.57</v>
      </c>
      <c r="F19" s="149" t="s">
        <v>122</v>
      </c>
      <c r="G19" s="388">
        <v>0</v>
      </c>
      <c r="H19" s="165"/>
      <c r="I19" s="143" t="s">
        <v>75</v>
      </c>
      <c r="U19" s="1034"/>
      <c r="V19" s="1034"/>
      <c r="W19" s="1034"/>
      <c r="X19" s="1034"/>
      <c r="Z19" s="946"/>
      <c r="AB19" s="957">
        <f>AB18/Z18</f>
        <v>0.98905342188400669</v>
      </c>
    </row>
    <row r="20" spans="2:28" s="144" customFormat="1" ht="16">
      <c r="B20" s="342" t="s">
        <v>64</v>
      </c>
      <c r="C20" s="343">
        <v>445.18367346938771</v>
      </c>
      <c r="D20" s="344">
        <f>C20*$D$6</f>
        <v>436.28</v>
      </c>
      <c r="F20" s="383" t="s">
        <v>302</v>
      </c>
      <c r="G20" s="587">
        <v>16.86</v>
      </c>
      <c r="H20" s="165"/>
      <c r="I20" s="143" t="s">
        <v>566</v>
      </c>
      <c r="U20" s="1034"/>
      <c r="V20" s="1034"/>
      <c r="W20" s="1034"/>
      <c r="X20" s="1034"/>
      <c r="Z20" s="946"/>
      <c r="AB20" s="946"/>
    </row>
    <row r="21" spans="2:28" s="144" customFormat="1" ht="16">
      <c r="B21" s="342" t="s">
        <v>65</v>
      </c>
      <c r="C21" s="343">
        <v>418.20408163265301</v>
      </c>
      <c r="D21" s="345">
        <f>C21*$D$6</f>
        <v>409.84</v>
      </c>
      <c r="F21" s="383" t="s">
        <v>303</v>
      </c>
      <c r="G21" s="587">
        <v>46.87</v>
      </c>
      <c r="H21" s="165"/>
      <c r="I21" s="143" t="s">
        <v>566</v>
      </c>
      <c r="J21" s="209"/>
      <c r="U21" s="1034"/>
      <c r="V21" s="1034"/>
      <c r="W21" s="1034"/>
      <c r="X21" s="1034"/>
    </row>
    <row r="22" spans="2:28" s="144" customFormat="1" ht="17" thickBot="1">
      <c r="B22" s="166" t="s">
        <v>139</v>
      </c>
      <c r="C22" s="167"/>
      <c r="D22" s="210">
        <f>SUM(D18:D21)</f>
        <v>2940</v>
      </c>
      <c r="F22" s="383" t="s">
        <v>395</v>
      </c>
      <c r="G22" s="388">
        <v>0</v>
      </c>
      <c r="H22" s="165"/>
      <c r="I22" s="143" t="s">
        <v>394</v>
      </c>
      <c r="J22" s="209"/>
    </row>
    <row r="23" spans="2:28" s="144" customFormat="1" ht="15" customHeight="1" thickTop="1">
      <c r="C23" s="163"/>
      <c r="D23" s="163"/>
      <c r="F23" s="156" t="s">
        <v>129</v>
      </c>
      <c r="G23" s="388">
        <v>207</v>
      </c>
      <c r="H23" s="165"/>
      <c r="I23" s="143" t="s">
        <v>339</v>
      </c>
      <c r="J23" s="209"/>
    </row>
    <row r="24" spans="2:28" s="144" customFormat="1" ht="15">
      <c r="B24" s="159" t="s">
        <v>66</v>
      </c>
      <c r="C24" s="169"/>
      <c r="D24" s="170"/>
      <c r="F24" s="156" t="s">
        <v>130</v>
      </c>
      <c r="G24" s="388">
        <v>0</v>
      </c>
      <c r="H24" s="165"/>
      <c r="I24" s="143" t="s">
        <v>320</v>
      </c>
      <c r="J24" s="209"/>
      <c r="M24" s="188"/>
    </row>
    <row r="25" spans="2:28" s="144" customFormat="1" ht="16">
      <c r="B25" s="144" t="s">
        <v>368</v>
      </c>
      <c r="C25" s="163"/>
      <c r="D25" s="162" t="s">
        <v>62</v>
      </c>
      <c r="F25" s="211" t="s">
        <v>131</v>
      </c>
      <c r="G25" s="386"/>
      <c r="H25" s="158"/>
      <c r="I25" s="143"/>
      <c r="M25" s="188"/>
      <c r="N25" s="952" t="s">
        <v>638</v>
      </c>
    </row>
    <row r="26" spans="2:28" s="144" customFormat="1" ht="15">
      <c r="B26" s="144" t="s">
        <v>128</v>
      </c>
      <c r="C26" s="163"/>
      <c r="D26" s="226">
        <v>0</v>
      </c>
      <c r="F26" s="156" t="s">
        <v>60</v>
      </c>
      <c r="G26" s="387">
        <v>0.2248</v>
      </c>
      <c r="H26" s="160"/>
      <c r="I26" s="143" t="s">
        <v>339</v>
      </c>
      <c r="M26" s="188"/>
      <c r="N26" s="825" t="s">
        <v>253</v>
      </c>
      <c r="O26" s="825" t="s">
        <v>323</v>
      </c>
      <c r="P26" s="825" t="s">
        <v>332</v>
      </c>
      <c r="Q26" s="825" t="s">
        <v>340</v>
      </c>
      <c r="R26" s="825" t="s">
        <v>406</v>
      </c>
      <c r="T26" s="677"/>
      <c r="V26" s="188"/>
    </row>
    <row r="27" spans="2:28" s="144" customFormat="1" ht="15">
      <c r="B27" s="144" t="s">
        <v>127</v>
      </c>
      <c r="C27" s="163"/>
      <c r="D27" s="226">
        <v>0</v>
      </c>
      <c r="F27" s="156" t="s">
        <v>63</v>
      </c>
      <c r="G27" s="387">
        <v>0.2248</v>
      </c>
      <c r="H27" s="160"/>
      <c r="I27" s="143" t="s">
        <v>339</v>
      </c>
      <c r="J27" s="171"/>
      <c r="M27" s="824" t="s">
        <v>521</v>
      </c>
      <c r="N27" s="954">
        <v>0.45630630630630642</v>
      </c>
      <c r="O27" s="826">
        <v>0</v>
      </c>
      <c r="P27" s="826">
        <v>0</v>
      </c>
      <c r="Q27" s="826">
        <v>0.05</v>
      </c>
      <c r="R27" s="826">
        <v>0.05</v>
      </c>
      <c r="T27" s="188"/>
      <c r="V27" s="188"/>
    </row>
    <row r="28" spans="2:28" s="144" customFormat="1" ht="15">
      <c r="B28" s="144" t="s">
        <v>64</v>
      </c>
      <c r="C28" s="163"/>
      <c r="D28" s="226">
        <v>0</v>
      </c>
      <c r="F28" s="161" t="s">
        <v>136</v>
      </c>
      <c r="G28" s="386">
        <f>(G26+G27)*D7*LCFF!H38*D8</f>
        <v>0</v>
      </c>
      <c r="H28" s="158"/>
      <c r="I28" s="143"/>
    </row>
    <row r="29" spans="2:28" s="144" customFormat="1" ht="15">
      <c r="B29" s="144" t="s">
        <v>65</v>
      </c>
      <c r="C29" s="163"/>
      <c r="D29" s="226">
        <v>0</v>
      </c>
      <c r="F29" s="154"/>
      <c r="G29" s="386"/>
      <c r="H29" s="158"/>
      <c r="I29" s="143"/>
      <c r="M29" s="823" t="s">
        <v>522</v>
      </c>
      <c r="N29" s="827">
        <v>25</v>
      </c>
      <c r="O29" s="827">
        <v>25</v>
      </c>
      <c r="P29" s="827">
        <v>25</v>
      </c>
      <c r="Q29" s="827">
        <v>25</v>
      </c>
      <c r="R29" s="827">
        <v>25</v>
      </c>
    </row>
    <row r="30" spans="2:28" s="144" customFormat="1" ht="16" thickBot="1">
      <c r="B30" s="166" t="s">
        <v>140</v>
      </c>
      <c r="C30" s="168"/>
      <c r="D30" s="210">
        <f>SUM(D26:D29)</f>
        <v>0</v>
      </c>
      <c r="F30" s="148" t="s">
        <v>134</v>
      </c>
      <c r="G30" s="956"/>
      <c r="H30" s="158"/>
      <c r="I30" s="143"/>
      <c r="M30" s="823" t="s">
        <v>530</v>
      </c>
      <c r="N30" s="826">
        <v>0.1</v>
      </c>
      <c r="O30" s="826">
        <v>0.05</v>
      </c>
      <c r="P30" s="826">
        <v>0.05</v>
      </c>
      <c r="Q30" s="826">
        <v>0.05</v>
      </c>
      <c r="R30" s="826">
        <v>0.05</v>
      </c>
      <c r="S30" s="880" t="s">
        <v>556</v>
      </c>
      <c r="T30" s="880"/>
      <c r="U30" s="880"/>
      <c r="V30" s="880"/>
      <c r="W30" s="880"/>
      <c r="X30" s="880"/>
      <c r="Y30" s="880"/>
    </row>
    <row r="31" spans="2:28" s="144" customFormat="1" ht="16" thickTop="1">
      <c r="C31" s="163"/>
      <c r="D31" s="163"/>
      <c r="F31" s="164" t="s">
        <v>8</v>
      </c>
      <c r="G31" s="387">
        <v>278.64999999999998</v>
      </c>
      <c r="H31" s="165"/>
      <c r="I31" s="143" t="s">
        <v>640</v>
      </c>
    </row>
    <row r="32" spans="2:28" s="144" customFormat="1" ht="15">
      <c r="B32" s="1066" t="s">
        <v>267</v>
      </c>
      <c r="C32" s="1066"/>
      <c r="D32" s="1066"/>
      <c r="F32" s="148"/>
      <c r="G32" s="386"/>
      <c r="H32" s="158"/>
      <c r="I32" s="143"/>
    </row>
    <row r="33" spans="1:13" s="144" customFormat="1" ht="15" customHeight="1">
      <c r="B33" s="884" t="s">
        <v>61</v>
      </c>
      <c r="C33" s="884"/>
      <c r="D33" s="162" t="s">
        <v>62</v>
      </c>
      <c r="F33" s="148" t="s">
        <v>68</v>
      </c>
      <c r="G33" s="386"/>
      <c r="H33" s="158"/>
      <c r="I33" s="143"/>
      <c r="L33" s="171"/>
      <c r="M33" s="171"/>
    </row>
    <row r="34" spans="1:13" s="144" customFormat="1" ht="16.5" customHeight="1">
      <c r="A34" s="171"/>
      <c r="B34" s="144" t="s">
        <v>128</v>
      </c>
      <c r="C34" s="950">
        <f>T7</f>
        <v>1419</v>
      </c>
      <c r="D34" s="163">
        <v>1409.09</v>
      </c>
      <c r="F34" s="172" t="s">
        <v>14</v>
      </c>
      <c r="G34" s="173">
        <v>0</v>
      </c>
      <c r="I34" s="143"/>
      <c r="K34" s="171"/>
    </row>
    <row r="35" spans="1:13" s="171" customFormat="1" ht="15">
      <c r="A35" s="144"/>
      <c r="B35" s="144" t="s">
        <v>127</v>
      </c>
      <c r="C35" s="950">
        <f t="shared" ref="C35:C37" si="14">T8</f>
        <v>905</v>
      </c>
      <c r="D35" s="163">
        <v>889.87</v>
      </c>
      <c r="F35" s="151" t="s">
        <v>15</v>
      </c>
      <c r="G35" s="173">
        <v>0</v>
      </c>
      <c r="H35" s="174"/>
      <c r="I35" s="143"/>
      <c r="J35" s="144"/>
      <c r="K35" s="144"/>
      <c r="L35" s="144"/>
      <c r="M35" s="144"/>
    </row>
    <row r="36" spans="1:13" s="144" customFormat="1" ht="15">
      <c r="B36" s="144" t="s">
        <v>64</v>
      </c>
      <c r="C36" s="950">
        <f t="shared" si="14"/>
        <v>490</v>
      </c>
      <c r="D36" s="163">
        <v>478.88</v>
      </c>
      <c r="F36" s="151" t="s">
        <v>132</v>
      </c>
      <c r="G36" s="173">
        <v>0</v>
      </c>
      <c r="H36" s="150"/>
      <c r="I36" s="143"/>
    </row>
    <row r="37" spans="1:13" s="144" customFormat="1" ht="16">
      <c r="A37" s="171"/>
      <c r="B37" s="144" t="s">
        <v>65</v>
      </c>
      <c r="C37" s="950">
        <f t="shared" si="14"/>
        <v>412</v>
      </c>
      <c r="D37" s="163">
        <v>404.12</v>
      </c>
      <c r="F37" s="172" t="s">
        <v>105</v>
      </c>
      <c r="G37" s="173">
        <v>0</v>
      </c>
      <c r="I37" s="143"/>
      <c r="J37" s="946"/>
    </row>
    <row r="38" spans="1:13" s="144" customFormat="1" ht="16" thickBot="1">
      <c r="B38" s="166" t="s">
        <v>153</v>
      </c>
      <c r="C38" s="145"/>
      <c r="D38" s="951">
        <f>SUM(D34:D37)</f>
        <v>3181.96</v>
      </c>
      <c r="F38" s="151" t="s">
        <v>312</v>
      </c>
      <c r="G38" s="173">
        <v>0</v>
      </c>
      <c r="H38" s="150"/>
      <c r="I38" s="432"/>
    </row>
    <row r="39" spans="1:13" s="144" customFormat="1" ht="15" customHeight="1" thickTop="1">
      <c r="D39" s="952" t="s">
        <v>637</v>
      </c>
      <c r="F39" s="151" t="s">
        <v>137</v>
      </c>
      <c r="G39" s="173">
        <v>0</v>
      </c>
      <c r="H39" s="150"/>
      <c r="I39" s="143"/>
    </row>
    <row r="40" spans="1:13" s="144" customFormat="1" ht="16">
      <c r="B40" s="144" t="s">
        <v>523</v>
      </c>
      <c r="C40" s="343">
        <v>2219</v>
      </c>
      <c r="F40" s="149" t="s">
        <v>10</v>
      </c>
      <c r="G40" s="173">
        <v>0</v>
      </c>
      <c r="H40" s="150"/>
      <c r="I40" s="432"/>
    </row>
    <row r="41" spans="1:13" s="144" customFormat="1" ht="16">
      <c r="B41" s="144" t="s">
        <v>524</v>
      </c>
      <c r="C41" s="803">
        <f>SUM(C34:C37)</f>
        <v>3226</v>
      </c>
      <c r="F41" s="149" t="s">
        <v>11</v>
      </c>
      <c r="G41" s="173">
        <v>0</v>
      </c>
      <c r="H41" s="150"/>
      <c r="I41" s="432"/>
    </row>
    <row r="42" spans="1:13" s="144" customFormat="1" ht="15">
      <c r="B42" s="146"/>
      <c r="C42" s="171"/>
      <c r="G42" s="175"/>
      <c r="I42" s="143"/>
    </row>
    <row r="43" spans="1:13" s="144" customFormat="1" ht="15">
      <c r="B43" s="721"/>
      <c r="C43" s="171"/>
      <c r="I43" s="143"/>
    </row>
    <row r="44" spans="1:13" s="144" customFormat="1" ht="15">
      <c r="B44" s="148" t="s">
        <v>564</v>
      </c>
      <c r="C44" s="886"/>
      <c r="I44" s="143"/>
    </row>
    <row r="45" spans="1:13" s="144" customFormat="1" ht="15">
      <c r="B45" s="144" t="s">
        <v>128</v>
      </c>
      <c r="C45" s="883">
        <v>940</v>
      </c>
      <c r="I45" s="143"/>
    </row>
    <row r="46" spans="1:13" s="144" customFormat="1" ht="15">
      <c r="B46" s="144" t="s">
        <v>127</v>
      </c>
      <c r="C46" s="883">
        <v>520</v>
      </c>
      <c r="I46" s="143"/>
    </row>
    <row r="47" spans="1:13" s="144" customFormat="1" ht="15">
      <c r="B47" s="144" t="s">
        <v>64</v>
      </c>
      <c r="C47" s="883">
        <v>280</v>
      </c>
      <c r="F47" s="142"/>
      <c r="G47" s="142"/>
      <c r="H47" s="142"/>
      <c r="I47" s="141"/>
    </row>
    <row r="48" spans="1:13" s="144" customFormat="1" ht="15">
      <c r="B48" s="144" t="s">
        <v>65</v>
      </c>
      <c r="C48" s="883">
        <v>260</v>
      </c>
      <c r="F48" s="142"/>
      <c r="G48" s="142"/>
      <c r="H48" s="142"/>
      <c r="I48" s="141"/>
    </row>
    <row r="49" spans="1:11" s="144" customFormat="1" ht="16" thickBot="1">
      <c r="B49" s="806"/>
      <c r="C49" s="887">
        <f>SUM(C45:C48)</f>
        <v>2000</v>
      </c>
      <c r="D49" s="142"/>
      <c r="E49" s="142"/>
      <c r="F49" s="142"/>
      <c r="G49" s="142"/>
      <c r="H49" s="142"/>
      <c r="I49" s="141"/>
    </row>
    <row r="50" spans="1:11" s="144" customFormat="1" ht="16" thickTop="1">
      <c r="D50" s="142"/>
      <c r="E50" s="142"/>
      <c r="F50" s="142"/>
      <c r="G50" s="142"/>
      <c r="H50" s="142"/>
      <c r="I50" s="141"/>
    </row>
    <row r="51" spans="1:11" s="144" customFormat="1" ht="15">
      <c r="D51" s="142"/>
      <c r="E51" s="142"/>
      <c r="F51" s="142"/>
      <c r="G51" s="142"/>
      <c r="H51" s="142"/>
      <c r="I51" s="141"/>
      <c r="J51" s="142"/>
    </row>
    <row r="52" spans="1:11" s="144" customFormat="1" ht="15">
      <c r="B52" s="148" t="s">
        <v>639</v>
      </c>
      <c r="C52" s="886"/>
      <c r="D52" s="142"/>
      <c r="E52" s="142"/>
      <c r="F52" s="142"/>
      <c r="G52" s="142"/>
      <c r="H52" s="142"/>
      <c r="I52" s="141"/>
      <c r="J52" s="142"/>
    </row>
    <row r="53" spans="1:11" s="144" customFormat="1" ht="15">
      <c r="A53" s="142"/>
      <c r="B53" s="144" t="s">
        <v>128</v>
      </c>
      <c r="C53" s="955">
        <v>1392.81</v>
      </c>
      <c r="D53" s="142"/>
      <c r="E53" s="142"/>
      <c r="F53" s="142"/>
      <c r="G53" s="142"/>
      <c r="H53" s="142"/>
      <c r="I53" s="141"/>
      <c r="J53" s="142"/>
    </row>
    <row r="54" spans="1:11" s="144" customFormat="1" ht="15">
      <c r="A54" s="142"/>
      <c r="B54" s="144" t="s">
        <v>127</v>
      </c>
      <c r="C54" s="955">
        <v>889.17</v>
      </c>
      <c r="D54" s="142"/>
      <c r="E54" s="142"/>
      <c r="F54" s="142"/>
      <c r="G54" s="142"/>
      <c r="H54" s="142"/>
      <c r="I54" s="141"/>
      <c r="J54" s="142"/>
    </row>
    <row r="55" spans="1:11" ht="15">
      <c r="B55" s="144" t="s">
        <v>64</v>
      </c>
      <c r="C55" s="955">
        <v>481.82</v>
      </c>
      <c r="K55" s="144"/>
    </row>
    <row r="56" spans="1:11" ht="15">
      <c r="B56" s="144" t="s">
        <v>65</v>
      </c>
      <c r="C56" s="955">
        <v>404.76</v>
      </c>
    </row>
    <row r="57" spans="1:11" ht="16" thickBot="1">
      <c r="B57" s="806"/>
      <c r="C57" s="210">
        <f>SUM(C53:C56)</f>
        <v>3168.5600000000004</v>
      </c>
    </row>
    <row r="58" spans="1:11" ht="15" thickTop="1"/>
  </sheetData>
  <mergeCells count="8">
    <mergeCell ref="A1:I1"/>
    <mergeCell ref="B32:D32"/>
    <mergeCell ref="C3:F3"/>
    <mergeCell ref="B5:D5"/>
    <mergeCell ref="F5:G5"/>
    <mergeCell ref="B13:D13"/>
    <mergeCell ref="B15:D16"/>
    <mergeCell ref="B17:C17"/>
  </mergeCells>
  <printOptions horizontalCentered="1"/>
  <pageMargins left="0.25" right="0.25" top="0.5" bottom="0.25" header="0.3" footer="0.3"/>
  <pageSetup scale="90" orientation="portrait" r:id="rId1"/>
  <customProperties>
    <customPr name="DrillPoint.FROID" r:id="rId2"/>
    <customPr name="DrillPoint.Mode" r:id="rId3"/>
    <customPr name="DrillPoint.Subsheet" r:id="rId4"/>
  </customProperties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FD610"/>
  </sheetPr>
  <dimension ref="A1:V62"/>
  <sheetViews>
    <sheetView zoomScaleNormal="100" zoomScaleSheetLayoutView="115" workbookViewId="0">
      <selection activeCell="R7" sqref="R7:R10"/>
    </sheetView>
  </sheetViews>
  <sheetFormatPr baseColWidth="10" defaultColWidth="9.1640625" defaultRowHeight="15"/>
  <cols>
    <col min="1" max="1" width="2.5" style="188" customWidth="1"/>
    <col min="2" max="2" width="2.33203125" style="188" customWidth="1"/>
    <col min="3" max="3" width="17.6640625" style="188" customWidth="1"/>
    <col min="4" max="4" width="13.5" style="188" customWidth="1"/>
    <col min="5" max="5" width="1" style="188" customWidth="1"/>
    <col min="6" max="6" width="13.6640625" style="188" customWidth="1"/>
    <col min="7" max="7" width="1" style="188" customWidth="1"/>
    <col min="8" max="8" width="14" style="188" bestFit="1" customWidth="1"/>
    <col min="9" max="9" width="1.1640625" style="188" customWidth="1"/>
    <col min="10" max="10" width="14" style="188" bestFit="1" customWidth="1"/>
    <col min="11" max="11" width="1" style="188" customWidth="1"/>
    <col min="12" max="12" width="14" style="188" bestFit="1" customWidth="1"/>
    <col min="13" max="13" width="1" style="188" customWidth="1"/>
    <col min="14" max="14" width="14" style="188" bestFit="1" customWidth="1"/>
    <col min="15" max="15" width="1" style="188" customWidth="1"/>
    <col min="16" max="16" width="14" style="188" bestFit="1" customWidth="1"/>
    <col min="17" max="17" width="1" style="188" customWidth="1"/>
    <col min="18" max="16384" width="9.1640625" style="188"/>
  </cols>
  <sheetData>
    <row r="1" spans="1:18" s="184" customFormat="1" ht="24">
      <c r="A1" s="184" t="str">
        <f>'Revenue Inputs'!C3</f>
        <v>Granite Mountain Charter School</v>
      </c>
    </row>
    <row r="2" spans="1:18" s="185" customFormat="1" ht="18" customHeight="1">
      <c r="A2" s="185" t="s">
        <v>148</v>
      </c>
      <c r="F2" s="184"/>
      <c r="G2" s="584"/>
      <c r="H2" s="584"/>
      <c r="I2" s="584"/>
    </row>
    <row r="3" spans="1:18" ht="18" customHeight="1">
      <c r="F3" s="184"/>
      <c r="G3" s="584"/>
      <c r="H3" s="584"/>
      <c r="I3" s="584"/>
    </row>
    <row r="4" spans="1:18">
      <c r="B4" s="189"/>
    </row>
    <row r="5" spans="1:18" ht="16">
      <c r="B5" s="190"/>
      <c r="D5" s="191" t="s">
        <v>149</v>
      </c>
      <c r="E5" s="193"/>
      <c r="F5" s="192" t="s">
        <v>221</v>
      </c>
      <c r="H5" s="192" t="s">
        <v>253</v>
      </c>
      <c r="J5" s="192" t="s">
        <v>323</v>
      </c>
      <c r="L5" s="192" t="s">
        <v>332</v>
      </c>
      <c r="N5" s="192" t="s">
        <v>340</v>
      </c>
      <c r="P5" s="192" t="s">
        <v>406</v>
      </c>
    </row>
    <row r="6" spans="1:18">
      <c r="B6" s="190"/>
      <c r="D6" s="325" t="s">
        <v>175</v>
      </c>
      <c r="E6" s="326"/>
      <c r="F6" s="484">
        <v>3.6999999999999998E-2</v>
      </c>
      <c r="G6" s="326"/>
      <c r="H6" s="470">
        <v>3.2599999999999997E-2</v>
      </c>
      <c r="J6" s="470">
        <v>2.29E-2</v>
      </c>
      <c r="L6" s="470">
        <v>2.7099999999999999E-2</v>
      </c>
      <c r="N6" s="470">
        <v>2.8199999999999999E-2</v>
      </c>
      <c r="P6" s="470">
        <v>0</v>
      </c>
    </row>
    <row r="7" spans="1:18">
      <c r="B7" s="190"/>
      <c r="D7" s="194" t="s">
        <v>393</v>
      </c>
      <c r="E7" s="193"/>
      <c r="F7" s="485">
        <v>7459</v>
      </c>
      <c r="G7" s="193"/>
      <c r="H7" s="324">
        <v>7702</v>
      </c>
      <c r="J7" s="324">
        <v>7878</v>
      </c>
      <c r="L7" s="324">
        <v>8091</v>
      </c>
      <c r="N7" s="324">
        <v>8319</v>
      </c>
      <c r="P7" s="324">
        <v>8319</v>
      </c>
    </row>
    <row r="8" spans="1:18">
      <c r="B8" s="190"/>
      <c r="D8" s="197" t="s">
        <v>150</v>
      </c>
      <c r="E8" s="193"/>
      <c r="F8" s="485">
        <v>7571</v>
      </c>
      <c r="G8" s="193"/>
      <c r="H8" s="324">
        <v>7818</v>
      </c>
      <c r="J8" s="324">
        <v>7997</v>
      </c>
      <c r="L8" s="324">
        <v>8214</v>
      </c>
      <c r="N8" s="324">
        <v>8446</v>
      </c>
      <c r="P8" s="324">
        <v>8446</v>
      </c>
      <c r="R8" s="188">
        <f t="shared" ref="R8:R10" si="0">+H8*0.9</f>
        <v>7036.2</v>
      </c>
    </row>
    <row r="9" spans="1:18">
      <c r="B9" s="190"/>
      <c r="D9" s="197" t="s">
        <v>151</v>
      </c>
      <c r="E9" s="193"/>
      <c r="F9" s="485">
        <v>7796</v>
      </c>
      <c r="G9" s="193"/>
      <c r="H9" s="324">
        <v>8050</v>
      </c>
      <c r="J9" s="324">
        <v>8234</v>
      </c>
      <c r="L9" s="324">
        <v>8457</v>
      </c>
      <c r="N9" s="324">
        <v>8695</v>
      </c>
      <c r="P9" s="324">
        <v>8695</v>
      </c>
      <c r="R9" s="188">
        <f t="shared" si="0"/>
        <v>7245</v>
      </c>
    </row>
    <row r="10" spans="1:18">
      <c r="B10" s="190"/>
      <c r="D10" s="198" t="s">
        <v>152</v>
      </c>
      <c r="E10" s="193"/>
      <c r="F10" s="485">
        <v>9034</v>
      </c>
      <c r="G10" s="193"/>
      <c r="H10" s="324">
        <v>9329</v>
      </c>
      <c r="J10" s="324">
        <v>9543</v>
      </c>
      <c r="L10" s="324">
        <v>9802</v>
      </c>
      <c r="N10" s="324">
        <v>10078</v>
      </c>
      <c r="P10" s="324">
        <v>10078</v>
      </c>
      <c r="R10" s="188">
        <f t="shared" si="0"/>
        <v>8396.1</v>
      </c>
    </row>
    <row r="11" spans="1:18">
      <c r="B11" s="190"/>
      <c r="C11" s="198"/>
      <c r="D11" s="195"/>
      <c r="E11" s="193"/>
      <c r="F11" s="498" t="s">
        <v>61</v>
      </c>
      <c r="G11" s="499"/>
      <c r="H11" s="499" t="s">
        <v>61</v>
      </c>
      <c r="I11" s="499"/>
      <c r="J11" s="499" t="s">
        <v>61</v>
      </c>
      <c r="K11" s="499"/>
      <c r="L11" s="499" t="s">
        <v>61</v>
      </c>
      <c r="M11" s="499"/>
      <c r="N11" s="499" t="s">
        <v>61</v>
      </c>
      <c r="O11" s="499"/>
      <c r="P11" s="499" t="s">
        <v>61</v>
      </c>
    </row>
    <row r="12" spans="1:18">
      <c r="D12" s="194" t="s">
        <v>393</v>
      </c>
      <c r="F12" s="487">
        <f>SUM('Petition Exhibits'!C5:C8)</f>
        <v>0</v>
      </c>
      <c r="H12" s="196">
        <f>'Revenue Inputs'!C34</f>
        <v>1419</v>
      </c>
      <c r="J12" s="196">
        <f>ROUND(H12*(1+'Revenue Inputs'!O$27),0)</f>
        <v>1419</v>
      </c>
      <c r="L12" s="196">
        <f>ROUND(J12*(1+'Revenue Inputs'!P$27),0)</f>
        <v>1419</v>
      </c>
      <c r="N12" s="196">
        <f>ROUND(L12*(1+'Revenue Inputs'!Q$27),0)</f>
        <v>1490</v>
      </c>
      <c r="P12" s="196">
        <f>ROUND(N12*(1+'Revenue Inputs'!R$27),0)</f>
        <v>1565</v>
      </c>
    </row>
    <row r="13" spans="1:18">
      <c r="D13" s="197" t="s">
        <v>150</v>
      </c>
      <c r="F13" s="487">
        <f>SUM('Petition Exhibits'!C9:C11)</f>
        <v>0</v>
      </c>
      <c r="H13" s="196">
        <f>'Revenue Inputs'!C35</f>
        <v>905</v>
      </c>
      <c r="J13" s="196">
        <f>ROUND(H13*(1+'Revenue Inputs'!O$27),0)</f>
        <v>905</v>
      </c>
      <c r="L13" s="196">
        <f>ROUND(J13*(1+'Revenue Inputs'!P$27),0)</f>
        <v>905</v>
      </c>
      <c r="N13" s="196">
        <f>ROUND(L13*(1+'Revenue Inputs'!Q$27),0)</f>
        <v>950</v>
      </c>
      <c r="P13" s="196">
        <f>ROUND(N13*(1+'Revenue Inputs'!R$27),0)</f>
        <v>998</v>
      </c>
    </row>
    <row r="14" spans="1:18">
      <c r="D14" s="197" t="s">
        <v>151</v>
      </c>
      <c r="F14" s="487">
        <f>SUM('Petition Exhibits'!C11:C12)</f>
        <v>0</v>
      </c>
      <c r="H14" s="196">
        <f>'Revenue Inputs'!C36</f>
        <v>490</v>
      </c>
      <c r="I14" s="377"/>
      <c r="J14" s="196">
        <f>ROUND(H14*(1+'Revenue Inputs'!O$27),0)</f>
        <v>490</v>
      </c>
      <c r="K14" s="377"/>
      <c r="L14" s="196">
        <f>ROUND(J14*(1+'Revenue Inputs'!P$27),0)</f>
        <v>490</v>
      </c>
      <c r="M14" s="196"/>
      <c r="N14" s="196">
        <f>ROUND(L14*(1+'Revenue Inputs'!Q$27),0)</f>
        <v>515</v>
      </c>
      <c r="O14" s="377"/>
      <c r="P14" s="196">
        <f>ROUND(N14*(1+'Revenue Inputs'!R$27),0)</f>
        <v>541</v>
      </c>
    </row>
    <row r="15" spans="1:18" ht="18">
      <c r="D15" s="198" t="s">
        <v>152</v>
      </c>
      <c r="F15" s="488">
        <f>SUM('Petition Exhibits'!C14:C17)</f>
        <v>0</v>
      </c>
      <c r="H15" s="199">
        <f>'Revenue Inputs'!C37</f>
        <v>412</v>
      </c>
      <c r="J15" s="199">
        <f>ROUND(H15*(1+'Revenue Inputs'!O$27),0)</f>
        <v>412</v>
      </c>
      <c r="K15" s="500"/>
      <c r="L15" s="199">
        <f>ROUND(J15*(1+'Revenue Inputs'!P$27),0)</f>
        <v>412</v>
      </c>
      <c r="M15" s="500"/>
      <c r="N15" s="199">
        <f>ROUND(L15*(1+'Revenue Inputs'!Q$27),0)</f>
        <v>433</v>
      </c>
      <c r="O15" s="500"/>
      <c r="P15" s="199">
        <f>ROUND(N15*(1+'Revenue Inputs'!R$27),0)</f>
        <v>455</v>
      </c>
    </row>
    <row r="16" spans="1:18" ht="18">
      <c r="C16" s="200" t="s">
        <v>171</v>
      </c>
      <c r="D16" s="200"/>
      <c r="E16" s="186"/>
      <c r="F16" s="501">
        <f>SUM(F12:F15)</f>
        <v>0</v>
      </c>
      <c r="G16" s="186"/>
      <c r="H16" s="502">
        <f>SUM(H12:H15)</f>
        <v>3226</v>
      </c>
      <c r="I16" s="500"/>
      <c r="J16" s="502">
        <f>SUM(J12:J15)</f>
        <v>3226</v>
      </c>
      <c r="K16" s="500"/>
      <c r="L16" s="502">
        <f>SUM(L12:L15)</f>
        <v>3226</v>
      </c>
      <c r="M16" s="500"/>
      <c r="N16" s="502">
        <f>SUM(N12:N15)</f>
        <v>3388</v>
      </c>
      <c r="O16" s="500"/>
      <c r="P16" s="502">
        <f>SUM(P12:P15)</f>
        <v>3559</v>
      </c>
      <c r="R16" s="469"/>
    </row>
    <row r="17" spans="2:18" ht="18">
      <c r="C17" s="200"/>
      <c r="D17" s="200"/>
      <c r="E17" s="186"/>
      <c r="F17" s="501"/>
      <c r="G17" s="186"/>
      <c r="H17" s="502"/>
      <c r="I17" s="500"/>
      <c r="J17" s="502"/>
      <c r="K17" s="500"/>
      <c r="L17" s="502"/>
      <c r="M17" s="500"/>
      <c r="N17" s="502"/>
      <c r="O17" s="500"/>
      <c r="P17" s="502"/>
      <c r="R17" s="469"/>
    </row>
    <row r="18" spans="2:18" ht="16">
      <c r="B18" s="190"/>
      <c r="C18" s="198"/>
      <c r="D18" s="195"/>
      <c r="E18" s="193"/>
      <c r="F18" s="486" t="s">
        <v>62</v>
      </c>
      <c r="G18" s="193"/>
      <c r="H18" s="323" t="s">
        <v>62</v>
      </c>
      <c r="J18" s="323" t="s">
        <v>62</v>
      </c>
      <c r="L18" s="323" t="s">
        <v>62</v>
      </c>
      <c r="N18" s="323" t="s">
        <v>62</v>
      </c>
      <c r="P18" s="323" t="s">
        <v>62</v>
      </c>
    </row>
    <row r="19" spans="2:18">
      <c r="D19" s="194" t="s">
        <v>393</v>
      </c>
      <c r="F19" s="487">
        <f>'Revenue Inputs'!D26</f>
        <v>0</v>
      </c>
      <c r="H19" s="196">
        <f>'Revenue Inputs'!D34</f>
        <v>1409.09</v>
      </c>
      <c r="J19" s="196">
        <f>J12*'Revenue Inputs'!$D$6</f>
        <v>1390.62</v>
      </c>
      <c r="L19" s="196">
        <f>L12*'Revenue Inputs'!$D$6</f>
        <v>1390.62</v>
      </c>
      <c r="N19" s="196">
        <f>N12*'Revenue Inputs'!$D$6</f>
        <v>1460.2</v>
      </c>
      <c r="P19" s="196">
        <f>P12*'Revenue Inputs'!$D$6</f>
        <v>1533.7</v>
      </c>
    </row>
    <row r="20" spans="2:18">
      <c r="D20" s="197" t="s">
        <v>150</v>
      </c>
      <c r="F20" s="487">
        <f>'Revenue Inputs'!D27</f>
        <v>0</v>
      </c>
      <c r="H20" s="196">
        <f>'Revenue Inputs'!D35</f>
        <v>889.87</v>
      </c>
      <c r="J20" s="196">
        <f>J13*'Revenue Inputs'!$D$6</f>
        <v>886.9</v>
      </c>
      <c r="L20" s="196">
        <f>L13*'Revenue Inputs'!$D$6</f>
        <v>886.9</v>
      </c>
      <c r="N20" s="196">
        <f>N13*'Revenue Inputs'!$D$6</f>
        <v>931</v>
      </c>
      <c r="P20" s="196">
        <f>P13*'Revenue Inputs'!$D$6</f>
        <v>978.04</v>
      </c>
    </row>
    <row r="21" spans="2:18">
      <c r="D21" s="197" t="s">
        <v>151</v>
      </c>
      <c r="F21" s="487">
        <f>'Revenue Inputs'!D28</f>
        <v>0</v>
      </c>
      <c r="H21" s="196">
        <f>'Revenue Inputs'!D36</f>
        <v>478.88</v>
      </c>
      <c r="I21" s="377"/>
      <c r="J21" s="196">
        <f>J14*'Revenue Inputs'!$D$6</f>
        <v>480.2</v>
      </c>
      <c r="K21" s="377"/>
      <c r="L21" s="196">
        <f>L14*'Revenue Inputs'!$D$6</f>
        <v>480.2</v>
      </c>
      <c r="M21" s="377"/>
      <c r="N21" s="196">
        <f>N14*'Revenue Inputs'!$D$6</f>
        <v>504.7</v>
      </c>
      <c r="O21" s="377"/>
      <c r="P21" s="196">
        <f>P14*'Revenue Inputs'!$D$6</f>
        <v>530.17999999999995</v>
      </c>
    </row>
    <row r="22" spans="2:18" ht="18">
      <c r="D22" s="198" t="s">
        <v>152</v>
      </c>
      <c r="F22" s="488">
        <f>'Revenue Inputs'!D29</f>
        <v>0</v>
      </c>
      <c r="H22" s="199">
        <f>'Revenue Inputs'!D37</f>
        <v>404.12</v>
      </c>
      <c r="J22" s="199">
        <f>J15*'Revenue Inputs'!$D$6</f>
        <v>403.76</v>
      </c>
      <c r="K22" s="500"/>
      <c r="L22" s="199">
        <f>L15*'Revenue Inputs'!$D$6</f>
        <v>403.76</v>
      </c>
      <c r="M22" s="500"/>
      <c r="N22" s="199">
        <f>N15*'Revenue Inputs'!$D$6</f>
        <v>424.34</v>
      </c>
      <c r="O22" s="500"/>
      <c r="P22" s="199">
        <f>P15*'Revenue Inputs'!$D$6</f>
        <v>445.9</v>
      </c>
    </row>
    <row r="23" spans="2:18" ht="18">
      <c r="C23" s="200" t="s">
        <v>153</v>
      </c>
      <c r="D23" s="200"/>
      <c r="E23" s="186"/>
      <c r="F23" s="501">
        <f>SUM(F19:F22)</f>
        <v>0</v>
      </c>
      <c r="G23" s="186"/>
      <c r="H23" s="502">
        <f>SUM(H19:H22)</f>
        <v>3181.96</v>
      </c>
      <c r="I23" s="500"/>
      <c r="J23" s="502">
        <f>SUM(J19:J22)</f>
        <v>3161.4799999999996</v>
      </c>
      <c r="K23" s="500"/>
      <c r="L23" s="502">
        <f>SUM(L19:L22)</f>
        <v>3161.4799999999996</v>
      </c>
      <c r="M23" s="500"/>
      <c r="N23" s="502">
        <f>SUM(N19:N22)</f>
        <v>3320.24</v>
      </c>
      <c r="O23" s="500"/>
      <c r="P23" s="502">
        <f>SUM(P19:P22)</f>
        <v>3487.8199999999997</v>
      </c>
      <c r="R23" s="469"/>
    </row>
    <row r="24" spans="2:18" s="186" customFormat="1" ht="18">
      <c r="C24" s="200" t="s">
        <v>154</v>
      </c>
      <c r="D24" s="200"/>
      <c r="F24" s="489">
        <f>ROUND(F7,0)*F19+ROUND(F8,0)*F20+ROUND(F9,0)*F21+ROUND(F10,0)*F22</f>
        <v>0</v>
      </c>
      <c r="H24" s="205">
        <f>ROUND(H7,0)*H19+ROUND(H8,0)*H20+ROUND(H9,0)*H21+ROUND(H10,0)*H22</f>
        <v>25434834.32</v>
      </c>
      <c r="J24" s="205">
        <f>ROUND(J7,0)*J19+ROUND(J8,0)*J20+ROUND(J9,0)*J21+ROUND(J10,0)*J22</f>
        <v>25854892.140000001</v>
      </c>
      <c r="L24" s="205">
        <f>ROUND(L7,0)*L19+ROUND(L8,0)*L20+ROUND(L9,0)*L21+ROUND(L10,0)*L22</f>
        <v>26555209.939999998</v>
      </c>
      <c r="N24" s="205">
        <f>ROUND(N7,0)*N19+ROUND(N8,0)*N20+ROUND(N9,0)*N21+ROUND(N10,0)*N22</f>
        <v>28675494.82</v>
      </c>
      <c r="P24" s="205">
        <f>ROUND(P7,0)*P19+ROUND(P8,0)*P20+ROUND(P9,0)*P21+ROUND(P10,0)*P22</f>
        <v>30123071.440000001</v>
      </c>
    </row>
    <row r="25" spans="2:18">
      <c r="C25" s="378" t="s">
        <v>248</v>
      </c>
      <c r="D25" s="379"/>
      <c r="E25" s="380"/>
      <c r="F25" s="490"/>
      <c r="G25" s="380"/>
      <c r="H25" s="443">
        <f>'Revenue Inputs'!D22</f>
        <v>2940</v>
      </c>
      <c r="I25" s="381"/>
      <c r="J25" s="443">
        <v>0</v>
      </c>
      <c r="K25" s="381"/>
      <c r="L25" s="443">
        <v>0</v>
      </c>
      <c r="M25" s="381"/>
      <c r="N25" s="443">
        <v>0</v>
      </c>
      <c r="O25" s="381"/>
      <c r="P25" s="443">
        <v>0</v>
      </c>
    </row>
    <row r="26" spans="2:18">
      <c r="F26" s="491"/>
      <c r="J26" s="469"/>
      <c r="K26" s="469"/>
      <c r="L26" s="469"/>
      <c r="M26" s="469"/>
      <c r="N26" s="469"/>
      <c r="O26" s="469"/>
      <c r="P26" s="469"/>
    </row>
    <row r="27" spans="2:18">
      <c r="B27" s="188" t="s">
        <v>155</v>
      </c>
      <c r="F27" s="491"/>
    </row>
    <row r="28" spans="2:18">
      <c r="C28" s="188" t="s">
        <v>156</v>
      </c>
      <c r="F28" s="492">
        <f>ROUND(F19,2)*ROUND(F7*0.104,0)</f>
        <v>0</v>
      </c>
      <c r="H28" s="252">
        <f>ROUND(H19,2)*ROUND(H7*0.104,0)</f>
        <v>1128681.0899999999</v>
      </c>
      <c r="J28" s="252">
        <f>ROUND(J19,2)*ROUND(J7*0.104,0)</f>
        <v>1138917.7799999998</v>
      </c>
      <c r="L28" s="252">
        <f>ROUND(L19,2)*ROUND(L7*0.104,0)</f>
        <v>1169511.42</v>
      </c>
      <c r="N28" s="252">
        <f>ROUND(N19,2)*ROUND(N7*0.104,0)</f>
        <v>1263073</v>
      </c>
      <c r="P28" s="252">
        <f>ROUND(P19,2)*ROUND(P7*0.104,0)</f>
        <v>1326650.5</v>
      </c>
    </row>
    <row r="29" spans="2:18" ht="18">
      <c r="C29" s="188" t="s">
        <v>157</v>
      </c>
      <c r="F29" s="493">
        <f>ROUND(F10*0.026,0)*ROUND(F22,2)</f>
        <v>0</v>
      </c>
      <c r="G29" s="219"/>
      <c r="H29" s="218">
        <f>ROUND(H10*0.026,0)*ROUND(H22,2)</f>
        <v>98201.16</v>
      </c>
      <c r="I29" s="219"/>
      <c r="J29" s="218">
        <f>ROUND(J10*0.026,0)*ROUND(J22,2)</f>
        <v>100132.48</v>
      </c>
      <c r="K29" s="219"/>
      <c r="L29" s="218">
        <f>ROUND(L10*0.026,0)*ROUND(L22,2)</f>
        <v>102958.8</v>
      </c>
      <c r="M29" s="219"/>
      <c r="N29" s="218">
        <f>ROUND(N10*0.026,0)*ROUND(N22,2)</f>
        <v>111177.07999999999</v>
      </c>
      <c r="O29" s="219"/>
      <c r="P29" s="218">
        <f>ROUND(P10*0.026,0)*ROUND(P22,2)</f>
        <v>116825.79999999999</v>
      </c>
    </row>
    <row r="30" spans="2:18" ht="18">
      <c r="C30" s="188" t="s">
        <v>158</v>
      </c>
      <c r="F30" s="489">
        <f>F29+F28</f>
        <v>0</v>
      </c>
      <c r="H30" s="205">
        <f>H29+H28</f>
        <v>1226882.2499999998</v>
      </c>
      <c r="J30" s="205">
        <f>J29+J28</f>
        <v>1239050.2599999998</v>
      </c>
      <c r="L30" s="205">
        <f>L29+L28</f>
        <v>1272470.22</v>
      </c>
      <c r="N30" s="205">
        <f>N29+N28</f>
        <v>1374250.08</v>
      </c>
      <c r="P30" s="205">
        <f>P29+P28</f>
        <v>1443476.3</v>
      </c>
    </row>
    <row r="31" spans="2:18">
      <c r="F31" s="491"/>
    </row>
    <row r="32" spans="2:18" ht="18">
      <c r="B32" s="186" t="s">
        <v>520</v>
      </c>
      <c r="C32" s="186"/>
      <c r="D32" s="186"/>
      <c r="E32" s="186"/>
      <c r="F32" s="494">
        <f>F24+F30</f>
        <v>0</v>
      </c>
      <c r="G32" s="186"/>
      <c r="H32" s="201">
        <f>H24+H30</f>
        <v>26661716.57</v>
      </c>
      <c r="J32" s="201">
        <f>J24+J30</f>
        <v>27093942.399999999</v>
      </c>
      <c r="L32" s="201">
        <f>L24+L30</f>
        <v>27827680.159999996</v>
      </c>
      <c r="N32" s="201">
        <f>N24+N30</f>
        <v>30049744.899999999</v>
      </c>
      <c r="P32" s="201">
        <f>P24+P30</f>
        <v>31566547.740000002</v>
      </c>
    </row>
    <row r="33" spans="2:22" ht="18">
      <c r="B33" s="186" t="s">
        <v>159</v>
      </c>
      <c r="F33" s="494" t="e">
        <f>F32/F23</f>
        <v>#DIV/0!</v>
      </c>
      <c r="H33" s="201">
        <f>H32/H23</f>
        <v>8379.0231712529385</v>
      </c>
      <c r="J33" s="201">
        <f>J32/J23</f>
        <v>8570.0185988840676</v>
      </c>
      <c r="L33" s="201">
        <f>L32/L23</f>
        <v>8802.1053936763801</v>
      </c>
      <c r="N33" s="201">
        <f>N32/N23</f>
        <v>9050.4737308146396</v>
      </c>
      <c r="P33" s="201">
        <f>P32/P23</f>
        <v>9050.5094127563934</v>
      </c>
    </row>
    <row r="34" spans="2:22">
      <c r="F34" s="491"/>
    </row>
    <row r="35" spans="2:22">
      <c r="B35" s="189" t="s">
        <v>160</v>
      </c>
      <c r="F35" s="491"/>
      <c r="T35" s="188" t="s">
        <v>629</v>
      </c>
      <c r="U35" s="188" t="s">
        <v>630</v>
      </c>
      <c r="V35" s="188" t="s">
        <v>631</v>
      </c>
    </row>
    <row r="36" spans="2:22">
      <c r="C36" s="188" t="s">
        <v>161</v>
      </c>
      <c r="F36" s="495">
        <f>F37*F38</f>
        <v>0</v>
      </c>
      <c r="H36" s="327">
        <f>H37*H38</f>
        <v>1364.2754</v>
      </c>
      <c r="I36" s="327"/>
      <c r="J36" s="327">
        <f>J37*J38</f>
        <v>1364.2753999999998</v>
      </c>
      <c r="K36" s="327"/>
      <c r="L36" s="327">
        <f>L37*L38</f>
        <v>1364.2753999999998</v>
      </c>
      <c r="M36" s="327"/>
      <c r="N36" s="327">
        <f>N37*N38</f>
        <v>1432.7852</v>
      </c>
      <c r="O36" s="327"/>
      <c r="P36" s="327">
        <f>P37*P38</f>
        <v>1505.1010999999999</v>
      </c>
      <c r="S36" s="188" t="s">
        <v>632</v>
      </c>
      <c r="T36" s="937">
        <v>3270</v>
      </c>
      <c r="U36" s="937">
        <v>1383</v>
      </c>
      <c r="V36" s="433">
        <f t="shared" ref="V36:V38" si="1">U36/T36</f>
        <v>0.42293577981651376</v>
      </c>
    </row>
    <row r="37" spans="2:22">
      <c r="C37" s="206" t="s">
        <v>171</v>
      </c>
      <c r="D37" s="206"/>
      <c r="F37" s="495">
        <f>F23/'Revenue Inputs'!D6</f>
        <v>0</v>
      </c>
      <c r="H37" s="327">
        <f>SUM('Revenue Inputs'!C34:C37)</f>
        <v>3226</v>
      </c>
      <c r="I37" s="327"/>
      <c r="J37" s="327">
        <f>J23/'Revenue Inputs'!$D$6</f>
        <v>3225.9999999999995</v>
      </c>
      <c r="K37" s="327"/>
      <c r="L37" s="327">
        <f>L23/'Revenue Inputs'!$D$6</f>
        <v>3225.9999999999995</v>
      </c>
      <c r="M37" s="327"/>
      <c r="N37" s="327">
        <f>N23/'Revenue Inputs'!$D$6</f>
        <v>3388</v>
      </c>
      <c r="O37" s="327"/>
      <c r="P37" s="327">
        <f>P23/'Revenue Inputs'!$D$6</f>
        <v>3558.9999999999995</v>
      </c>
      <c r="S37" s="188" t="s">
        <v>633</v>
      </c>
      <c r="T37" s="922">
        <v>0</v>
      </c>
      <c r="U37" s="922">
        <v>0</v>
      </c>
      <c r="V37" s="433" t="e">
        <f t="shared" si="1"/>
        <v>#DIV/0!</v>
      </c>
    </row>
    <row r="38" spans="2:22">
      <c r="C38" s="206" t="s">
        <v>162</v>
      </c>
      <c r="D38" s="206"/>
      <c r="F38" s="481">
        <v>0.25</v>
      </c>
      <c r="G38" s="583"/>
      <c r="H38" s="481">
        <v>0.4229</v>
      </c>
      <c r="I38" s="351"/>
      <c r="J38" s="433">
        <v>0.4229</v>
      </c>
      <c r="K38" s="351"/>
      <c r="L38" s="433">
        <f>J38</f>
        <v>0.4229</v>
      </c>
      <c r="M38" s="351"/>
      <c r="N38" s="433">
        <f>L38</f>
        <v>0.4229</v>
      </c>
      <c r="O38" s="351"/>
      <c r="P38" s="433">
        <f>N38</f>
        <v>0.4229</v>
      </c>
      <c r="S38" s="188" t="s">
        <v>634</v>
      </c>
      <c r="T38" s="922">
        <v>0</v>
      </c>
      <c r="U38" s="922">
        <v>0</v>
      </c>
      <c r="V38" s="433" t="e">
        <f t="shared" si="1"/>
        <v>#DIV/0!</v>
      </c>
    </row>
    <row r="39" spans="2:22" ht="18">
      <c r="C39" s="188" t="s">
        <v>163</v>
      </c>
      <c r="F39" s="586" t="e">
        <f>F33*0.2*F38</f>
        <v>#DIV/0!</v>
      </c>
      <c r="H39" s="204">
        <f>H33*0.2*H38</f>
        <v>708.69777982457356</v>
      </c>
      <c r="J39" s="204">
        <f>J33*0.2*J38</f>
        <v>724.85217309361451</v>
      </c>
      <c r="L39" s="204">
        <f>L33*0.2*L38</f>
        <v>744.48207419714822</v>
      </c>
      <c r="N39" s="204">
        <f>N33*0.2*N38</f>
        <v>765.48906815230225</v>
      </c>
      <c r="P39" s="204">
        <f>P33*0.2*P38</f>
        <v>765.49208613093583</v>
      </c>
      <c r="T39" s="936">
        <f>SUM(T36:T38)</f>
        <v>3270</v>
      </c>
      <c r="U39" s="936">
        <f>SUM(U36:U38)</f>
        <v>1383</v>
      </c>
      <c r="V39" s="433">
        <f>U39/T39</f>
        <v>0.42293577981651376</v>
      </c>
    </row>
    <row r="40" spans="2:22" ht="18">
      <c r="C40" s="200" t="s">
        <v>164</v>
      </c>
      <c r="D40" s="200"/>
      <c r="F40" s="494" t="e">
        <f>F39*F23</f>
        <v>#DIV/0!</v>
      </c>
      <c r="H40" s="201">
        <f>H39*H23</f>
        <v>2255047.9874906</v>
      </c>
      <c r="J40" s="201">
        <f>J39*J23</f>
        <v>2291605.6481920001</v>
      </c>
      <c r="L40" s="201">
        <f>L39*L23</f>
        <v>2353665.1879328</v>
      </c>
      <c r="N40" s="201">
        <f>N39*N23</f>
        <v>2541607.4236419997</v>
      </c>
      <c r="P40" s="201">
        <f>P39*P23</f>
        <v>2669898.6078492003</v>
      </c>
    </row>
    <row r="41" spans="2:22">
      <c r="F41" s="491"/>
    </row>
    <row r="42" spans="2:22">
      <c r="B42" s="189" t="s">
        <v>366</v>
      </c>
      <c r="F42" s="491"/>
    </row>
    <row r="43" spans="2:22">
      <c r="C43" s="188" t="s">
        <v>165</v>
      </c>
      <c r="F43" s="481">
        <v>0.85760000000000003</v>
      </c>
      <c r="H43" s="433">
        <f>F43</f>
        <v>0.85760000000000003</v>
      </c>
      <c r="I43" s="351"/>
      <c r="J43" s="433">
        <f>H43</f>
        <v>0.85760000000000003</v>
      </c>
      <c r="K43" s="351"/>
      <c r="L43" s="433">
        <f>J43</f>
        <v>0.85760000000000003</v>
      </c>
      <c r="M43" s="351"/>
      <c r="N43" s="433">
        <f>L43</f>
        <v>0.85760000000000003</v>
      </c>
      <c r="O43" s="351"/>
      <c r="P43" s="433">
        <f>N43</f>
        <v>0.85760000000000003</v>
      </c>
    </row>
    <row r="44" spans="2:22" ht="18">
      <c r="C44" s="200" t="s">
        <v>166</v>
      </c>
      <c r="D44" s="186"/>
      <c r="E44" s="186"/>
      <c r="F44" s="496">
        <f>IF(F38&gt;0.55,IF(F43&gt;0.55,IF(F38&lt;F43,(F38-0.55)*0.5*F32,(F43-0.55)*0.5*F32),0),0)</f>
        <v>0</v>
      </c>
      <c r="G44" s="186"/>
      <c r="H44" s="207">
        <f>IF(H38&gt;0.55,IF(H43&gt;0.55,IF(H38&lt;H43,(H38-0.55)*0.5*H32,(H43-0.55)*0.5*H32),0),0)</f>
        <v>0</v>
      </c>
      <c r="J44" s="207">
        <f>IF(J38&gt;0.55,IF(J43&gt;0.55,IF(J38&lt;J43,(J38-0.55)*0.5*J32,(J43-0.55)*0.5*J32),0),0)</f>
        <v>0</v>
      </c>
      <c r="L44" s="207">
        <f>IF(L38&gt;0.55,IF(L43&gt;0.55,IF(L38&lt;L43,(L38-0.55)*0.5*L32,(L43-0.55)*0.5*L32),0),0)</f>
        <v>0</v>
      </c>
      <c r="N44" s="207">
        <f>IF(N38&gt;0.55,IF(N43&gt;0.55,IF(N38&lt;N43,(N38-0.55)*0.5*N32,(N43-0.55)*0.5*N32),0),0)</f>
        <v>0</v>
      </c>
      <c r="P44" s="207">
        <f>IF(P38&gt;0.55,IF(P43&gt;0.55,IF(P38&lt;P43,(P38-0.55)*0.5*P32,(P43-0.55)*0.5*P32),0),0)</f>
        <v>0</v>
      </c>
    </row>
    <row r="45" spans="2:22">
      <c r="F45" s="491"/>
    </row>
    <row r="46" spans="2:22" ht="19">
      <c r="B46" s="187" t="s">
        <v>228</v>
      </c>
      <c r="C46" s="187"/>
      <c r="D46" s="187"/>
      <c r="E46" s="187"/>
      <c r="F46" s="497" t="e">
        <f>F32+F40+F44</f>
        <v>#DIV/0!</v>
      </c>
      <c r="G46" s="187"/>
      <c r="H46" s="202">
        <f>H32+H40+H44</f>
        <v>28916764.557490602</v>
      </c>
      <c r="J46" s="202">
        <f>J32+J40+J44</f>
        <v>29385548.048191998</v>
      </c>
      <c r="L46" s="202">
        <f>L32+L40+L44+1</f>
        <v>30181346.347932797</v>
      </c>
      <c r="N46" s="202">
        <f>N32+N40+N44+2</f>
        <v>32591354.323641997</v>
      </c>
      <c r="P46" s="202">
        <f>P32+P40+P44+1</f>
        <v>34236447.347849205</v>
      </c>
    </row>
    <row r="47" spans="2:22" ht="19">
      <c r="B47" s="187" t="s">
        <v>226</v>
      </c>
      <c r="C47" s="203"/>
      <c r="D47" s="203"/>
      <c r="E47" s="203"/>
      <c r="F47" s="497" t="e">
        <f>F46/F23</f>
        <v>#DIV/0!</v>
      </c>
      <c r="G47" s="203"/>
      <c r="H47" s="202">
        <f>H46/H23</f>
        <v>9087.7209510775119</v>
      </c>
      <c r="J47" s="202">
        <f>J46/J23</f>
        <v>9294.8707719776812</v>
      </c>
      <c r="L47" s="202">
        <f>L46/L23</f>
        <v>9546.5877841810798</v>
      </c>
      <c r="N47" s="202">
        <f>N46/N23</f>
        <v>9815.963401333036</v>
      </c>
      <c r="P47" s="202">
        <f>P46/P23</f>
        <v>9816.0017855993738</v>
      </c>
    </row>
    <row r="48" spans="2:22" ht="19">
      <c r="F48" s="491"/>
      <c r="H48" s="202"/>
    </row>
    <row r="49" spans="2:16">
      <c r="F49" s="208"/>
      <c r="H49" s="208"/>
      <c r="J49" s="208"/>
      <c r="L49" s="330"/>
      <c r="N49" s="208"/>
      <c r="P49" s="208"/>
    </row>
    <row r="50" spans="2:16">
      <c r="F50" s="208"/>
      <c r="H50" s="208"/>
      <c r="J50" s="208"/>
      <c r="L50" s="330"/>
      <c r="N50" s="208"/>
      <c r="P50" s="208"/>
    </row>
    <row r="51" spans="2:16" ht="19">
      <c r="B51" s="346" t="s">
        <v>346</v>
      </c>
    </row>
    <row r="52" spans="2:16" ht="16">
      <c r="F52" s="192" t="s">
        <v>221</v>
      </c>
      <c r="H52" s="192" t="s">
        <v>253</v>
      </c>
      <c r="J52" s="192" t="s">
        <v>323</v>
      </c>
      <c r="L52" s="192" t="s">
        <v>323</v>
      </c>
      <c r="N52" s="192" t="s">
        <v>332</v>
      </c>
      <c r="P52" s="192" t="s">
        <v>340</v>
      </c>
    </row>
    <row r="53" spans="2:16">
      <c r="B53" s="186" t="s">
        <v>347</v>
      </c>
      <c r="C53" s="188" t="s">
        <v>348</v>
      </c>
      <c r="F53" s="219" t="e">
        <f>F46</f>
        <v>#DIV/0!</v>
      </c>
      <c r="H53" s="219">
        <f>H46</f>
        <v>28916764.557490602</v>
      </c>
      <c r="J53" s="219">
        <f>J46</f>
        <v>29385548.048191998</v>
      </c>
      <c r="L53" s="219">
        <f>L46</f>
        <v>30181346.347932797</v>
      </c>
      <c r="N53" s="219">
        <f>N46</f>
        <v>32591354.323641997</v>
      </c>
      <c r="P53" s="219">
        <f>P46</f>
        <v>34236447.347849205</v>
      </c>
    </row>
    <row r="54" spans="2:16">
      <c r="B54" s="186" t="s">
        <v>349</v>
      </c>
      <c r="C54" s="188" t="s">
        <v>350</v>
      </c>
      <c r="F54" s="219">
        <v>0</v>
      </c>
      <c r="H54" s="219">
        <v>0</v>
      </c>
      <c r="J54" s="219">
        <v>0</v>
      </c>
      <c r="L54" s="219">
        <v>0</v>
      </c>
      <c r="N54" s="219">
        <v>0</v>
      </c>
      <c r="P54" s="219">
        <v>0</v>
      </c>
    </row>
    <row r="55" spans="2:16">
      <c r="B55" s="186" t="s">
        <v>351</v>
      </c>
      <c r="C55" s="188" t="s">
        <v>352</v>
      </c>
      <c r="D55" s="219"/>
      <c r="F55" s="219" t="e">
        <f>F40+F44</f>
        <v>#DIV/0!</v>
      </c>
      <c r="H55" s="219">
        <f>H40+H44</f>
        <v>2255047.9874906</v>
      </c>
      <c r="J55" s="219">
        <f>J40+J44</f>
        <v>2291605.6481920001</v>
      </c>
      <c r="L55" s="219">
        <f>L40+L44</f>
        <v>2353665.1879328</v>
      </c>
      <c r="N55" s="219">
        <f>N40+N44</f>
        <v>2541607.4236419997</v>
      </c>
      <c r="P55" s="219">
        <f>P40+P44</f>
        <v>2669898.6078492003</v>
      </c>
    </row>
    <row r="56" spans="2:16">
      <c r="B56" s="186" t="s">
        <v>353</v>
      </c>
      <c r="C56" s="188" t="s">
        <v>354</v>
      </c>
      <c r="D56" s="219"/>
      <c r="F56" s="512">
        <v>0</v>
      </c>
      <c r="H56" s="219" t="e">
        <f>F60</f>
        <v>#DIV/0!</v>
      </c>
      <c r="J56" s="219" t="e">
        <f>H60</f>
        <v>#DIV/0!</v>
      </c>
      <c r="L56" s="219" t="e">
        <f>J60</f>
        <v>#DIV/0!</v>
      </c>
      <c r="N56" s="219" t="e">
        <f>L60</f>
        <v>#DIV/0!</v>
      </c>
      <c r="P56" s="219" t="e">
        <f>N60</f>
        <v>#DIV/0!</v>
      </c>
    </row>
    <row r="57" spans="2:16">
      <c r="B57" s="186" t="s">
        <v>355</v>
      </c>
      <c r="C57" s="188" t="s">
        <v>356</v>
      </c>
      <c r="D57" s="219"/>
      <c r="F57" s="219" t="e">
        <f>F55-F56</f>
        <v>#DIV/0!</v>
      </c>
      <c r="H57" s="219" t="e">
        <f>H55-H56</f>
        <v>#DIV/0!</v>
      </c>
      <c r="J57" s="219" t="e">
        <f>J55-J56</f>
        <v>#DIV/0!</v>
      </c>
      <c r="L57" s="219" t="e">
        <f>L55-L56</f>
        <v>#DIV/0!</v>
      </c>
      <c r="N57" s="219" t="e">
        <f>N55-N56</f>
        <v>#DIV/0!</v>
      </c>
      <c r="P57" s="219" t="e">
        <f>P55-P56</f>
        <v>#DIV/0!</v>
      </c>
    </row>
    <row r="58" spans="2:16">
      <c r="B58" s="186"/>
      <c r="C58" s="188" t="s">
        <v>357</v>
      </c>
      <c r="D58" s="351"/>
      <c r="F58" s="351">
        <v>1</v>
      </c>
      <c r="H58" s="351">
        <v>1</v>
      </c>
      <c r="J58" s="351">
        <v>1</v>
      </c>
      <c r="L58" s="351">
        <v>1</v>
      </c>
      <c r="N58" s="351">
        <v>1</v>
      </c>
      <c r="P58" s="351">
        <v>1</v>
      </c>
    </row>
    <row r="59" spans="2:16">
      <c r="B59" s="186" t="s">
        <v>358</v>
      </c>
      <c r="C59" s="188" t="s">
        <v>359</v>
      </c>
      <c r="D59" s="219"/>
      <c r="F59" s="219" t="e">
        <f>F57*F58</f>
        <v>#DIV/0!</v>
      </c>
      <c r="H59" s="219" t="e">
        <f>H57*H58</f>
        <v>#DIV/0!</v>
      </c>
      <c r="J59" s="219" t="e">
        <f>J57*J58</f>
        <v>#DIV/0!</v>
      </c>
      <c r="L59" s="219" t="e">
        <f>L57*L58</f>
        <v>#DIV/0!</v>
      </c>
      <c r="N59" s="219" t="e">
        <f>N57*N58</f>
        <v>#DIV/0!</v>
      </c>
      <c r="P59" s="219" t="e">
        <f>P57*P58</f>
        <v>#DIV/0!</v>
      </c>
    </row>
    <row r="60" spans="2:16">
      <c r="B60" s="186" t="s">
        <v>360</v>
      </c>
      <c r="C60" s="186" t="s">
        <v>361</v>
      </c>
      <c r="D60" s="482"/>
      <c r="E60" s="186"/>
      <c r="F60" s="482" t="e">
        <f>F59+F56</f>
        <v>#DIV/0!</v>
      </c>
      <c r="G60" s="186"/>
      <c r="H60" s="482" t="e">
        <f>H59+H56</f>
        <v>#DIV/0!</v>
      </c>
      <c r="I60" s="186"/>
      <c r="J60" s="482" t="e">
        <f>J59+J56</f>
        <v>#DIV/0!</v>
      </c>
      <c r="K60" s="186"/>
      <c r="L60" s="482" t="e">
        <f>L59+L56</f>
        <v>#DIV/0!</v>
      </c>
      <c r="M60" s="186"/>
      <c r="N60" s="482" t="e">
        <f>N59+N56</f>
        <v>#DIV/0!</v>
      </c>
      <c r="O60" s="186"/>
      <c r="P60" s="482" t="e">
        <f>P59+P56</f>
        <v>#DIV/0!</v>
      </c>
    </row>
    <row r="61" spans="2:16">
      <c r="B61" s="186" t="s">
        <v>362</v>
      </c>
      <c r="C61" s="188" t="s">
        <v>363</v>
      </c>
      <c r="D61" s="219"/>
      <c r="F61" s="219" t="e">
        <f>F53-F60-F54</f>
        <v>#DIV/0!</v>
      </c>
      <c r="H61" s="219" t="e">
        <f>H53-H60-H54</f>
        <v>#DIV/0!</v>
      </c>
      <c r="J61" s="219" t="e">
        <f>J53-J60-J54</f>
        <v>#DIV/0!</v>
      </c>
      <c r="L61" s="219" t="e">
        <f>L53-L60-L54</f>
        <v>#DIV/0!</v>
      </c>
      <c r="N61" s="219" t="e">
        <f>N53-N60-N54</f>
        <v>#DIV/0!</v>
      </c>
      <c r="P61" s="219" t="e">
        <f>P53-P60-P54</f>
        <v>#DIV/0!</v>
      </c>
    </row>
    <row r="62" spans="2:16">
      <c r="B62" s="186" t="s">
        <v>364</v>
      </c>
      <c r="C62" s="186" t="s">
        <v>365</v>
      </c>
      <c r="D62" s="483"/>
      <c r="E62" s="186"/>
      <c r="F62" s="483" t="e">
        <f>F60/F61</f>
        <v>#DIV/0!</v>
      </c>
      <c r="G62" s="186"/>
      <c r="H62" s="483" t="e">
        <f>H60/H61</f>
        <v>#DIV/0!</v>
      </c>
      <c r="I62" s="186"/>
      <c r="J62" s="483" t="e">
        <f>J60/J61</f>
        <v>#DIV/0!</v>
      </c>
      <c r="K62" s="186"/>
      <c r="L62" s="483" t="e">
        <f>L60/L61</f>
        <v>#DIV/0!</v>
      </c>
      <c r="M62" s="186"/>
      <c r="N62" s="483" t="e">
        <f>N60/N61</f>
        <v>#DIV/0!</v>
      </c>
      <c r="O62" s="186"/>
      <c r="P62" s="483" t="e">
        <f>P60/P61</f>
        <v>#DIV/0!</v>
      </c>
    </row>
  </sheetData>
  <printOptions horizontalCentered="1"/>
  <pageMargins left="0.2" right="0.2" top="0.5" bottom="0.5" header="0.3" footer="0.3"/>
  <pageSetup scale="75" orientation="portrait" horizontalDpi="1200" verticalDpi="1200" r:id="rId1"/>
  <customProperties>
    <customPr name="DrillPoint.FROID" r:id="rId2"/>
    <customPr name="DrillPoint.Mode" r:id="rId3"/>
    <customPr name="DrillPoint.Subsheet" r:id="rId4"/>
  </customPropertie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FD610"/>
  </sheetPr>
  <dimension ref="A1:AC295"/>
  <sheetViews>
    <sheetView zoomScale="115" zoomScaleNormal="115" zoomScaleSheetLayoutView="100" workbookViewId="0">
      <pane ySplit="4" topLeftCell="A14" activePane="bottomLeft" state="frozen"/>
      <selection activeCell="I17" sqref="I17"/>
      <selection pane="bottomLeft" activeCell="I102" sqref="I102"/>
    </sheetView>
  </sheetViews>
  <sheetFormatPr baseColWidth="10" defaultColWidth="8.83203125" defaultRowHeight="15" outlineLevelRow="1"/>
  <cols>
    <col min="1" max="1" width="2.6640625" style="54" customWidth="1"/>
    <col min="2" max="2" width="2.83203125" style="253" customWidth="1"/>
    <col min="3" max="3" width="6.33203125" style="257" customWidth="1"/>
    <col min="4" max="4" width="2.6640625" style="62" customWidth="1"/>
    <col min="5" max="5" width="2.6640625" style="55" customWidth="1"/>
    <col min="6" max="6" width="44" style="55" customWidth="1"/>
    <col min="7" max="9" width="14.5" style="59" customWidth="1"/>
    <col min="10" max="10" width="1.83203125" style="63" customWidth="1"/>
    <col min="11" max="11" width="8.83203125" style="791"/>
    <col min="12" max="12" width="8.83203125" style="62"/>
    <col min="13" max="13" width="9.5" style="682" customWidth="1"/>
    <col min="14" max="15" width="9.5" style="62" customWidth="1"/>
    <col min="16" max="19" width="11.1640625" style="62" customWidth="1"/>
    <col min="20" max="16384" width="8.83203125" style="62"/>
  </cols>
  <sheetData>
    <row r="1" spans="1:16" s="54" customFormat="1" ht="21">
      <c r="A1" s="53" t="str">
        <f>'Revenue Inputs'!C3</f>
        <v>Granite Mountain Charter School</v>
      </c>
      <c r="B1" s="253"/>
      <c r="C1" s="254"/>
      <c r="E1" s="221"/>
      <c r="F1" s="221"/>
      <c r="G1" s="222"/>
      <c r="H1" s="222"/>
      <c r="I1" s="222"/>
      <c r="J1" s="221"/>
      <c r="K1" s="748"/>
      <c r="M1" s="681"/>
    </row>
    <row r="2" spans="1:16" s="54" customFormat="1">
      <c r="A2" s="56" t="s">
        <v>178</v>
      </c>
      <c r="B2" s="255"/>
      <c r="C2" s="256"/>
      <c r="D2" s="57"/>
      <c r="E2" s="59"/>
      <c r="F2" s="59"/>
      <c r="G2" s="59"/>
      <c r="H2" s="59"/>
      <c r="I2" s="59"/>
      <c r="K2" s="748"/>
      <c r="M2" s="681"/>
    </row>
    <row r="3" spans="1:16" ht="13.5" customHeight="1">
      <c r="A3" s="61" t="str">
        <f>'FY19-20'!A3</f>
        <v>Revised 08/06/20</v>
      </c>
      <c r="M3" s="682" t="s">
        <v>404</v>
      </c>
    </row>
    <row r="4" spans="1:16" ht="13.5" hidden="1" customHeight="1">
      <c r="A4" s="141"/>
      <c r="G4" s="347" t="s">
        <v>249</v>
      </c>
      <c r="H4" s="347" t="s">
        <v>250</v>
      </c>
      <c r="I4" s="347" t="s">
        <v>74</v>
      </c>
    </row>
    <row r="5" spans="1:16" s="95" customFormat="1" ht="12" customHeight="1">
      <c r="A5" s="124"/>
      <c r="B5" s="258"/>
      <c r="C5" s="259"/>
      <c r="D5" s="126"/>
      <c r="E5" s="113"/>
      <c r="F5" s="113"/>
      <c r="G5" s="94"/>
      <c r="H5" s="94"/>
      <c r="I5" s="113"/>
      <c r="J5" s="94"/>
      <c r="K5" s="771"/>
      <c r="M5" s="667"/>
    </row>
    <row r="6" spans="1:16" s="95" customFormat="1" ht="12" customHeight="1">
      <c r="A6" s="124"/>
      <c r="B6" s="260" t="s">
        <v>4</v>
      </c>
      <c r="C6" s="261"/>
      <c r="D6" s="262"/>
      <c r="E6" s="262"/>
      <c r="F6" s="262"/>
      <c r="G6" s="262"/>
      <c r="H6" s="262"/>
      <c r="I6" s="263"/>
      <c r="J6" s="94"/>
      <c r="K6" s="771"/>
      <c r="M6" s="667"/>
    </row>
    <row r="7" spans="1:16" s="95" customFormat="1" ht="12" customHeight="1" outlineLevel="1">
      <c r="A7" s="124"/>
      <c r="B7" s="258"/>
      <c r="C7" s="264"/>
      <c r="D7" s="126"/>
      <c r="E7" s="113"/>
      <c r="F7" s="113"/>
      <c r="G7" s="94"/>
      <c r="H7" s="94"/>
      <c r="I7" s="113"/>
      <c r="J7" s="94"/>
      <c r="K7" s="771"/>
      <c r="M7" s="667"/>
    </row>
    <row r="8" spans="1:16" s="95" customFormat="1" ht="12" customHeight="1" outlineLevel="1">
      <c r="A8" s="124"/>
      <c r="B8" s="258"/>
      <c r="C8" s="265">
        <v>4100</v>
      </c>
      <c r="D8" s="266" t="s">
        <v>78</v>
      </c>
      <c r="E8" s="113"/>
      <c r="F8" s="113"/>
      <c r="G8" s="267"/>
      <c r="H8" s="267"/>
      <c r="I8" s="348"/>
      <c r="J8" s="94"/>
      <c r="K8" s="771"/>
      <c r="M8" s="667"/>
    </row>
    <row r="9" spans="1:16" s="95" customFormat="1" ht="12" customHeight="1" outlineLevel="1">
      <c r="A9" s="124"/>
      <c r="B9" s="258"/>
      <c r="C9" s="265"/>
      <c r="D9" s="266"/>
      <c r="E9" s="113"/>
      <c r="F9" s="268" t="s">
        <v>565</v>
      </c>
      <c r="G9" s="445">
        <f>'Revenue Inputs'!$D$38*K9</f>
        <v>0</v>
      </c>
      <c r="H9" s="269">
        <v>0</v>
      </c>
      <c r="I9" s="349">
        <f t="shared" ref="I9" si="0">SUM(G9:H9)</f>
        <v>0</v>
      </c>
      <c r="J9" s="94"/>
      <c r="K9" s="888">
        <v>0</v>
      </c>
    </row>
    <row r="10" spans="1:16" s="95" customFormat="1" ht="12" customHeight="1" outlineLevel="1">
      <c r="A10" s="124"/>
      <c r="B10" s="258"/>
      <c r="C10" s="265"/>
      <c r="D10" s="266"/>
      <c r="E10" s="113"/>
      <c r="F10" s="268"/>
      <c r="G10" s="269">
        <v>0</v>
      </c>
      <c r="H10" s="269">
        <v>0</v>
      </c>
      <c r="I10" s="349">
        <f t="shared" ref="I10:I77" si="1">SUM(G10:H10)</f>
        <v>0</v>
      </c>
      <c r="J10" s="94"/>
      <c r="K10" s="771"/>
      <c r="M10" s="857" t="s">
        <v>531</v>
      </c>
      <c r="N10" s="857" t="s">
        <v>62</v>
      </c>
      <c r="O10" s="857" t="s">
        <v>539</v>
      </c>
      <c r="P10" s="857" t="s">
        <v>533</v>
      </c>
    </row>
    <row r="11" spans="1:16" s="95" customFormat="1" ht="12" customHeight="1" outlineLevel="1">
      <c r="A11" s="124"/>
      <c r="B11" s="258"/>
      <c r="C11" s="265"/>
      <c r="D11" s="266"/>
      <c r="E11" s="113"/>
      <c r="F11" s="268"/>
      <c r="G11" s="269">
        <v>0</v>
      </c>
      <c r="H11" s="269">
        <v>0</v>
      </c>
      <c r="I11" s="349">
        <f t="shared" si="1"/>
        <v>0</v>
      </c>
      <c r="J11" s="94"/>
      <c r="K11" s="771"/>
      <c r="M11" s="858" t="s">
        <v>535</v>
      </c>
      <c r="N11" s="859">
        <f>'Revenue Inputs'!D34</f>
        <v>1409.09</v>
      </c>
      <c r="O11" s="860">
        <v>2650</v>
      </c>
      <c r="P11" s="861">
        <f>O11*N11</f>
        <v>3734088.5</v>
      </c>
    </row>
    <row r="12" spans="1:16" s="95" customFormat="1" ht="12" customHeight="1" outlineLevel="1">
      <c r="A12" s="124"/>
      <c r="B12" s="258"/>
      <c r="C12" s="265"/>
      <c r="D12" s="266"/>
      <c r="E12" s="113" t="s">
        <v>179</v>
      </c>
      <c r="F12" s="113"/>
      <c r="G12" s="270">
        <f>SUM(G8:G11)</f>
        <v>0</v>
      </c>
      <c r="H12" s="270">
        <f>SUM(H8:H11)</f>
        <v>0</v>
      </c>
      <c r="I12" s="270">
        <f>SUM(G12:H12)</f>
        <v>0</v>
      </c>
      <c r="J12" s="94"/>
      <c r="K12" s="771"/>
      <c r="M12" s="858" t="s">
        <v>536</v>
      </c>
      <c r="N12" s="859">
        <f>'Revenue Inputs'!D35</f>
        <v>889.87</v>
      </c>
      <c r="O12" s="860">
        <v>2650</v>
      </c>
      <c r="P12" s="861">
        <f>O12*N12</f>
        <v>2358155.5</v>
      </c>
    </row>
    <row r="13" spans="1:16" s="95" customFormat="1" ht="12" customHeight="1" outlineLevel="1">
      <c r="A13" s="124"/>
      <c r="B13" s="258"/>
      <c r="C13" s="265"/>
      <c r="D13" s="266"/>
      <c r="E13" s="113"/>
      <c r="F13" s="113"/>
      <c r="G13" s="267"/>
      <c r="H13" s="267"/>
      <c r="I13" s="348"/>
      <c r="J13" s="94"/>
      <c r="K13" s="771"/>
      <c r="M13" s="858" t="s">
        <v>537</v>
      </c>
      <c r="N13" s="859">
        <f>'Revenue Inputs'!D36</f>
        <v>478.88</v>
      </c>
      <c r="O13" s="860">
        <v>2650</v>
      </c>
      <c r="P13" s="861">
        <f>O13*N13</f>
        <v>1269032</v>
      </c>
    </row>
    <row r="14" spans="1:16" s="95" customFormat="1" ht="12" customHeight="1" outlineLevel="1">
      <c r="A14" s="124"/>
      <c r="B14" s="258"/>
      <c r="C14" s="265">
        <v>4200</v>
      </c>
      <c r="D14" s="266" t="s">
        <v>79</v>
      </c>
      <c r="E14" s="113"/>
      <c r="F14" s="113"/>
      <c r="G14" s="267"/>
      <c r="H14" s="267"/>
      <c r="I14" s="348"/>
      <c r="J14" s="94"/>
      <c r="K14" s="771"/>
      <c r="M14" s="858" t="s">
        <v>538</v>
      </c>
      <c r="N14" s="859">
        <f>'Revenue Inputs'!D37</f>
        <v>404.12</v>
      </c>
      <c r="O14" s="860">
        <v>2850</v>
      </c>
      <c r="P14" s="861">
        <f>O14*N14</f>
        <v>1151742</v>
      </c>
    </row>
    <row r="15" spans="1:16" s="95" customFormat="1" ht="16" outlineLevel="1" thickBot="1">
      <c r="A15" s="124"/>
      <c r="B15" s="258"/>
      <c r="C15" s="265"/>
      <c r="D15" s="266"/>
      <c r="E15" s="113"/>
      <c r="F15" s="268" t="s">
        <v>565</v>
      </c>
      <c r="G15" s="445">
        <f>'Revenue Inputs'!$D$38*K15</f>
        <v>0</v>
      </c>
      <c r="H15" s="269">
        <v>0</v>
      </c>
      <c r="I15" s="349">
        <f t="shared" ref="I15" si="2">SUM(G15:H15)</f>
        <v>0</v>
      </c>
      <c r="J15" s="94"/>
      <c r="K15" s="888">
        <v>0</v>
      </c>
      <c r="N15" s="862"/>
      <c r="O15" s="863" t="s">
        <v>534</v>
      </c>
      <c r="P15" s="864">
        <f>SUM(P11:P14)</f>
        <v>8513018</v>
      </c>
    </row>
    <row r="16" spans="1:16" s="95" customFormat="1" ht="12" customHeight="1" outlineLevel="1">
      <c r="A16" s="124"/>
      <c r="B16" s="258"/>
      <c r="C16" s="265"/>
      <c r="D16" s="266"/>
      <c r="E16" s="113"/>
      <c r="F16" s="268"/>
      <c r="G16" s="269">
        <v>0</v>
      </c>
      <c r="H16" s="269">
        <v>0</v>
      </c>
      <c r="I16" s="349">
        <f t="shared" ref="I16:I17" si="3">SUM(G16:H16)</f>
        <v>0</v>
      </c>
      <c r="J16" s="94"/>
      <c r="K16" s="771"/>
      <c r="M16" s="667"/>
    </row>
    <row r="17" spans="1:29" s="95" customFormat="1" outlineLevel="1">
      <c r="A17" s="124"/>
      <c r="B17" s="258"/>
      <c r="C17" s="265"/>
      <c r="D17" s="266"/>
      <c r="E17" s="113"/>
      <c r="F17" s="268"/>
      <c r="G17" s="269">
        <v>0</v>
      </c>
      <c r="H17" s="269">
        <v>0</v>
      </c>
      <c r="I17" s="349">
        <f t="shared" si="3"/>
        <v>0</v>
      </c>
      <c r="J17" s="94"/>
      <c r="K17" s="771"/>
    </row>
    <row r="18" spans="1:29" s="95" customFormat="1" ht="12" customHeight="1" outlineLevel="1">
      <c r="A18" s="124"/>
      <c r="B18" s="258"/>
      <c r="C18" s="265"/>
      <c r="D18" s="266"/>
      <c r="E18" s="113" t="s">
        <v>180</v>
      </c>
      <c r="F18" s="113"/>
      <c r="G18" s="270">
        <f>SUM(G14:G17)</f>
        <v>0</v>
      </c>
      <c r="H18" s="270">
        <f>SUM(H14:H17)</f>
        <v>0</v>
      </c>
      <c r="I18" s="270">
        <f t="shared" si="1"/>
        <v>0</v>
      </c>
      <c r="J18" s="94"/>
      <c r="K18" s="771"/>
      <c r="Q18" s="854" t="s">
        <v>540</v>
      </c>
      <c r="R18" s="854" t="s">
        <v>541</v>
      </c>
      <c r="S18" s="854" t="s">
        <v>542</v>
      </c>
    </row>
    <row r="19" spans="1:29" s="95" customFormat="1" ht="12" customHeight="1" outlineLevel="1">
      <c r="A19" s="124"/>
      <c r="B19" s="258"/>
      <c r="C19" s="265"/>
      <c r="D19" s="266"/>
      <c r="E19" s="113"/>
      <c r="F19" s="113"/>
      <c r="G19" s="267"/>
      <c r="H19" s="267"/>
      <c r="I19" s="348"/>
      <c r="J19" s="94"/>
      <c r="K19" s="771"/>
      <c r="M19" s="872">
        <v>4302</v>
      </c>
      <c r="N19" s="95" t="s">
        <v>80</v>
      </c>
      <c r="Q19" s="876">
        <v>35</v>
      </c>
      <c r="R19" s="856">
        <f>Q19/$Q$23</f>
        <v>0.35</v>
      </c>
      <c r="S19" s="855">
        <f>R19*$P$15</f>
        <v>2979556.3</v>
      </c>
    </row>
    <row r="20" spans="1:29" s="95" customFormat="1" ht="12" customHeight="1" outlineLevel="1">
      <c r="A20" s="124"/>
      <c r="B20" s="258"/>
      <c r="C20" s="265">
        <v>4302</v>
      </c>
      <c r="D20" s="266" t="s">
        <v>80</v>
      </c>
      <c r="E20" s="113"/>
      <c r="F20" s="113"/>
      <c r="G20" s="267"/>
      <c r="H20" s="267"/>
      <c r="I20" s="348"/>
      <c r="J20" s="94"/>
      <c r="K20" s="771"/>
      <c r="M20" s="872">
        <v>4400</v>
      </c>
      <c r="N20" s="95" t="s">
        <v>83</v>
      </c>
      <c r="Q20" s="876">
        <v>5</v>
      </c>
      <c r="R20" s="856">
        <f>Q20/$Q$23</f>
        <v>0.05</v>
      </c>
      <c r="S20" s="855">
        <f t="shared" ref="S20:S22" si="4">R20*$P$15</f>
        <v>425650.9</v>
      </c>
      <c r="U20" s="1070" t="s">
        <v>550</v>
      </c>
      <c r="V20" s="1071"/>
    </row>
    <row r="21" spans="1:29" s="95" customFormat="1" ht="12" customHeight="1" outlineLevel="1">
      <c r="A21" s="124"/>
      <c r="B21" s="258"/>
      <c r="C21" s="265"/>
      <c r="D21" s="266"/>
      <c r="E21" s="113"/>
      <c r="F21" s="268" t="s">
        <v>532</v>
      </c>
      <c r="G21" s="269">
        <f>S19</f>
        <v>2979556.3</v>
      </c>
      <c r="H21" s="269">
        <v>0</v>
      </c>
      <c r="I21" s="349">
        <f>SUM(G21:H21)</f>
        <v>2979556.3</v>
      </c>
      <c r="J21" s="94"/>
      <c r="K21" s="771"/>
      <c r="M21" s="872">
        <v>5106</v>
      </c>
      <c r="N21" s="95" t="s">
        <v>551</v>
      </c>
      <c r="Q21" s="876">
        <v>50</v>
      </c>
      <c r="R21" s="856">
        <f>Q21/$Q$23</f>
        <v>0.5</v>
      </c>
      <c r="S21" s="855">
        <f t="shared" si="4"/>
        <v>4256509</v>
      </c>
      <c r="U21" s="870">
        <v>8.5000000000000006E-2</v>
      </c>
      <c r="V21" s="871">
        <f>U21*'FY18-19'!S52</f>
        <v>0</v>
      </c>
    </row>
    <row r="22" spans="1:29" s="95" customFormat="1" ht="12" customHeight="1" outlineLevel="1">
      <c r="A22" s="124"/>
      <c r="B22" s="258"/>
      <c r="C22" s="265"/>
      <c r="D22" s="266"/>
      <c r="E22" s="113"/>
      <c r="F22" s="268"/>
      <c r="G22" s="269">
        <v>0</v>
      </c>
      <c r="H22" s="269">
        <v>0</v>
      </c>
      <c r="I22" s="349">
        <f t="shared" ref="I22" si="5">SUM(G22:H22)</f>
        <v>0</v>
      </c>
      <c r="J22" s="94"/>
      <c r="K22" s="771"/>
      <c r="M22" s="872">
        <v>5806</v>
      </c>
      <c r="N22" s="95" t="s">
        <v>81</v>
      </c>
      <c r="Q22" s="876">
        <v>10</v>
      </c>
      <c r="R22" s="856">
        <f>Q22/$Q$23</f>
        <v>0.1</v>
      </c>
      <c r="S22" s="855">
        <f t="shared" si="4"/>
        <v>851301.8</v>
      </c>
    </row>
    <row r="23" spans="1:29" s="95" customFormat="1" ht="12" customHeight="1" outlineLevel="1">
      <c r="A23" s="124"/>
      <c r="B23" s="258"/>
      <c r="C23" s="265"/>
      <c r="D23" s="266"/>
      <c r="E23" s="113"/>
      <c r="F23" s="268"/>
      <c r="G23" s="269">
        <v>0</v>
      </c>
      <c r="H23" s="269">
        <v>0</v>
      </c>
      <c r="I23" s="349">
        <f t="shared" si="1"/>
        <v>0</v>
      </c>
      <c r="J23" s="94"/>
      <c r="K23" s="771"/>
      <c r="P23" s="112" t="s">
        <v>74</v>
      </c>
      <c r="Q23" s="877">
        <f>SUM(Q19:Q22)</f>
        <v>100</v>
      </c>
      <c r="R23" s="874">
        <f t="shared" ref="R23:S23" si="6">SUM(R19:R22)</f>
        <v>0.99999999999999989</v>
      </c>
      <c r="S23" s="873">
        <f t="shared" si="6"/>
        <v>8513018</v>
      </c>
    </row>
    <row r="24" spans="1:29" s="95" customFormat="1" ht="12" customHeight="1" outlineLevel="1">
      <c r="A24" s="124"/>
      <c r="B24" s="258"/>
      <c r="C24" s="265"/>
      <c r="D24" s="266"/>
      <c r="E24" s="113" t="s">
        <v>181</v>
      </c>
      <c r="F24" s="113"/>
      <c r="G24" s="270">
        <f>SUM(G20:G23)</f>
        <v>2979556.3</v>
      </c>
      <c r="H24" s="270">
        <f>SUM(H20:H23)</f>
        <v>0</v>
      </c>
      <c r="I24" s="270">
        <f t="shared" si="1"/>
        <v>2979556.3</v>
      </c>
      <c r="J24" s="94"/>
      <c r="K24" s="771"/>
    </row>
    <row r="25" spans="1:29" s="95" customFormat="1" ht="12" customHeight="1" outlineLevel="1">
      <c r="A25" s="124"/>
      <c r="B25" s="258"/>
      <c r="C25" s="265"/>
      <c r="D25" s="266"/>
      <c r="E25" s="113"/>
      <c r="F25" s="113"/>
      <c r="G25" s="267"/>
      <c r="H25" s="267"/>
      <c r="I25" s="348"/>
      <c r="J25" s="94"/>
      <c r="K25" s="771"/>
      <c r="Q25" s="879" t="s">
        <v>555</v>
      </c>
      <c r="R25" s="879"/>
      <c r="S25" s="879"/>
    </row>
    <row r="26" spans="1:29" s="95" customFormat="1" ht="12" customHeight="1" outlineLevel="1">
      <c r="A26" s="124"/>
      <c r="B26" s="258"/>
      <c r="C26" s="265">
        <v>4305</v>
      </c>
      <c r="D26" s="266" t="s">
        <v>97</v>
      </c>
      <c r="E26" s="113"/>
      <c r="F26" s="113"/>
      <c r="G26" s="267"/>
      <c r="H26" s="267"/>
      <c r="I26" s="348"/>
      <c r="J26" s="94"/>
      <c r="K26" s="771"/>
      <c r="M26" s="95" t="s">
        <v>543</v>
      </c>
    </row>
    <row r="27" spans="1:29" s="95" customFormat="1" ht="12" customHeight="1" outlineLevel="1">
      <c r="A27" s="124"/>
      <c r="B27" s="258"/>
      <c r="C27" s="265"/>
      <c r="D27" s="266"/>
      <c r="E27" s="113"/>
      <c r="F27" s="268" t="s">
        <v>565</v>
      </c>
      <c r="G27" s="445">
        <f>'Revenue Inputs'!$D$38*K27</f>
        <v>868675.08</v>
      </c>
      <c r="H27" s="269">
        <v>0</v>
      </c>
      <c r="I27" s="349">
        <f t="shared" ref="I27" si="7">SUM(G27:H27)</f>
        <v>868675.08</v>
      </c>
      <c r="J27" s="94"/>
      <c r="K27" s="888">
        <v>273</v>
      </c>
      <c r="O27" s="679">
        <v>43282</v>
      </c>
      <c r="P27" s="679">
        <f t="shared" ref="P27:Z27" si="8">O27+31</f>
        <v>43313</v>
      </c>
      <c r="Q27" s="679">
        <f t="shared" si="8"/>
        <v>43344</v>
      </c>
      <c r="R27" s="679">
        <f t="shared" si="8"/>
        <v>43375</v>
      </c>
      <c r="S27" s="679">
        <f t="shared" si="8"/>
        <v>43406</v>
      </c>
      <c r="T27" s="679">
        <f t="shared" si="8"/>
        <v>43437</v>
      </c>
      <c r="U27" s="679">
        <f t="shared" si="8"/>
        <v>43468</v>
      </c>
      <c r="V27" s="679">
        <f t="shared" si="8"/>
        <v>43499</v>
      </c>
      <c r="W27" s="679">
        <f t="shared" si="8"/>
        <v>43530</v>
      </c>
      <c r="X27" s="679">
        <f t="shared" si="8"/>
        <v>43561</v>
      </c>
      <c r="Y27" s="679">
        <f t="shared" si="8"/>
        <v>43592</v>
      </c>
      <c r="Z27" s="679">
        <f t="shared" si="8"/>
        <v>43623</v>
      </c>
      <c r="AA27" s="868" t="s">
        <v>547</v>
      </c>
      <c r="AB27" s="95" t="s">
        <v>74</v>
      </c>
      <c r="AC27" s="865" t="s">
        <v>546</v>
      </c>
    </row>
    <row r="28" spans="1:29" s="95" customFormat="1" ht="12" customHeight="1" outlineLevel="1">
      <c r="A28" s="124"/>
      <c r="B28" s="258"/>
      <c r="C28" s="265"/>
      <c r="D28" s="266"/>
      <c r="E28" s="113"/>
      <c r="F28" s="268"/>
      <c r="G28" s="269">
        <f>-G27/2</f>
        <v>-434337.54</v>
      </c>
      <c r="H28" s="269">
        <v>0</v>
      </c>
      <c r="I28" s="349">
        <f t="shared" si="1"/>
        <v>-434337.54</v>
      </c>
      <c r="J28" s="94"/>
      <c r="K28" s="771"/>
      <c r="M28" s="667" t="s">
        <v>544</v>
      </c>
      <c r="O28" s="878">
        <v>5</v>
      </c>
      <c r="P28" s="878">
        <v>8.5</v>
      </c>
      <c r="Q28" s="878">
        <v>10</v>
      </c>
      <c r="R28" s="878">
        <v>8.5</v>
      </c>
      <c r="S28" s="878">
        <v>8.5</v>
      </c>
      <c r="T28" s="878">
        <v>8.5</v>
      </c>
      <c r="U28" s="878">
        <v>8.5</v>
      </c>
      <c r="V28" s="878">
        <v>8.5</v>
      </c>
      <c r="W28" s="878">
        <v>8.5</v>
      </c>
      <c r="X28" s="878">
        <v>8.5</v>
      </c>
      <c r="Y28" s="878">
        <v>8.5</v>
      </c>
      <c r="Z28" s="878">
        <v>8.5</v>
      </c>
      <c r="AA28" s="94">
        <f>'FY18-19'!Q83+'FY18-19'!Q84+'FY18-19'!Q87+'FY18-19'!Q96</f>
        <v>0</v>
      </c>
      <c r="AB28" s="926">
        <f>SUM(O28:AA28)</f>
        <v>100</v>
      </c>
      <c r="AC28" s="866">
        <f>AB28-Q23-V21</f>
        <v>0</v>
      </c>
    </row>
    <row r="29" spans="1:29" s="95" customFormat="1" ht="12" customHeight="1" outlineLevel="1">
      <c r="A29" s="124"/>
      <c r="B29" s="258"/>
      <c r="C29" s="265"/>
      <c r="D29" s="266"/>
      <c r="E29" s="113"/>
      <c r="F29" s="268"/>
      <c r="G29" s="269">
        <v>0</v>
      </c>
      <c r="H29" s="269">
        <v>0</v>
      </c>
      <c r="I29" s="349">
        <f t="shared" si="1"/>
        <v>0</v>
      </c>
      <c r="J29" s="94"/>
      <c r="K29" s="771"/>
      <c r="M29" s="667" t="s">
        <v>545</v>
      </c>
      <c r="O29" s="867">
        <f>O28/AB28</f>
        <v>0.05</v>
      </c>
      <c r="P29" s="869">
        <f>P28/SUM(P28:$AA$28)</f>
        <v>8.9473684210526316E-2</v>
      </c>
      <c r="Q29" s="869">
        <f>Q28/SUM(Q28:$AA$28)</f>
        <v>0.11560693641618497</v>
      </c>
      <c r="R29" s="869">
        <f>R28/SUM(R28:$AA$28)</f>
        <v>0.1111111111111111</v>
      </c>
      <c r="S29" s="869">
        <f>S28/SUM(S28:$AA$28)</f>
        <v>0.125</v>
      </c>
      <c r="T29" s="869">
        <f>T28/SUM(T28:$AA$28)</f>
        <v>0.14285714285714285</v>
      </c>
      <c r="U29" s="869">
        <f>U28/SUM(U28:$AA$28)</f>
        <v>0.16666666666666666</v>
      </c>
      <c r="V29" s="869">
        <f>V28/SUM(V28:$AA$28)</f>
        <v>0.2</v>
      </c>
      <c r="W29" s="869">
        <f>W28/SUM(W28:$AA$28)</f>
        <v>0.25</v>
      </c>
      <c r="X29" s="869">
        <f>X28/SUM(X28:$AA$28)</f>
        <v>0.33333333333333331</v>
      </c>
      <c r="Y29" s="869">
        <f>Y28/SUM(Y28:$AA$28)</f>
        <v>0.5</v>
      </c>
      <c r="Z29" s="869">
        <f>Z28/SUM(Z28:$AA$28)</f>
        <v>1</v>
      </c>
      <c r="AA29" s="869">
        <v>1</v>
      </c>
      <c r="AC29" s="865"/>
    </row>
    <row r="30" spans="1:29" s="95" customFormat="1" ht="12" customHeight="1" outlineLevel="1">
      <c r="A30" s="124"/>
      <c r="B30" s="258"/>
      <c r="C30" s="265"/>
      <c r="D30" s="266"/>
      <c r="E30" s="113"/>
      <c r="F30" s="268"/>
      <c r="G30" s="269">
        <v>0</v>
      </c>
      <c r="H30" s="269">
        <v>0</v>
      </c>
      <c r="I30" s="349">
        <f t="shared" si="1"/>
        <v>0</v>
      </c>
      <c r="J30" s="94"/>
      <c r="K30" s="771"/>
      <c r="M30" s="667"/>
      <c r="AC30" s="865"/>
    </row>
    <row r="31" spans="1:29" s="95" customFormat="1" ht="12" customHeight="1" outlineLevel="1">
      <c r="A31" s="124"/>
      <c r="B31" s="258"/>
      <c r="C31" s="265"/>
      <c r="D31" s="266"/>
      <c r="E31" s="113" t="s">
        <v>183</v>
      </c>
      <c r="F31" s="113"/>
      <c r="G31" s="270">
        <f>SUM(G27:G30)</f>
        <v>434337.54</v>
      </c>
      <c r="H31" s="270">
        <f t="shared" ref="H31:I31" si="9">SUM(H27:H30)</f>
        <v>0</v>
      </c>
      <c r="I31" s="270">
        <f t="shared" si="9"/>
        <v>434337.54</v>
      </c>
      <c r="J31" s="94"/>
      <c r="K31" s="771"/>
      <c r="M31" s="667"/>
    </row>
    <row r="32" spans="1:29" s="95" customFormat="1" ht="12" customHeight="1" outlineLevel="1">
      <c r="A32" s="124"/>
      <c r="B32" s="258"/>
      <c r="C32" s="265"/>
      <c r="D32" s="266"/>
      <c r="E32" s="113"/>
      <c r="F32" s="113"/>
      <c r="G32" s="267"/>
      <c r="H32" s="267"/>
      <c r="I32" s="348"/>
      <c r="J32" s="94"/>
      <c r="K32" s="771"/>
      <c r="M32" s="667"/>
    </row>
    <row r="33" spans="1:13" s="95" customFormat="1" ht="12" customHeight="1" outlineLevel="1">
      <c r="A33" s="124"/>
      <c r="B33" s="258"/>
      <c r="C33" s="265">
        <v>4310</v>
      </c>
      <c r="D33" s="266" t="s">
        <v>39</v>
      </c>
      <c r="E33" s="113"/>
      <c r="F33" s="113"/>
      <c r="G33" s="267"/>
      <c r="H33" s="267"/>
      <c r="I33" s="348"/>
      <c r="J33" s="94"/>
      <c r="K33" s="771"/>
      <c r="M33" s="667"/>
    </row>
    <row r="34" spans="1:13" s="95" customFormat="1" ht="12" customHeight="1" outlineLevel="1">
      <c r="A34" s="124"/>
      <c r="B34" s="258"/>
      <c r="C34" s="265"/>
      <c r="D34" s="266"/>
      <c r="E34" s="113"/>
      <c r="F34" s="268" t="s">
        <v>565</v>
      </c>
      <c r="G34" s="445">
        <f>'Revenue Inputs'!$D$38*K34</f>
        <v>24103.347000000002</v>
      </c>
      <c r="H34" s="269">
        <v>0</v>
      </c>
      <c r="I34" s="349">
        <f t="shared" ref="I34" si="10">SUM(G34:H34)</f>
        <v>24103.347000000002</v>
      </c>
      <c r="J34" s="94"/>
      <c r="K34" s="888">
        <v>7.5750000000000002</v>
      </c>
      <c r="M34" s="667"/>
    </row>
    <row r="35" spans="1:13" s="95" customFormat="1" ht="12" customHeight="1" outlineLevel="1">
      <c r="A35" s="124"/>
      <c r="B35" s="258"/>
      <c r="C35" s="265"/>
      <c r="D35" s="266"/>
      <c r="E35" s="113"/>
      <c r="F35" s="268"/>
      <c r="G35" s="269">
        <v>0</v>
      </c>
      <c r="H35" s="269">
        <v>0</v>
      </c>
      <c r="I35" s="349">
        <f>SUM(G35:H35)</f>
        <v>0</v>
      </c>
      <c r="J35" s="94"/>
      <c r="K35" s="771"/>
      <c r="M35" s="667"/>
    </row>
    <row r="36" spans="1:13" s="95" customFormat="1" ht="12" customHeight="1" outlineLevel="1">
      <c r="A36" s="124"/>
      <c r="B36" s="258"/>
      <c r="C36" s="265"/>
      <c r="D36" s="266"/>
      <c r="E36" s="113"/>
      <c r="F36" s="268"/>
      <c r="G36" s="269">
        <v>0</v>
      </c>
      <c r="H36" s="269">
        <v>0</v>
      </c>
      <c r="I36" s="349">
        <f>SUM(G36:H36)</f>
        <v>0</v>
      </c>
      <c r="J36" s="94"/>
      <c r="K36" s="771"/>
      <c r="M36" s="667"/>
    </row>
    <row r="37" spans="1:13" s="95" customFormat="1" ht="12" customHeight="1" outlineLevel="1">
      <c r="A37" s="124"/>
      <c r="B37" s="258"/>
      <c r="C37" s="265"/>
      <c r="D37" s="266"/>
      <c r="E37" s="113" t="s">
        <v>212</v>
      </c>
      <c r="F37" s="113"/>
      <c r="G37" s="270">
        <f>SUM(G33:G36)</f>
        <v>24103.347000000002</v>
      </c>
      <c r="H37" s="270">
        <f>SUM(H33:H36)</f>
        <v>0</v>
      </c>
      <c r="I37" s="270">
        <f>SUM(G37:H37)</f>
        <v>24103.347000000002</v>
      </c>
      <c r="J37" s="94"/>
      <c r="K37" s="771"/>
      <c r="M37" s="667"/>
    </row>
    <row r="38" spans="1:13" s="95" customFormat="1" ht="12" customHeight="1" outlineLevel="1">
      <c r="A38" s="124"/>
      <c r="B38" s="258"/>
      <c r="C38" s="265"/>
      <c r="D38" s="266"/>
      <c r="E38" s="113"/>
      <c r="F38" s="113"/>
      <c r="G38" s="267"/>
      <c r="H38" s="267"/>
      <c r="I38" s="348"/>
      <c r="J38" s="94"/>
      <c r="K38" s="771"/>
      <c r="M38" s="667"/>
    </row>
    <row r="39" spans="1:13" s="95" customFormat="1" ht="12" customHeight="1" outlineLevel="1">
      <c r="A39" s="124"/>
      <c r="B39" s="258"/>
      <c r="C39" s="265">
        <v>4311</v>
      </c>
      <c r="D39" s="266" t="s">
        <v>36</v>
      </c>
      <c r="E39" s="113"/>
      <c r="F39" s="113"/>
      <c r="G39" s="267"/>
      <c r="H39" s="267"/>
      <c r="I39" s="348"/>
      <c r="J39" s="94"/>
      <c r="K39" s="771"/>
      <c r="M39" s="667"/>
    </row>
    <row r="40" spans="1:13" s="95" customFormat="1" ht="12" customHeight="1" outlineLevel="1">
      <c r="A40" s="124"/>
      <c r="B40" s="258"/>
      <c r="C40" s="265"/>
      <c r="D40" s="266"/>
      <c r="E40" s="113"/>
      <c r="F40" s="268" t="s">
        <v>565</v>
      </c>
      <c r="G40" s="445">
        <f>'Revenue Inputs'!$D$38*K40</f>
        <v>3341.058</v>
      </c>
      <c r="H40" s="269">
        <v>0</v>
      </c>
      <c r="I40" s="349">
        <f t="shared" ref="I40" si="11">SUM(G40:H40)</f>
        <v>3341.058</v>
      </c>
      <c r="J40" s="94"/>
      <c r="K40" s="888">
        <v>1.05</v>
      </c>
      <c r="M40" s="667"/>
    </row>
    <row r="41" spans="1:13" s="95" customFormat="1" ht="12" customHeight="1" outlineLevel="1">
      <c r="A41" s="124"/>
      <c r="B41" s="258"/>
      <c r="C41" s="265"/>
      <c r="D41" s="266"/>
      <c r="E41" s="113"/>
      <c r="F41" s="268"/>
      <c r="G41" s="269">
        <v>0</v>
      </c>
      <c r="H41" s="269">
        <v>0</v>
      </c>
      <c r="I41" s="349">
        <f>SUM(G41:H41)</f>
        <v>0</v>
      </c>
      <c r="J41" s="94"/>
      <c r="K41" s="771"/>
      <c r="M41" s="667"/>
    </row>
    <row r="42" spans="1:13" s="95" customFormat="1" ht="12" customHeight="1" outlineLevel="1">
      <c r="A42" s="124"/>
      <c r="B42" s="258"/>
      <c r="C42" s="265"/>
      <c r="D42" s="266"/>
      <c r="E42" s="113"/>
      <c r="F42" s="268"/>
      <c r="G42" s="269">
        <v>0</v>
      </c>
      <c r="H42" s="269">
        <v>0</v>
      </c>
      <c r="I42" s="349">
        <f>SUM(G42:H42)</f>
        <v>0</v>
      </c>
      <c r="J42" s="94"/>
      <c r="K42" s="771"/>
      <c r="M42" s="667"/>
    </row>
    <row r="43" spans="1:13" s="95" customFormat="1" ht="12" customHeight="1" outlineLevel="1">
      <c r="A43" s="124"/>
      <c r="B43" s="258"/>
      <c r="C43" s="265"/>
      <c r="D43" s="266"/>
      <c r="E43" s="113" t="s">
        <v>207</v>
      </c>
      <c r="F43" s="113"/>
      <c r="G43" s="270">
        <f>SUM(G39:G42)</f>
        <v>3341.058</v>
      </c>
      <c r="H43" s="270">
        <f>SUM(H39:H42)</f>
        <v>0</v>
      </c>
      <c r="I43" s="270">
        <f>SUM(G43:H43)</f>
        <v>3341.058</v>
      </c>
      <c r="J43" s="94"/>
      <c r="K43" s="771"/>
      <c r="M43" s="667"/>
    </row>
    <row r="44" spans="1:13" s="95" customFormat="1" ht="12" customHeight="1" outlineLevel="1">
      <c r="A44" s="124"/>
      <c r="B44" s="258"/>
      <c r="C44" s="265"/>
      <c r="D44" s="266"/>
      <c r="E44" s="113"/>
      <c r="F44" s="113"/>
      <c r="G44" s="267"/>
      <c r="H44" s="267"/>
      <c r="I44" s="348"/>
      <c r="J44" s="94"/>
      <c r="K44" s="771"/>
      <c r="M44" s="667"/>
    </row>
    <row r="45" spans="1:13" s="95" customFormat="1" ht="12" customHeight="1" outlineLevel="1">
      <c r="A45" s="124"/>
      <c r="B45" s="258"/>
      <c r="C45" s="265">
        <v>4312</v>
      </c>
      <c r="D45" s="266" t="s">
        <v>34</v>
      </c>
      <c r="E45" s="113"/>
      <c r="F45" s="113"/>
      <c r="G45" s="267"/>
      <c r="H45" s="267"/>
      <c r="I45" s="348"/>
      <c r="J45" s="94"/>
      <c r="K45" s="771"/>
      <c r="M45" s="667"/>
    </row>
    <row r="46" spans="1:13" s="95" customFormat="1" ht="12" customHeight="1" outlineLevel="1">
      <c r="A46" s="124"/>
      <c r="B46" s="258"/>
      <c r="C46" s="265"/>
      <c r="D46" s="266"/>
      <c r="E46" s="113"/>
      <c r="F46" s="268" t="s">
        <v>565</v>
      </c>
      <c r="G46" s="445">
        <f>'Revenue Inputs'!$D$38*K46</f>
        <v>0</v>
      </c>
      <c r="H46" s="269">
        <v>0</v>
      </c>
      <c r="I46" s="349">
        <f t="shared" ref="I46" si="12">SUM(G46:H46)</f>
        <v>0</v>
      </c>
      <c r="J46" s="94"/>
      <c r="K46" s="888">
        <v>0</v>
      </c>
      <c r="M46" s="667"/>
    </row>
    <row r="47" spans="1:13" s="95" customFormat="1" ht="12" customHeight="1" outlineLevel="1">
      <c r="A47" s="124"/>
      <c r="B47" s="258"/>
      <c r="C47" s="265"/>
      <c r="D47" s="266"/>
      <c r="E47" s="113"/>
      <c r="F47" s="268"/>
      <c r="G47" s="269">
        <v>0</v>
      </c>
      <c r="H47" s="269">
        <v>0</v>
      </c>
      <c r="I47" s="349">
        <f>SUM(G47:H47)</f>
        <v>0</v>
      </c>
      <c r="J47" s="94"/>
      <c r="K47" s="771"/>
      <c r="M47" s="667"/>
    </row>
    <row r="48" spans="1:13" s="95" customFormat="1" ht="12" customHeight="1" outlineLevel="1">
      <c r="A48" s="124"/>
      <c r="B48" s="258"/>
      <c r="C48" s="265"/>
      <c r="D48" s="266"/>
      <c r="E48" s="113"/>
      <c r="F48" s="268"/>
      <c r="G48" s="269">
        <v>0</v>
      </c>
      <c r="H48" s="269">
        <v>0</v>
      </c>
      <c r="I48" s="349">
        <f>SUM(G48:H48)</f>
        <v>0</v>
      </c>
      <c r="J48" s="94"/>
      <c r="K48" s="771"/>
      <c r="M48" s="667"/>
    </row>
    <row r="49" spans="1:13" s="95" customFormat="1" ht="12" customHeight="1" outlineLevel="1">
      <c r="A49" s="124"/>
      <c r="B49" s="258"/>
      <c r="C49" s="265"/>
      <c r="D49" s="266"/>
      <c r="E49" s="113" t="s">
        <v>219</v>
      </c>
      <c r="F49" s="113"/>
      <c r="G49" s="270">
        <f>SUM(G45:G48)</f>
        <v>0</v>
      </c>
      <c r="H49" s="270">
        <f>SUM(H45:H48)</f>
        <v>0</v>
      </c>
      <c r="I49" s="270">
        <f>SUM(G49:H49)</f>
        <v>0</v>
      </c>
      <c r="J49" s="94"/>
      <c r="K49" s="771"/>
      <c r="M49" s="667"/>
    </row>
    <row r="50" spans="1:13" s="95" customFormat="1" ht="12" customHeight="1" outlineLevel="1">
      <c r="A50" s="124"/>
      <c r="B50" s="258"/>
      <c r="C50" s="265"/>
      <c r="D50" s="266"/>
      <c r="E50" s="113"/>
      <c r="F50" s="113"/>
      <c r="G50" s="267"/>
      <c r="H50" s="267"/>
      <c r="I50" s="348"/>
      <c r="J50" s="94"/>
      <c r="K50" s="771"/>
      <c r="M50" s="667"/>
    </row>
    <row r="51" spans="1:13" s="95" customFormat="1" ht="12" customHeight="1" outlineLevel="1">
      <c r="A51" s="124"/>
      <c r="B51" s="258"/>
      <c r="C51" s="265">
        <v>4400</v>
      </c>
      <c r="D51" s="266" t="s">
        <v>83</v>
      </c>
      <c r="E51" s="113"/>
      <c r="F51" s="113"/>
      <c r="G51" s="267"/>
      <c r="H51" s="267"/>
      <c r="I51" s="348"/>
      <c r="J51" s="94"/>
      <c r="K51" s="771"/>
      <c r="M51" s="667"/>
    </row>
    <row r="52" spans="1:13" s="95" customFormat="1" ht="12" customHeight="1" outlineLevel="1">
      <c r="A52" s="124"/>
      <c r="B52" s="258"/>
      <c r="C52" s="265"/>
      <c r="D52" s="266"/>
      <c r="E52" s="113"/>
      <c r="F52" s="268" t="s">
        <v>532</v>
      </c>
      <c r="G52" s="269">
        <f>S20</f>
        <v>425650.9</v>
      </c>
      <c r="H52" s="269">
        <v>0</v>
      </c>
      <c r="I52" s="349">
        <f t="shared" si="1"/>
        <v>425650.9</v>
      </c>
      <c r="J52" s="94"/>
      <c r="K52" s="771"/>
      <c r="M52" s="667"/>
    </row>
    <row r="53" spans="1:13" s="95" customFormat="1" ht="12" customHeight="1" outlineLevel="1">
      <c r="A53" s="124"/>
      <c r="B53" s="258"/>
      <c r="C53" s="265"/>
      <c r="D53" s="266"/>
      <c r="E53" s="113"/>
      <c r="F53" s="268"/>
      <c r="G53" s="269"/>
      <c r="H53" s="269">
        <v>0</v>
      </c>
      <c r="I53" s="349">
        <f t="shared" si="1"/>
        <v>0</v>
      </c>
      <c r="J53" s="94"/>
      <c r="K53" s="771"/>
      <c r="M53" s="667"/>
    </row>
    <row r="54" spans="1:13" s="95" customFormat="1" ht="12" customHeight="1" outlineLevel="1">
      <c r="A54" s="124"/>
      <c r="B54" s="258"/>
      <c r="C54" s="265"/>
      <c r="D54" s="266"/>
      <c r="E54" s="113"/>
      <c r="F54" s="268"/>
      <c r="G54" s="269"/>
      <c r="H54" s="269">
        <v>0</v>
      </c>
      <c r="I54" s="349">
        <f t="shared" si="1"/>
        <v>0</v>
      </c>
      <c r="J54" s="94"/>
      <c r="K54" s="771"/>
      <c r="M54" s="667"/>
    </row>
    <row r="55" spans="1:13" s="95" customFormat="1" ht="12" customHeight="1" outlineLevel="1">
      <c r="A55" s="124"/>
      <c r="B55" s="258"/>
      <c r="C55" s="265"/>
      <c r="D55" s="266"/>
      <c r="E55" s="113"/>
      <c r="F55" s="444"/>
      <c r="G55" s="269"/>
      <c r="H55" s="269">
        <v>0</v>
      </c>
      <c r="I55" s="349">
        <f t="shared" si="1"/>
        <v>0</v>
      </c>
      <c r="J55" s="94"/>
      <c r="K55" s="771"/>
      <c r="M55" s="667"/>
    </row>
    <row r="56" spans="1:13" s="95" customFormat="1" ht="12" customHeight="1" outlineLevel="1">
      <c r="A56" s="124"/>
      <c r="B56" s="258"/>
      <c r="C56" s="265"/>
      <c r="D56" s="266"/>
      <c r="E56" s="113"/>
      <c r="F56" s="268"/>
      <c r="G56" s="269"/>
      <c r="H56" s="269">
        <v>0</v>
      </c>
      <c r="I56" s="349">
        <f t="shared" si="1"/>
        <v>0</v>
      </c>
      <c r="J56" s="94"/>
      <c r="K56" s="771"/>
      <c r="M56" s="667"/>
    </row>
    <row r="57" spans="1:13" s="95" customFormat="1" ht="12" customHeight="1" outlineLevel="1">
      <c r="A57" s="124"/>
      <c r="B57" s="258"/>
      <c r="C57" s="265"/>
      <c r="D57" s="266"/>
      <c r="E57" s="113"/>
      <c r="F57" s="268"/>
      <c r="G57" s="269">
        <v>0</v>
      </c>
      <c r="H57" s="269">
        <v>0</v>
      </c>
      <c r="I57" s="349">
        <f t="shared" si="1"/>
        <v>0</v>
      </c>
      <c r="J57" s="94"/>
      <c r="K57" s="771"/>
      <c r="M57" s="667"/>
    </row>
    <row r="58" spans="1:13" s="95" customFormat="1" ht="12" customHeight="1" outlineLevel="1">
      <c r="A58" s="124"/>
      <c r="B58" s="258"/>
      <c r="C58" s="265"/>
      <c r="D58" s="266"/>
      <c r="E58" s="113" t="s">
        <v>184</v>
      </c>
      <c r="F58" s="113"/>
      <c r="G58" s="270">
        <f>SUM(G51:G57)</f>
        <v>425650.9</v>
      </c>
      <c r="H58" s="270">
        <f>SUM(H51:H57)</f>
        <v>0</v>
      </c>
      <c r="I58" s="270">
        <f t="shared" si="1"/>
        <v>425650.9</v>
      </c>
      <c r="J58" s="94"/>
      <c r="K58" s="771"/>
      <c r="M58" s="667"/>
    </row>
    <row r="59" spans="1:13" s="95" customFormat="1" ht="12" customHeight="1" outlineLevel="1">
      <c r="A59" s="124"/>
      <c r="B59" s="258"/>
      <c r="C59" s="265"/>
      <c r="D59" s="266"/>
      <c r="E59" s="113"/>
      <c r="F59" s="113"/>
      <c r="G59" s="267"/>
      <c r="H59" s="267"/>
      <c r="I59" s="348"/>
      <c r="J59" s="94"/>
      <c r="K59" s="771"/>
      <c r="M59" s="667"/>
    </row>
    <row r="60" spans="1:13" s="95" customFormat="1" ht="12" customHeight="1" outlineLevel="1">
      <c r="A60" s="124"/>
      <c r="B60" s="258"/>
      <c r="C60" s="265">
        <v>4700</v>
      </c>
      <c r="D60" s="266" t="s">
        <v>84</v>
      </c>
      <c r="E60" s="113"/>
      <c r="F60" s="113"/>
      <c r="G60" s="267"/>
      <c r="H60" s="267"/>
      <c r="I60" s="348"/>
      <c r="J60" s="94"/>
      <c r="K60" s="771"/>
      <c r="M60" s="667"/>
    </row>
    <row r="61" spans="1:13" s="95" customFormat="1" ht="12" customHeight="1" outlineLevel="1">
      <c r="A61" s="124"/>
      <c r="B61" s="258"/>
      <c r="C61" s="265"/>
      <c r="D61" s="266"/>
      <c r="E61" s="113"/>
      <c r="F61" s="268" t="s">
        <v>565</v>
      </c>
      <c r="G61" s="445">
        <f>'Revenue Inputs'!$D$38*K61</f>
        <v>0</v>
      </c>
      <c r="H61" s="269">
        <v>0</v>
      </c>
      <c r="I61" s="349">
        <f t="shared" ref="I61" si="13">SUM(G61:H61)</f>
        <v>0</v>
      </c>
      <c r="J61" s="94"/>
      <c r="K61" s="888">
        <v>0</v>
      </c>
      <c r="M61" s="667"/>
    </row>
    <row r="62" spans="1:13" s="95" customFormat="1" ht="12" customHeight="1" outlineLevel="1">
      <c r="A62" s="124"/>
      <c r="B62" s="258"/>
      <c r="C62" s="265"/>
      <c r="D62" s="266"/>
      <c r="E62" s="113"/>
      <c r="F62" s="268"/>
      <c r="G62" s="269">
        <v>0</v>
      </c>
      <c r="H62" s="269">
        <v>0</v>
      </c>
      <c r="I62" s="349">
        <f t="shared" si="1"/>
        <v>0</v>
      </c>
      <c r="J62" s="94"/>
      <c r="K62" s="771"/>
      <c r="M62" s="667"/>
    </row>
    <row r="63" spans="1:13" s="95" customFormat="1" ht="12" customHeight="1" outlineLevel="1">
      <c r="A63" s="124"/>
      <c r="B63" s="258"/>
      <c r="C63" s="265"/>
      <c r="D63" s="266"/>
      <c r="E63" s="113"/>
      <c r="F63" s="268"/>
      <c r="G63" s="269">
        <v>0</v>
      </c>
      <c r="H63" s="269">
        <v>0</v>
      </c>
      <c r="I63" s="349">
        <f t="shared" si="1"/>
        <v>0</v>
      </c>
      <c r="J63" s="94"/>
      <c r="K63" s="771"/>
      <c r="M63" s="667"/>
    </row>
    <row r="64" spans="1:13" s="95" customFormat="1" ht="12" customHeight="1" outlineLevel="1">
      <c r="A64" s="124"/>
      <c r="B64" s="258"/>
      <c r="C64" s="271"/>
      <c r="D64" s="272"/>
      <c r="E64" s="113" t="s">
        <v>185</v>
      </c>
      <c r="F64" s="113"/>
      <c r="G64" s="270">
        <f>SUM(G60:G63)</f>
        <v>0</v>
      </c>
      <c r="H64" s="270">
        <f>SUM(H60:H63)</f>
        <v>0</v>
      </c>
      <c r="I64" s="270">
        <f t="shared" si="1"/>
        <v>0</v>
      </c>
      <c r="J64" s="94"/>
      <c r="K64" s="771"/>
      <c r="M64" s="667"/>
    </row>
    <row r="65" spans="1:13" s="95" customFormat="1" ht="12" customHeight="1" outlineLevel="1">
      <c r="A65" s="124"/>
      <c r="B65" s="258"/>
      <c r="C65" s="271"/>
      <c r="D65" s="272"/>
      <c r="E65" s="113" t="s">
        <v>186</v>
      </c>
      <c r="F65" s="113"/>
      <c r="G65" s="94"/>
      <c r="H65" s="94"/>
      <c r="I65" s="113"/>
      <c r="J65" s="94"/>
      <c r="K65" s="771"/>
      <c r="M65" s="667"/>
    </row>
    <row r="66" spans="1:13" s="95" customFormat="1" ht="12" customHeight="1">
      <c r="A66" s="124"/>
      <c r="B66" s="260" t="s">
        <v>90</v>
      </c>
      <c r="C66" s="261"/>
      <c r="D66" s="262"/>
      <c r="E66" s="262"/>
      <c r="F66" s="262"/>
      <c r="G66" s="262"/>
      <c r="H66" s="262"/>
      <c r="I66" s="263"/>
      <c r="J66" s="94"/>
      <c r="K66" s="771"/>
      <c r="M66" s="667"/>
    </row>
    <row r="67" spans="1:13" s="95" customFormat="1" ht="12" customHeight="1" outlineLevel="1">
      <c r="A67" s="124"/>
      <c r="B67" s="258"/>
      <c r="C67" s="265">
        <v>5101</v>
      </c>
      <c r="D67" s="266" t="s">
        <v>85</v>
      </c>
      <c r="E67" s="113"/>
      <c r="F67" s="113"/>
      <c r="G67" s="267"/>
      <c r="H67" s="267"/>
      <c r="I67" s="348"/>
      <c r="J67" s="94"/>
      <c r="K67" s="771"/>
      <c r="M67" s="667"/>
    </row>
    <row r="68" spans="1:13" s="95" customFormat="1" ht="12" customHeight="1" outlineLevel="1">
      <c r="A68" s="124"/>
      <c r="B68" s="258"/>
      <c r="C68" s="265"/>
      <c r="D68" s="266"/>
      <c r="E68" s="113"/>
      <c r="F68" s="268" t="s">
        <v>565</v>
      </c>
      <c r="G68" s="445">
        <f>'Revenue Inputs'!$D$38*K68</f>
        <v>0</v>
      </c>
      <c r="H68" s="269">
        <v>0</v>
      </c>
      <c r="I68" s="349">
        <f t="shared" ref="I68" si="14">SUM(G68:H68)</f>
        <v>0</v>
      </c>
      <c r="J68" s="94"/>
      <c r="K68" s="888">
        <v>0</v>
      </c>
      <c r="M68" s="667"/>
    </row>
    <row r="69" spans="1:13" s="95" customFormat="1" ht="12" customHeight="1" outlineLevel="1">
      <c r="A69" s="124"/>
      <c r="B69" s="258"/>
      <c r="C69" s="265"/>
      <c r="D69" s="266"/>
      <c r="E69" s="113"/>
      <c r="F69" s="268"/>
      <c r="G69" s="269">
        <v>0</v>
      </c>
      <c r="H69" s="269">
        <v>0</v>
      </c>
      <c r="I69" s="349">
        <f t="shared" si="1"/>
        <v>0</v>
      </c>
      <c r="J69" s="94"/>
      <c r="K69" s="771"/>
      <c r="M69" s="667"/>
    </row>
    <row r="70" spans="1:13" s="95" customFormat="1" ht="12" customHeight="1" outlineLevel="1">
      <c r="A70" s="124"/>
      <c r="B70" s="258"/>
      <c r="C70" s="265"/>
      <c r="D70" s="266"/>
      <c r="E70" s="113"/>
      <c r="F70" s="268"/>
      <c r="G70" s="269">
        <v>0</v>
      </c>
      <c r="H70" s="269">
        <v>0</v>
      </c>
      <c r="I70" s="349">
        <f t="shared" si="1"/>
        <v>0</v>
      </c>
      <c r="J70" s="94"/>
      <c r="K70" s="771"/>
      <c r="M70" s="667"/>
    </row>
    <row r="71" spans="1:13" s="95" customFormat="1" ht="12" customHeight="1" outlineLevel="1">
      <c r="A71" s="124"/>
      <c r="B71" s="258"/>
      <c r="C71" s="265"/>
      <c r="D71" s="266"/>
      <c r="E71" s="113" t="s">
        <v>187</v>
      </c>
      <c r="F71" s="113"/>
      <c r="G71" s="270">
        <f>SUM(G67:G70)</f>
        <v>0</v>
      </c>
      <c r="H71" s="270">
        <f>SUM(H67:H70)</f>
        <v>0</v>
      </c>
      <c r="I71" s="270">
        <f t="shared" si="1"/>
        <v>0</v>
      </c>
      <c r="J71" s="94"/>
      <c r="K71" s="771"/>
      <c r="M71" s="667"/>
    </row>
    <row r="72" spans="1:13" s="95" customFormat="1" ht="12" customHeight="1" outlineLevel="1">
      <c r="A72" s="124"/>
      <c r="B72" s="258"/>
      <c r="C72" s="265"/>
      <c r="D72" s="266"/>
      <c r="E72" s="113"/>
      <c r="F72" s="113"/>
      <c r="G72" s="267"/>
      <c r="H72" s="267"/>
      <c r="I72" s="348"/>
      <c r="J72" s="94"/>
      <c r="K72" s="771"/>
      <c r="M72" s="667"/>
    </row>
    <row r="73" spans="1:13" s="95" customFormat="1" ht="12" customHeight="1" outlineLevel="1">
      <c r="A73" s="124"/>
      <c r="B73" s="258"/>
      <c r="C73" s="265">
        <v>5102</v>
      </c>
      <c r="D73" s="266" t="s">
        <v>86</v>
      </c>
      <c r="E73" s="113"/>
      <c r="F73" s="113"/>
      <c r="G73" s="267"/>
      <c r="H73" s="267"/>
      <c r="I73" s="348"/>
      <c r="J73" s="94"/>
      <c r="K73" s="771"/>
      <c r="M73" s="667"/>
    </row>
    <row r="74" spans="1:13" s="95" customFormat="1" ht="12" customHeight="1" outlineLevel="1">
      <c r="A74" s="124"/>
      <c r="B74" s="258"/>
      <c r="C74" s="265"/>
      <c r="D74" s="266"/>
      <c r="E74" s="113"/>
      <c r="F74" s="268" t="s">
        <v>628</v>
      </c>
      <c r="G74" s="445">
        <v>240000</v>
      </c>
      <c r="H74" s="269">
        <v>0</v>
      </c>
      <c r="I74" s="349">
        <f t="shared" ref="I74" si="15">SUM(G74:H74)</f>
        <v>240000</v>
      </c>
      <c r="J74" s="94"/>
      <c r="K74" s="888">
        <v>300</v>
      </c>
      <c r="M74" s="667"/>
    </row>
    <row r="75" spans="1:13" s="95" customFormat="1" ht="12" customHeight="1" outlineLevel="1">
      <c r="A75" s="124"/>
      <c r="B75" s="258"/>
      <c r="C75" s="265"/>
      <c r="D75" s="266"/>
      <c r="E75" s="113"/>
      <c r="F75" s="268"/>
      <c r="G75" s="445">
        <v>0</v>
      </c>
      <c r="H75" s="269">
        <v>0</v>
      </c>
      <c r="I75" s="349">
        <f t="shared" si="1"/>
        <v>0</v>
      </c>
      <c r="J75" s="94"/>
      <c r="K75" s="771"/>
      <c r="M75" s="667"/>
    </row>
    <row r="76" spans="1:13" s="95" customFormat="1" ht="12" customHeight="1" outlineLevel="1">
      <c r="A76" s="124"/>
      <c r="B76" s="258"/>
      <c r="C76" s="265"/>
      <c r="D76" s="266"/>
      <c r="E76" s="113"/>
      <c r="F76" s="268"/>
      <c r="G76" s="445">
        <v>0</v>
      </c>
      <c r="H76" s="269">
        <v>0</v>
      </c>
      <c r="I76" s="349">
        <f t="shared" si="1"/>
        <v>0</v>
      </c>
      <c r="J76" s="94"/>
      <c r="K76" s="771"/>
      <c r="M76" s="667"/>
    </row>
    <row r="77" spans="1:13" s="95" customFormat="1" ht="12" customHeight="1" outlineLevel="1">
      <c r="A77" s="124"/>
      <c r="B77" s="258"/>
      <c r="C77" s="265"/>
      <c r="D77" s="266"/>
      <c r="E77" s="113" t="s">
        <v>188</v>
      </c>
      <c r="F77" s="113"/>
      <c r="G77" s="270">
        <f>SUM(G73:G76)</f>
        <v>240000</v>
      </c>
      <c r="H77" s="270">
        <f>SUM(H73:H76)</f>
        <v>0</v>
      </c>
      <c r="I77" s="270">
        <f t="shared" si="1"/>
        <v>240000</v>
      </c>
      <c r="J77" s="94"/>
      <c r="K77" s="771"/>
      <c r="M77" s="667"/>
    </row>
    <row r="78" spans="1:13" s="95" customFormat="1" ht="12" customHeight="1" outlineLevel="1">
      <c r="A78" s="124"/>
      <c r="B78" s="258"/>
      <c r="C78" s="265"/>
      <c r="D78" s="266"/>
      <c r="E78" s="113"/>
      <c r="F78" s="113"/>
      <c r="G78" s="267"/>
      <c r="H78" s="267"/>
      <c r="I78" s="348"/>
      <c r="J78" s="94"/>
      <c r="K78" s="771"/>
      <c r="M78" s="667"/>
    </row>
    <row r="79" spans="1:13" s="95" customFormat="1" ht="12" customHeight="1" outlineLevel="1">
      <c r="A79" s="124"/>
      <c r="B79" s="258"/>
      <c r="C79" s="265">
        <v>5103</v>
      </c>
      <c r="D79" s="266" t="s">
        <v>87</v>
      </c>
      <c r="E79" s="113"/>
      <c r="F79" s="113"/>
      <c r="G79" s="267"/>
      <c r="H79" s="267"/>
      <c r="I79" s="348"/>
      <c r="J79" s="94"/>
      <c r="K79" s="771"/>
      <c r="M79" s="667"/>
    </row>
    <row r="80" spans="1:13" s="95" customFormat="1" ht="12" customHeight="1" outlineLevel="1">
      <c r="A80" s="124"/>
      <c r="B80" s="258"/>
      <c r="C80" s="265"/>
      <c r="D80" s="266"/>
      <c r="E80" s="113"/>
      <c r="F80" s="268" t="s">
        <v>565</v>
      </c>
      <c r="G80" s="445">
        <f>'Revenue Inputs'!$D$38*K80</f>
        <v>0</v>
      </c>
      <c r="H80" s="269">
        <v>0</v>
      </c>
      <c r="I80" s="349">
        <f t="shared" ref="I80" si="16">SUM(G80:H80)</f>
        <v>0</v>
      </c>
      <c r="J80" s="94"/>
      <c r="K80" s="888">
        <v>0</v>
      </c>
      <c r="M80" s="667"/>
    </row>
    <row r="81" spans="1:13" s="95" customFormat="1" ht="12" customHeight="1" outlineLevel="1">
      <c r="A81" s="124"/>
      <c r="B81" s="258"/>
      <c r="C81" s="265"/>
      <c r="D81" s="266"/>
      <c r="E81" s="113"/>
      <c r="F81" s="268"/>
      <c r="G81" s="269">
        <v>0</v>
      </c>
      <c r="H81" s="269">
        <v>0</v>
      </c>
      <c r="I81" s="349">
        <f t="shared" ref="I81:I274" si="17">SUM(G81:H81)</f>
        <v>0</v>
      </c>
      <c r="J81" s="94"/>
      <c r="K81" s="771"/>
      <c r="M81" s="667"/>
    </row>
    <row r="82" spans="1:13" s="95" customFormat="1" ht="12" customHeight="1" outlineLevel="1">
      <c r="A82" s="124"/>
      <c r="B82" s="258"/>
      <c r="C82" s="265"/>
      <c r="D82" s="266"/>
      <c r="E82" s="113"/>
      <c r="F82" s="268"/>
      <c r="G82" s="269">
        <v>0</v>
      </c>
      <c r="H82" s="269">
        <v>0</v>
      </c>
      <c r="I82" s="349">
        <f t="shared" si="17"/>
        <v>0</v>
      </c>
      <c r="J82" s="94"/>
      <c r="K82" s="771"/>
      <c r="M82" s="667"/>
    </row>
    <row r="83" spans="1:13" s="95" customFormat="1" ht="12" customHeight="1" outlineLevel="1">
      <c r="A83" s="124"/>
      <c r="B83" s="258"/>
      <c r="C83" s="265"/>
      <c r="D83" s="266"/>
      <c r="E83" s="113" t="s">
        <v>189</v>
      </c>
      <c r="F83" s="113"/>
      <c r="G83" s="270">
        <f>SUM(G79:G82)</f>
        <v>0</v>
      </c>
      <c r="H83" s="270">
        <f>SUM(H79:H82)</f>
        <v>0</v>
      </c>
      <c r="I83" s="270">
        <f t="shared" si="17"/>
        <v>0</v>
      </c>
      <c r="J83" s="94"/>
      <c r="K83" s="771"/>
      <c r="M83" s="667"/>
    </row>
    <row r="84" spans="1:13" s="95" customFormat="1" ht="12" customHeight="1" outlineLevel="1">
      <c r="A84" s="124"/>
      <c r="B84" s="258"/>
      <c r="C84" s="265"/>
      <c r="D84" s="266"/>
      <c r="E84" s="113"/>
      <c r="F84" s="113"/>
      <c r="G84" s="267"/>
      <c r="H84" s="267"/>
      <c r="I84" s="348"/>
      <c r="J84" s="94"/>
      <c r="K84" s="771"/>
      <c r="M84" s="667"/>
    </row>
    <row r="85" spans="1:13" s="95" customFormat="1" ht="12" customHeight="1" outlineLevel="1">
      <c r="A85" s="124"/>
      <c r="B85" s="258"/>
      <c r="C85" s="265">
        <v>5104</v>
      </c>
      <c r="D85" s="266" t="s">
        <v>88</v>
      </c>
      <c r="E85" s="113"/>
      <c r="F85" s="113"/>
      <c r="G85" s="267"/>
      <c r="H85" s="267"/>
      <c r="I85" s="348"/>
      <c r="J85" s="94"/>
      <c r="K85" s="771"/>
      <c r="M85" s="667"/>
    </row>
    <row r="86" spans="1:13" s="95" customFormat="1" ht="12" customHeight="1" outlineLevel="1">
      <c r="A86" s="124"/>
      <c r="B86" s="258"/>
      <c r="C86" s="265"/>
      <c r="D86" s="266"/>
      <c r="E86" s="113"/>
      <c r="F86" s="268" t="s">
        <v>565</v>
      </c>
      <c r="G86" s="445">
        <f>'Revenue Inputs'!$D$38*K86</f>
        <v>0</v>
      </c>
      <c r="H86" s="269">
        <v>0</v>
      </c>
      <c r="I86" s="349">
        <f t="shared" ref="I86" si="18">SUM(G86:H86)</f>
        <v>0</v>
      </c>
      <c r="J86" s="94"/>
      <c r="K86" s="888">
        <v>0</v>
      </c>
      <c r="M86" s="667"/>
    </row>
    <row r="87" spans="1:13" s="95" customFormat="1" ht="12" customHeight="1" outlineLevel="1">
      <c r="A87" s="124"/>
      <c r="B87" s="258"/>
      <c r="C87" s="265"/>
      <c r="D87" s="266"/>
      <c r="E87" s="113"/>
      <c r="F87" s="268"/>
      <c r="G87" s="269">
        <v>0</v>
      </c>
      <c r="H87" s="269">
        <v>0</v>
      </c>
      <c r="I87" s="349">
        <f t="shared" si="17"/>
        <v>0</v>
      </c>
      <c r="J87" s="94"/>
      <c r="K87" s="771"/>
      <c r="M87" s="667"/>
    </row>
    <row r="88" spans="1:13" s="95" customFormat="1" ht="12" customHeight="1" outlineLevel="1">
      <c r="A88" s="124"/>
      <c r="B88" s="258"/>
      <c r="C88" s="265"/>
      <c r="D88" s="266"/>
      <c r="E88" s="113"/>
      <c r="F88" s="268"/>
      <c r="G88" s="269">
        <v>0</v>
      </c>
      <c r="H88" s="269">
        <v>0</v>
      </c>
      <c r="I88" s="349">
        <f t="shared" si="17"/>
        <v>0</v>
      </c>
      <c r="J88" s="94"/>
      <c r="K88" s="771"/>
      <c r="M88" s="667"/>
    </row>
    <row r="89" spans="1:13" s="95" customFormat="1" ht="12" customHeight="1" outlineLevel="1">
      <c r="A89" s="124"/>
      <c r="B89" s="258"/>
      <c r="C89" s="265"/>
      <c r="D89" s="266"/>
      <c r="E89" s="113" t="s">
        <v>190</v>
      </c>
      <c r="F89" s="113"/>
      <c r="G89" s="270">
        <f>SUM(G85:G88)</f>
        <v>0</v>
      </c>
      <c r="H89" s="270">
        <f>SUM(H85:H88)</f>
        <v>0</v>
      </c>
      <c r="I89" s="270">
        <f t="shared" si="17"/>
        <v>0</v>
      </c>
      <c r="J89" s="94"/>
      <c r="K89" s="771"/>
      <c r="M89" s="667"/>
    </row>
    <row r="90" spans="1:13" s="95" customFormat="1" ht="12" customHeight="1" outlineLevel="1">
      <c r="A90" s="124"/>
      <c r="B90" s="258"/>
      <c r="C90" s="265"/>
      <c r="D90" s="266"/>
      <c r="E90" s="113"/>
      <c r="F90" s="113"/>
      <c r="G90" s="267"/>
      <c r="H90" s="267"/>
      <c r="I90" s="348"/>
      <c r="J90" s="94"/>
      <c r="K90" s="771"/>
      <c r="M90" s="667"/>
    </row>
    <row r="91" spans="1:13" s="95" customFormat="1" ht="12" customHeight="1" outlineLevel="1">
      <c r="A91" s="124"/>
      <c r="B91" s="258"/>
      <c r="C91" s="265">
        <v>5105</v>
      </c>
      <c r="D91" s="266" t="s">
        <v>89</v>
      </c>
      <c r="E91" s="113"/>
      <c r="F91" s="113"/>
      <c r="G91" s="267"/>
      <c r="H91" s="267"/>
      <c r="I91" s="348"/>
      <c r="J91" s="94"/>
      <c r="K91" s="771"/>
      <c r="M91" s="667"/>
    </row>
    <row r="92" spans="1:13" s="95" customFormat="1" ht="12" customHeight="1" outlineLevel="1">
      <c r="A92" s="124"/>
      <c r="B92" s="258"/>
      <c r="C92" s="265"/>
      <c r="D92" s="266"/>
      <c r="E92" s="113"/>
      <c r="F92" s="268" t="s">
        <v>565</v>
      </c>
      <c r="G92" s="445">
        <f>'Revenue Inputs'!$D$38*K92</f>
        <v>0</v>
      </c>
      <c r="H92" s="269">
        <v>0</v>
      </c>
      <c r="I92" s="349">
        <f t="shared" ref="I92" si="19">SUM(G92:H92)</f>
        <v>0</v>
      </c>
      <c r="J92" s="94"/>
      <c r="K92" s="888">
        <v>0</v>
      </c>
      <c r="M92" s="667"/>
    </row>
    <row r="93" spans="1:13" s="95" customFormat="1" ht="12" customHeight="1" outlineLevel="1">
      <c r="A93" s="124"/>
      <c r="B93" s="258"/>
      <c r="C93" s="265"/>
      <c r="D93" s="266"/>
      <c r="E93" s="113"/>
      <c r="F93" s="268"/>
      <c r="G93" s="269">
        <v>0</v>
      </c>
      <c r="H93" s="269">
        <v>0</v>
      </c>
      <c r="I93" s="349">
        <f t="shared" si="17"/>
        <v>0</v>
      </c>
      <c r="J93" s="94"/>
      <c r="K93" s="771"/>
      <c r="M93" s="667"/>
    </row>
    <row r="94" spans="1:13" s="95" customFormat="1" ht="12" customHeight="1" outlineLevel="1">
      <c r="A94" s="124"/>
      <c r="B94" s="258"/>
      <c r="C94" s="265"/>
      <c r="D94" s="266"/>
      <c r="E94" s="113"/>
      <c r="F94" s="268"/>
      <c r="G94" s="269">
        <v>0</v>
      </c>
      <c r="H94" s="269">
        <v>0</v>
      </c>
      <c r="I94" s="349">
        <f t="shared" si="17"/>
        <v>0</v>
      </c>
      <c r="J94" s="94"/>
      <c r="K94" s="771"/>
      <c r="M94" s="667"/>
    </row>
    <row r="95" spans="1:13" s="95" customFormat="1" ht="12" customHeight="1" outlineLevel="1">
      <c r="A95" s="124"/>
      <c r="B95" s="258"/>
      <c r="C95" s="265"/>
      <c r="D95" s="266"/>
      <c r="E95" s="113" t="s">
        <v>191</v>
      </c>
      <c r="F95" s="113"/>
      <c r="G95" s="270">
        <f>SUM(G91:G94)</f>
        <v>0</v>
      </c>
      <c r="H95" s="270">
        <f>SUM(H91:H94)</f>
        <v>0</v>
      </c>
      <c r="I95" s="270">
        <f t="shared" si="17"/>
        <v>0</v>
      </c>
      <c r="J95" s="94"/>
      <c r="K95" s="771"/>
      <c r="M95" s="667"/>
    </row>
    <row r="96" spans="1:13" s="95" customFormat="1" outlineLevel="1">
      <c r="A96" s="124"/>
      <c r="B96" s="258"/>
      <c r="C96" s="265"/>
      <c r="D96" s="266"/>
      <c r="E96" s="113"/>
      <c r="F96" s="113"/>
      <c r="G96" s="267"/>
      <c r="H96" s="267"/>
      <c r="I96" s="348"/>
      <c r="J96" s="94"/>
      <c r="K96" s="771"/>
      <c r="M96" s="667"/>
    </row>
    <row r="97" spans="1:13" s="95" customFormat="1" ht="12" customHeight="1" outlineLevel="1">
      <c r="A97" s="124"/>
      <c r="B97" s="258"/>
      <c r="C97" s="265">
        <v>5106</v>
      </c>
      <c r="D97" s="266" t="s">
        <v>169</v>
      </c>
      <c r="E97" s="113"/>
      <c r="F97" s="113"/>
      <c r="G97" s="267"/>
      <c r="H97" s="267"/>
      <c r="I97" s="348"/>
      <c r="J97" s="94"/>
      <c r="K97" s="771"/>
      <c r="M97" s="667"/>
    </row>
    <row r="98" spans="1:13" s="95" customFormat="1" ht="12" customHeight="1" outlineLevel="1">
      <c r="A98" s="124"/>
      <c r="B98" s="258"/>
      <c r="C98" s="265"/>
      <c r="D98" s="266"/>
      <c r="E98" s="113"/>
      <c r="F98" s="268" t="s">
        <v>532</v>
      </c>
      <c r="G98" s="269">
        <f>S21</f>
        <v>4256509</v>
      </c>
      <c r="H98" s="269">
        <v>0</v>
      </c>
      <c r="I98" s="349">
        <f t="shared" si="17"/>
        <v>4256509</v>
      </c>
      <c r="J98" s="94"/>
      <c r="K98" s="771"/>
      <c r="M98" s="667"/>
    </row>
    <row r="99" spans="1:13" s="95" customFormat="1" ht="12" customHeight="1" outlineLevel="1">
      <c r="A99" s="124"/>
      <c r="B99" s="258"/>
      <c r="C99" s="265"/>
      <c r="D99" s="266"/>
      <c r="E99" s="113"/>
      <c r="F99" s="268"/>
      <c r="G99" s="269"/>
      <c r="H99" s="269">
        <v>0</v>
      </c>
      <c r="I99" s="349">
        <f t="shared" ref="I99" si="20">SUM(G99:H99)</f>
        <v>0</v>
      </c>
      <c r="J99" s="94"/>
      <c r="K99" s="592"/>
      <c r="M99" s="667"/>
    </row>
    <row r="100" spans="1:13" s="95" customFormat="1" ht="12" customHeight="1" outlineLevel="1">
      <c r="A100" s="124"/>
      <c r="B100" s="258"/>
      <c r="C100" s="265"/>
      <c r="D100" s="266"/>
      <c r="E100" s="113"/>
      <c r="F100" s="268" t="s">
        <v>790</v>
      </c>
      <c r="G100" s="269">
        <v>-247523</v>
      </c>
      <c r="H100" s="269">
        <v>0</v>
      </c>
      <c r="I100" s="349">
        <f t="shared" si="17"/>
        <v>-247523</v>
      </c>
      <c r="J100" s="94"/>
      <c r="K100" s="771"/>
      <c r="M100" s="667"/>
    </row>
    <row r="101" spans="1:13" s="95" customFormat="1" ht="12" customHeight="1" outlineLevel="1">
      <c r="A101" s="124"/>
      <c r="B101" s="258"/>
      <c r="C101" s="265"/>
      <c r="D101" s="266"/>
      <c r="E101" s="113"/>
      <c r="F101" s="820"/>
      <c r="G101" s="821"/>
      <c r="H101" s="821"/>
      <c r="I101" s="822"/>
      <c r="J101" s="94"/>
      <c r="K101" s="771"/>
      <c r="M101" s="667"/>
    </row>
    <row r="102" spans="1:13" s="95" customFormat="1" ht="12" customHeight="1" outlineLevel="1">
      <c r="A102" s="124"/>
      <c r="B102" s="258"/>
      <c r="C102" s="271"/>
      <c r="D102" s="272"/>
      <c r="E102" s="113" t="s">
        <v>192</v>
      </c>
      <c r="F102" s="113"/>
      <c r="G102" s="270">
        <f>SUM(G97:G100)</f>
        <v>4008986</v>
      </c>
      <c r="H102" s="270">
        <f>SUM(H97:H100)</f>
        <v>0</v>
      </c>
      <c r="I102" s="270">
        <f t="shared" si="17"/>
        <v>4008986</v>
      </c>
      <c r="J102" s="94"/>
      <c r="K102" s="771"/>
      <c r="M102" s="667"/>
    </row>
    <row r="103" spans="1:13" s="95" customFormat="1" outlineLevel="1">
      <c r="A103" s="124"/>
      <c r="B103" s="258"/>
      <c r="C103" s="265"/>
      <c r="D103" s="266"/>
      <c r="E103" s="113"/>
      <c r="F103" s="113"/>
      <c r="G103" s="267"/>
      <c r="H103" s="267"/>
      <c r="I103" s="348"/>
      <c r="J103" s="94"/>
      <c r="K103" s="771"/>
      <c r="M103" s="667"/>
    </row>
    <row r="104" spans="1:13" s="95" customFormat="1" ht="12" customHeight="1" outlineLevel="1">
      <c r="A104" s="124"/>
      <c r="B104" s="258"/>
      <c r="C104" s="265">
        <v>5107</v>
      </c>
      <c r="D104" s="266" t="s">
        <v>549</v>
      </c>
      <c r="E104" s="113"/>
      <c r="F104" s="113"/>
      <c r="G104" s="267"/>
      <c r="H104" s="267"/>
      <c r="I104" s="348"/>
      <c r="J104" s="94"/>
      <c r="K104" s="771"/>
      <c r="M104" s="667"/>
    </row>
    <row r="105" spans="1:13" s="95" customFormat="1" ht="12" customHeight="1" outlineLevel="1">
      <c r="A105" s="124"/>
      <c r="B105" s="258"/>
      <c r="C105" s="265"/>
      <c r="D105" s="266"/>
      <c r="E105" s="113"/>
      <c r="F105" s="268" t="s">
        <v>548</v>
      </c>
      <c r="G105" s="269">
        <f>'FY19-20'!$S$19*'Expense Details'!K105</f>
        <v>3325280.3149999999</v>
      </c>
      <c r="H105" s="269">
        <v>0</v>
      </c>
      <c r="I105" s="349">
        <f t="shared" ref="I105:I106" si="21">SUM(G105:H105)</f>
        <v>3325280.3149999999</v>
      </c>
      <c r="J105" s="94"/>
      <c r="K105" s="592">
        <v>0.115</v>
      </c>
      <c r="M105" s="667"/>
    </row>
    <row r="106" spans="1:13" s="95" customFormat="1" ht="12" customHeight="1" outlineLevel="1">
      <c r="A106" s="124"/>
      <c r="B106" s="258"/>
      <c r="C106" s="265"/>
      <c r="D106" s="266"/>
      <c r="E106" s="113"/>
      <c r="F106" s="268"/>
      <c r="G106" s="269">
        <v>0</v>
      </c>
      <c r="H106" s="269">
        <v>0</v>
      </c>
      <c r="I106" s="349">
        <f t="shared" si="21"/>
        <v>0</v>
      </c>
      <c r="J106" s="94"/>
      <c r="K106" s="771"/>
      <c r="M106" s="667"/>
    </row>
    <row r="107" spans="1:13" s="95" customFormat="1" ht="12" customHeight="1" outlineLevel="1">
      <c r="A107" s="124"/>
      <c r="B107" s="258"/>
      <c r="C107" s="265"/>
      <c r="D107" s="266"/>
      <c r="E107" s="113"/>
      <c r="F107" s="820"/>
      <c r="G107" s="821"/>
      <c r="H107" s="821"/>
      <c r="I107" s="822"/>
      <c r="J107" s="94"/>
      <c r="K107" s="771"/>
      <c r="M107" s="667"/>
    </row>
    <row r="108" spans="1:13" s="95" customFormat="1" ht="12" customHeight="1" outlineLevel="1">
      <c r="A108" s="124"/>
      <c r="B108" s="258"/>
      <c r="C108" s="271"/>
      <c r="D108" s="272"/>
      <c r="E108" s="113" t="s">
        <v>192</v>
      </c>
      <c r="F108" s="113"/>
      <c r="G108" s="270">
        <f>SUM(G104:G106)</f>
        <v>3325280.3149999999</v>
      </c>
      <c r="H108" s="270">
        <f>SUM(H104:H106)</f>
        <v>0</v>
      </c>
      <c r="I108" s="270">
        <f t="shared" ref="I108" si="22">SUM(G108:H108)</f>
        <v>3325280.3149999999</v>
      </c>
      <c r="J108" s="94"/>
      <c r="K108" s="771"/>
      <c r="M108" s="667"/>
    </row>
    <row r="109" spans="1:13" s="95" customFormat="1" ht="12" customHeight="1" outlineLevel="1">
      <c r="A109" s="124"/>
      <c r="B109" s="258"/>
      <c r="C109" s="271"/>
      <c r="D109" s="272"/>
      <c r="E109" s="113"/>
      <c r="F109" s="113"/>
      <c r="G109" s="270"/>
      <c r="H109" s="270"/>
      <c r="I109" s="270"/>
      <c r="J109" s="94"/>
      <c r="K109" s="771"/>
      <c r="M109" s="667"/>
    </row>
    <row r="110" spans="1:13" s="95" customFormat="1" ht="12" customHeight="1">
      <c r="A110" s="124"/>
      <c r="B110" s="260" t="s">
        <v>100</v>
      </c>
      <c r="C110" s="261"/>
      <c r="D110" s="262"/>
      <c r="E110" s="262"/>
      <c r="F110" s="262"/>
      <c r="G110" s="262"/>
      <c r="H110" s="262"/>
      <c r="I110" s="263"/>
      <c r="J110" s="94"/>
      <c r="K110" s="771"/>
      <c r="M110" s="667"/>
    </row>
    <row r="111" spans="1:13" s="95" customFormat="1" ht="12" customHeight="1" outlineLevel="1">
      <c r="A111" s="124"/>
      <c r="B111" s="258"/>
      <c r="C111" s="265">
        <v>5201</v>
      </c>
      <c r="D111" s="266" t="s">
        <v>144</v>
      </c>
      <c r="E111" s="113"/>
      <c r="F111" s="113"/>
      <c r="G111" s="267"/>
      <c r="H111" s="267"/>
      <c r="I111" s="348"/>
      <c r="J111" s="94"/>
      <c r="K111" s="771"/>
      <c r="M111" s="667"/>
    </row>
    <row r="112" spans="1:13" s="95" customFormat="1" ht="12" customHeight="1" outlineLevel="1">
      <c r="A112" s="124"/>
      <c r="B112" s="258"/>
      <c r="C112" s="265"/>
      <c r="D112" s="266"/>
      <c r="E112" s="113"/>
      <c r="F112" s="268" t="s">
        <v>565</v>
      </c>
      <c r="G112" s="445">
        <f>'Revenue Inputs'!$D$38*K112</f>
        <v>24103.347000000002</v>
      </c>
      <c r="H112" s="269">
        <v>0</v>
      </c>
      <c r="I112" s="349">
        <f t="shared" ref="I112" si="23">SUM(G112:H112)</f>
        <v>24103.347000000002</v>
      </c>
      <c r="J112" s="94"/>
      <c r="K112" s="888">
        <v>7.5750000000000002</v>
      </c>
      <c r="M112" s="667"/>
    </row>
    <row r="113" spans="1:13" s="95" customFormat="1" ht="12" customHeight="1" outlineLevel="1">
      <c r="A113" s="124"/>
      <c r="B113" s="258"/>
      <c r="C113" s="265"/>
      <c r="D113" s="266"/>
      <c r="E113" s="113"/>
      <c r="F113" s="268"/>
      <c r="G113" s="269">
        <v>0</v>
      </c>
      <c r="H113" s="269">
        <v>0</v>
      </c>
      <c r="I113" s="349">
        <f>SUM(G113:H113)</f>
        <v>0</v>
      </c>
      <c r="J113" s="94"/>
      <c r="K113" s="771"/>
      <c r="M113" s="667"/>
    </row>
    <row r="114" spans="1:13" s="95" customFormat="1" ht="12" customHeight="1" outlineLevel="1">
      <c r="A114" s="124"/>
      <c r="B114" s="258"/>
      <c r="C114" s="265"/>
      <c r="D114" s="266"/>
      <c r="E114" s="113"/>
      <c r="F114" s="268"/>
      <c r="G114" s="269">
        <v>0</v>
      </c>
      <c r="H114" s="269">
        <v>0</v>
      </c>
      <c r="I114" s="349">
        <f>SUM(G114:H114)</f>
        <v>0</v>
      </c>
      <c r="J114" s="94"/>
      <c r="K114" s="771"/>
      <c r="M114" s="667"/>
    </row>
    <row r="115" spans="1:13" s="95" customFormat="1" ht="12" customHeight="1" outlineLevel="1">
      <c r="A115" s="124"/>
      <c r="B115" s="258"/>
      <c r="C115" s="265"/>
      <c r="D115" s="266"/>
      <c r="E115" s="113" t="s">
        <v>206</v>
      </c>
      <c r="F115" s="113"/>
      <c r="G115" s="270">
        <f>SUM(G111:G114)</f>
        <v>24103.347000000002</v>
      </c>
      <c r="H115" s="270">
        <f>SUM(H111:H114)</f>
        <v>0</v>
      </c>
      <c r="I115" s="270">
        <f>SUM(G115:H115)</f>
        <v>24103.347000000002</v>
      </c>
      <c r="J115" s="94"/>
      <c r="K115" s="771"/>
      <c r="M115" s="667"/>
    </row>
    <row r="116" spans="1:13" s="95" customFormat="1" ht="12" customHeight="1" outlineLevel="1">
      <c r="A116" s="124"/>
      <c r="B116" s="258"/>
      <c r="C116" s="265"/>
      <c r="D116" s="266"/>
      <c r="E116" s="113"/>
      <c r="F116" s="113"/>
      <c r="G116" s="267"/>
      <c r="H116" s="267"/>
      <c r="I116" s="348"/>
      <c r="J116" s="94"/>
      <c r="K116" s="771"/>
      <c r="M116" s="667"/>
    </row>
    <row r="117" spans="1:13" s="95" customFormat="1" ht="12" customHeight="1" outlineLevel="1">
      <c r="A117" s="124"/>
      <c r="B117" s="258"/>
      <c r="C117" s="265">
        <v>5300</v>
      </c>
      <c r="D117" s="266" t="s">
        <v>37</v>
      </c>
      <c r="E117" s="113"/>
      <c r="F117" s="113"/>
      <c r="G117" s="267"/>
      <c r="H117" s="267"/>
      <c r="I117" s="348"/>
      <c r="J117" s="94"/>
      <c r="K117" s="771"/>
      <c r="M117" s="667"/>
    </row>
    <row r="118" spans="1:13" s="95" customFormat="1" ht="12" customHeight="1" outlineLevel="1">
      <c r="A118" s="124"/>
      <c r="B118" s="258"/>
      <c r="C118" s="265"/>
      <c r="D118" s="266"/>
      <c r="E118" s="113"/>
      <c r="F118" s="268" t="s">
        <v>565</v>
      </c>
      <c r="G118" s="445">
        <f>'Revenue Inputs'!$D$38*K118</f>
        <v>0</v>
      </c>
      <c r="H118" s="269">
        <v>0</v>
      </c>
      <c r="I118" s="349">
        <f t="shared" ref="I118" si="24">SUM(G118:H118)</f>
        <v>0</v>
      </c>
      <c r="J118" s="94"/>
      <c r="K118" s="888">
        <v>0</v>
      </c>
      <c r="M118" s="667"/>
    </row>
    <row r="119" spans="1:13" s="95" customFormat="1" ht="12" customHeight="1" outlineLevel="1">
      <c r="A119" s="124"/>
      <c r="B119" s="258"/>
      <c r="C119" s="265"/>
      <c r="D119" s="266"/>
      <c r="E119" s="113"/>
      <c r="F119" s="268"/>
      <c r="G119" s="269">
        <v>0</v>
      </c>
      <c r="H119" s="269">
        <v>0</v>
      </c>
      <c r="I119" s="349">
        <f>SUM(G119:H119)</f>
        <v>0</v>
      </c>
      <c r="J119" s="94"/>
      <c r="K119" s="771"/>
      <c r="M119" s="667"/>
    </row>
    <row r="120" spans="1:13" s="95" customFormat="1" ht="12" customHeight="1" outlineLevel="1">
      <c r="A120" s="124"/>
      <c r="B120" s="258"/>
      <c r="C120" s="265"/>
      <c r="D120" s="266"/>
      <c r="E120" s="113"/>
      <c r="F120" s="268"/>
      <c r="G120" s="269">
        <v>0</v>
      </c>
      <c r="H120" s="269">
        <v>0</v>
      </c>
      <c r="I120" s="349">
        <f>SUM(G120:H120)</f>
        <v>0</v>
      </c>
      <c r="J120" s="94"/>
      <c r="K120" s="771"/>
      <c r="M120" s="667"/>
    </row>
    <row r="121" spans="1:13" s="95" customFormat="1" ht="12" customHeight="1" outlineLevel="1">
      <c r="A121" s="124"/>
      <c r="B121" s="258"/>
      <c r="C121" s="265"/>
      <c r="D121" s="266"/>
      <c r="E121" s="113" t="s">
        <v>208</v>
      </c>
      <c r="F121" s="113"/>
      <c r="G121" s="270">
        <f>SUM(G117:G120)</f>
        <v>0</v>
      </c>
      <c r="H121" s="270">
        <f>SUM(H117:H120)</f>
        <v>0</v>
      </c>
      <c r="I121" s="270">
        <f>SUM(G121:H121)</f>
        <v>0</v>
      </c>
      <c r="J121" s="94"/>
      <c r="K121" s="771"/>
      <c r="M121" s="667"/>
    </row>
    <row r="122" spans="1:13" s="95" customFormat="1" ht="12" customHeight="1" outlineLevel="1">
      <c r="A122" s="124"/>
      <c r="B122" s="258"/>
      <c r="C122" s="265"/>
      <c r="D122" s="266"/>
      <c r="E122" s="113"/>
      <c r="F122" s="113"/>
      <c r="G122" s="267"/>
      <c r="H122" s="267"/>
      <c r="I122" s="348"/>
      <c r="J122" s="94"/>
      <c r="K122" s="771"/>
      <c r="M122" s="667"/>
    </row>
    <row r="123" spans="1:13" s="95" customFormat="1" ht="12" customHeight="1" outlineLevel="1">
      <c r="A123" s="124"/>
      <c r="B123" s="258"/>
      <c r="C123" s="265">
        <v>5400</v>
      </c>
      <c r="D123" s="266" t="s">
        <v>38</v>
      </c>
      <c r="E123" s="113"/>
      <c r="F123" s="113"/>
      <c r="G123" s="267"/>
      <c r="H123" s="267"/>
      <c r="I123" s="348"/>
      <c r="J123" s="94"/>
      <c r="K123" s="771"/>
      <c r="M123" s="667"/>
    </row>
    <row r="124" spans="1:13" s="95" customFormat="1" ht="12" customHeight="1" outlineLevel="1">
      <c r="A124" s="124"/>
      <c r="B124" s="258"/>
      <c r="C124" s="265"/>
      <c r="D124" s="266"/>
      <c r="E124" s="113"/>
      <c r="F124" s="268" t="s">
        <v>565</v>
      </c>
      <c r="G124" s="445">
        <f>'Revenue Inputs'!$D$38*K124</f>
        <v>87090.245200000005</v>
      </c>
      <c r="H124" s="269">
        <v>0</v>
      </c>
      <c r="I124" s="349">
        <f t="shared" ref="I124" si="25">SUM(G124:H124)</f>
        <v>87090.245200000005</v>
      </c>
      <c r="J124" s="94"/>
      <c r="K124" s="888">
        <v>27.37</v>
      </c>
      <c r="M124" s="667"/>
    </row>
    <row r="125" spans="1:13" s="95" customFormat="1" ht="12" customHeight="1" outlineLevel="1">
      <c r="A125" s="124"/>
      <c r="B125" s="258"/>
      <c r="C125" s="265"/>
      <c r="D125" s="266"/>
      <c r="E125" s="113"/>
      <c r="F125" s="268"/>
      <c r="G125" s="269">
        <v>0</v>
      </c>
      <c r="H125" s="269">
        <v>0</v>
      </c>
      <c r="I125" s="349">
        <f>SUM(G125:H125)</f>
        <v>0</v>
      </c>
      <c r="J125" s="94"/>
      <c r="K125" s="771"/>
      <c r="M125" s="667"/>
    </row>
    <row r="126" spans="1:13" s="95" customFormat="1" ht="12" customHeight="1" outlineLevel="1">
      <c r="A126" s="124"/>
      <c r="B126" s="258"/>
      <c r="C126" s="265"/>
      <c r="D126" s="266"/>
      <c r="E126" s="113"/>
      <c r="F126" s="268"/>
      <c r="G126" s="269">
        <v>0</v>
      </c>
      <c r="H126" s="269">
        <v>0</v>
      </c>
      <c r="I126" s="349">
        <f>SUM(G126:H126)</f>
        <v>0</v>
      </c>
      <c r="J126" s="94"/>
      <c r="K126" s="771"/>
      <c r="M126" s="667"/>
    </row>
    <row r="127" spans="1:13" s="95" customFormat="1" ht="12" customHeight="1" outlineLevel="1">
      <c r="A127" s="124"/>
      <c r="B127" s="258"/>
      <c r="C127" s="265"/>
      <c r="D127" s="266"/>
      <c r="E127" s="113" t="s">
        <v>209</v>
      </c>
      <c r="F127" s="113"/>
      <c r="G127" s="270">
        <f>SUM(G123:G126)</f>
        <v>87090.245200000005</v>
      </c>
      <c r="H127" s="270">
        <f>SUM(H123:H126)</f>
        <v>0</v>
      </c>
      <c r="I127" s="270">
        <f>SUM(G127:H127)</f>
        <v>87090.245200000005</v>
      </c>
      <c r="J127" s="94"/>
      <c r="K127" s="771"/>
      <c r="M127" s="667"/>
    </row>
    <row r="128" spans="1:13" s="95" customFormat="1" ht="12" customHeight="1" outlineLevel="1">
      <c r="A128" s="124"/>
      <c r="B128" s="258"/>
      <c r="C128" s="265"/>
      <c r="D128" s="266"/>
      <c r="E128" s="113"/>
      <c r="F128" s="113"/>
      <c r="G128" s="267"/>
      <c r="H128" s="267"/>
      <c r="I128" s="348"/>
      <c r="J128" s="94"/>
      <c r="K128" s="771"/>
      <c r="M128" s="667"/>
    </row>
    <row r="129" spans="1:13" s="95" customFormat="1" ht="12" customHeight="1" outlineLevel="1">
      <c r="A129" s="124"/>
      <c r="B129" s="258"/>
      <c r="C129" s="265">
        <v>5501</v>
      </c>
      <c r="D129" s="266" t="s">
        <v>101</v>
      </c>
      <c r="E129" s="113"/>
      <c r="F129" s="113"/>
      <c r="G129" s="267"/>
      <c r="H129" s="267"/>
      <c r="I129" s="348"/>
      <c r="J129" s="94"/>
      <c r="K129" s="771"/>
      <c r="M129" s="667"/>
    </row>
    <row r="130" spans="1:13" s="95" customFormat="1" ht="12" customHeight="1" outlineLevel="1">
      <c r="A130" s="124"/>
      <c r="B130" s="258"/>
      <c r="C130" s="265"/>
      <c r="D130" s="266"/>
      <c r="E130" s="113"/>
      <c r="F130" s="268" t="s">
        <v>565</v>
      </c>
      <c r="G130" s="445">
        <f>'Revenue Inputs'!$D$38*K130</f>
        <v>0</v>
      </c>
      <c r="H130" s="269">
        <v>0</v>
      </c>
      <c r="I130" s="349">
        <f t="shared" ref="I130" si="26">SUM(G130:H130)</f>
        <v>0</v>
      </c>
      <c r="J130" s="94"/>
      <c r="K130" s="888">
        <v>0</v>
      </c>
      <c r="M130" s="667"/>
    </row>
    <row r="131" spans="1:13" s="95" customFormat="1" ht="12" customHeight="1" outlineLevel="1">
      <c r="A131" s="124"/>
      <c r="B131" s="258"/>
      <c r="C131" s="265"/>
      <c r="D131" s="266"/>
      <c r="E131" s="113"/>
      <c r="F131" s="268"/>
      <c r="G131" s="269">
        <v>0</v>
      </c>
      <c r="H131" s="269">
        <v>0</v>
      </c>
      <c r="I131" s="349">
        <f>SUM(G131:H131)</f>
        <v>0</v>
      </c>
      <c r="J131" s="94"/>
      <c r="K131" s="771"/>
      <c r="M131" s="667"/>
    </row>
    <row r="132" spans="1:13" s="95" customFormat="1" ht="12" customHeight="1" outlineLevel="1">
      <c r="A132" s="124"/>
      <c r="B132" s="258"/>
      <c r="C132" s="265"/>
      <c r="D132" s="266"/>
      <c r="E132" s="113"/>
      <c r="F132" s="268"/>
      <c r="G132" s="269">
        <v>0</v>
      </c>
      <c r="H132" s="269">
        <v>0</v>
      </c>
      <c r="I132" s="349">
        <f>SUM(G132:H132)</f>
        <v>0</v>
      </c>
      <c r="J132" s="94"/>
      <c r="K132" s="771"/>
      <c r="M132" s="667"/>
    </row>
    <row r="133" spans="1:13" s="95" customFormat="1" ht="12" customHeight="1" outlineLevel="1">
      <c r="A133" s="124"/>
      <c r="B133" s="258"/>
      <c r="C133" s="265"/>
      <c r="D133" s="266"/>
      <c r="E133" s="113" t="s">
        <v>210</v>
      </c>
      <c r="F133" s="113"/>
      <c r="G133" s="270">
        <f>SUM(G129:G132)</f>
        <v>0</v>
      </c>
      <c r="H133" s="270">
        <f>SUM(H129:H132)</f>
        <v>0</v>
      </c>
      <c r="I133" s="270">
        <f t="shared" ref="I133:I145" si="27">SUM(G133:H133)</f>
        <v>0</v>
      </c>
      <c r="J133" s="94"/>
      <c r="K133" s="771"/>
      <c r="M133" s="667"/>
    </row>
    <row r="134" spans="1:13" s="95" customFormat="1" ht="12" customHeight="1" outlineLevel="1">
      <c r="A134" s="124"/>
      <c r="B134" s="258"/>
      <c r="C134" s="265"/>
      <c r="D134" s="266"/>
      <c r="E134" s="113"/>
      <c r="F134" s="113"/>
      <c r="G134" s="267"/>
      <c r="H134" s="267"/>
      <c r="I134" s="348"/>
      <c r="J134" s="94"/>
      <c r="K134" s="771"/>
      <c r="M134" s="667"/>
    </row>
    <row r="135" spans="1:13" s="95" customFormat="1" ht="12" customHeight="1" outlineLevel="1">
      <c r="A135" s="124"/>
      <c r="B135" s="258"/>
      <c r="C135" s="265">
        <v>5502</v>
      </c>
      <c r="D135" s="266" t="s">
        <v>514</v>
      </c>
      <c r="E135" s="113"/>
      <c r="F135" s="113"/>
      <c r="G135" s="267"/>
      <c r="H135" s="267"/>
      <c r="I135" s="348"/>
      <c r="J135" s="94"/>
      <c r="K135" s="771"/>
      <c r="M135" s="667"/>
    </row>
    <row r="136" spans="1:13" s="95" customFormat="1" ht="12" customHeight="1" outlineLevel="1">
      <c r="A136" s="124"/>
      <c r="B136" s="258"/>
      <c r="C136" s="265"/>
      <c r="D136" s="266"/>
      <c r="E136" s="113"/>
      <c r="F136" s="268" t="s">
        <v>565</v>
      </c>
      <c r="G136" s="445">
        <f>'Revenue Inputs'!$D$38*K136</f>
        <v>0</v>
      </c>
      <c r="H136" s="269">
        <v>0</v>
      </c>
      <c r="I136" s="349">
        <f t="shared" ref="I136" si="28">SUM(G136:H136)</f>
        <v>0</v>
      </c>
      <c r="J136" s="94"/>
      <c r="K136" s="888">
        <v>0</v>
      </c>
      <c r="M136" s="667"/>
    </row>
    <row r="137" spans="1:13" s="95" customFormat="1" ht="12" customHeight="1" outlineLevel="1">
      <c r="A137" s="124"/>
      <c r="B137" s="258"/>
      <c r="C137" s="265"/>
      <c r="D137" s="266"/>
      <c r="E137" s="113"/>
      <c r="F137" s="268"/>
      <c r="G137" s="269">
        <v>0</v>
      </c>
      <c r="H137" s="269">
        <v>0</v>
      </c>
      <c r="I137" s="349">
        <f t="shared" si="27"/>
        <v>0</v>
      </c>
      <c r="J137" s="94"/>
      <c r="K137" s="771"/>
      <c r="M137" s="667"/>
    </row>
    <row r="138" spans="1:13" s="95" customFormat="1" ht="12" customHeight="1" outlineLevel="1">
      <c r="A138" s="124"/>
      <c r="B138" s="258"/>
      <c r="C138" s="265"/>
      <c r="D138" s="266"/>
      <c r="E138" s="113"/>
      <c r="F138" s="268"/>
      <c r="G138" s="269">
        <v>0</v>
      </c>
      <c r="H138" s="269">
        <v>0</v>
      </c>
      <c r="I138" s="349">
        <f t="shared" si="27"/>
        <v>0</v>
      </c>
      <c r="J138" s="94"/>
      <c r="K138" s="771"/>
      <c r="M138" s="667"/>
    </row>
    <row r="139" spans="1:13" s="95" customFormat="1" ht="12" customHeight="1" outlineLevel="1">
      <c r="A139" s="124"/>
      <c r="B139" s="258"/>
      <c r="C139" s="265"/>
      <c r="D139" s="266"/>
      <c r="E139" s="113" t="s">
        <v>211</v>
      </c>
      <c r="F139" s="113"/>
      <c r="G139" s="270">
        <f>SUM(G135:G138)</f>
        <v>0</v>
      </c>
      <c r="H139" s="270">
        <f>SUM(H135:H138)</f>
        <v>0</v>
      </c>
      <c r="I139" s="270">
        <f t="shared" si="27"/>
        <v>0</v>
      </c>
      <c r="J139" s="94"/>
      <c r="K139" s="771"/>
      <c r="M139" s="667"/>
    </row>
    <row r="140" spans="1:13" s="95" customFormat="1" ht="12" customHeight="1" outlineLevel="1">
      <c r="A140" s="124"/>
      <c r="B140" s="258"/>
      <c r="C140" s="265"/>
      <c r="D140" s="266"/>
      <c r="E140" s="113"/>
      <c r="F140" s="113"/>
      <c r="G140" s="267"/>
      <c r="H140" s="267"/>
      <c r="I140" s="348"/>
      <c r="J140" s="94"/>
      <c r="K140" s="771"/>
      <c r="M140" s="667"/>
    </row>
    <row r="141" spans="1:13" s="95" customFormat="1" ht="12" customHeight="1" outlineLevel="1">
      <c r="A141" s="124"/>
      <c r="B141" s="258"/>
      <c r="C141" s="265">
        <v>5516</v>
      </c>
      <c r="D141" s="266" t="s">
        <v>103</v>
      </c>
      <c r="E141" s="113"/>
      <c r="F141" s="113"/>
      <c r="G141" s="267"/>
      <c r="H141" s="267"/>
      <c r="I141" s="348"/>
      <c r="J141" s="94"/>
      <c r="K141" s="771"/>
      <c r="M141" s="667"/>
    </row>
    <row r="142" spans="1:13" s="95" customFormat="1" ht="12" customHeight="1" outlineLevel="1">
      <c r="A142" s="124"/>
      <c r="B142" s="258"/>
      <c r="C142" s="265"/>
      <c r="D142" s="266"/>
      <c r="E142" s="113"/>
      <c r="F142" s="268"/>
      <c r="G142" s="445"/>
      <c r="H142" s="269">
        <v>0</v>
      </c>
      <c r="I142" s="349">
        <f t="shared" si="27"/>
        <v>0</v>
      </c>
      <c r="J142" s="94"/>
      <c r="K142" s="771"/>
      <c r="M142" s="667"/>
    </row>
    <row r="143" spans="1:13" s="95" customFormat="1" ht="12" customHeight="1" outlineLevel="1">
      <c r="A143" s="124"/>
      <c r="B143" s="258"/>
      <c r="C143" s="265"/>
      <c r="D143" s="266"/>
      <c r="E143" s="113"/>
      <c r="F143" s="268"/>
      <c r="G143" s="269">
        <v>0</v>
      </c>
      <c r="H143" s="269">
        <v>0</v>
      </c>
      <c r="I143" s="349">
        <f t="shared" si="27"/>
        <v>0</v>
      </c>
      <c r="J143" s="94"/>
      <c r="K143" s="771"/>
      <c r="M143" s="667"/>
    </row>
    <row r="144" spans="1:13" s="95" customFormat="1" ht="12" customHeight="1" outlineLevel="1">
      <c r="A144" s="124"/>
      <c r="B144" s="258"/>
      <c r="C144" s="265"/>
      <c r="D144" s="266"/>
      <c r="E144" s="113"/>
      <c r="F144" s="268"/>
      <c r="G144" s="269">
        <v>0</v>
      </c>
      <c r="H144" s="269">
        <v>0</v>
      </c>
      <c r="I144" s="349">
        <f t="shared" si="27"/>
        <v>0</v>
      </c>
      <c r="J144" s="94"/>
      <c r="K144" s="771"/>
      <c r="M144" s="667"/>
    </row>
    <row r="145" spans="1:13" s="95" customFormat="1" ht="12" customHeight="1" outlineLevel="1">
      <c r="A145" s="124"/>
      <c r="B145" s="258"/>
      <c r="C145" s="265"/>
      <c r="D145" s="266"/>
      <c r="E145" s="113" t="s">
        <v>218</v>
      </c>
      <c r="F145" s="113"/>
      <c r="G145" s="270">
        <f>SUM(G141:G144)</f>
        <v>0</v>
      </c>
      <c r="H145" s="270">
        <f>SUM(H141:H144)</f>
        <v>0</v>
      </c>
      <c r="I145" s="270">
        <f t="shared" si="27"/>
        <v>0</v>
      </c>
      <c r="J145" s="94"/>
      <c r="K145" s="771"/>
      <c r="M145" s="667"/>
    </row>
    <row r="146" spans="1:13" s="95" customFormat="1" ht="12" customHeight="1" outlineLevel="1">
      <c r="A146" s="124"/>
      <c r="B146" s="258"/>
      <c r="C146" s="265"/>
      <c r="D146" s="266"/>
      <c r="E146" s="113"/>
      <c r="F146" s="113"/>
      <c r="G146" s="267"/>
      <c r="H146" s="267"/>
      <c r="I146" s="348"/>
      <c r="J146" s="94"/>
      <c r="K146" s="771"/>
      <c r="M146" s="667"/>
    </row>
    <row r="147" spans="1:13" s="95" customFormat="1" ht="12" customHeight="1" outlineLevel="1">
      <c r="A147" s="124"/>
      <c r="B147" s="258"/>
      <c r="C147" s="265">
        <v>5531</v>
      </c>
      <c r="D147" s="266" t="s">
        <v>313</v>
      </c>
      <c r="E147" s="113"/>
      <c r="F147" s="113"/>
      <c r="G147" s="267"/>
      <c r="H147" s="267"/>
      <c r="I147" s="348"/>
      <c r="J147" s="94"/>
      <c r="K147" s="771"/>
      <c r="M147" s="667"/>
    </row>
    <row r="148" spans="1:13" s="95" customFormat="1" ht="12" customHeight="1" outlineLevel="1">
      <c r="A148" s="124"/>
      <c r="B148" s="258"/>
      <c r="C148" s="265"/>
      <c r="D148" s="266"/>
      <c r="E148" s="113"/>
      <c r="F148" s="268" t="s">
        <v>565</v>
      </c>
      <c r="G148" s="445">
        <f>'Revenue Inputs'!$D$38*K148</f>
        <v>0</v>
      </c>
      <c r="H148" s="269">
        <v>0</v>
      </c>
      <c r="I148" s="349">
        <f t="shared" ref="I148" si="29">SUM(G148:H148)</f>
        <v>0</v>
      </c>
      <c r="J148" s="94"/>
      <c r="K148" s="888">
        <v>0</v>
      </c>
      <c r="M148" s="667"/>
    </row>
    <row r="149" spans="1:13" s="95" customFormat="1" ht="12" customHeight="1" outlineLevel="1">
      <c r="A149" s="124"/>
      <c r="B149" s="258"/>
      <c r="C149" s="265"/>
      <c r="D149" s="266"/>
      <c r="E149" s="113"/>
      <c r="F149" s="268"/>
      <c r="G149" s="269">
        <v>0</v>
      </c>
      <c r="H149" s="269">
        <v>0</v>
      </c>
      <c r="I149" s="349">
        <f t="shared" ref="I149:I151" si="30">SUM(G149:H149)</f>
        <v>0</v>
      </c>
      <c r="J149" s="94"/>
      <c r="K149" s="771"/>
      <c r="M149" s="667"/>
    </row>
    <row r="150" spans="1:13" s="95" customFormat="1" ht="12" customHeight="1" outlineLevel="1">
      <c r="A150" s="124"/>
      <c r="B150" s="258"/>
      <c r="C150" s="265"/>
      <c r="D150" s="266"/>
      <c r="E150" s="113"/>
      <c r="F150" s="268"/>
      <c r="G150" s="269">
        <v>0</v>
      </c>
      <c r="H150" s="269">
        <v>0</v>
      </c>
      <c r="I150" s="349">
        <f t="shared" si="30"/>
        <v>0</v>
      </c>
      <c r="J150" s="94"/>
      <c r="K150" s="771"/>
      <c r="M150" s="667"/>
    </row>
    <row r="151" spans="1:13" s="95" customFormat="1" ht="12" customHeight="1" outlineLevel="1">
      <c r="A151" s="124"/>
      <c r="B151" s="258"/>
      <c r="C151" s="265"/>
      <c r="D151" s="266"/>
      <c r="E151" s="113" t="s">
        <v>314</v>
      </c>
      <c r="F151" s="113"/>
      <c r="G151" s="270">
        <f>SUM(G147:G150)</f>
        <v>0</v>
      </c>
      <c r="H151" s="270">
        <f>SUM(H147:H150)</f>
        <v>0</v>
      </c>
      <c r="I151" s="270">
        <f t="shared" si="30"/>
        <v>0</v>
      </c>
      <c r="J151" s="94"/>
      <c r="K151" s="771"/>
      <c r="M151" s="667"/>
    </row>
    <row r="152" spans="1:13" s="95" customFormat="1" ht="12" customHeight="1" outlineLevel="1">
      <c r="A152" s="124"/>
      <c r="B152" s="258"/>
      <c r="C152" s="265"/>
      <c r="D152" s="266"/>
      <c r="E152" s="113"/>
      <c r="F152" s="113"/>
      <c r="G152" s="267"/>
      <c r="H152" s="267"/>
      <c r="I152" s="348"/>
      <c r="J152" s="94"/>
      <c r="K152" s="771"/>
      <c r="M152" s="667"/>
    </row>
    <row r="153" spans="1:13" s="95" customFormat="1" ht="12" customHeight="1" outlineLevel="1">
      <c r="A153" s="124"/>
      <c r="B153" s="258"/>
      <c r="C153" s="265">
        <v>5900</v>
      </c>
      <c r="D153" s="266" t="s">
        <v>104</v>
      </c>
      <c r="E153" s="113"/>
      <c r="F153" s="113"/>
      <c r="G153" s="267"/>
      <c r="H153" s="267"/>
      <c r="I153" s="348"/>
      <c r="J153" s="94"/>
      <c r="K153" s="771"/>
      <c r="M153" s="667"/>
    </row>
    <row r="154" spans="1:13" s="95" customFormat="1" ht="12" customHeight="1" outlineLevel="1">
      <c r="A154" s="124"/>
      <c r="B154" s="258"/>
      <c r="C154" s="265"/>
      <c r="D154" s="266"/>
      <c r="E154" s="113"/>
      <c r="F154" s="268" t="s">
        <v>565</v>
      </c>
      <c r="G154" s="445">
        <f>'Revenue Inputs'!$D$38*K154</f>
        <v>0</v>
      </c>
      <c r="H154" s="269">
        <v>0</v>
      </c>
      <c r="I154" s="349">
        <f t="shared" ref="I154" si="31">SUM(G154:H154)</f>
        <v>0</v>
      </c>
      <c r="J154" s="94"/>
      <c r="K154" s="888">
        <v>0</v>
      </c>
      <c r="M154" s="667"/>
    </row>
    <row r="155" spans="1:13" s="95" customFormat="1" ht="12" customHeight="1" outlineLevel="1">
      <c r="A155" s="124"/>
      <c r="B155" s="258"/>
      <c r="C155" s="265"/>
      <c r="D155" s="266"/>
      <c r="E155" s="113"/>
      <c r="F155" s="268"/>
      <c r="G155" s="269">
        <v>0</v>
      </c>
      <c r="H155" s="269">
        <v>0</v>
      </c>
      <c r="I155" s="349">
        <f t="shared" ref="I155:I170" si="32">SUM(G155:H155)</f>
        <v>0</v>
      </c>
      <c r="J155" s="94"/>
      <c r="K155" s="771"/>
      <c r="M155" s="667"/>
    </row>
    <row r="156" spans="1:13" s="95" customFormat="1" ht="12" customHeight="1" outlineLevel="1">
      <c r="A156" s="124"/>
      <c r="B156" s="258"/>
      <c r="C156" s="265"/>
      <c r="D156" s="266"/>
      <c r="E156" s="113"/>
      <c r="F156" s="268"/>
      <c r="G156" s="269">
        <v>0</v>
      </c>
      <c r="H156" s="269">
        <v>0</v>
      </c>
      <c r="I156" s="349">
        <f t="shared" si="32"/>
        <v>0</v>
      </c>
      <c r="J156" s="94"/>
      <c r="K156" s="771"/>
      <c r="M156" s="667"/>
    </row>
    <row r="157" spans="1:13" s="95" customFormat="1" ht="12" customHeight="1" outlineLevel="1">
      <c r="A157" s="124"/>
      <c r="B157" s="258"/>
      <c r="C157" s="273"/>
      <c r="D157" s="274"/>
      <c r="E157" s="113" t="s">
        <v>220</v>
      </c>
      <c r="F157" s="113"/>
      <c r="G157" s="270">
        <f>SUM(G153:G156)</f>
        <v>0</v>
      </c>
      <c r="H157" s="270">
        <f>SUM(H153:H156)</f>
        <v>0</v>
      </c>
      <c r="I157" s="270">
        <f t="shared" si="32"/>
        <v>0</v>
      </c>
      <c r="J157" s="113"/>
      <c r="K157" s="771"/>
      <c r="M157" s="667"/>
    </row>
    <row r="158" spans="1:13" s="95" customFormat="1" ht="12" customHeight="1" outlineLevel="1">
      <c r="A158" s="112"/>
      <c r="B158" s="258"/>
      <c r="C158" s="259"/>
      <c r="E158" s="113" t="s">
        <v>186</v>
      </c>
      <c r="F158" s="113"/>
      <c r="G158" s="131"/>
      <c r="H158" s="131"/>
      <c r="I158" s="131">
        <f t="shared" si="32"/>
        <v>0</v>
      </c>
      <c r="J158" s="94"/>
      <c r="K158" s="771"/>
      <c r="M158" s="667"/>
    </row>
    <row r="159" spans="1:13" s="95" customFormat="1" ht="12" customHeight="1" outlineLevel="1">
      <c r="A159" s="124"/>
      <c r="B159" s="258"/>
      <c r="C159" s="265">
        <v>5901</v>
      </c>
      <c r="D159" s="266" t="s">
        <v>40</v>
      </c>
      <c r="E159" s="113"/>
      <c r="F159" s="113"/>
      <c r="G159" s="267"/>
      <c r="H159" s="267"/>
      <c r="I159" s="348"/>
      <c r="J159" s="94"/>
      <c r="K159" s="771"/>
      <c r="M159" s="667"/>
    </row>
    <row r="160" spans="1:13" s="95" customFormat="1" ht="12" customHeight="1" outlineLevel="1">
      <c r="A160" s="124"/>
      <c r="B160" s="258"/>
      <c r="C160" s="265"/>
      <c r="D160" s="266"/>
      <c r="E160" s="113"/>
      <c r="F160" s="268" t="s">
        <v>565</v>
      </c>
      <c r="G160" s="445">
        <f>'Revenue Inputs'!$D$38*K160</f>
        <v>5024.31484</v>
      </c>
      <c r="H160" s="269">
        <v>0</v>
      </c>
      <c r="I160" s="349">
        <f t="shared" ref="I160" si="33">SUM(G160:H160)</f>
        <v>5024.31484</v>
      </c>
      <c r="J160" s="94"/>
      <c r="K160" s="888">
        <v>1.579</v>
      </c>
      <c r="M160" s="667"/>
    </row>
    <row r="161" spans="1:13" s="95" customFormat="1" ht="12" customHeight="1" outlineLevel="1">
      <c r="A161" s="124"/>
      <c r="B161" s="258"/>
      <c r="C161" s="265"/>
      <c r="D161" s="266"/>
      <c r="E161" s="113"/>
      <c r="F161" s="268"/>
      <c r="G161" s="269">
        <v>0</v>
      </c>
      <c r="H161" s="269">
        <v>0</v>
      </c>
      <c r="I161" s="349">
        <f>SUM(G161:H161)</f>
        <v>0</v>
      </c>
      <c r="J161" s="94"/>
      <c r="K161" s="771"/>
      <c r="M161" s="667"/>
    </row>
    <row r="162" spans="1:13" s="95" customFormat="1" ht="12" customHeight="1" outlineLevel="1">
      <c r="A162" s="124"/>
      <c r="B162" s="258"/>
      <c r="C162" s="265"/>
      <c r="D162" s="266"/>
      <c r="E162" s="113"/>
      <c r="F162" s="268"/>
      <c r="G162" s="269">
        <v>0</v>
      </c>
      <c r="H162" s="269">
        <v>0</v>
      </c>
      <c r="I162" s="349">
        <f>SUM(G162:H162)</f>
        <v>0</v>
      </c>
      <c r="J162" s="94"/>
      <c r="K162" s="771"/>
      <c r="M162" s="667"/>
    </row>
    <row r="163" spans="1:13" s="95" customFormat="1" ht="12" customHeight="1" outlineLevel="1">
      <c r="A163" s="124"/>
      <c r="B163" s="258"/>
      <c r="C163" s="265"/>
      <c r="D163" s="266"/>
      <c r="E163" s="113" t="s">
        <v>213</v>
      </c>
      <c r="F163" s="113"/>
      <c r="G163" s="270">
        <f>SUM(G159:G162)</f>
        <v>5024.31484</v>
      </c>
      <c r="H163" s="270">
        <f>SUM(H159:H162)</f>
        <v>0</v>
      </c>
      <c r="I163" s="270">
        <f>SUM(G163:H163)</f>
        <v>5024.31484</v>
      </c>
      <c r="J163" s="94"/>
      <c r="K163" s="771"/>
      <c r="M163" s="667"/>
    </row>
    <row r="164" spans="1:13" s="95" customFormat="1" ht="12" customHeight="1" outlineLevel="1">
      <c r="A164" s="124"/>
      <c r="B164" s="258"/>
      <c r="C164" s="265"/>
      <c r="D164" s="266"/>
      <c r="E164" s="113"/>
      <c r="F164" s="113"/>
      <c r="G164" s="267"/>
      <c r="H164" s="267"/>
      <c r="I164" s="348"/>
      <c r="J164" s="94"/>
      <c r="K164" s="771"/>
      <c r="M164" s="667"/>
    </row>
    <row r="165" spans="1:13" s="95" customFormat="1" ht="12" customHeight="1" outlineLevel="1">
      <c r="A165" s="124"/>
      <c r="B165" s="258"/>
      <c r="C165" s="265">
        <v>6900</v>
      </c>
      <c r="D165" s="266" t="s">
        <v>223</v>
      </c>
      <c r="E165" s="113"/>
      <c r="F165" s="113"/>
      <c r="G165" s="267"/>
      <c r="H165" s="267"/>
      <c r="I165" s="348"/>
      <c r="J165" s="94"/>
      <c r="K165" s="771"/>
      <c r="M165" s="667"/>
    </row>
    <row r="166" spans="1:13" s="95" customFormat="1" ht="12" customHeight="1" outlineLevel="1">
      <c r="A166" s="124"/>
      <c r="B166" s="258"/>
      <c r="C166" s="265"/>
      <c r="D166" s="266"/>
      <c r="E166" s="113"/>
      <c r="F166" s="268" t="s">
        <v>565</v>
      </c>
      <c r="G166" s="445">
        <f>'Revenue Inputs'!$D$38*K166</f>
        <v>0</v>
      </c>
      <c r="H166" s="269">
        <v>0</v>
      </c>
      <c r="I166" s="349">
        <f t="shared" ref="I166" si="34">SUM(G166:H166)</f>
        <v>0</v>
      </c>
      <c r="J166" s="94"/>
      <c r="K166" s="888">
        <v>0</v>
      </c>
      <c r="M166" s="667"/>
    </row>
    <row r="167" spans="1:13" s="95" customFormat="1" ht="12" customHeight="1" outlineLevel="1">
      <c r="A167" s="124"/>
      <c r="B167" s="258"/>
      <c r="C167" s="265"/>
      <c r="D167" s="266"/>
      <c r="E167" s="113"/>
      <c r="F167" s="268"/>
      <c r="G167" s="269">
        <v>0</v>
      </c>
      <c r="H167" s="269">
        <v>0</v>
      </c>
      <c r="I167" s="349">
        <f t="shared" si="32"/>
        <v>0</v>
      </c>
      <c r="J167" s="94"/>
      <c r="K167" s="771"/>
      <c r="M167" s="667"/>
    </row>
    <row r="168" spans="1:13" s="95" customFormat="1" ht="12" customHeight="1" outlineLevel="1">
      <c r="A168" s="124"/>
      <c r="B168" s="258"/>
      <c r="C168" s="265"/>
      <c r="D168" s="266"/>
      <c r="E168" s="113"/>
      <c r="F168" s="268"/>
      <c r="G168" s="269">
        <v>0</v>
      </c>
      <c r="H168" s="269">
        <v>0</v>
      </c>
      <c r="I168" s="349">
        <f t="shared" si="32"/>
        <v>0</v>
      </c>
      <c r="J168" s="94"/>
      <c r="K168" s="771"/>
      <c r="M168" s="667"/>
    </row>
    <row r="169" spans="1:13" s="95" customFormat="1" ht="12" customHeight="1" outlineLevel="1">
      <c r="A169" s="124"/>
      <c r="B169" s="258"/>
      <c r="C169" s="273"/>
      <c r="D169" s="274"/>
      <c r="E169" s="113" t="s">
        <v>224</v>
      </c>
      <c r="F169" s="113"/>
      <c r="G169" s="270">
        <f>SUM(G165:G168)</f>
        <v>0</v>
      </c>
      <c r="H169" s="270">
        <f>SUM(H165:H168)</f>
        <v>0</v>
      </c>
      <c r="I169" s="270">
        <f t="shared" si="32"/>
        <v>0</v>
      </c>
      <c r="J169" s="113"/>
      <c r="K169" s="771"/>
      <c r="M169" s="667"/>
    </row>
    <row r="170" spans="1:13" s="95" customFormat="1" ht="12" customHeight="1" outlineLevel="1">
      <c r="B170" s="275"/>
      <c r="C170" s="259"/>
      <c r="E170" s="276"/>
      <c r="F170" s="276"/>
      <c r="G170" s="277"/>
      <c r="H170" s="277"/>
      <c r="I170" s="277">
        <f t="shared" si="32"/>
        <v>0</v>
      </c>
      <c r="J170" s="278"/>
      <c r="K170" s="771"/>
      <c r="M170" s="667"/>
    </row>
    <row r="171" spans="1:13" s="95" customFormat="1" ht="12" customHeight="1" outlineLevel="1">
      <c r="A171" s="124"/>
      <c r="B171" s="258"/>
      <c r="C171" s="271"/>
      <c r="D171" s="272"/>
      <c r="E171" s="113" t="s">
        <v>186</v>
      </c>
      <c r="F171" s="113"/>
      <c r="G171" s="94"/>
      <c r="H171" s="94"/>
      <c r="I171" s="113"/>
      <c r="J171" s="94"/>
      <c r="K171" s="771"/>
      <c r="M171" s="667"/>
    </row>
    <row r="172" spans="1:13" s="95" customFormat="1" ht="12" customHeight="1">
      <c r="A172" s="124"/>
      <c r="B172" s="260" t="s">
        <v>98</v>
      </c>
      <c r="C172" s="261"/>
      <c r="D172" s="262"/>
      <c r="E172" s="262"/>
      <c r="F172" s="262"/>
      <c r="G172" s="262"/>
      <c r="H172" s="262"/>
      <c r="I172" s="263"/>
      <c r="J172" s="94"/>
      <c r="K172" s="771"/>
      <c r="M172" s="667"/>
    </row>
    <row r="173" spans="1:13" s="95" customFormat="1" ht="12" customHeight="1" outlineLevel="1">
      <c r="A173" s="124"/>
      <c r="B173" s="258"/>
      <c r="C173" s="265">
        <v>5601</v>
      </c>
      <c r="D173" s="266" t="s">
        <v>29</v>
      </c>
      <c r="E173" s="113"/>
      <c r="F173" s="113"/>
      <c r="G173" s="267"/>
      <c r="H173" s="267"/>
      <c r="I173" s="348"/>
      <c r="J173" s="94"/>
      <c r="K173" s="771"/>
      <c r="M173" s="667"/>
    </row>
    <row r="174" spans="1:13" s="95" customFormat="1" ht="12" customHeight="1" outlineLevel="1">
      <c r="A174" s="124"/>
      <c r="B174" s="258"/>
      <c r="C174" s="265"/>
      <c r="D174" s="266"/>
      <c r="E174" s="113"/>
      <c r="F174" s="268" t="s">
        <v>565</v>
      </c>
      <c r="G174" s="445">
        <f>'Revenue Inputs'!$D$38*K174</f>
        <v>0</v>
      </c>
      <c r="H174" s="269">
        <v>0</v>
      </c>
      <c r="I174" s="349">
        <f t="shared" ref="I174" si="35">SUM(G174:H174)</f>
        <v>0</v>
      </c>
      <c r="J174" s="94"/>
      <c r="K174" s="888">
        <v>0</v>
      </c>
      <c r="M174" s="667"/>
    </row>
    <row r="175" spans="1:13" s="95" customFormat="1" ht="12" customHeight="1" outlineLevel="1">
      <c r="A175" s="124"/>
      <c r="B175" s="258"/>
      <c r="C175" s="265"/>
      <c r="D175" s="266"/>
      <c r="E175" s="113"/>
      <c r="F175" s="268"/>
      <c r="G175" s="269">
        <v>0</v>
      </c>
      <c r="H175" s="269">
        <v>0</v>
      </c>
      <c r="I175" s="349">
        <f t="shared" ref="I175:I207" si="36">SUM(G175:H175)</f>
        <v>0</v>
      </c>
      <c r="J175" s="94"/>
      <c r="K175" s="771"/>
      <c r="M175" s="667"/>
    </row>
    <row r="176" spans="1:13" s="95" customFormat="1" ht="12" customHeight="1" outlineLevel="1">
      <c r="A176" s="124"/>
      <c r="B176" s="258"/>
      <c r="C176" s="265"/>
      <c r="D176" s="266"/>
      <c r="E176" s="113"/>
      <c r="F176" s="268"/>
      <c r="G176" s="269">
        <v>0</v>
      </c>
      <c r="H176" s="269">
        <v>0</v>
      </c>
      <c r="I176" s="349">
        <f t="shared" si="36"/>
        <v>0</v>
      </c>
      <c r="J176" s="94"/>
      <c r="K176" s="771"/>
      <c r="M176" s="667"/>
    </row>
    <row r="177" spans="1:13" s="95" customFormat="1" ht="12" customHeight="1" outlineLevel="1">
      <c r="A177" s="124"/>
      <c r="B177" s="258"/>
      <c r="C177" s="265"/>
      <c r="D177" s="266"/>
      <c r="E177" s="113" t="s">
        <v>200</v>
      </c>
      <c r="F177" s="113"/>
      <c r="G177" s="270">
        <f>SUM(G173:G176)</f>
        <v>0</v>
      </c>
      <c r="H177" s="270">
        <f>SUM(H173:H176)</f>
        <v>0</v>
      </c>
      <c r="I177" s="270">
        <f t="shared" si="36"/>
        <v>0</v>
      </c>
      <c r="J177" s="94"/>
      <c r="K177" s="771"/>
      <c r="M177" s="667"/>
    </row>
    <row r="178" spans="1:13" s="95" customFormat="1" ht="12" customHeight="1" outlineLevel="1">
      <c r="A178" s="124"/>
      <c r="B178" s="258"/>
      <c r="C178" s="265"/>
      <c r="D178" s="266"/>
      <c r="E178" s="113"/>
      <c r="F178" s="113"/>
      <c r="G178" s="267"/>
      <c r="H178" s="267"/>
      <c r="I178" s="348"/>
      <c r="J178" s="94"/>
      <c r="K178" s="771"/>
      <c r="M178" s="667"/>
    </row>
    <row r="179" spans="1:13" s="95" customFormat="1" ht="12" customHeight="1" outlineLevel="1">
      <c r="A179" s="124"/>
      <c r="B179" s="258"/>
      <c r="C179" s="265">
        <v>5602</v>
      </c>
      <c r="D179" s="266" t="s">
        <v>30</v>
      </c>
      <c r="E179" s="113"/>
      <c r="F179" s="113"/>
      <c r="G179" s="267"/>
      <c r="H179" s="267"/>
      <c r="I179" s="348"/>
      <c r="J179" s="94"/>
      <c r="K179" s="771"/>
      <c r="M179" s="667"/>
    </row>
    <row r="180" spans="1:13" s="95" customFormat="1" ht="12" customHeight="1" outlineLevel="1">
      <c r="A180" s="124"/>
      <c r="B180" s="258"/>
      <c r="C180" s="265"/>
      <c r="D180" s="266"/>
      <c r="E180" s="113"/>
      <c r="F180" s="268" t="s">
        <v>565</v>
      </c>
      <c r="G180" s="445">
        <f>'Revenue Inputs'!$D$38*K180</f>
        <v>0</v>
      </c>
      <c r="H180" s="269">
        <v>0</v>
      </c>
      <c r="I180" s="349">
        <f t="shared" ref="I180" si="37">SUM(G180:H180)</f>
        <v>0</v>
      </c>
      <c r="J180" s="94"/>
      <c r="K180" s="888">
        <v>0</v>
      </c>
      <c r="M180" s="667"/>
    </row>
    <row r="181" spans="1:13" s="95" customFormat="1" ht="12" customHeight="1" outlineLevel="1">
      <c r="A181" s="124"/>
      <c r="B181" s="258"/>
      <c r="C181" s="265"/>
      <c r="D181" s="266"/>
      <c r="E181" s="113"/>
      <c r="F181" s="268"/>
      <c r="G181" s="269">
        <v>0</v>
      </c>
      <c r="H181" s="269">
        <v>0</v>
      </c>
      <c r="I181" s="349">
        <f t="shared" si="36"/>
        <v>0</v>
      </c>
      <c r="J181" s="94"/>
      <c r="K181" s="771"/>
      <c r="M181" s="667"/>
    </row>
    <row r="182" spans="1:13" s="95" customFormat="1" ht="12" customHeight="1" outlineLevel="1">
      <c r="A182" s="124"/>
      <c r="B182" s="258"/>
      <c r="C182" s="265"/>
      <c r="D182" s="266"/>
      <c r="E182" s="113"/>
      <c r="F182" s="268"/>
      <c r="G182" s="269">
        <v>0</v>
      </c>
      <c r="H182" s="269">
        <v>0</v>
      </c>
      <c r="I182" s="349">
        <f t="shared" si="36"/>
        <v>0</v>
      </c>
      <c r="J182" s="94"/>
      <c r="K182" s="771"/>
      <c r="M182" s="667"/>
    </row>
    <row r="183" spans="1:13" s="95" customFormat="1" ht="12" customHeight="1" outlineLevel="1">
      <c r="A183" s="124"/>
      <c r="B183" s="258"/>
      <c r="C183" s="265"/>
      <c r="D183" s="266"/>
      <c r="E183" s="113" t="s">
        <v>201</v>
      </c>
      <c r="F183" s="113"/>
      <c r="G183" s="270">
        <f>SUM(G179:G182)</f>
        <v>0</v>
      </c>
      <c r="H183" s="270">
        <f>SUM(H179:H182)</f>
        <v>0</v>
      </c>
      <c r="I183" s="270">
        <f t="shared" si="36"/>
        <v>0</v>
      </c>
      <c r="J183" s="94"/>
      <c r="K183" s="771"/>
      <c r="M183" s="667"/>
    </row>
    <row r="184" spans="1:13" s="95" customFormat="1" ht="12" customHeight="1" outlineLevel="1">
      <c r="A184" s="124"/>
      <c r="B184" s="258"/>
      <c r="C184" s="265"/>
      <c r="D184" s="266"/>
      <c r="E184" s="113"/>
      <c r="F184" s="113"/>
      <c r="G184" s="267"/>
      <c r="H184" s="267"/>
      <c r="I184" s="348"/>
      <c r="J184" s="94"/>
      <c r="K184" s="771"/>
      <c r="M184" s="667"/>
    </row>
    <row r="185" spans="1:13" s="95" customFormat="1" ht="12" customHeight="1" outlineLevel="1">
      <c r="A185" s="124"/>
      <c r="B185" s="258"/>
      <c r="C185" s="265">
        <v>5603</v>
      </c>
      <c r="D185" s="266" t="s">
        <v>31</v>
      </c>
      <c r="E185" s="113"/>
      <c r="F185" s="113"/>
      <c r="G185" s="267"/>
      <c r="H185" s="267"/>
      <c r="I185" s="348"/>
      <c r="J185" s="94"/>
      <c r="K185" s="771"/>
      <c r="M185" s="667"/>
    </row>
    <row r="186" spans="1:13" s="95" customFormat="1" ht="12" customHeight="1" outlineLevel="1">
      <c r="A186" s="124"/>
      <c r="B186" s="258"/>
      <c r="C186" s="265"/>
      <c r="D186" s="266"/>
      <c r="E186" s="113"/>
      <c r="F186" s="268" t="s">
        <v>565</v>
      </c>
      <c r="G186" s="445">
        <f>'Revenue Inputs'!$D$38*K186</f>
        <v>0</v>
      </c>
      <c r="H186" s="269">
        <v>0</v>
      </c>
      <c r="I186" s="349">
        <f t="shared" ref="I186" si="38">SUM(G186:H186)</f>
        <v>0</v>
      </c>
      <c r="J186" s="94"/>
      <c r="K186" s="888">
        <v>0</v>
      </c>
      <c r="M186" s="667"/>
    </row>
    <row r="187" spans="1:13" s="95" customFormat="1" ht="12" customHeight="1" outlineLevel="1">
      <c r="A187" s="124"/>
      <c r="B187" s="258"/>
      <c r="C187" s="265"/>
      <c r="D187" s="266"/>
      <c r="E187" s="113"/>
      <c r="F187" s="268"/>
      <c r="G187" s="269">
        <v>0</v>
      </c>
      <c r="H187" s="269">
        <v>0</v>
      </c>
      <c r="I187" s="349">
        <f t="shared" si="36"/>
        <v>0</v>
      </c>
      <c r="J187" s="94"/>
      <c r="K187" s="771"/>
      <c r="M187" s="667"/>
    </row>
    <row r="188" spans="1:13" s="95" customFormat="1" ht="12" customHeight="1" outlineLevel="1">
      <c r="A188" s="124"/>
      <c r="B188" s="258"/>
      <c r="C188" s="265"/>
      <c r="D188" s="266"/>
      <c r="E188" s="113"/>
      <c r="F188" s="268"/>
      <c r="G188" s="269">
        <v>0</v>
      </c>
      <c r="H188" s="269">
        <v>0</v>
      </c>
      <c r="I188" s="349">
        <f t="shared" si="36"/>
        <v>0</v>
      </c>
      <c r="J188" s="94"/>
      <c r="K188" s="771"/>
      <c r="M188" s="667"/>
    </row>
    <row r="189" spans="1:13" s="95" customFormat="1" ht="12" customHeight="1" outlineLevel="1">
      <c r="A189" s="124"/>
      <c r="B189" s="258"/>
      <c r="C189" s="265"/>
      <c r="D189" s="266"/>
      <c r="E189" s="113" t="s">
        <v>202</v>
      </c>
      <c r="F189" s="113"/>
      <c r="G189" s="270">
        <f>SUM(G185:G188)</f>
        <v>0</v>
      </c>
      <c r="H189" s="270">
        <f>SUM(H185:H188)</f>
        <v>0</v>
      </c>
      <c r="I189" s="270">
        <f t="shared" si="36"/>
        <v>0</v>
      </c>
      <c r="J189" s="94"/>
      <c r="K189" s="771"/>
      <c r="M189" s="667"/>
    </row>
    <row r="190" spans="1:13" s="95" customFormat="1" ht="12" customHeight="1" outlineLevel="1">
      <c r="A190" s="124"/>
      <c r="B190" s="258"/>
      <c r="C190" s="265"/>
      <c r="D190" s="266"/>
      <c r="E190" s="113"/>
      <c r="F190" s="113"/>
      <c r="G190" s="267"/>
      <c r="H190" s="267"/>
      <c r="I190" s="348"/>
      <c r="J190" s="94"/>
      <c r="K190" s="771"/>
      <c r="M190" s="667"/>
    </row>
    <row r="191" spans="1:13" s="95" customFormat="1" ht="12" customHeight="1" outlineLevel="1">
      <c r="A191" s="124"/>
      <c r="B191" s="258"/>
      <c r="C191" s="265">
        <v>5604</v>
      </c>
      <c r="D191" s="266" t="s">
        <v>32</v>
      </c>
      <c r="E191" s="113"/>
      <c r="F191" s="113"/>
      <c r="G191" s="267"/>
      <c r="H191" s="267"/>
      <c r="I191" s="348"/>
      <c r="J191" s="94"/>
      <c r="K191" s="771"/>
      <c r="M191" s="667"/>
    </row>
    <row r="192" spans="1:13" s="95" customFormat="1" ht="12" customHeight="1" outlineLevel="1">
      <c r="A192" s="124"/>
      <c r="B192" s="258"/>
      <c r="C192" s="265"/>
      <c r="D192" s="266"/>
      <c r="E192" s="113"/>
      <c r="F192" s="268" t="s">
        <v>565</v>
      </c>
      <c r="G192" s="445">
        <f>'Revenue Inputs'!$D$38*K192</f>
        <v>0</v>
      </c>
      <c r="H192" s="269">
        <v>0</v>
      </c>
      <c r="I192" s="349">
        <f t="shared" ref="I192" si="39">SUM(G192:H192)</f>
        <v>0</v>
      </c>
      <c r="J192" s="94"/>
      <c r="K192" s="888">
        <v>0</v>
      </c>
      <c r="M192" s="667"/>
    </row>
    <row r="193" spans="1:13" s="95" customFormat="1" ht="12" customHeight="1" outlineLevel="1">
      <c r="A193" s="124"/>
      <c r="B193" s="258"/>
      <c r="C193" s="265"/>
      <c r="D193" s="266"/>
      <c r="E193" s="113"/>
      <c r="F193" s="268"/>
      <c r="G193" s="269">
        <v>0</v>
      </c>
      <c r="H193" s="269">
        <v>0</v>
      </c>
      <c r="I193" s="349">
        <f t="shared" si="36"/>
        <v>0</v>
      </c>
      <c r="J193" s="94"/>
      <c r="K193" s="771"/>
      <c r="M193" s="667"/>
    </row>
    <row r="194" spans="1:13" s="95" customFormat="1" ht="12" customHeight="1" outlineLevel="1">
      <c r="A194" s="124"/>
      <c r="B194" s="258"/>
      <c r="C194" s="265"/>
      <c r="D194" s="266"/>
      <c r="E194" s="113"/>
      <c r="F194" s="268"/>
      <c r="G194" s="269">
        <v>0</v>
      </c>
      <c r="H194" s="269">
        <v>0</v>
      </c>
      <c r="I194" s="349">
        <f t="shared" si="36"/>
        <v>0</v>
      </c>
      <c r="J194" s="94"/>
      <c r="K194" s="771"/>
      <c r="M194" s="667"/>
    </row>
    <row r="195" spans="1:13" s="95" customFormat="1" ht="12" customHeight="1" outlineLevel="1">
      <c r="A195" s="124"/>
      <c r="B195" s="258"/>
      <c r="C195" s="265"/>
      <c r="D195" s="266"/>
      <c r="E195" s="113" t="s">
        <v>203</v>
      </c>
      <c r="F195" s="113"/>
      <c r="G195" s="270">
        <f>SUM(G191:G194)</f>
        <v>0</v>
      </c>
      <c r="H195" s="270">
        <f>SUM(H191:H194)</f>
        <v>0</v>
      </c>
      <c r="I195" s="270">
        <f t="shared" si="36"/>
        <v>0</v>
      </c>
      <c r="J195" s="94"/>
      <c r="K195" s="771"/>
      <c r="M195" s="667"/>
    </row>
    <row r="196" spans="1:13" s="95" customFormat="1" ht="12" customHeight="1" outlineLevel="1">
      <c r="A196" s="124"/>
      <c r="B196" s="258"/>
      <c r="C196" s="265"/>
      <c r="D196" s="266"/>
      <c r="E196" s="113"/>
      <c r="F196" s="113"/>
      <c r="G196" s="267"/>
      <c r="H196" s="267"/>
      <c r="I196" s="348"/>
      <c r="J196" s="94"/>
      <c r="K196" s="771"/>
      <c r="M196" s="667"/>
    </row>
    <row r="197" spans="1:13" s="95" customFormat="1" ht="12" customHeight="1" outlineLevel="1">
      <c r="A197" s="124"/>
      <c r="B197" s="258"/>
      <c r="C197" s="265">
        <v>5605</v>
      </c>
      <c r="D197" s="266" t="s">
        <v>99</v>
      </c>
      <c r="E197" s="113"/>
      <c r="F197" s="113"/>
      <c r="G197" s="267"/>
      <c r="H197" s="267"/>
      <c r="I197" s="348"/>
      <c r="J197" s="94"/>
      <c r="K197" s="771"/>
      <c r="M197" s="667"/>
    </row>
    <row r="198" spans="1:13" s="95" customFormat="1" ht="12" customHeight="1" outlineLevel="1">
      <c r="A198" s="124"/>
      <c r="B198" s="258"/>
      <c r="C198" s="265"/>
      <c r="D198" s="266"/>
      <c r="E198" s="113"/>
      <c r="F198" s="268" t="s">
        <v>565</v>
      </c>
      <c r="G198" s="445">
        <f>'Revenue Inputs'!$D$38*K198</f>
        <v>0</v>
      </c>
      <c r="H198" s="269">
        <v>0</v>
      </c>
      <c r="I198" s="349">
        <f t="shared" ref="I198" si="40">SUM(G198:H198)</f>
        <v>0</v>
      </c>
      <c r="J198" s="94"/>
      <c r="K198" s="888">
        <v>0</v>
      </c>
      <c r="M198" s="667"/>
    </row>
    <row r="199" spans="1:13" s="95" customFormat="1" ht="12" customHeight="1" outlineLevel="1">
      <c r="A199" s="124"/>
      <c r="B199" s="258"/>
      <c r="C199" s="265"/>
      <c r="D199" s="266"/>
      <c r="E199" s="113"/>
      <c r="F199" s="268"/>
      <c r="G199" s="269">
        <v>0</v>
      </c>
      <c r="H199" s="269">
        <v>0</v>
      </c>
      <c r="I199" s="349">
        <f t="shared" si="36"/>
        <v>0</v>
      </c>
      <c r="J199" s="94"/>
      <c r="K199" s="771"/>
      <c r="M199" s="667"/>
    </row>
    <row r="200" spans="1:13" s="95" customFormat="1" ht="12" customHeight="1" outlineLevel="1">
      <c r="A200" s="124"/>
      <c r="B200" s="258"/>
      <c r="C200" s="265"/>
      <c r="D200" s="266"/>
      <c r="E200" s="113"/>
      <c r="F200" s="268"/>
      <c r="G200" s="269">
        <v>0</v>
      </c>
      <c r="H200" s="269">
        <v>0</v>
      </c>
      <c r="I200" s="349">
        <f t="shared" si="36"/>
        <v>0</v>
      </c>
      <c r="J200" s="94"/>
      <c r="K200" s="771"/>
      <c r="M200" s="667"/>
    </row>
    <row r="201" spans="1:13" s="95" customFormat="1" ht="12" customHeight="1" outlineLevel="1">
      <c r="A201" s="124"/>
      <c r="B201" s="258"/>
      <c r="C201" s="265"/>
      <c r="D201" s="266"/>
      <c r="E201" s="113" t="s">
        <v>204</v>
      </c>
      <c r="F201" s="113"/>
      <c r="G201" s="270">
        <f>SUM(G197:G200)</f>
        <v>0</v>
      </c>
      <c r="H201" s="270">
        <f>SUM(H197:H200)</f>
        <v>0</v>
      </c>
      <c r="I201" s="270">
        <f t="shared" si="36"/>
        <v>0</v>
      </c>
      <c r="J201" s="94"/>
      <c r="K201" s="771"/>
      <c r="M201" s="667"/>
    </row>
    <row r="202" spans="1:13" s="95" customFormat="1" ht="12" customHeight="1" outlineLevel="1">
      <c r="A202" s="124"/>
      <c r="B202" s="258"/>
      <c r="C202" s="265"/>
      <c r="D202" s="266"/>
      <c r="E202" s="113"/>
      <c r="F202" s="113"/>
      <c r="G202" s="267"/>
      <c r="H202" s="267"/>
      <c r="I202" s="348"/>
      <c r="J202" s="94"/>
      <c r="K202" s="771"/>
      <c r="M202" s="667"/>
    </row>
    <row r="203" spans="1:13" s="95" customFormat="1" ht="12" customHeight="1" outlineLevel="1">
      <c r="A203" s="124"/>
      <c r="B203" s="258"/>
      <c r="C203" s="265">
        <v>5610</v>
      </c>
      <c r="D203" s="266" t="s">
        <v>33</v>
      </c>
      <c r="E203" s="113"/>
      <c r="F203" s="113"/>
      <c r="G203" s="267"/>
      <c r="H203" s="267"/>
      <c r="I203" s="348"/>
      <c r="J203" s="94"/>
      <c r="K203" s="771"/>
      <c r="M203" s="667"/>
    </row>
    <row r="204" spans="1:13" s="95" customFormat="1" ht="12" customHeight="1" outlineLevel="1">
      <c r="A204" s="124"/>
      <c r="B204" s="258"/>
      <c r="C204" s="265"/>
      <c r="D204" s="266"/>
      <c r="E204" s="113"/>
      <c r="F204" s="268" t="s">
        <v>565</v>
      </c>
      <c r="G204" s="445">
        <f>'Revenue Inputs'!$D$38*K204</f>
        <v>0</v>
      </c>
      <c r="H204" s="269">
        <v>0</v>
      </c>
      <c r="I204" s="349">
        <f t="shared" ref="I204" si="41">SUM(G204:H204)</f>
        <v>0</v>
      </c>
      <c r="J204" s="94"/>
      <c r="K204" s="888">
        <v>0</v>
      </c>
      <c r="M204" s="667"/>
    </row>
    <row r="205" spans="1:13" s="95" customFormat="1" ht="12" customHeight="1" outlineLevel="1">
      <c r="A205" s="124"/>
      <c r="B205" s="258"/>
      <c r="C205" s="265"/>
      <c r="D205" s="266"/>
      <c r="E205" s="113"/>
      <c r="F205" s="268"/>
      <c r="G205" s="269">
        <v>0</v>
      </c>
      <c r="H205" s="269">
        <v>0</v>
      </c>
      <c r="I205" s="349">
        <f t="shared" si="36"/>
        <v>0</v>
      </c>
      <c r="J205" s="94"/>
      <c r="K205" s="771"/>
      <c r="M205" s="667"/>
    </row>
    <row r="206" spans="1:13" s="95" customFormat="1" ht="12" customHeight="1" outlineLevel="1">
      <c r="A206" s="124"/>
      <c r="B206" s="258"/>
      <c r="C206" s="265"/>
      <c r="D206" s="266"/>
      <c r="E206" s="113"/>
      <c r="F206" s="268"/>
      <c r="G206" s="269">
        <v>0</v>
      </c>
      <c r="H206" s="269">
        <v>0</v>
      </c>
      <c r="I206" s="349">
        <f t="shared" si="36"/>
        <v>0</v>
      </c>
      <c r="J206" s="94"/>
      <c r="K206" s="771"/>
      <c r="M206" s="667"/>
    </row>
    <row r="207" spans="1:13" s="95" customFormat="1" ht="12" customHeight="1" outlineLevel="1">
      <c r="A207" s="124"/>
      <c r="B207" s="258"/>
      <c r="C207" s="271"/>
      <c r="D207" s="272"/>
      <c r="E207" s="113" t="s">
        <v>205</v>
      </c>
      <c r="F207" s="113"/>
      <c r="G207" s="270">
        <f>SUM(G203:G206)</f>
        <v>0</v>
      </c>
      <c r="H207" s="270">
        <f>SUM(H203:H206)</f>
        <v>0</v>
      </c>
      <c r="I207" s="270">
        <f t="shared" si="36"/>
        <v>0</v>
      </c>
      <c r="J207" s="94"/>
      <c r="K207" s="771"/>
      <c r="M207" s="667"/>
    </row>
    <row r="208" spans="1:13" s="95" customFormat="1" ht="12" customHeight="1" outlineLevel="1">
      <c r="A208" s="124"/>
      <c r="B208" s="258"/>
      <c r="C208" s="271"/>
      <c r="D208" s="272"/>
      <c r="E208" s="113" t="s">
        <v>186</v>
      </c>
      <c r="F208" s="113"/>
      <c r="G208" s="94"/>
      <c r="H208" s="94"/>
      <c r="I208" s="113"/>
      <c r="J208" s="94"/>
      <c r="K208" s="771"/>
      <c r="M208" s="667"/>
    </row>
    <row r="209" spans="1:13" s="95" customFormat="1" ht="12" customHeight="1">
      <c r="A209" s="124"/>
      <c r="B209" s="260" t="s">
        <v>91</v>
      </c>
      <c r="C209" s="261"/>
      <c r="D209" s="262"/>
      <c r="E209" s="262"/>
      <c r="F209" s="262"/>
      <c r="G209" s="262"/>
      <c r="H209" s="262"/>
      <c r="I209" s="263"/>
      <c r="J209" s="94"/>
      <c r="K209" s="771"/>
      <c r="M209" s="667"/>
    </row>
    <row r="210" spans="1:13" s="95" customFormat="1" ht="12" customHeight="1" outlineLevel="1">
      <c r="A210" s="124"/>
      <c r="B210" s="258"/>
      <c r="C210" s="265">
        <v>5801</v>
      </c>
      <c r="D210" s="266" t="s">
        <v>92</v>
      </c>
      <c r="E210" s="113" t="s">
        <v>186</v>
      </c>
      <c r="F210" s="113"/>
      <c r="G210" s="267"/>
      <c r="H210" s="267"/>
      <c r="I210" s="348"/>
      <c r="J210" s="94"/>
      <c r="K210" s="771"/>
      <c r="M210" s="667"/>
    </row>
    <row r="211" spans="1:13" s="95" customFormat="1" ht="12" customHeight="1" outlineLevel="1">
      <c r="A211" s="124"/>
      <c r="B211" s="258"/>
      <c r="C211" s="265"/>
      <c r="D211" s="266"/>
      <c r="E211" s="113"/>
      <c r="F211" s="268" t="s">
        <v>565</v>
      </c>
      <c r="G211" s="445">
        <f>'Revenue Inputs'!$D$38*K211</f>
        <v>0</v>
      </c>
      <c r="H211" s="269">
        <v>0</v>
      </c>
      <c r="I211" s="349">
        <f t="shared" ref="I211" si="42">SUM(G211:H211)</f>
        <v>0</v>
      </c>
      <c r="J211" s="94"/>
      <c r="K211" s="888">
        <v>0</v>
      </c>
      <c r="M211" s="667"/>
    </row>
    <row r="212" spans="1:13" s="95" customFormat="1" ht="12" customHeight="1" outlineLevel="1">
      <c r="A212" s="124"/>
      <c r="B212" s="258"/>
      <c r="C212" s="265"/>
      <c r="D212" s="266"/>
      <c r="E212" s="113"/>
      <c r="F212" s="268"/>
      <c r="G212" s="269">
        <v>0</v>
      </c>
      <c r="H212" s="269">
        <v>0</v>
      </c>
      <c r="I212" s="349">
        <f t="shared" si="17"/>
        <v>0</v>
      </c>
      <c r="J212" s="94"/>
      <c r="K212" s="771"/>
      <c r="M212" s="667"/>
    </row>
    <row r="213" spans="1:13" s="95" customFormat="1" ht="12" customHeight="1" outlineLevel="1">
      <c r="A213" s="124"/>
      <c r="B213" s="258"/>
      <c r="C213" s="265"/>
      <c r="D213" s="266"/>
      <c r="E213" s="113"/>
      <c r="F213" s="268"/>
      <c r="G213" s="269">
        <v>0</v>
      </c>
      <c r="H213" s="269">
        <v>0</v>
      </c>
      <c r="I213" s="349">
        <f t="shared" si="17"/>
        <v>0</v>
      </c>
      <c r="J213" s="94"/>
      <c r="K213" s="771"/>
      <c r="M213" s="667"/>
    </row>
    <row r="214" spans="1:13" s="95" customFormat="1" ht="12" customHeight="1" outlineLevel="1">
      <c r="A214" s="124"/>
      <c r="B214" s="258"/>
      <c r="C214" s="265"/>
      <c r="D214" s="266"/>
      <c r="E214" s="113" t="s">
        <v>193</v>
      </c>
      <c r="F214" s="113"/>
      <c r="G214" s="270">
        <f>SUM(G210:G213)</f>
        <v>0</v>
      </c>
      <c r="H214" s="270">
        <f>SUM(H210:H213)</f>
        <v>0</v>
      </c>
      <c r="I214" s="270">
        <f t="shared" si="17"/>
        <v>0</v>
      </c>
      <c r="J214" s="94"/>
      <c r="K214" s="771"/>
      <c r="M214" s="667"/>
    </row>
    <row r="215" spans="1:13" s="95" customFormat="1" ht="12" customHeight="1" outlineLevel="1">
      <c r="A215" s="124"/>
      <c r="B215" s="258"/>
      <c r="C215" s="265"/>
      <c r="D215" s="266"/>
      <c r="E215" s="113"/>
      <c r="F215" s="113"/>
      <c r="G215" s="267"/>
      <c r="H215" s="267"/>
      <c r="I215" s="348"/>
      <c r="J215" s="94"/>
      <c r="K215" s="771"/>
      <c r="M215" s="667"/>
    </row>
    <row r="216" spans="1:13" s="95" customFormat="1" ht="12" customHeight="1" outlineLevel="1">
      <c r="A216" s="124"/>
      <c r="B216" s="258"/>
      <c r="C216" s="265">
        <v>5802</v>
      </c>
      <c r="D216" s="266" t="s">
        <v>194</v>
      </c>
      <c r="E216" s="113"/>
      <c r="F216" s="113"/>
      <c r="G216" s="267"/>
      <c r="H216" s="267"/>
      <c r="I216" s="348"/>
      <c r="J216" s="94"/>
      <c r="K216" s="771"/>
      <c r="M216" s="667"/>
    </row>
    <row r="217" spans="1:13" s="95" customFormat="1" ht="12" customHeight="1" outlineLevel="1">
      <c r="A217" s="124"/>
      <c r="B217" s="258"/>
      <c r="C217" s="265"/>
      <c r="D217" s="266"/>
      <c r="E217" s="113"/>
      <c r="F217" s="268" t="s">
        <v>565</v>
      </c>
      <c r="G217" s="445">
        <f>'Revenue Inputs'!$D$38*K217</f>
        <v>20109.9872</v>
      </c>
      <c r="H217" s="269">
        <v>0</v>
      </c>
      <c r="I217" s="349">
        <f t="shared" ref="I217" si="43">SUM(G217:H217)</f>
        <v>20109.9872</v>
      </c>
      <c r="J217" s="94"/>
      <c r="K217" s="888">
        <v>6.32</v>
      </c>
      <c r="M217" s="667"/>
    </row>
    <row r="218" spans="1:13" s="95" customFormat="1" ht="12" customHeight="1" outlineLevel="1">
      <c r="A218" s="124"/>
      <c r="B218" s="258"/>
      <c r="C218" s="265"/>
      <c r="D218" s="266"/>
      <c r="E218" s="113"/>
      <c r="F218" s="268"/>
      <c r="G218" s="269">
        <v>0</v>
      </c>
      <c r="H218" s="269">
        <v>0</v>
      </c>
      <c r="I218" s="349">
        <f t="shared" si="17"/>
        <v>0</v>
      </c>
      <c r="J218" s="94"/>
      <c r="K218" s="771"/>
      <c r="M218" s="667"/>
    </row>
    <row r="219" spans="1:13" s="95" customFormat="1" ht="12" customHeight="1" outlineLevel="1">
      <c r="A219" s="124"/>
      <c r="B219" s="258"/>
      <c r="C219" s="265"/>
      <c r="D219" s="266"/>
      <c r="E219" s="113"/>
      <c r="F219" s="268"/>
      <c r="G219" s="269">
        <v>0</v>
      </c>
      <c r="H219" s="269">
        <v>0</v>
      </c>
      <c r="I219" s="349">
        <f t="shared" si="17"/>
        <v>0</v>
      </c>
      <c r="J219" s="94"/>
      <c r="K219" s="771"/>
      <c r="M219" s="667"/>
    </row>
    <row r="220" spans="1:13" s="95" customFormat="1" ht="12" customHeight="1" outlineLevel="1">
      <c r="A220" s="124"/>
      <c r="B220" s="258"/>
      <c r="C220" s="265"/>
      <c r="D220" s="266"/>
      <c r="E220" s="113" t="s">
        <v>195</v>
      </c>
      <c r="F220" s="113"/>
      <c r="G220" s="270">
        <f>SUM(G216:G219)</f>
        <v>20109.9872</v>
      </c>
      <c r="H220" s="270">
        <f>SUM(H216:H219)</f>
        <v>0</v>
      </c>
      <c r="I220" s="270">
        <f t="shared" si="17"/>
        <v>20109.9872</v>
      </c>
      <c r="J220" s="94"/>
      <c r="K220" s="771"/>
      <c r="M220" s="667"/>
    </row>
    <row r="221" spans="1:13" s="95" customFormat="1" ht="12" customHeight="1" outlineLevel="1">
      <c r="A221" s="124"/>
      <c r="B221" s="258"/>
      <c r="C221" s="265"/>
      <c r="D221" s="266"/>
      <c r="E221" s="113"/>
      <c r="F221" s="113"/>
      <c r="G221" s="267"/>
      <c r="H221" s="267"/>
      <c r="I221" s="348"/>
      <c r="J221" s="94"/>
      <c r="K221" s="771"/>
      <c r="M221" s="667"/>
    </row>
    <row r="222" spans="1:13" s="95" customFormat="1" ht="12" customHeight="1" outlineLevel="1">
      <c r="A222" s="124"/>
      <c r="B222" s="258"/>
      <c r="C222" s="265">
        <v>5803</v>
      </c>
      <c r="D222" s="266" t="s">
        <v>93</v>
      </c>
      <c r="E222" s="113"/>
      <c r="F222" s="113"/>
      <c r="G222" s="267"/>
      <c r="H222" s="267"/>
      <c r="I222" s="348"/>
      <c r="J222" s="94"/>
      <c r="K222" s="771"/>
      <c r="M222" s="667"/>
    </row>
    <row r="223" spans="1:13" s="95" customFormat="1" ht="12" customHeight="1" outlineLevel="1">
      <c r="A223" s="124"/>
      <c r="B223" s="258"/>
      <c r="C223" s="265"/>
      <c r="D223" s="266"/>
      <c r="E223" s="113"/>
      <c r="F223" s="268" t="s">
        <v>565</v>
      </c>
      <c r="G223" s="445">
        <f>'Revenue Inputs'!$D$38*K223</f>
        <v>42186.42568</v>
      </c>
      <c r="H223" s="269">
        <v>0</v>
      </c>
      <c r="I223" s="349">
        <f t="shared" ref="I223" si="44">SUM(G223:H223)</f>
        <v>42186.42568</v>
      </c>
      <c r="J223" s="94"/>
      <c r="K223" s="888">
        <v>13.257999999999999</v>
      </c>
      <c r="M223" s="667"/>
    </row>
    <row r="224" spans="1:13" s="95" customFormat="1" ht="12" customHeight="1" outlineLevel="1">
      <c r="A224" s="124"/>
      <c r="B224" s="258"/>
      <c r="C224" s="265"/>
      <c r="D224" s="266"/>
      <c r="E224" s="113"/>
      <c r="F224" s="268"/>
      <c r="G224" s="269">
        <v>0</v>
      </c>
      <c r="H224" s="269">
        <v>0</v>
      </c>
      <c r="I224" s="349">
        <f t="shared" si="17"/>
        <v>0</v>
      </c>
      <c r="J224" s="94"/>
      <c r="K224" s="771"/>
      <c r="M224" s="667"/>
    </row>
    <row r="225" spans="1:13" s="95" customFormat="1" ht="12" customHeight="1" outlineLevel="1">
      <c r="A225" s="124"/>
      <c r="B225" s="258"/>
      <c r="C225" s="265"/>
      <c r="D225" s="266"/>
      <c r="E225" s="113"/>
      <c r="F225" s="268"/>
      <c r="G225" s="269">
        <v>0</v>
      </c>
      <c r="H225" s="269">
        <v>0</v>
      </c>
      <c r="I225" s="349">
        <f t="shared" si="17"/>
        <v>0</v>
      </c>
      <c r="J225" s="94"/>
      <c r="K225" s="771"/>
      <c r="M225" s="667"/>
    </row>
    <row r="226" spans="1:13" s="95" customFormat="1" ht="12" customHeight="1" outlineLevel="1">
      <c r="A226" s="124"/>
      <c r="B226" s="258"/>
      <c r="C226" s="265"/>
      <c r="D226" s="266"/>
      <c r="E226" s="113" t="s">
        <v>196</v>
      </c>
      <c r="F226" s="113"/>
      <c r="G226" s="270">
        <f>SUM(G222:G225)</f>
        <v>42186.42568</v>
      </c>
      <c r="H226" s="270">
        <f>SUM(H222:H225)</f>
        <v>0</v>
      </c>
      <c r="I226" s="270">
        <f t="shared" si="17"/>
        <v>42186.42568</v>
      </c>
      <c r="J226" s="94"/>
      <c r="K226" s="771"/>
      <c r="M226" s="667"/>
    </row>
    <row r="227" spans="1:13" s="95" customFormat="1" ht="12" customHeight="1" outlineLevel="1">
      <c r="A227" s="124"/>
      <c r="B227" s="258"/>
      <c r="C227" s="265"/>
      <c r="D227" s="266"/>
      <c r="E227" s="113"/>
      <c r="F227" s="113"/>
      <c r="G227" s="267"/>
      <c r="H227" s="267"/>
      <c r="I227" s="348"/>
      <c r="J227" s="94"/>
      <c r="K227" s="771"/>
      <c r="M227" s="667"/>
    </row>
    <row r="228" spans="1:13" s="95" customFormat="1" ht="12" customHeight="1" outlineLevel="1">
      <c r="A228" s="124"/>
      <c r="B228" s="258"/>
      <c r="C228" s="265">
        <v>5804</v>
      </c>
      <c r="D228" s="266" t="s">
        <v>35</v>
      </c>
      <c r="E228" s="113"/>
      <c r="F228" s="113"/>
      <c r="G228" s="267"/>
      <c r="H228" s="267"/>
      <c r="I228" s="348"/>
      <c r="J228" s="94"/>
      <c r="K228" s="771"/>
      <c r="M228" s="667"/>
    </row>
    <row r="229" spans="1:13" s="95" customFormat="1" ht="12" customHeight="1" outlineLevel="1">
      <c r="A229" s="124"/>
      <c r="B229" s="258"/>
      <c r="C229" s="265"/>
      <c r="D229" s="266"/>
      <c r="E229" s="113"/>
      <c r="F229" s="268" t="s">
        <v>565</v>
      </c>
      <c r="G229" s="445">
        <f>'Revenue Inputs'!$D$38*K229</f>
        <v>10045.44772</v>
      </c>
      <c r="H229" s="269">
        <v>0</v>
      </c>
      <c r="I229" s="349">
        <f t="shared" ref="I229" si="45">SUM(G229:H229)</f>
        <v>10045.44772</v>
      </c>
      <c r="J229" s="94"/>
      <c r="K229" s="888">
        <v>3.157</v>
      </c>
      <c r="M229" s="667"/>
    </row>
    <row r="230" spans="1:13" s="95" customFormat="1" ht="12" customHeight="1" outlineLevel="1">
      <c r="A230" s="124"/>
      <c r="B230" s="258"/>
      <c r="C230" s="265"/>
      <c r="D230" s="266"/>
      <c r="E230" s="113"/>
      <c r="F230" s="268"/>
      <c r="G230" s="269">
        <v>0</v>
      </c>
      <c r="H230" s="269">
        <v>0</v>
      </c>
      <c r="I230" s="349">
        <f t="shared" si="17"/>
        <v>0</v>
      </c>
      <c r="J230" s="94"/>
      <c r="K230" s="771"/>
      <c r="M230" s="667"/>
    </row>
    <row r="231" spans="1:13" s="95" customFormat="1" ht="12" customHeight="1" outlineLevel="1">
      <c r="A231" s="124"/>
      <c r="B231" s="258"/>
      <c r="C231" s="265"/>
      <c r="D231" s="266"/>
      <c r="E231" s="113"/>
      <c r="F231" s="268"/>
      <c r="G231" s="269">
        <v>0</v>
      </c>
      <c r="H231" s="269">
        <v>0</v>
      </c>
      <c r="I231" s="349">
        <f t="shared" si="17"/>
        <v>0</v>
      </c>
      <c r="J231" s="94"/>
      <c r="K231" s="771"/>
      <c r="M231" s="667"/>
    </row>
    <row r="232" spans="1:13" s="95" customFormat="1" ht="12" customHeight="1" outlineLevel="1">
      <c r="A232" s="124"/>
      <c r="B232" s="258"/>
      <c r="C232" s="265"/>
      <c r="D232" s="266"/>
      <c r="E232" s="113" t="s">
        <v>197</v>
      </c>
      <c r="F232" s="113"/>
      <c r="G232" s="270">
        <f>SUM(G228:G231)</f>
        <v>10045.44772</v>
      </c>
      <c r="H232" s="270">
        <f>SUM(H228:H231)</f>
        <v>0</v>
      </c>
      <c r="I232" s="270">
        <f t="shared" si="17"/>
        <v>10045.44772</v>
      </c>
      <c r="J232" s="94"/>
      <c r="K232" s="771"/>
      <c r="M232" s="667"/>
    </row>
    <row r="233" spans="1:13" s="95" customFormat="1" ht="12" customHeight="1" outlineLevel="1">
      <c r="A233" s="124"/>
      <c r="B233" s="258"/>
      <c r="C233" s="265"/>
      <c r="D233" s="266"/>
      <c r="E233" s="113"/>
      <c r="F233" s="113"/>
      <c r="G233" s="267"/>
      <c r="H233" s="267"/>
      <c r="I233" s="348"/>
      <c r="J233" s="94"/>
      <c r="K233" s="771"/>
      <c r="M233" s="667"/>
    </row>
    <row r="234" spans="1:13" s="95" customFormat="1" ht="12" customHeight="1" outlineLevel="1">
      <c r="A234" s="124"/>
      <c r="B234" s="258"/>
      <c r="C234" s="265">
        <v>5805</v>
      </c>
      <c r="D234" s="266" t="s">
        <v>94</v>
      </c>
      <c r="E234" s="113"/>
      <c r="F234" s="113"/>
      <c r="G234" s="267"/>
      <c r="H234" s="267"/>
      <c r="I234" s="348"/>
      <c r="J234" s="94"/>
      <c r="K234" s="771"/>
      <c r="M234" s="667"/>
    </row>
    <row r="235" spans="1:13" s="95" customFormat="1" ht="12" customHeight="1" outlineLevel="1">
      <c r="A235" s="124"/>
      <c r="B235" s="258"/>
      <c r="C235" s="265"/>
      <c r="D235" s="266"/>
      <c r="E235" s="113"/>
      <c r="F235" s="268" t="s">
        <v>565</v>
      </c>
      <c r="G235" s="445">
        <f>'Revenue Inputs'!$D$38*K235</f>
        <v>10045.44772</v>
      </c>
      <c r="H235" s="269">
        <v>0</v>
      </c>
      <c r="I235" s="349">
        <f t="shared" ref="I235" si="46">SUM(G235:H235)</f>
        <v>10045.44772</v>
      </c>
      <c r="J235" s="94"/>
      <c r="K235" s="888">
        <v>3.157</v>
      </c>
      <c r="M235" s="667"/>
    </row>
    <row r="236" spans="1:13" s="95" customFormat="1" ht="12" customHeight="1" outlineLevel="1">
      <c r="A236" s="124"/>
      <c r="B236" s="258"/>
      <c r="C236" s="265"/>
      <c r="D236" s="266"/>
      <c r="E236" s="113"/>
      <c r="F236" s="268"/>
      <c r="G236" s="269">
        <v>0</v>
      </c>
      <c r="H236" s="269">
        <v>0</v>
      </c>
      <c r="I236" s="349">
        <f t="shared" si="17"/>
        <v>0</v>
      </c>
      <c r="J236" s="94"/>
      <c r="K236" s="771"/>
      <c r="M236" s="667"/>
    </row>
    <row r="237" spans="1:13" s="95" customFormat="1" ht="12" customHeight="1" outlineLevel="1">
      <c r="A237" s="124"/>
      <c r="B237" s="258"/>
      <c r="C237" s="265"/>
      <c r="D237" s="266"/>
      <c r="E237" s="113"/>
      <c r="F237" s="268"/>
      <c r="G237" s="269">
        <v>0</v>
      </c>
      <c r="H237" s="269">
        <v>0</v>
      </c>
      <c r="I237" s="349">
        <f t="shared" si="17"/>
        <v>0</v>
      </c>
      <c r="J237" s="94"/>
      <c r="K237" s="771"/>
      <c r="M237" s="667"/>
    </row>
    <row r="238" spans="1:13" s="95" customFormat="1" ht="12" customHeight="1" outlineLevel="1">
      <c r="A238" s="124"/>
      <c r="B238" s="258"/>
      <c r="C238" s="265"/>
      <c r="D238" s="266"/>
      <c r="E238" s="113" t="s">
        <v>198</v>
      </c>
      <c r="F238" s="113"/>
      <c r="G238" s="270">
        <f>SUM(G234:G237)</f>
        <v>10045.44772</v>
      </c>
      <c r="H238" s="270">
        <f>SUM(H234:H237)</f>
        <v>0</v>
      </c>
      <c r="I238" s="270">
        <f t="shared" si="17"/>
        <v>10045.44772</v>
      </c>
      <c r="J238" s="94"/>
      <c r="K238" s="771"/>
      <c r="M238" s="667"/>
    </row>
    <row r="239" spans="1:13" s="95" customFormat="1" ht="12" customHeight="1" outlineLevel="1">
      <c r="A239" s="124"/>
      <c r="B239" s="258"/>
      <c r="C239" s="265"/>
      <c r="D239" s="266"/>
      <c r="E239" s="113"/>
      <c r="F239" s="113"/>
      <c r="G239" s="267"/>
      <c r="H239" s="267"/>
      <c r="I239" s="348"/>
      <c r="J239" s="94"/>
      <c r="K239" s="771"/>
      <c r="M239" s="667"/>
    </row>
    <row r="240" spans="1:13" s="95" customFormat="1" ht="12" customHeight="1" outlineLevel="1">
      <c r="A240" s="124"/>
      <c r="B240" s="258"/>
      <c r="C240" s="265">
        <v>5806</v>
      </c>
      <c r="D240" s="266" t="s">
        <v>81</v>
      </c>
      <c r="E240" s="113"/>
      <c r="F240" s="113"/>
      <c r="G240" s="267"/>
      <c r="H240" s="267"/>
      <c r="I240" s="348"/>
      <c r="J240" s="94"/>
      <c r="K240" s="771"/>
      <c r="M240" s="667"/>
    </row>
    <row r="241" spans="1:13" s="95" customFormat="1" ht="12" customHeight="1" outlineLevel="1">
      <c r="A241" s="124"/>
      <c r="B241" s="258"/>
      <c r="C241" s="265"/>
      <c r="D241" s="266"/>
      <c r="E241" s="113"/>
      <c r="F241" s="268" t="s">
        <v>532</v>
      </c>
      <c r="G241" s="269">
        <f>S22</f>
        <v>851301.8</v>
      </c>
      <c r="H241" s="269">
        <v>0</v>
      </c>
      <c r="I241" s="349">
        <f>SUM(G241:H241)</f>
        <v>851301.8</v>
      </c>
      <c r="J241" s="94"/>
      <c r="K241" s="771"/>
      <c r="M241" s="667"/>
    </row>
    <row r="242" spans="1:13" s="95" customFormat="1" ht="12" customHeight="1" outlineLevel="1">
      <c r="A242" s="124"/>
      <c r="B242" s="258"/>
      <c r="C242" s="265"/>
      <c r="D242" s="266"/>
      <c r="E242" s="113"/>
      <c r="F242" s="268"/>
      <c r="G242" s="269">
        <v>0</v>
      </c>
      <c r="H242" s="269">
        <v>0</v>
      </c>
      <c r="I242" s="349">
        <f>SUM(G242:H242)</f>
        <v>0</v>
      </c>
      <c r="J242" s="94"/>
      <c r="K242" s="771"/>
      <c r="M242" s="667"/>
    </row>
    <row r="243" spans="1:13" s="95" customFormat="1" ht="12" customHeight="1" outlineLevel="1">
      <c r="A243" s="124"/>
      <c r="B243" s="258"/>
      <c r="C243" s="265"/>
      <c r="D243" s="266"/>
      <c r="E243" s="113"/>
      <c r="F243" s="268"/>
      <c r="G243" s="269">
        <v>0</v>
      </c>
      <c r="H243" s="269">
        <v>0</v>
      </c>
      <c r="I243" s="349">
        <f>SUM(G243:H243)</f>
        <v>0</v>
      </c>
      <c r="J243" s="94"/>
      <c r="K243" s="771"/>
      <c r="M243" s="667"/>
    </row>
    <row r="244" spans="1:13" s="95" customFormat="1" ht="12" customHeight="1" outlineLevel="1">
      <c r="A244" s="124"/>
      <c r="B244" s="258"/>
      <c r="C244" s="265"/>
      <c r="D244" s="266"/>
      <c r="E244" s="113" t="s">
        <v>182</v>
      </c>
      <c r="F244" s="113"/>
      <c r="G244" s="270">
        <f>SUM(G240:G243)</f>
        <v>851301.8</v>
      </c>
      <c r="H244" s="270">
        <f>SUM(H240:H243)</f>
        <v>0</v>
      </c>
      <c r="I244" s="270">
        <f>SUM(G244:H244)</f>
        <v>851301.8</v>
      </c>
      <c r="J244" s="94"/>
      <c r="K244" s="771"/>
      <c r="M244" s="667"/>
    </row>
    <row r="245" spans="1:13" s="95" customFormat="1" ht="12" customHeight="1" outlineLevel="1">
      <c r="A245" s="124"/>
      <c r="B245" s="258"/>
      <c r="C245" s="265"/>
      <c r="D245" s="266"/>
      <c r="E245" s="113"/>
      <c r="F245" s="113"/>
      <c r="G245" s="267"/>
      <c r="H245" s="267"/>
      <c r="I245" s="348"/>
      <c r="J245" s="94"/>
      <c r="K245" s="771"/>
      <c r="M245" s="667"/>
    </row>
    <row r="246" spans="1:13" s="95" customFormat="1" ht="12" customHeight="1" outlineLevel="1">
      <c r="A246" s="124"/>
      <c r="B246" s="258"/>
      <c r="C246" s="265">
        <v>5807</v>
      </c>
      <c r="D246" s="266" t="s">
        <v>41</v>
      </c>
      <c r="E246" s="113"/>
      <c r="F246" s="113"/>
      <c r="G246" s="267"/>
      <c r="H246" s="267"/>
      <c r="I246" s="348"/>
      <c r="J246" s="94"/>
      <c r="K246" s="771"/>
      <c r="M246" s="667"/>
    </row>
    <row r="247" spans="1:13" s="95" customFormat="1" ht="12" customHeight="1" outlineLevel="1">
      <c r="A247" s="124"/>
      <c r="B247" s="258"/>
      <c r="C247" s="265"/>
      <c r="D247" s="266"/>
      <c r="E247" s="113"/>
      <c r="F247" s="268" t="s">
        <v>565</v>
      </c>
      <c r="G247" s="445">
        <f>'Revenue Inputs'!$D$38*K247</f>
        <v>2672.8463999999999</v>
      </c>
      <c r="H247" s="269">
        <v>0</v>
      </c>
      <c r="I247" s="349">
        <f t="shared" ref="I247" si="47">SUM(G247:H247)</f>
        <v>2672.8463999999999</v>
      </c>
      <c r="J247" s="94"/>
      <c r="K247" s="888">
        <v>0.84</v>
      </c>
      <c r="M247" s="667"/>
    </row>
    <row r="248" spans="1:13" s="95" customFormat="1" ht="12" customHeight="1" outlineLevel="1">
      <c r="A248" s="124"/>
      <c r="B248" s="258"/>
      <c r="C248" s="265"/>
      <c r="D248" s="266"/>
      <c r="E248" s="113"/>
      <c r="F248" s="268"/>
      <c r="G248" s="269">
        <v>0</v>
      </c>
      <c r="H248" s="269">
        <v>0</v>
      </c>
      <c r="I248" s="349">
        <f>SUM(G248:H248)</f>
        <v>0</v>
      </c>
      <c r="J248" s="94"/>
      <c r="K248" s="771"/>
      <c r="M248" s="667"/>
    </row>
    <row r="249" spans="1:13" s="95" customFormat="1" ht="12" customHeight="1" outlineLevel="1">
      <c r="A249" s="124"/>
      <c r="B249" s="258"/>
      <c r="C249" s="265"/>
      <c r="D249" s="266"/>
      <c r="E249" s="113"/>
      <c r="F249" s="268"/>
      <c r="G249" s="269">
        <v>0</v>
      </c>
      <c r="H249" s="269">
        <v>0</v>
      </c>
      <c r="I249" s="349">
        <f>SUM(G249:H249)</f>
        <v>0</v>
      </c>
      <c r="J249" s="94"/>
      <c r="K249" s="771"/>
      <c r="M249" s="667"/>
    </row>
    <row r="250" spans="1:13" s="95" customFormat="1" ht="12" customHeight="1" outlineLevel="1">
      <c r="A250" s="124"/>
      <c r="B250" s="258"/>
      <c r="C250" s="265"/>
      <c r="D250" s="266"/>
      <c r="E250" s="113" t="s">
        <v>216</v>
      </c>
      <c r="F250" s="113"/>
      <c r="G250" s="270">
        <f>SUM(G246:G249)</f>
        <v>2672.8463999999999</v>
      </c>
      <c r="H250" s="270">
        <f>SUM(H246:H249)</f>
        <v>0</v>
      </c>
      <c r="I250" s="270">
        <f>SUM(G250:H250)</f>
        <v>2672.8463999999999</v>
      </c>
      <c r="J250" s="94"/>
      <c r="K250" s="771"/>
      <c r="M250" s="667"/>
    </row>
    <row r="251" spans="1:13" s="95" customFormat="1" ht="12" customHeight="1" outlineLevel="1">
      <c r="A251" s="124"/>
      <c r="B251" s="258"/>
      <c r="C251" s="265"/>
      <c r="D251" s="266"/>
      <c r="E251" s="113"/>
      <c r="F251" s="113"/>
      <c r="G251" s="267"/>
      <c r="H251" s="267"/>
      <c r="I251" s="348"/>
      <c r="J251" s="94"/>
      <c r="K251" s="771"/>
      <c r="M251" s="667"/>
    </row>
    <row r="252" spans="1:13" s="95" customFormat="1" ht="12" customHeight="1" outlineLevel="1">
      <c r="A252" s="124"/>
      <c r="B252" s="258"/>
      <c r="C252" s="265">
        <v>5808</v>
      </c>
      <c r="D252" s="266" t="s">
        <v>42</v>
      </c>
      <c r="E252" s="113"/>
      <c r="F252" s="113"/>
      <c r="G252" s="267"/>
      <c r="H252" s="267"/>
      <c r="I252" s="348"/>
      <c r="J252" s="94"/>
      <c r="K252" s="771"/>
      <c r="M252" s="667"/>
    </row>
    <row r="253" spans="1:13" s="95" customFormat="1" ht="12" customHeight="1" outlineLevel="1">
      <c r="A253" s="124"/>
      <c r="B253" s="258"/>
      <c r="C253" s="265"/>
      <c r="D253" s="266"/>
      <c r="E253" s="113"/>
      <c r="F253" s="268" t="s">
        <v>565</v>
      </c>
      <c r="G253" s="445">
        <f>'Revenue Inputs'!$D$38*K253</f>
        <v>4009.2696000000001</v>
      </c>
      <c r="H253" s="269">
        <v>0</v>
      </c>
      <c r="I253" s="349">
        <f t="shared" ref="I253" si="48">SUM(G253:H253)</f>
        <v>4009.2696000000001</v>
      </c>
      <c r="J253" s="94"/>
      <c r="K253" s="888">
        <v>1.26</v>
      </c>
      <c r="M253" s="667"/>
    </row>
    <row r="254" spans="1:13" s="95" customFormat="1" ht="12" customHeight="1" outlineLevel="1">
      <c r="A254" s="124"/>
      <c r="B254" s="258"/>
      <c r="C254" s="265"/>
      <c r="D254" s="266"/>
      <c r="E254" s="113"/>
      <c r="F254" s="268"/>
      <c r="G254" s="269">
        <v>0</v>
      </c>
      <c r="H254" s="269">
        <v>0</v>
      </c>
      <c r="I254" s="349">
        <f>SUM(G254:H254)</f>
        <v>0</v>
      </c>
      <c r="J254" s="94"/>
      <c r="K254" s="771"/>
      <c r="M254" s="667"/>
    </row>
    <row r="255" spans="1:13" s="95" customFormat="1" ht="12" customHeight="1" outlineLevel="1">
      <c r="A255" s="124"/>
      <c r="B255" s="258"/>
      <c r="C255" s="265"/>
      <c r="D255" s="266"/>
      <c r="E255" s="113"/>
      <c r="F255" s="268"/>
      <c r="G255" s="269">
        <v>0</v>
      </c>
      <c r="H255" s="269">
        <v>0</v>
      </c>
      <c r="I255" s="349">
        <f>SUM(G255:H255)</f>
        <v>0</v>
      </c>
      <c r="J255" s="94"/>
      <c r="K255" s="771"/>
      <c r="M255" s="667"/>
    </row>
    <row r="256" spans="1:13" s="95" customFormat="1" ht="12" customHeight="1" outlineLevel="1">
      <c r="A256" s="124"/>
      <c r="B256" s="258"/>
      <c r="C256" s="265"/>
      <c r="D256" s="266"/>
      <c r="E256" s="113" t="s">
        <v>214</v>
      </c>
      <c r="F256" s="113"/>
      <c r="G256" s="270">
        <f>SUM(G252:G255)</f>
        <v>4009.2696000000001</v>
      </c>
      <c r="H256" s="270">
        <f>SUM(H252:H255)</f>
        <v>0</v>
      </c>
      <c r="I256" s="270">
        <f>SUM(G256:H256)</f>
        <v>4009.2696000000001</v>
      </c>
      <c r="J256" s="94"/>
      <c r="K256" s="771"/>
      <c r="M256" s="667"/>
    </row>
    <row r="257" spans="1:13" s="95" customFormat="1" ht="12" customHeight="1" outlineLevel="1">
      <c r="A257" s="124"/>
      <c r="B257" s="258"/>
      <c r="C257" s="265"/>
      <c r="D257" s="266"/>
      <c r="E257" s="113"/>
      <c r="F257" s="113"/>
      <c r="G257" s="267"/>
      <c r="H257" s="267"/>
      <c r="I257" s="348"/>
      <c r="J257" s="94"/>
      <c r="K257" s="771"/>
      <c r="M257" s="667"/>
    </row>
    <row r="258" spans="1:13" s="95" customFormat="1" ht="12" customHeight="1" outlineLevel="1">
      <c r="A258" s="124"/>
      <c r="B258" s="258"/>
      <c r="C258" s="265">
        <v>5809</v>
      </c>
      <c r="D258" s="266" t="s">
        <v>43</v>
      </c>
      <c r="E258" s="113"/>
      <c r="F258" s="113"/>
      <c r="G258" s="267"/>
      <c r="H258" s="267"/>
      <c r="I258" s="348"/>
      <c r="J258" s="94"/>
      <c r="K258" s="771"/>
      <c r="M258" s="667"/>
    </row>
    <row r="259" spans="1:13" s="95" customFormat="1" ht="12" customHeight="1" outlineLevel="1">
      <c r="A259" s="124"/>
      <c r="B259" s="258"/>
      <c r="C259" s="265"/>
      <c r="D259" s="266"/>
      <c r="E259" s="113"/>
      <c r="F259" s="268" t="s">
        <v>565</v>
      </c>
      <c r="G259" s="445">
        <f>'Revenue Inputs'!$D$38*K259</f>
        <v>15909.8</v>
      </c>
      <c r="H259" s="269">
        <v>0</v>
      </c>
      <c r="I259" s="349">
        <f t="shared" ref="I259" si="49">SUM(G259:H259)</f>
        <v>15909.8</v>
      </c>
      <c r="J259" s="94"/>
      <c r="K259" s="888">
        <v>5</v>
      </c>
      <c r="M259" s="667"/>
    </row>
    <row r="260" spans="1:13" s="95" customFormat="1" ht="12" customHeight="1" outlineLevel="1">
      <c r="A260" s="124"/>
      <c r="B260" s="258"/>
      <c r="C260" s="265"/>
      <c r="D260" s="266"/>
      <c r="E260" s="113"/>
      <c r="F260" s="268"/>
      <c r="G260" s="269">
        <v>0</v>
      </c>
      <c r="H260" s="269">
        <v>0</v>
      </c>
      <c r="I260" s="349">
        <f>SUM(G260:H260)</f>
        <v>0</v>
      </c>
      <c r="J260" s="94"/>
      <c r="K260" s="771"/>
      <c r="M260" s="667"/>
    </row>
    <row r="261" spans="1:13" s="95" customFormat="1" ht="12" customHeight="1" outlineLevel="1">
      <c r="A261" s="124"/>
      <c r="B261" s="258"/>
      <c r="C261" s="265"/>
      <c r="D261" s="266"/>
      <c r="E261" s="113"/>
      <c r="F261" s="268"/>
      <c r="G261" s="269">
        <v>0</v>
      </c>
      <c r="H261" s="269">
        <v>0</v>
      </c>
      <c r="I261" s="349">
        <f>SUM(G261:H261)</f>
        <v>0</v>
      </c>
      <c r="J261" s="94"/>
      <c r="K261" s="771"/>
      <c r="M261" s="667"/>
    </row>
    <row r="262" spans="1:13" s="95" customFormat="1" ht="12" customHeight="1" outlineLevel="1">
      <c r="A262" s="124"/>
      <c r="B262" s="258"/>
      <c r="C262" s="265"/>
      <c r="D262" s="266"/>
      <c r="E262" s="113" t="s">
        <v>215</v>
      </c>
      <c r="F262" s="113"/>
      <c r="G262" s="270">
        <f>SUM(G258:G261)</f>
        <v>15909.8</v>
      </c>
      <c r="H262" s="270">
        <f>SUM(H258:H261)</f>
        <v>0</v>
      </c>
      <c r="I262" s="270">
        <f>SUM(G262:H262)</f>
        <v>15909.8</v>
      </c>
      <c r="J262" s="94"/>
      <c r="K262" s="771"/>
      <c r="M262" s="667"/>
    </row>
    <row r="263" spans="1:13" s="95" customFormat="1" ht="12" customHeight="1" outlineLevel="1">
      <c r="A263" s="124"/>
      <c r="B263" s="258"/>
      <c r="C263" s="265"/>
      <c r="D263" s="266"/>
      <c r="E263" s="113"/>
      <c r="F263" s="113"/>
      <c r="G263" s="267"/>
      <c r="H263" s="267"/>
      <c r="I263" s="348"/>
      <c r="J263" s="94"/>
      <c r="K263" s="771"/>
      <c r="M263" s="667"/>
    </row>
    <row r="264" spans="1:13" s="95" customFormat="1" ht="12" customHeight="1" outlineLevel="1">
      <c r="A264" s="124"/>
      <c r="B264" s="258"/>
      <c r="C264" s="265">
        <v>5810</v>
      </c>
      <c r="D264" s="266" t="s">
        <v>26</v>
      </c>
      <c r="E264" s="113"/>
      <c r="F264" s="113"/>
      <c r="G264" s="267"/>
      <c r="H264" s="267"/>
      <c r="I264" s="348"/>
      <c r="J264" s="94"/>
      <c r="K264" s="771"/>
      <c r="M264" s="667"/>
    </row>
    <row r="265" spans="1:13" s="95" customFormat="1" ht="12" customHeight="1" outlineLevel="1">
      <c r="A265" s="124"/>
      <c r="B265" s="258"/>
      <c r="C265" s="265"/>
      <c r="D265" s="266"/>
      <c r="E265" s="113"/>
      <c r="F265" s="268" t="s">
        <v>565</v>
      </c>
      <c r="G265" s="445">
        <f>'Revenue Inputs'!$D$38*K265</f>
        <v>0</v>
      </c>
      <c r="H265" s="269">
        <v>0</v>
      </c>
      <c r="I265" s="349">
        <f t="shared" ref="I265" si="50">SUM(G265:H265)</f>
        <v>0</v>
      </c>
      <c r="J265" s="94"/>
      <c r="K265" s="888">
        <v>0</v>
      </c>
      <c r="M265" s="667"/>
    </row>
    <row r="266" spans="1:13" s="95" customFormat="1" ht="12" customHeight="1" outlineLevel="1">
      <c r="A266" s="124"/>
      <c r="B266" s="258"/>
      <c r="C266" s="265"/>
      <c r="D266" s="266"/>
      <c r="E266" s="113"/>
      <c r="F266" s="268"/>
      <c r="G266" s="269">
        <v>0</v>
      </c>
      <c r="H266" s="269">
        <v>0</v>
      </c>
      <c r="I266" s="349">
        <f t="shared" ref="I266:I268" si="51">SUM(G266:H266)</f>
        <v>0</v>
      </c>
      <c r="J266" s="94"/>
      <c r="K266" s="771"/>
      <c r="M266" s="667"/>
    </row>
    <row r="267" spans="1:13" s="95" customFormat="1" ht="12" customHeight="1" outlineLevel="1">
      <c r="A267" s="124"/>
      <c r="B267" s="258"/>
      <c r="C267" s="265"/>
      <c r="D267" s="266"/>
      <c r="E267" s="113"/>
      <c r="F267" s="268"/>
      <c r="G267" s="269">
        <v>0</v>
      </c>
      <c r="H267" s="269">
        <v>0</v>
      </c>
      <c r="I267" s="349">
        <f t="shared" si="51"/>
        <v>0</v>
      </c>
      <c r="J267" s="94"/>
      <c r="K267" s="771"/>
      <c r="M267" s="667"/>
    </row>
    <row r="268" spans="1:13" s="95" customFormat="1" ht="12" customHeight="1" outlineLevel="1">
      <c r="A268" s="124"/>
      <c r="B268" s="258"/>
      <c r="C268" s="265"/>
      <c r="D268" s="266"/>
      <c r="E268" s="113" t="s">
        <v>199</v>
      </c>
      <c r="F268" s="113"/>
      <c r="G268" s="270">
        <f>SUM(G264:G267)</f>
        <v>0</v>
      </c>
      <c r="H268" s="270">
        <f>SUM(H264:H267)</f>
        <v>0</v>
      </c>
      <c r="I268" s="270">
        <f t="shared" si="51"/>
        <v>0</v>
      </c>
      <c r="J268" s="94"/>
      <c r="K268" s="771"/>
      <c r="M268" s="667"/>
    </row>
    <row r="269" spans="1:13" s="95" customFormat="1" ht="12" customHeight="1" outlineLevel="1">
      <c r="A269" s="124"/>
      <c r="B269" s="258"/>
      <c r="C269" s="265"/>
      <c r="D269" s="266"/>
      <c r="E269" s="113"/>
      <c r="F269" s="113"/>
      <c r="G269" s="267"/>
      <c r="H269" s="267"/>
      <c r="I269" s="348"/>
      <c r="J269" s="94"/>
      <c r="K269" s="771"/>
      <c r="M269" s="667"/>
    </row>
    <row r="270" spans="1:13" s="95" customFormat="1" ht="12" customHeight="1" outlineLevel="1">
      <c r="A270" s="124"/>
      <c r="B270" s="258"/>
      <c r="C270" s="265">
        <v>5811</v>
      </c>
      <c r="D270" s="266" t="s">
        <v>27</v>
      </c>
      <c r="E270" s="113"/>
      <c r="F270" s="113"/>
      <c r="G270" s="267"/>
      <c r="H270" s="267"/>
      <c r="I270" s="348"/>
      <c r="J270" s="94"/>
      <c r="K270" s="771"/>
      <c r="M270" s="667"/>
    </row>
    <row r="271" spans="1:13" s="95" customFormat="1" ht="12" customHeight="1" outlineLevel="1">
      <c r="A271" s="124"/>
      <c r="B271" s="258"/>
      <c r="C271" s="265"/>
      <c r="D271" s="266"/>
      <c r="E271" s="113"/>
      <c r="F271" s="268" t="s">
        <v>548</v>
      </c>
      <c r="G271" s="269">
        <f>'FY19-20'!$S$19*'Expense Details'!K271</f>
        <v>1012041.8350000001</v>
      </c>
      <c r="H271" s="269">
        <v>0</v>
      </c>
      <c r="I271" s="349">
        <f t="shared" ref="I271" si="52">SUM(G271:H271)</f>
        <v>1012041.8350000001</v>
      </c>
      <c r="J271" s="94"/>
      <c r="K271" s="592">
        <v>3.5000000000000003E-2</v>
      </c>
      <c r="M271" s="667"/>
    </row>
    <row r="272" spans="1:13" s="95" customFormat="1" ht="12" customHeight="1" outlineLevel="1">
      <c r="A272" s="124"/>
      <c r="B272" s="258"/>
      <c r="C272" s="265"/>
      <c r="D272" s="266"/>
      <c r="E272" s="113"/>
      <c r="F272" s="268"/>
      <c r="G272" s="269">
        <v>0</v>
      </c>
      <c r="H272" s="269">
        <v>0</v>
      </c>
      <c r="I272" s="349">
        <f t="shared" si="17"/>
        <v>0</v>
      </c>
      <c r="J272" s="94"/>
      <c r="K272" s="771"/>
      <c r="M272" s="667"/>
    </row>
    <row r="273" spans="1:13" s="95" customFormat="1" ht="12" customHeight="1" outlineLevel="1">
      <c r="A273" s="124"/>
      <c r="B273" s="258"/>
      <c r="C273" s="265"/>
      <c r="D273" s="266"/>
      <c r="E273" s="113"/>
      <c r="F273" s="268"/>
      <c r="G273" s="350">
        <v>0</v>
      </c>
      <c r="H273" s="269">
        <v>0</v>
      </c>
      <c r="I273" s="349">
        <f t="shared" si="17"/>
        <v>0</v>
      </c>
      <c r="J273" s="94"/>
      <c r="K273" s="771"/>
      <c r="M273" s="667"/>
    </row>
    <row r="274" spans="1:13" s="95" customFormat="1" ht="12" customHeight="1" outlineLevel="1">
      <c r="A274" s="124"/>
      <c r="B274" s="258"/>
      <c r="C274" s="265"/>
      <c r="D274" s="266"/>
      <c r="E274" s="113" t="s">
        <v>199</v>
      </c>
      <c r="F274" s="113"/>
      <c r="G274" s="270">
        <f>SUM(G270:G273)</f>
        <v>1012041.8350000001</v>
      </c>
      <c r="H274" s="270">
        <f>SUM(H270:H273)</f>
        <v>0</v>
      </c>
      <c r="I274" s="270">
        <f t="shared" si="17"/>
        <v>1012041.8350000001</v>
      </c>
      <c r="J274" s="94"/>
      <c r="K274" s="771"/>
      <c r="M274" s="667"/>
    </row>
    <row r="275" spans="1:13" s="95" customFormat="1" ht="12" customHeight="1" outlineLevel="1">
      <c r="A275" s="124"/>
      <c r="B275" s="258"/>
      <c r="C275" s="265"/>
      <c r="D275" s="266"/>
      <c r="E275" s="113"/>
      <c r="F275" s="113"/>
      <c r="G275" s="267"/>
      <c r="H275" s="267"/>
      <c r="I275" s="348"/>
      <c r="J275" s="94"/>
      <c r="K275" s="771"/>
      <c r="M275" s="667"/>
    </row>
    <row r="276" spans="1:13" s="95" customFormat="1" ht="12" customHeight="1" outlineLevel="1">
      <c r="A276" s="124"/>
      <c r="B276" s="258"/>
      <c r="C276" s="265">
        <v>5813</v>
      </c>
      <c r="D276" s="266" t="s">
        <v>243</v>
      </c>
      <c r="E276" s="113"/>
      <c r="F276" s="113"/>
      <c r="G276" s="267"/>
      <c r="H276" s="267"/>
      <c r="I276" s="348"/>
      <c r="J276" s="94"/>
      <c r="K276" s="771"/>
      <c r="M276" s="667"/>
    </row>
    <row r="277" spans="1:13" s="95" customFormat="1" ht="12" customHeight="1" outlineLevel="1">
      <c r="A277" s="124"/>
      <c r="B277" s="258"/>
      <c r="C277" s="265"/>
      <c r="D277" s="266"/>
      <c r="E277" s="113"/>
      <c r="F277" s="268" t="s">
        <v>565</v>
      </c>
      <c r="G277" s="445">
        <f>'Revenue Inputs'!$D$38*K277</f>
        <v>0</v>
      </c>
      <c r="H277" s="269">
        <v>0</v>
      </c>
      <c r="I277" s="349">
        <f t="shared" ref="I277" si="53">SUM(G277:H277)</f>
        <v>0</v>
      </c>
      <c r="J277" s="94"/>
      <c r="K277" s="888">
        <v>0</v>
      </c>
      <c r="M277" s="667"/>
    </row>
    <row r="278" spans="1:13" s="95" customFormat="1" ht="12" customHeight="1" outlineLevel="1">
      <c r="A278" s="124"/>
      <c r="B278" s="258"/>
      <c r="C278" s="265"/>
      <c r="D278" s="266"/>
      <c r="E278" s="113"/>
      <c r="F278" s="268"/>
      <c r="G278" s="269">
        <v>0</v>
      </c>
      <c r="H278" s="269">
        <v>0</v>
      </c>
      <c r="I278" s="349">
        <f t="shared" ref="I278:I280" si="54">SUM(G278:H278)</f>
        <v>0</v>
      </c>
      <c r="J278" s="94"/>
      <c r="K278" s="771"/>
      <c r="M278" s="667"/>
    </row>
    <row r="279" spans="1:13" s="95" customFormat="1" ht="12" customHeight="1" outlineLevel="1">
      <c r="A279" s="124"/>
      <c r="B279" s="258"/>
      <c r="C279" s="265"/>
      <c r="D279" s="266"/>
      <c r="E279" s="113"/>
      <c r="F279" s="268"/>
      <c r="G279" s="350">
        <v>0</v>
      </c>
      <c r="H279" s="269">
        <v>0</v>
      </c>
      <c r="I279" s="349">
        <f t="shared" si="54"/>
        <v>0</v>
      </c>
      <c r="J279" s="94"/>
      <c r="K279" s="771"/>
      <c r="M279" s="667"/>
    </row>
    <row r="280" spans="1:13" s="95" customFormat="1" ht="12" customHeight="1" outlineLevel="1">
      <c r="A280" s="124"/>
      <c r="B280" s="258"/>
      <c r="C280" s="265"/>
      <c r="D280" s="266"/>
      <c r="E280" s="113" t="s">
        <v>384</v>
      </c>
      <c r="F280" s="113"/>
      <c r="G280" s="270">
        <f>SUM(G276:G279)</f>
        <v>0</v>
      </c>
      <c r="H280" s="270">
        <f>SUM(H276:H279)</f>
        <v>0</v>
      </c>
      <c r="I280" s="270">
        <f t="shared" si="54"/>
        <v>0</v>
      </c>
      <c r="J280" s="94"/>
      <c r="K280" s="771"/>
      <c r="M280" s="667"/>
    </row>
    <row r="281" spans="1:13" s="95" customFormat="1" ht="12" customHeight="1" outlineLevel="1">
      <c r="A281" s="124"/>
      <c r="B281" s="258"/>
      <c r="C281" s="265"/>
      <c r="D281" s="266"/>
      <c r="E281" s="113"/>
      <c r="F281" s="113"/>
      <c r="G281" s="270"/>
      <c r="H281" s="270"/>
      <c r="I281" s="270"/>
      <c r="J281" s="94"/>
      <c r="K281" s="771"/>
      <c r="M281" s="667"/>
    </row>
    <row r="282" spans="1:13" s="95" customFormat="1" ht="12" customHeight="1" outlineLevel="1">
      <c r="A282" s="124"/>
      <c r="B282" s="258"/>
      <c r="C282" s="265">
        <v>5815</v>
      </c>
      <c r="D282" s="266" t="s">
        <v>102</v>
      </c>
      <c r="E282" s="113"/>
      <c r="F282" s="113"/>
      <c r="G282" s="267"/>
      <c r="H282" s="267"/>
      <c r="I282" s="348"/>
      <c r="J282" s="94"/>
      <c r="K282" s="771"/>
      <c r="M282" s="667"/>
    </row>
    <row r="283" spans="1:13" s="95" customFormat="1" ht="12" customHeight="1" outlineLevel="1">
      <c r="A283" s="124"/>
      <c r="B283" s="258"/>
      <c r="C283" s="265"/>
      <c r="D283" s="266"/>
      <c r="E283" s="113"/>
      <c r="F283" s="268" t="s">
        <v>565</v>
      </c>
      <c r="G283" s="445">
        <f>'Revenue Inputs'!$D$38*K283</f>
        <v>0</v>
      </c>
      <c r="H283" s="269">
        <v>0</v>
      </c>
      <c r="I283" s="349">
        <f t="shared" ref="I283" si="55">SUM(G283:H283)</f>
        <v>0</v>
      </c>
      <c r="J283" s="94"/>
      <c r="K283" s="888">
        <v>0</v>
      </c>
      <c r="M283" s="667"/>
    </row>
    <row r="284" spans="1:13" s="95" customFormat="1" ht="12" customHeight="1" outlineLevel="1">
      <c r="A284" s="124"/>
      <c r="B284" s="258"/>
      <c r="C284" s="265"/>
      <c r="D284" s="266"/>
      <c r="E284" s="113"/>
      <c r="F284" s="268"/>
      <c r="G284" s="269">
        <v>0</v>
      </c>
      <c r="H284" s="269">
        <v>0</v>
      </c>
      <c r="I284" s="349">
        <f>SUM(G284:H284)</f>
        <v>0</v>
      </c>
      <c r="J284" s="94"/>
      <c r="K284" s="771"/>
      <c r="M284" s="667"/>
    </row>
    <row r="285" spans="1:13" s="95" customFormat="1" ht="12" customHeight="1" outlineLevel="1">
      <c r="A285" s="124"/>
      <c r="B285" s="258"/>
      <c r="C285" s="265"/>
      <c r="D285" s="266"/>
      <c r="E285" s="113"/>
      <c r="F285" s="268"/>
      <c r="G285" s="269">
        <v>0</v>
      </c>
      <c r="H285" s="269">
        <v>0</v>
      </c>
      <c r="I285" s="349">
        <f>SUM(G285:H285)</f>
        <v>0</v>
      </c>
      <c r="J285" s="94"/>
      <c r="K285" s="771"/>
      <c r="M285" s="667"/>
    </row>
    <row r="286" spans="1:13" s="95" customFormat="1" ht="12" customHeight="1" outlineLevel="1">
      <c r="A286" s="124"/>
      <c r="B286" s="258"/>
      <c r="C286" s="265"/>
      <c r="D286" s="266"/>
      <c r="E286" s="113" t="s">
        <v>217</v>
      </c>
      <c r="F286" s="113"/>
      <c r="G286" s="270">
        <f>SUM(G282:G285)</f>
        <v>0</v>
      </c>
      <c r="H286" s="270">
        <f>SUM(H282:H285)</f>
        <v>0</v>
      </c>
      <c r="I286" s="270">
        <f>SUM(G286:H286)</f>
        <v>0</v>
      </c>
      <c r="J286" s="94"/>
      <c r="K286" s="771"/>
      <c r="M286" s="667"/>
    </row>
    <row r="287" spans="1:13" s="95" customFormat="1" ht="12" customHeight="1" outlineLevel="1">
      <c r="A287" s="124"/>
      <c r="B287" s="258"/>
      <c r="C287" s="265"/>
      <c r="D287" s="266"/>
      <c r="E287" s="113"/>
      <c r="F287" s="113"/>
      <c r="G287" s="267"/>
      <c r="H287" s="267"/>
      <c r="I287" s="348"/>
      <c r="J287" s="94"/>
      <c r="K287" s="771"/>
      <c r="M287" s="667"/>
    </row>
    <row r="288" spans="1:13" s="95" customFormat="1" ht="12" customHeight="1" outlineLevel="1">
      <c r="A288" s="124"/>
      <c r="B288" s="258"/>
      <c r="C288" s="265">
        <v>5820</v>
      </c>
      <c r="D288" s="266" t="s">
        <v>515</v>
      </c>
      <c r="E288" s="113"/>
      <c r="F288" s="113"/>
      <c r="G288" s="267"/>
      <c r="H288" s="267"/>
      <c r="I288" s="348"/>
      <c r="J288" s="94"/>
      <c r="K288" s="771"/>
      <c r="M288" s="667"/>
    </row>
    <row r="289" spans="1:13" s="95" customFormat="1" ht="12" customHeight="1" outlineLevel="1">
      <c r="A289" s="124"/>
      <c r="B289" s="258"/>
      <c r="C289" s="265"/>
      <c r="D289" s="266"/>
      <c r="E289" s="113"/>
      <c r="F289" s="268"/>
      <c r="G289" s="269">
        <v>0</v>
      </c>
      <c r="H289" s="269">
        <v>0</v>
      </c>
      <c r="I289" s="349">
        <f>SUM(G289:H289)</f>
        <v>0</v>
      </c>
      <c r="J289" s="94"/>
      <c r="K289" s="771"/>
      <c r="M289" s="667"/>
    </row>
    <row r="290" spans="1:13" s="95" customFormat="1" ht="12" customHeight="1" outlineLevel="1">
      <c r="A290" s="124"/>
      <c r="B290" s="258"/>
      <c r="C290" s="265"/>
      <c r="D290" s="266"/>
      <c r="E290" s="113"/>
      <c r="F290" s="268"/>
      <c r="G290" s="269">
        <v>0</v>
      </c>
      <c r="H290" s="269">
        <v>0</v>
      </c>
      <c r="I290" s="349">
        <f>SUM(G290:H290)</f>
        <v>0</v>
      </c>
      <c r="J290" s="94"/>
      <c r="K290" s="771"/>
      <c r="M290" s="667"/>
    </row>
    <row r="291" spans="1:13" s="95" customFormat="1" ht="12" customHeight="1" outlineLevel="1">
      <c r="A291" s="124"/>
      <c r="B291" s="258"/>
      <c r="C291" s="265"/>
      <c r="D291" s="266"/>
      <c r="E291" s="113"/>
      <c r="F291" s="268"/>
      <c r="G291" s="269">
        <v>0</v>
      </c>
      <c r="H291" s="269">
        <v>0</v>
      </c>
      <c r="I291" s="349">
        <f>SUM(G291:H291)</f>
        <v>0</v>
      </c>
      <c r="J291" s="94"/>
      <c r="K291" s="771"/>
      <c r="M291" s="667"/>
    </row>
    <row r="292" spans="1:13" s="95" customFormat="1" ht="12" customHeight="1" outlineLevel="1">
      <c r="A292" s="124"/>
      <c r="B292" s="258"/>
      <c r="C292" s="265"/>
      <c r="D292" s="266"/>
      <c r="E292" s="113" t="s">
        <v>518</v>
      </c>
      <c r="F292" s="113"/>
      <c r="G292" s="270">
        <f>SUM(G288:G291)</f>
        <v>0</v>
      </c>
      <c r="H292" s="270">
        <f>SUM(H288:H291)</f>
        <v>0</v>
      </c>
      <c r="I292" s="270">
        <f>SUM(G292:H292)</f>
        <v>0</v>
      </c>
      <c r="J292" s="94"/>
      <c r="K292" s="771"/>
      <c r="M292" s="667"/>
    </row>
    <row r="293" spans="1:13" s="95" customFormat="1" ht="12" customHeight="1" outlineLevel="1">
      <c r="A293" s="124"/>
      <c r="B293" s="258"/>
      <c r="C293" s="265"/>
      <c r="D293" s="266"/>
      <c r="E293" s="113"/>
      <c r="F293" s="113"/>
      <c r="G293" s="267"/>
      <c r="H293" s="267"/>
      <c r="I293" s="348"/>
      <c r="J293" s="94"/>
      <c r="K293" s="771"/>
      <c r="M293" s="667"/>
    </row>
    <row r="294" spans="1:13" s="95" customFormat="1" ht="12" customHeight="1" outlineLevel="1">
      <c r="A294" s="124"/>
      <c r="B294" s="258"/>
      <c r="C294" s="265"/>
      <c r="D294" s="266"/>
      <c r="E294" s="113"/>
      <c r="F294" s="113"/>
      <c r="G294" s="267"/>
      <c r="H294" s="267"/>
      <c r="I294" s="348"/>
      <c r="J294" s="94"/>
      <c r="K294" s="771"/>
      <c r="M294" s="667"/>
    </row>
    <row r="295" spans="1:13">
      <c r="A295" s="62"/>
      <c r="B295" s="279"/>
      <c r="G295" s="140"/>
      <c r="H295" s="140"/>
    </row>
  </sheetData>
  <mergeCells count="1">
    <mergeCell ref="U20:V20"/>
  </mergeCells>
  <printOptions horizontalCentered="1"/>
  <pageMargins left="0.25" right="0.25" top="0.25" bottom="0.25" header="0.3" footer="0.3"/>
  <pageSetup scale="90" fitToWidth="2" fitToHeight="4" orientation="portrait" copies="4" r:id="rId1"/>
  <headerFooter alignWithMargins="0">
    <oddFooter xml:space="preserve">&amp;R
</oddFooter>
  </headerFooter>
  <rowBreaks count="4" manualBreakCount="4">
    <brk id="84" max="9" man="1"/>
    <brk id="202" max="9" man="1"/>
    <brk id="257" max="9" man="1"/>
    <brk id="157" max="9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FD610"/>
  </sheetPr>
  <dimension ref="A1:Z256"/>
  <sheetViews>
    <sheetView topLeftCell="C1" zoomScaleNormal="100" zoomScaleSheetLayoutView="85" workbookViewId="0">
      <pane ySplit="5" topLeftCell="A6" activePane="bottomLeft" state="frozen"/>
      <selection activeCell="E8" sqref="E8"/>
      <selection pane="bottomLeft" activeCell="X38" sqref="X38"/>
    </sheetView>
  </sheetViews>
  <sheetFormatPr baseColWidth="10" defaultColWidth="8.83203125" defaultRowHeight="11"/>
  <cols>
    <col min="1" max="1" width="1.33203125" style="27" customWidth="1"/>
    <col min="2" max="2" width="3.6640625" style="27" customWidth="1"/>
    <col min="3" max="3" width="2.6640625" style="27" customWidth="1"/>
    <col min="4" max="4" width="18" style="27" bestFit="1" customWidth="1"/>
    <col min="5" max="5" width="9" style="45" bestFit="1" customWidth="1"/>
    <col min="6" max="6" width="13" style="844" bestFit="1" customWidth="1"/>
    <col min="7" max="7" width="7.33203125" style="45" bestFit="1" customWidth="1"/>
    <col min="8" max="8" width="7.1640625" style="45" bestFit="1" customWidth="1"/>
    <col min="9" max="9" width="12.5" style="27" bestFit="1" customWidth="1"/>
    <col min="10" max="11" width="11.6640625" style="27" bestFit="1" customWidth="1"/>
    <col min="12" max="12" width="4.6640625" style="27" customWidth="1"/>
    <col min="13" max="13" width="11.6640625" style="27" bestFit="1" customWidth="1"/>
    <col min="14" max="14" width="10.5" style="27" customWidth="1"/>
    <col min="15" max="15" width="7.5" style="27" bestFit="1" customWidth="1"/>
    <col min="16" max="16" width="9.6640625" style="27" bestFit="1" customWidth="1"/>
    <col min="17" max="17" width="8.33203125" style="27" customWidth="1"/>
    <col min="18" max="18" width="10" style="27" bestFit="1" customWidth="1"/>
    <col min="19" max="19" width="9.6640625" style="27" bestFit="1" customWidth="1"/>
    <col min="20" max="20" width="8.83203125" style="27"/>
    <col min="21" max="21" width="15.33203125" style="27" bestFit="1" customWidth="1"/>
    <col min="22" max="22" width="8.83203125" style="27"/>
    <col min="23" max="23" width="12" style="27" bestFit="1" customWidth="1"/>
    <col min="24" max="24" width="10.6640625" style="27" bestFit="1" customWidth="1"/>
    <col min="25" max="16384" width="8.83203125" style="27"/>
  </cols>
  <sheetData>
    <row r="1" spans="1:21" s="1" customFormat="1" ht="20">
      <c r="B1" s="364" t="str">
        <f>'FY19-20'!A1</f>
        <v>Granite Mountain Charter School</v>
      </c>
      <c r="E1" s="426"/>
      <c r="F1" s="830"/>
      <c r="G1" s="48"/>
      <c r="H1" s="426"/>
      <c r="N1" s="47"/>
      <c r="O1" s="47"/>
      <c r="P1" s="47"/>
      <c r="Q1" s="47"/>
      <c r="R1" s="47"/>
      <c r="S1" s="47"/>
    </row>
    <row r="2" spans="1:21" ht="14">
      <c r="B2" s="365" t="s">
        <v>335</v>
      </c>
      <c r="E2" s="2"/>
      <c r="F2" s="831"/>
      <c r="H2" s="28"/>
      <c r="I2" s="2"/>
      <c r="J2" s="2"/>
      <c r="K2" s="2"/>
      <c r="L2" s="2"/>
    </row>
    <row r="3" spans="1:21" s="30" customFormat="1" ht="24">
      <c r="A3" s="29"/>
      <c r="B3" s="363" t="str">
        <f>'FY19-20'!A3</f>
        <v>Revised 08/06/20</v>
      </c>
      <c r="C3" s="1"/>
      <c r="E3" s="3"/>
      <c r="F3" s="831"/>
      <c r="G3" s="32"/>
      <c r="H3" s="31"/>
      <c r="I3" s="3"/>
      <c r="J3" s="3"/>
      <c r="K3" s="3"/>
      <c r="L3" s="3"/>
      <c r="M3" s="4" t="s">
        <v>69</v>
      </c>
      <c r="N3" s="4" t="s">
        <v>70</v>
      </c>
      <c r="O3" s="32" t="s">
        <v>246</v>
      </c>
      <c r="P3" s="32" t="s">
        <v>240</v>
      </c>
      <c r="Q3" s="32" t="s">
        <v>235</v>
      </c>
      <c r="R3" s="32" t="s">
        <v>247</v>
      </c>
      <c r="S3" s="32" t="s">
        <v>266</v>
      </c>
    </row>
    <row r="4" spans="1:21" ht="15" customHeight="1">
      <c r="C4" s="6"/>
      <c r="D4" s="2"/>
      <c r="E4" s="2"/>
      <c r="F4" s="831"/>
      <c r="G4" s="28"/>
      <c r="H4" s="28"/>
      <c r="I4" s="1072"/>
      <c r="J4" s="1073"/>
      <c r="M4" s="33">
        <v>3101</v>
      </c>
      <c r="N4" s="33">
        <v>3202</v>
      </c>
      <c r="O4" s="33">
        <v>3301</v>
      </c>
      <c r="P4" s="33">
        <v>3311</v>
      </c>
      <c r="Q4" s="33">
        <v>3401</v>
      </c>
      <c r="R4" s="33">
        <v>3501</v>
      </c>
      <c r="S4" s="33">
        <v>3601</v>
      </c>
    </row>
    <row r="5" spans="1:21" s="51" customFormat="1" ht="44.25" customHeight="1">
      <c r="D5" s="358" t="s">
        <v>71</v>
      </c>
      <c r="E5" s="358" t="s">
        <v>525</v>
      </c>
      <c r="F5" s="832" t="s">
        <v>526</v>
      </c>
      <c r="G5" s="358" t="s">
        <v>527</v>
      </c>
      <c r="H5" s="359" t="s">
        <v>72</v>
      </c>
      <c r="I5" s="360" t="s">
        <v>73</v>
      </c>
      <c r="J5" s="360" t="s">
        <v>3</v>
      </c>
      <c r="K5" s="360" t="s">
        <v>74</v>
      </c>
      <c r="L5" s="52"/>
      <c r="M5" s="890">
        <v>0.17100000000000001</v>
      </c>
      <c r="N5" s="361"/>
      <c r="O5" s="361">
        <v>6.2E-2</v>
      </c>
      <c r="P5" s="361">
        <v>1.4500000000000001E-2</v>
      </c>
      <c r="Q5" s="362">
        <v>7000</v>
      </c>
      <c r="R5" s="361">
        <v>7.0000000000000007E-2</v>
      </c>
      <c r="S5" s="361">
        <v>1.4E-2</v>
      </c>
    </row>
    <row r="6" spans="1:21" ht="12">
      <c r="C6" s="366" t="s">
        <v>17</v>
      </c>
      <c r="D6" s="2"/>
      <c r="E6" s="2"/>
      <c r="F6" s="831"/>
      <c r="G6" s="28"/>
      <c r="H6" s="28"/>
      <c r="I6" s="2"/>
      <c r="J6" s="2"/>
      <c r="K6" s="2"/>
      <c r="L6" s="2"/>
      <c r="O6" s="5"/>
      <c r="P6" s="5"/>
      <c r="Q6" s="5"/>
      <c r="R6" s="5"/>
      <c r="S6" s="5"/>
    </row>
    <row r="7" spans="1:21">
      <c r="C7" s="34"/>
      <c r="D7" s="282" t="s">
        <v>623</v>
      </c>
      <c r="E7" s="938">
        <v>1</v>
      </c>
      <c r="F7" s="828">
        <v>79999.92</v>
      </c>
      <c r="G7" s="322">
        <v>12</v>
      </c>
      <c r="H7" s="319" t="s">
        <v>529</v>
      </c>
      <c r="I7" s="320">
        <f>F7*E7</f>
        <v>79999.92</v>
      </c>
      <c r="J7" s="7">
        <f t="shared" ref="J7:J59" si="0">SUM(M7:S7)</f>
        <v>23449.984039999999</v>
      </c>
      <c r="K7" s="7">
        <f t="shared" ref="K7:K9" si="1">SUM(I7:J7)</f>
        <v>103449.90403999999</v>
      </c>
      <c r="L7" s="352"/>
      <c r="M7" s="7">
        <f>I7*$M$5</f>
        <v>13679.98632</v>
      </c>
      <c r="N7" s="8" t="s">
        <v>75</v>
      </c>
      <c r="O7" s="8" t="str">
        <f>IF($M$5&gt;0,"N/A",$O$5*I7)</f>
        <v>N/A</v>
      </c>
      <c r="P7" s="7">
        <f t="shared" ref="P7:P59" si="2">I7*$P$5</f>
        <v>1159.99884</v>
      </c>
      <c r="Q7" s="7">
        <f>IF(H7="y", $Q$5*E7, 0)</f>
        <v>7000</v>
      </c>
      <c r="R7" s="7">
        <f>IF($I7&gt;7000,7000*R$5,$I7*R$5)*E7</f>
        <v>490.00000000000006</v>
      </c>
      <c r="S7" s="7">
        <f>S$5*$I7</f>
        <v>1119.9988800000001</v>
      </c>
    </row>
    <row r="8" spans="1:21">
      <c r="C8" s="34"/>
      <c r="D8" s="282" t="s">
        <v>615</v>
      </c>
      <c r="E8" s="938">
        <v>1</v>
      </c>
      <c r="F8" s="828">
        <v>55000.08</v>
      </c>
      <c r="G8" s="322">
        <v>12</v>
      </c>
      <c r="H8" s="319" t="s">
        <v>529</v>
      </c>
      <c r="I8" s="320">
        <f t="shared" ref="I8:I14" si="3">F8*E8</f>
        <v>55000.08</v>
      </c>
      <c r="J8" s="7">
        <f t="shared" si="0"/>
        <v>18462.515960000004</v>
      </c>
      <c r="K8" s="7">
        <f t="shared" si="1"/>
        <v>73462.595960000006</v>
      </c>
      <c r="L8" s="352"/>
      <c r="M8" s="7">
        <f t="shared" ref="M8:M9" si="4">I8*$M$5</f>
        <v>9405.0136800000018</v>
      </c>
      <c r="N8" s="8" t="s">
        <v>75</v>
      </c>
      <c r="O8" s="8" t="str">
        <f t="shared" ref="O8:O59" si="5">IF($M$5&gt;0,"N/A",$O$5*I8)</f>
        <v>N/A</v>
      </c>
      <c r="P8" s="7">
        <f t="shared" si="2"/>
        <v>797.50116000000003</v>
      </c>
      <c r="Q8" s="7">
        <f t="shared" ref="Q8:Q59" si="6">IF(H8="y", $Q$5*E8, 0)</f>
        <v>7000</v>
      </c>
      <c r="R8" s="7">
        <f t="shared" ref="R8:R59" si="7">IF($I8&gt;7000,7000*R$5,$I8*R$5)*E8</f>
        <v>490.00000000000006</v>
      </c>
      <c r="S8" s="7">
        <f t="shared" ref="S8:S59" si="8">S$5*$I8</f>
        <v>770.00112000000001</v>
      </c>
    </row>
    <row r="9" spans="1:21">
      <c r="C9" s="34"/>
      <c r="D9" s="281" t="s">
        <v>616</v>
      </c>
      <c r="E9" s="938">
        <v>2</v>
      </c>
      <c r="F9" s="828">
        <f>116499.84/E9</f>
        <v>58249.919999999998</v>
      </c>
      <c r="G9" s="322">
        <v>12</v>
      </c>
      <c r="H9" s="319" t="s">
        <v>529</v>
      </c>
      <c r="I9" s="320">
        <f t="shared" si="3"/>
        <v>116499.84</v>
      </c>
      <c r="J9" s="7">
        <f t="shared" si="0"/>
        <v>38221.718079999999</v>
      </c>
      <c r="K9" s="7">
        <f t="shared" si="1"/>
        <v>154721.55807999999</v>
      </c>
      <c r="L9" s="352"/>
      <c r="M9" s="7">
        <f t="shared" si="4"/>
        <v>19921.47264</v>
      </c>
      <c r="N9" s="8" t="s">
        <v>75</v>
      </c>
      <c r="O9" s="8" t="str">
        <f t="shared" si="5"/>
        <v>N/A</v>
      </c>
      <c r="P9" s="7">
        <f t="shared" si="2"/>
        <v>1689.2476799999999</v>
      </c>
      <c r="Q9" s="7">
        <f t="shared" si="6"/>
        <v>14000</v>
      </c>
      <c r="R9" s="7">
        <f t="shared" si="7"/>
        <v>980.00000000000011</v>
      </c>
      <c r="S9" s="7">
        <f t="shared" si="8"/>
        <v>1630.99776</v>
      </c>
    </row>
    <row r="10" spans="1:21">
      <c r="C10" s="34"/>
      <c r="D10" s="282" t="s">
        <v>617</v>
      </c>
      <c r="E10" s="938">
        <v>3</v>
      </c>
      <c r="F10" s="828">
        <f>42906.72+1449.9</f>
        <v>44356.62</v>
      </c>
      <c r="G10" s="322">
        <v>12</v>
      </c>
      <c r="H10" s="319" t="s">
        <v>529</v>
      </c>
      <c r="I10" s="320">
        <f t="shared" si="3"/>
        <v>133069.86000000002</v>
      </c>
      <c r="J10" s="7">
        <f t="shared" si="0"/>
        <v>49017.437070000007</v>
      </c>
      <c r="K10" s="7">
        <f>SUM(I10:J10)</f>
        <v>182087.29707000003</v>
      </c>
      <c r="L10" s="352"/>
      <c r="M10" s="7">
        <f>I10*$M$5</f>
        <v>22754.946060000006</v>
      </c>
      <c r="N10" s="8" t="s">
        <v>75</v>
      </c>
      <c r="O10" s="8" t="str">
        <f t="shared" si="5"/>
        <v>N/A</v>
      </c>
      <c r="P10" s="7">
        <f t="shared" si="2"/>
        <v>1929.5129700000002</v>
      </c>
      <c r="Q10" s="7">
        <f t="shared" si="6"/>
        <v>21000</v>
      </c>
      <c r="R10" s="7">
        <f t="shared" si="7"/>
        <v>1470.0000000000002</v>
      </c>
      <c r="S10" s="7">
        <f t="shared" si="8"/>
        <v>1862.9780400000002</v>
      </c>
    </row>
    <row r="11" spans="1:21">
      <c r="C11" s="34"/>
      <c r="D11" s="282" t="s">
        <v>618</v>
      </c>
      <c r="E11" s="938">
        <v>2</v>
      </c>
      <c r="F11" s="828">
        <f>159999.81/E11</f>
        <v>79999.904999999999</v>
      </c>
      <c r="G11" s="322">
        <v>12</v>
      </c>
      <c r="H11" s="319" t="s">
        <v>529</v>
      </c>
      <c r="I11" s="320">
        <f t="shared" si="3"/>
        <v>159999.81</v>
      </c>
      <c r="J11" s="7">
        <f t="shared" si="0"/>
        <v>46899.962095000003</v>
      </c>
      <c r="K11" s="7">
        <f t="shared" ref="K11:K12" si="9">SUM(I11:J11)</f>
        <v>206899.77209499999</v>
      </c>
      <c r="L11" s="352"/>
      <c r="M11" s="7">
        <f t="shared" ref="M11:M12" si="10">I11*$M$5</f>
        <v>27359.967510000002</v>
      </c>
      <c r="N11" s="8" t="s">
        <v>75</v>
      </c>
      <c r="O11" s="8" t="str">
        <f t="shared" si="5"/>
        <v>N/A</v>
      </c>
      <c r="P11" s="7">
        <f t="shared" si="2"/>
        <v>2319.997245</v>
      </c>
      <c r="Q11" s="7">
        <f t="shared" si="6"/>
        <v>14000</v>
      </c>
      <c r="R11" s="7">
        <f t="shared" si="7"/>
        <v>980.00000000000011</v>
      </c>
      <c r="S11" s="7">
        <f t="shared" si="8"/>
        <v>2239.9973399999999</v>
      </c>
    </row>
    <row r="12" spans="1:21">
      <c r="C12" s="34"/>
      <c r="D12" s="282" t="s">
        <v>619</v>
      </c>
      <c r="E12" s="938">
        <v>2</v>
      </c>
      <c r="F12" s="828">
        <v>64310.04</v>
      </c>
      <c r="G12" s="322">
        <v>12</v>
      </c>
      <c r="H12" s="319" t="s">
        <v>529</v>
      </c>
      <c r="I12" s="320">
        <f t="shared" si="3"/>
        <v>128620.08</v>
      </c>
      <c r="J12" s="7">
        <f t="shared" si="0"/>
        <v>40639.705959999999</v>
      </c>
      <c r="K12" s="7">
        <f t="shared" si="9"/>
        <v>169259.78596000001</v>
      </c>
      <c r="L12" s="352"/>
      <c r="M12" s="7">
        <f t="shared" si="10"/>
        <v>21994.03368</v>
      </c>
      <c r="N12" s="8" t="s">
        <v>75</v>
      </c>
      <c r="O12" s="8" t="str">
        <f t="shared" si="5"/>
        <v>N/A</v>
      </c>
      <c r="P12" s="7">
        <f t="shared" si="2"/>
        <v>1864.99116</v>
      </c>
      <c r="Q12" s="7">
        <f t="shared" si="6"/>
        <v>14000</v>
      </c>
      <c r="R12" s="7">
        <f t="shared" si="7"/>
        <v>980.00000000000011</v>
      </c>
      <c r="S12" s="7">
        <f t="shared" si="8"/>
        <v>1800.68112</v>
      </c>
    </row>
    <row r="13" spans="1:21">
      <c r="C13" s="34"/>
      <c r="D13" s="282" t="s">
        <v>528</v>
      </c>
      <c r="E13" s="938">
        <v>36</v>
      </c>
      <c r="F13" s="828">
        <v>73379.240000000005</v>
      </c>
      <c r="G13" s="322">
        <v>12</v>
      </c>
      <c r="H13" s="319" t="s">
        <v>529</v>
      </c>
      <c r="I13" s="320">
        <f t="shared" si="3"/>
        <v>2641652.64</v>
      </c>
      <c r="J13" s="7">
        <f t="shared" si="0"/>
        <v>796649.70168000017</v>
      </c>
      <c r="K13" s="7">
        <f>SUM(I13:J13)</f>
        <v>3438302.3416800005</v>
      </c>
      <c r="L13" s="352"/>
      <c r="M13" s="7">
        <f>I13*$M$5</f>
        <v>451722.60144000006</v>
      </c>
      <c r="N13" s="8" t="s">
        <v>75</v>
      </c>
      <c r="O13" s="8" t="str">
        <f t="shared" si="5"/>
        <v>N/A</v>
      </c>
      <c r="P13" s="7">
        <f t="shared" si="2"/>
        <v>38303.963280000004</v>
      </c>
      <c r="Q13" s="7">
        <f t="shared" si="6"/>
        <v>252000</v>
      </c>
      <c r="R13" s="7">
        <f t="shared" si="7"/>
        <v>17640.000000000004</v>
      </c>
      <c r="S13" s="7">
        <f t="shared" si="8"/>
        <v>36983.136960000003</v>
      </c>
      <c r="U13" s="844"/>
    </row>
    <row r="14" spans="1:21">
      <c r="C14" s="34"/>
      <c r="D14" s="282" t="s">
        <v>620</v>
      </c>
      <c r="E14" s="938">
        <v>8</v>
      </c>
      <c r="F14" s="828">
        <v>70644.81</v>
      </c>
      <c r="G14" s="322">
        <v>12</v>
      </c>
      <c r="H14" s="319" t="s">
        <v>529</v>
      </c>
      <c r="I14" s="320">
        <f t="shared" si="3"/>
        <v>565158.48</v>
      </c>
      <c r="J14" s="7">
        <f>SUM(M14:S14)</f>
        <v>172669.11676</v>
      </c>
      <c r="K14" s="7">
        <f>SUM(I14:J14)</f>
        <v>737827.59675999999</v>
      </c>
      <c r="L14" s="352"/>
      <c r="M14" s="7">
        <f>I14*$M$5</f>
        <v>96642.100080000004</v>
      </c>
      <c r="N14" s="8" t="s">
        <v>75</v>
      </c>
      <c r="O14" s="8" t="str">
        <f t="shared" si="5"/>
        <v>N/A</v>
      </c>
      <c r="P14" s="7">
        <f>I14*$P$5</f>
        <v>8194.7979599999999</v>
      </c>
      <c r="Q14" s="7">
        <f t="shared" si="6"/>
        <v>56000</v>
      </c>
      <c r="R14" s="7">
        <f t="shared" si="7"/>
        <v>3920.0000000000005</v>
      </c>
      <c r="S14" s="7">
        <f>S$5*$I14</f>
        <v>7912.2187199999998</v>
      </c>
    </row>
    <row r="15" spans="1:21">
      <c r="C15" s="34"/>
      <c r="D15" s="282"/>
      <c r="E15" s="938"/>
      <c r="F15" s="828"/>
      <c r="G15" s="322"/>
      <c r="H15" s="319"/>
      <c r="I15" s="320"/>
      <c r="J15" s="7">
        <f t="shared" si="0"/>
        <v>0</v>
      </c>
      <c r="K15" s="7">
        <f>SUM(I15:J15)</f>
        <v>0</v>
      </c>
      <c r="L15" s="352"/>
      <c r="M15" s="7">
        <f>I15*$M$5</f>
        <v>0</v>
      </c>
      <c r="N15" s="8" t="s">
        <v>75</v>
      </c>
      <c r="O15" s="8" t="str">
        <f t="shared" si="5"/>
        <v>N/A</v>
      </c>
      <c r="P15" s="7">
        <f t="shared" si="2"/>
        <v>0</v>
      </c>
      <c r="Q15" s="7">
        <f t="shared" si="6"/>
        <v>0</v>
      </c>
      <c r="R15" s="7">
        <f t="shared" si="7"/>
        <v>0</v>
      </c>
      <c r="S15" s="7">
        <f t="shared" si="8"/>
        <v>0</v>
      </c>
    </row>
    <row r="16" spans="1:21">
      <c r="C16" s="34"/>
      <c r="D16" s="282"/>
      <c r="E16" s="938"/>
      <c r="F16" s="828"/>
      <c r="G16" s="322"/>
      <c r="H16" s="319"/>
      <c r="I16" s="320"/>
      <c r="J16" s="7">
        <f t="shared" si="0"/>
        <v>0</v>
      </c>
      <c r="K16" s="7">
        <f t="shared" ref="K16:K17" si="11">SUM(I16:J16)</f>
        <v>0</v>
      </c>
      <c r="M16" s="7">
        <f t="shared" ref="M16:M59" si="12">I16*$M$5</f>
        <v>0</v>
      </c>
      <c r="N16" s="8" t="s">
        <v>75</v>
      </c>
      <c r="O16" s="8" t="str">
        <f t="shared" si="5"/>
        <v>N/A</v>
      </c>
      <c r="P16" s="7">
        <f t="shared" si="2"/>
        <v>0</v>
      </c>
      <c r="Q16" s="7">
        <f t="shared" si="6"/>
        <v>0</v>
      </c>
      <c r="R16" s="7">
        <f t="shared" si="7"/>
        <v>0</v>
      </c>
      <c r="S16" s="7">
        <f t="shared" si="8"/>
        <v>0</v>
      </c>
    </row>
    <row r="17" spans="3:24">
      <c r="C17" s="34"/>
      <c r="D17" s="1026" t="s">
        <v>617</v>
      </c>
      <c r="E17" s="1021">
        <v>2</v>
      </c>
      <c r="F17" s="1022">
        <v>54079.92</v>
      </c>
      <c r="G17" s="1023">
        <v>12</v>
      </c>
      <c r="H17" s="1024" t="s">
        <v>529</v>
      </c>
      <c r="I17" s="1025">
        <f>F17*E17</f>
        <v>108159.84</v>
      </c>
      <c r="J17" s="7">
        <f t="shared" si="0"/>
        <v>36557.888080000004</v>
      </c>
      <c r="K17" s="7">
        <f t="shared" si="11"/>
        <v>144717.72808</v>
      </c>
      <c r="M17" s="7">
        <f t="shared" si="12"/>
        <v>18495.332640000001</v>
      </c>
      <c r="N17" s="8" t="s">
        <v>75</v>
      </c>
      <c r="O17" s="8" t="str">
        <f t="shared" si="5"/>
        <v>N/A</v>
      </c>
      <c r="P17" s="7">
        <f t="shared" si="2"/>
        <v>1568.3176800000001</v>
      </c>
      <c r="Q17" s="7">
        <f t="shared" si="6"/>
        <v>14000</v>
      </c>
      <c r="R17" s="7">
        <f t="shared" si="7"/>
        <v>980.00000000000011</v>
      </c>
      <c r="S17" s="7">
        <f t="shared" si="8"/>
        <v>1514.23776</v>
      </c>
    </row>
    <row r="18" spans="3:24">
      <c r="C18" s="34"/>
      <c r="D18" s="1026" t="s">
        <v>617</v>
      </c>
      <c r="E18" s="1021">
        <v>2</v>
      </c>
      <c r="F18" s="1022">
        <v>59705.1</v>
      </c>
      <c r="G18" s="1023">
        <v>13</v>
      </c>
      <c r="H18" s="1024" t="s">
        <v>529</v>
      </c>
      <c r="I18" s="1025">
        <f t="shared" ref="I18:I22" si="13">F18*E18</f>
        <v>119410.2</v>
      </c>
      <c r="J18" s="7">
        <f t="shared" si="0"/>
        <v>38802.334900000002</v>
      </c>
      <c r="K18" s="7">
        <f>SUM(I18:J18)</f>
        <v>158212.5349</v>
      </c>
      <c r="M18" s="7">
        <f>I18*$M$5</f>
        <v>20419.144200000002</v>
      </c>
      <c r="N18" s="8" t="s">
        <v>75</v>
      </c>
      <c r="O18" s="8" t="str">
        <f t="shared" si="5"/>
        <v>N/A</v>
      </c>
      <c r="P18" s="7">
        <f t="shared" si="2"/>
        <v>1731.4479000000001</v>
      </c>
      <c r="Q18" s="7">
        <f t="shared" si="6"/>
        <v>14000</v>
      </c>
      <c r="R18" s="7">
        <f t="shared" si="7"/>
        <v>980.00000000000011</v>
      </c>
      <c r="S18" s="7">
        <f t="shared" si="8"/>
        <v>1671.7428</v>
      </c>
    </row>
    <row r="19" spans="3:24">
      <c r="C19" s="34"/>
      <c r="D19" s="1026" t="s">
        <v>619</v>
      </c>
      <c r="E19" s="1021">
        <v>6</v>
      </c>
      <c r="F19" s="1022">
        <v>59950.080000000002</v>
      </c>
      <c r="G19" s="1023">
        <v>12</v>
      </c>
      <c r="H19" s="1024" t="s">
        <v>529</v>
      </c>
      <c r="I19" s="1025">
        <f t="shared" si="13"/>
        <v>359700.47999999998</v>
      </c>
      <c r="J19" s="7">
        <f t="shared" si="0"/>
        <v>116700.24575999999</v>
      </c>
      <c r="K19" s="7">
        <f t="shared" ref="K19" si="14">SUM(I19:J19)</f>
        <v>476400.72575999994</v>
      </c>
      <c r="M19" s="7">
        <f t="shared" ref="M19" si="15">I19*$M$5</f>
        <v>61508.782080000004</v>
      </c>
      <c r="N19" s="8" t="s">
        <v>75</v>
      </c>
      <c r="O19" s="8" t="str">
        <f t="shared" si="5"/>
        <v>N/A</v>
      </c>
      <c r="P19" s="7">
        <f t="shared" si="2"/>
        <v>5215.6569600000003</v>
      </c>
      <c r="Q19" s="7">
        <f t="shared" si="6"/>
        <v>42000</v>
      </c>
      <c r="R19" s="7">
        <f t="shared" si="7"/>
        <v>2940.0000000000005</v>
      </c>
      <c r="S19" s="7">
        <f t="shared" si="8"/>
        <v>5035.8067199999996</v>
      </c>
    </row>
    <row r="20" spans="3:24">
      <c r="C20" s="34"/>
      <c r="D20" s="1026" t="s">
        <v>620</v>
      </c>
      <c r="E20" s="1021">
        <v>1</v>
      </c>
      <c r="F20" s="1022">
        <v>53187</v>
      </c>
      <c r="G20" s="1023">
        <v>12</v>
      </c>
      <c r="H20" s="1024" t="s">
        <v>529</v>
      </c>
      <c r="I20" s="1025">
        <f t="shared" si="13"/>
        <v>53187</v>
      </c>
      <c r="J20" s="7">
        <f t="shared" si="0"/>
        <v>18100.806499999999</v>
      </c>
      <c r="K20" s="7">
        <f t="shared" ref="K20:K59" si="16">SUM(I20:J20)</f>
        <v>71287.806500000006</v>
      </c>
      <c r="M20" s="7">
        <f t="shared" si="12"/>
        <v>9094.9770000000008</v>
      </c>
      <c r="N20" s="8" t="s">
        <v>75</v>
      </c>
      <c r="O20" s="8" t="str">
        <f t="shared" si="5"/>
        <v>N/A</v>
      </c>
      <c r="P20" s="7">
        <f t="shared" si="2"/>
        <v>771.2115</v>
      </c>
      <c r="Q20" s="7">
        <f t="shared" si="6"/>
        <v>7000</v>
      </c>
      <c r="R20" s="7">
        <f t="shared" si="7"/>
        <v>490.00000000000006</v>
      </c>
      <c r="S20" s="7">
        <f t="shared" si="8"/>
        <v>744.61800000000005</v>
      </c>
    </row>
    <row r="21" spans="3:24">
      <c r="C21" s="34"/>
      <c r="D21" s="1026" t="s">
        <v>528</v>
      </c>
      <c r="E21" s="1021">
        <v>57</v>
      </c>
      <c r="F21" s="1022">
        <v>45215.45</v>
      </c>
      <c r="G21" s="1023">
        <v>12</v>
      </c>
      <c r="H21" s="1024" t="s">
        <v>529</v>
      </c>
      <c r="I21" s="1025">
        <f t="shared" si="13"/>
        <v>2577280.65</v>
      </c>
      <c r="J21" s="7">
        <f t="shared" si="0"/>
        <v>941097.48967499996</v>
      </c>
      <c r="K21" s="7">
        <f t="shared" si="16"/>
        <v>3518378.1396749998</v>
      </c>
      <c r="M21" s="7">
        <f t="shared" si="12"/>
        <v>440714.99115000002</v>
      </c>
      <c r="N21" s="8" t="s">
        <v>75</v>
      </c>
      <c r="O21" s="8" t="str">
        <f t="shared" si="5"/>
        <v>N/A</v>
      </c>
      <c r="P21" s="7">
        <f t="shared" si="2"/>
        <v>37370.569425000002</v>
      </c>
      <c r="Q21" s="7">
        <f t="shared" si="6"/>
        <v>399000</v>
      </c>
      <c r="R21" s="7">
        <f t="shared" si="7"/>
        <v>27930.000000000004</v>
      </c>
      <c r="S21" s="7">
        <f t="shared" si="8"/>
        <v>36081.929100000001</v>
      </c>
      <c r="U21" s="844"/>
    </row>
    <row r="22" spans="3:24">
      <c r="C22" s="34"/>
      <c r="D22" s="1026" t="s">
        <v>528</v>
      </c>
      <c r="E22" s="1021">
        <v>5</v>
      </c>
      <c r="F22" s="1022">
        <v>58299.98</v>
      </c>
      <c r="G22" s="1023">
        <v>12</v>
      </c>
      <c r="H22" s="1024" t="s">
        <v>529</v>
      </c>
      <c r="I22" s="1025">
        <f t="shared" si="13"/>
        <v>291499.90000000002</v>
      </c>
      <c r="J22" s="7">
        <f t="shared" si="0"/>
        <v>95604.230050000013</v>
      </c>
      <c r="K22" s="7">
        <f t="shared" si="16"/>
        <v>387104.13005000004</v>
      </c>
      <c r="L22" s="7"/>
      <c r="M22" s="7">
        <f t="shared" si="12"/>
        <v>49846.48290000001</v>
      </c>
      <c r="N22" s="8" t="s">
        <v>75</v>
      </c>
      <c r="O22" s="8" t="str">
        <f t="shared" si="5"/>
        <v>N/A</v>
      </c>
      <c r="P22" s="7">
        <f t="shared" si="2"/>
        <v>4226.7485500000003</v>
      </c>
      <c r="Q22" s="7">
        <f t="shared" si="6"/>
        <v>35000</v>
      </c>
      <c r="R22" s="7">
        <f t="shared" si="7"/>
        <v>2450.0000000000005</v>
      </c>
      <c r="S22" s="7">
        <f t="shared" si="8"/>
        <v>4080.9986000000004</v>
      </c>
    </row>
    <row r="23" spans="3:24">
      <c r="C23" s="34"/>
      <c r="D23" s="282"/>
      <c r="E23" s="938"/>
      <c r="F23" s="828"/>
      <c r="G23" s="322"/>
      <c r="H23" s="319"/>
      <c r="I23" s="320"/>
      <c r="J23" s="7">
        <f t="shared" si="0"/>
        <v>0</v>
      </c>
      <c r="K23" s="7">
        <f t="shared" si="16"/>
        <v>0</v>
      </c>
      <c r="M23" s="7">
        <f t="shared" si="12"/>
        <v>0</v>
      </c>
      <c r="N23" s="8" t="s">
        <v>75</v>
      </c>
      <c r="O23" s="8" t="str">
        <f t="shared" si="5"/>
        <v>N/A</v>
      </c>
      <c r="P23" s="7">
        <f t="shared" si="2"/>
        <v>0</v>
      </c>
      <c r="Q23" s="7">
        <f t="shared" si="6"/>
        <v>0</v>
      </c>
      <c r="R23" s="7">
        <f>IF($I23&lt;7000,7000*R$5,$I23*R$5)*E23</f>
        <v>0</v>
      </c>
      <c r="S23" s="7">
        <f t="shared" si="8"/>
        <v>0</v>
      </c>
    </row>
    <row r="24" spans="3:24">
      <c r="C24" s="34"/>
      <c r="D24" s="282"/>
      <c r="E24" s="938"/>
      <c r="F24" s="828"/>
      <c r="G24" s="322"/>
      <c r="H24" s="319"/>
      <c r="I24" s="320"/>
      <c r="J24" s="7">
        <f t="shared" si="0"/>
        <v>0</v>
      </c>
      <c r="K24" s="7">
        <f t="shared" si="16"/>
        <v>0</v>
      </c>
      <c r="M24" s="7">
        <f t="shared" si="12"/>
        <v>0</v>
      </c>
      <c r="N24" s="8" t="s">
        <v>75</v>
      </c>
      <c r="O24" s="8" t="str">
        <f t="shared" si="5"/>
        <v>N/A</v>
      </c>
      <c r="P24" s="7">
        <f t="shared" si="2"/>
        <v>0</v>
      </c>
      <c r="Q24" s="7">
        <f t="shared" si="6"/>
        <v>0</v>
      </c>
      <c r="R24" s="7">
        <f t="shared" si="7"/>
        <v>0</v>
      </c>
      <c r="S24" s="7">
        <f t="shared" si="8"/>
        <v>0</v>
      </c>
    </row>
    <row r="25" spans="3:24">
      <c r="C25" s="34"/>
      <c r="D25" s="282"/>
      <c r="E25" s="938"/>
      <c r="F25" s="828"/>
      <c r="G25" s="322"/>
      <c r="H25" s="319"/>
      <c r="I25" s="320"/>
      <c r="J25" s="7">
        <f t="shared" si="0"/>
        <v>0</v>
      </c>
      <c r="K25" s="7">
        <f t="shared" si="16"/>
        <v>0</v>
      </c>
      <c r="M25" s="7">
        <f t="shared" si="12"/>
        <v>0</v>
      </c>
      <c r="N25" s="8" t="s">
        <v>75</v>
      </c>
      <c r="O25" s="8" t="str">
        <f t="shared" si="5"/>
        <v>N/A</v>
      </c>
      <c r="P25" s="7">
        <f t="shared" si="2"/>
        <v>0</v>
      </c>
      <c r="Q25" s="7">
        <f t="shared" si="6"/>
        <v>0</v>
      </c>
      <c r="R25" s="7">
        <f t="shared" si="7"/>
        <v>0</v>
      </c>
      <c r="S25" s="7">
        <f t="shared" si="8"/>
        <v>0</v>
      </c>
      <c r="V25" s="1030"/>
    </row>
    <row r="26" spans="3:24">
      <c r="C26" s="34"/>
      <c r="D26" s="282"/>
      <c r="E26" s="938"/>
      <c r="F26" s="828"/>
      <c r="G26" s="322"/>
      <c r="H26" s="319"/>
      <c r="I26" s="320"/>
      <c r="J26" s="7">
        <f t="shared" ref="J26:J42" si="17">SUM(M26:S26)</f>
        <v>0</v>
      </c>
      <c r="K26" s="7">
        <f t="shared" si="16"/>
        <v>0</v>
      </c>
      <c r="M26" s="7">
        <f t="shared" si="12"/>
        <v>0</v>
      </c>
      <c r="N26" s="8" t="s">
        <v>75</v>
      </c>
      <c r="O26" s="8" t="str">
        <f t="shared" ref="O26:O42" si="18">IF($M$5&gt;0,"N/A",$O$5*I26)</f>
        <v>N/A</v>
      </c>
      <c r="P26" s="7">
        <f t="shared" ref="P26:P42" si="19">I26*$P$5</f>
        <v>0</v>
      </c>
      <c r="Q26" s="7">
        <f t="shared" si="6"/>
        <v>0</v>
      </c>
      <c r="R26" s="7">
        <f t="shared" si="7"/>
        <v>0</v>
      </c>
      <c r="S26" s="7">
        <f t="shared" si="8"/>
        <v>0</v>
      </c>
      <c r="V26" s="1030"/>
    </row>
    <row r="27" spans="3:24">
      <c r="C27" s="34"/>
      <c r="D27" s="282" t="s">
        <v>800</v>
      </c>
      <c r="E27" s="938">
        <v>1</v>
      </c>
      <c r="F27" s="828">
        <f>41120/2</f>
        <v>20560</v>
      </c>
      <c r="G27" s="322">
        <v>12</v>
      </c>
      <c r="H27" s="319" t="s">
        <v>808</v>
      </c>
      <c r="I27" s="1038">
        <f>F27*E27</f>
        <v>20560</v>
      </c>
      <c r="J27" s="7">
        <f>SUM(M27:S27)</f>
        <v>4591.72</v>
      </c>
      <c r="K27" s="7">
        <f>SUM(I27:J27)</f>
        <v>25151.72</v>
      </c>
      <c r="L27" s="352"/>
      <c r="M27" s="7">
        <f>I27*$M$5</f>
        <v>3515.76</v>
      </c>
      <c r="N27" s="8" t="s">
        <v>75</v>
      </c>
      <c r="O27" s="8" t="str">
        <f t="shared" si="18"/>
        <v>N/A</v>
      </c>
      <c r="P27" s="7">
        <f>I27*$P$5</f>
        <v>298.12</v>
      </c>
      <c r="Q27" s="7">
        <f t="shared" ref="Q27" si="20">IF(H27="y", $Q$5*E27, 0)</f>
        <v>0</v>
      </c>
      <c r="R27" s="7">
        <f t="shared" ref="R27" si="21">IF($I27&gt;7000,7000*R$5,$I27*R$5)*E27</f>
        <v>490.00000000000006</v>
      </c>
      <c r="S27" s="7">
        <f>S$5*$I27</f>
        <v>287.84000000000003</v>
      </c>
      <c r="T27" s="1030">
        <f>+K27/6</f>
        <v>4191.9533333333338</v>
      </c>
      <c r="U27" s="27" t="s">
        <v>800</v>
      </c>
      <c r="V27" s="1030">
        <v>4191.9533333333338</v>
      </c>
      <c r="X27" s="27">
        <f>+V27/2</f>
        <v>2095.9766666666669</v>
      </c>
    </row>
    <row r="28" spans="3:24">
      <c r="C28" s="34"/>
      <c r="D28" s="282" t="s">
        <v>801</v>
      </c>
      <c r="E28" s="938">
        <v>1</v>
      </c>
      <c r="F28" s="828">
        <f>43620/2</f>
        <v>21810</v>
      </c>
      <c r="G28" s="322">
        <v>12</v>
      </c>
      <c r="H28" s="319" t="s">
        <v>808</v>
      </c>
      <c r="I28" s="1038">
        <f t="shared" ref="I28:I31" si="22">F28*E28</f>
        <v>21810</v>
      </c>
      <c r="J28" s="7">
        <f t="shared" si="17"/>
        <v>4841.0950000000003</v>
      </c>
      <c r="K28" s="7">
        <f t="shared" si="16"/>
        <v>26651.095000000001</v>
      </c>
      <c r="L28" s="7"/>
      <c r="M28" s="7">
        <f t="shared" si="12"/>
        <v>3729.51</v>
      </c>
      <c r="N28" s="8" t="s">
        <v>75</v>
      </c>
      <c r="O28" s="8" t="str">
        <f t="shared" si="18"/>
        <v>N/A</v>
      </c>
      <c r="P28" s="7">
        <f t="shared" si="19"/>
        <v>316.245</v>
      </c>
      <c r="Q28" s="7">
        <f t="shared" si="6"/>
        <v>0</v>
      </c>
      <c r="R28" s="7">
        <f t="shared" si="7"/>
        <v>490.00000000000006</v>
      </c>
      <c r="S28" s="7">
        <f t="shared" si="8"/>
        <v>305.34000000000003</v>
      </c>
      <c r="T28" s="1030">
        <f t="shared" ref="T28:T34" si="23">+K28/6</f>
        <v>4441.8491666666669</v>
      </c>
      <c r="U28" s="27" t="s">
        <v>801</v>
      </c>
      <c r="V28" s="1030">
        <v>4441.8491666666669</v>
      </c>
      <c r="X28" s="27">
        <f t="shared" ref="X28:X34" si="24">+V28/2</f>
        <v>2220.9245833333334</v>
      </c>
    </row>
    <row r="29" spans="3:24">
      <c r="C29" s="34"/>
      <c r="D29" s="281" t="s">
        <v>802</v>
      </c>
      <c r="E29" s="938">
        <v>1</v>
      </c>
      <c r="F29" s="828">
        <f>50871/2</f>
        <v>25435.5</v>
      </c>
      <c r="G29" s="322">
        <v>12</v>
      </c>
      <c r="H29" s="319" t="s">
        <v>808</v>
      </c>
      <c r="I29" s="1038">
        <f t="shared" si="22"/>
        <v>25435.5</v>
      </c>
      <c r="J29" s="7">
        <f t="shared" si="17"/>
        <v>5564.3822500000006</v>
      </c>
      <c r="K29" s="7">
        <f t="shared" si="16"/>
        <v>30999.882250000002</v>
      </c>
      <c r="M29" s="7">
        <f t="shared" si="12"/>
        <v>4349.4705000000004</v>
      </c>
      <c r="N29" s="8" t="s">
        <v>75</v>
      </c>
      <c r="O29" s="8" t="str">
        <f t="shared" si="18"/>
        <v>N/A</v>
      </c>
      <c r="P29" s="7">
        <f t="shared" si="19"/>
        <v>368.81475</v>
      </c>
      <c r="Q29" s="7">
        <f t="shared" si="6"/>
        <v>0</v>
      </c>
      <c r="R29" s="7">
        <f t="shared" si="7"/>
        <v>490.00000000000006</v>
      </c>
      <c r="S29" s="7">
        <f t="shared" si="8"/>
        <v>356.09699999999998</v>
      </c>
      <c r="T29" s="1030">
        <f t="shared" si="23"/>
        <v>5166.6470416666671</v>
      </c>
      <c r="U29" s="27" t="s">
        <v>802</v>
      </c>
      <c r="V29" s="1030">
        <v>5166.6470416666671</v>
      </c>
      <c r="X29" s="27">
        <f t="shared" si="24"/>
        <v>2583.3235208333335</v>
      </c>
    </row>
    <row r="30" spans="3:24">
      <c r="C30" s="34"/>
      <c r="D30" s="282" t="s">
        <v>803</v>
      </c>
      <c r="E30" s="938">
        <v>1</v>
      </c>
      <c r="F30" s="828">
        <f>41120/2</f>
        <v>20560</v>
      </c>
      <c r="G30" s="322">
        <v>12</v>
      </c>
      <c r="H30" s="319" t="s">
        <v>808</v>
      </c>
      <c r="I30" s="1038">
        <f>F30*E30</f>
        <v>20560</v>
      </c>
      <c r="J30" s="7">
        <f t="shared" si="17"/>
        <v>4591.72</v>
      </c>
      <c r="K30" s="7">
        <f t="shared" si="16"/>
        <v>25151.72</v>
      </c>
      <c r="M30" s="7">
        <f t="shared" si="12"/>
        <v>3515.76</v>
      </c>
      <c r="N30" s="8" t="s">
        <v>75</v>
      </c>
      <c r="O30" s="8" t="str">
        <f t="shared" si="18"/>
        <v>N/A</v>
      </c>
      <c r="P30" s="7">
        <f t="shared" si="19"/>
        <v>298.12</v>
      </c>
      <c r="Q30" s="7">
        <f t="shared" si="6"/>
        <v>0</v>
      </c>
      <c r="R30" s="7">
        <f t="shared" si="7"/>
        <v>490.00000000000006</v>
      </c>
      <c r="S30" s="7">
        <f t="shared" si="8"/>
        <v>287.84000000000003</v>
      </c>
      <c r="T30" s="1030">
        <f t="shared" si="23"/>
        <v>4191.9533333333338</v>
      </c>
      <c r="U30" s="27" t="s">
        <v>803</v>
      </c>
      <c r="V30" s="1030">
        <v>4191.9533333333338</v>
      </c>
      <c r="X30" s="27">
        <f t="shared" si="24"/>
        <v>2095.9766666666669</v>
      </c>
    </row>
    <row r="31" spans="3:24">
      <c r="C31" s="34"/>
      <c r="D31" s="282" t="s">
        <v>804</v>
      </c>
      <c r="E31" s="938">
        <v>1</v>
      </c>
      <c r="F31" s="828">
        <f>44870/2</f>
        <v>22435</v>
      </c>
      <c r="G31" s="322">
        <v>12</v>
      </c>
      <c r="H31" s="319" t="s">
        <v>808</v>
      </c>
      <c r="I31" s="1038">
        <f t="shared" si="22"/>
        <v>22435</v>
      </c>
      <c r="J31" s="7">
        <f t="shared" si="17"/>
        <v>4965.7825000000003</v>
      </c>
      <c r="K31" s="7">
        <f t="shared" si="16"/>
        <v>27400.782500000001</v>
      </c>
      <c r="M31" s="7">
        <f t="shared" si="12"/>
        <v>3836.3850000000002</v>
      </c>
      <c r="N31" s="8" t="s">
        <v>75</v>
      </c>
      <c r="O31" s="8" t="str">
        <f t="shared" si="18"/>
        <v>N/A</v>
      </c>
      <c r="P31" s="7">
        <f t="shared" si="19"/>
        <v>325.3075</v>
      </c>
      <c r="Q31" s="7">
        <f t="shared" si="6"/>
        <v>0</v>
      </c>
      <c r="R31" s="7">
        <f t="shared" si="7"/>
        <v>490.00000000000006</v>
      </c>
      <c r="S31" s="7">
        <f t="shared" si="8"/>
        <v>314.09000000000003</v>
      </c>
      <c r="T31" s="1030">
        <f t="shared" si="23"/>
        <v>4566.7970833333338</v>
      </c>
      <c r="U31" s="27" t="s">
        <v>804</v>
      </c>
      <c r="V31" s="1030">
        <v>4566.7970833333338</v>
      </c>
      <c r="X31" s="27">
        <f t="shared" si="24"/>
        <v>2283.3985416666669</v>
      </c>
    </row>
    <row r="32" spans="3:24">
      <c r="C32" s="34"/>
      <c r="D32" s="282"/>
      <c r="E32" s="938"/>
      <c r="F32" s="828"/>
      <c r="G32" s="322"/>
      <c r="H32" s="319"/>
      <c r="I32" s="1038"/>
      <c r="J32" s="7">
        <f t="shared" si="17"/>
        <v>0</v>
      </c>
      <c r="K32" s="7">
        <f t="shared" si="16"/>
        <v>0</v>
      </c>
      <c r="M32" s="7">
        <f t="shared" si="12"/>
        <v>0</v>
      </c>
      <c r="N32" s="8" t="s">
        <v>75</v>
      </c>
      <c r="O32" s="8" t="str">
        <f t="shared" si="18"/>
        <v>N/A</v>
      </c>
      <c r="P32" s="7">
        <f t="shared" si="19"/>
        <v>0</v>
      </c>
      <c r="Q32" s="7">
        <f t="shared" si="6"/>
        <v>0</v>
      </c>
      <c r="R32" s="7">
        <f t="shared" si="7"/>
        <v>0</v>
      </c>
      <c r="S32" s="7">
        <f t="shared" si="8"/>
        <v>0</v>
      </c>
      <c r="T32" s="1030"/>
      <c r="V32" s="1030"/>
      <c r="X32" s="27">
        <f t="shared" si="24"/>
        <v>0</v>
      </c>
    </row>
    <row r="33" spans="3:24">
      <c r="C33" s="34"/>
      <c r="D33" s="282" t="s">
        <v>805</v>
      </c>
      <c r="E33" s="938">
        <v>1</v>
      </c>
      <c r="F33" s="828">
        <f>34370/2</f>
        <v>17185</v>
      </c>
      <c r="G33" s="322">
        <v>12</v>
      </c>
      <c r="H33" s="319" t="s">
        <v>808</v>
      </c>
      <c r="I33" s="1038">
        <f t="shared" ref="I33:I34" si="25">F33*E33</f>
        <v>17185</v>
      </c>
      <c r="J33" s="7">
        <f t="shared" si="17"/>
        <v>3918.4075000000003</v>
      </c>
      <c r="K33" s="7">
        <f t="shared" si="16"/>
        <v>21103.407500000001</v>
      </c>
      <c r="L33" s="7"/>
      <c r="M33" s="7">
        <f t="shared" si="12"/>
        <v>2938.6350000000002</v>
      </c>
      <c r="N33" s="8" t="s">
        <v>75</v>
      </c>
      <c r="O33" s="8" t="str">
        <f t="shared" si="18"/>
        <v>N/A</v>
      </c>
      <c r="P33" s="7">
        <f t="shared" si="19"/>
        <v>249.1825</v>
      </c>
      <c r="Q33" s="7">
        <f t="shared" si="6"/>
        <v>0</v>
      </c>
      <c r="R33" s="7">
        <f t="shared" si="7"/>
        <v>490.00000000000006</v>
      </c>
      <c r="S33" s="7">
        <f t="shared" si="8"/>
        <v>240.59</v>
      </c>
      <c r="T33" s="1030">
        <f t="shared" si="23"/>
        <v>3517.2345833333334</v>
      </c>
      <c r="U33" s="27" t="s">
        <v>806</v>
      </c>
      <c r="V33" s="1030">
        <v>3517.2345833333334</v>
      </c>
      <c r="X33" s="27">
        <f t="shared" si="24"/>
        <v>1758.6172916666667</v>
      </c>
    </row>
    <row r="34" spans="3:24">
      <c r="C34" s="34"/>
      <c r="D34" s="281" t="s">
        <v>805</v>
      </c>
      <c r="E34" s="938">
        <v>1</v>
      </c>
      <c r="F34" s="828">
        <f>34370/2</f>
        <v>17185</v>
      </c>
      <c r="G34" s="322">
        <v>12</v>
      </c>
      <c r="H34" s="319" t="s">
        <v>808</v>
      </c>
      <c r="I34" s="1038">
        <f t="shared" si="25"/>
        <v>17185</v>
      </c>
      <c r="J34" s="7">
        <f t="shared" si="17"/>
        <v>3918.4075000000003</v>
      </c>
      <c r="K34" s="7">
        <f t="shared" si="16"/>
        <v>21103.407500000001</v>
      </c>
      <c r="M34" s="7">
        <f t="shared" si="12"/>
        <v>2938.6350000000002</v>
      </c>
      <c r="N34" s="8" t="s">
        <v>75</v>
      </c>
      <c r="O34" s="8" t="str">
        <f t="shared" si="18"/>
        <v>N/A</v>
      </c>
      <c r="P34" s="7">
        <f t="shared" si="19"/>
        <v>249.1825</v>
      </c>
      <c r="Q34" s="7">
        <f t="shared" si="6"/>
        <v>0</v>
      </c>
      <c r="R34" s="7">
        <f t="shared" si="7"/>
        <v>490.00000000000006</v>
      </c>
      <c r="S34" s="7">
        <f t="shared" si="8"/>
        <v>240.59</v>
      </c>
      <c r="T34" s="1030">
        <f t="shared" si="23"/>
        <v>3517.2345833333334</v>
      </c>
      <c r="U34" s="27" t="s">
        <v>807</v>
      </c>
      <c r="V34" s="1030">
        <v>3517.2345833333334</v>
      </c>
      <c r="X34" s="27">
        <f t="shared" si="24"/>
        <v>1758.6172916666667</v>
      </c>
    </row>
    <row r="35" spans="3:24">
      <c r="C35" s="34"/>
      <c r="D35" s="282"/>
      <c r="E35" s="938"/>
      <c r="F35" s="828"/>
      <c r="G35" s="322"/>
      <c r="H35" s="319"/>
      <c r="I35" s="320"/>
      <c r="J35" s="7">
        <f t="shared" si="17"/>
        <v>0</v>
      </c>
      <c r="K35" s="7">
        <f t="shared" si="16"/>
        <v>0</v>
      </c>
      <c r="M35" s="7">
        <f t="shared" si="12"/>
        <v>0</v>
      </c>
      <c r="N35" s="8" t="s">
        <v>75</v>
      </c>
      <c r="O35" s="8" t="str">
        <f t="shared" si="18"/>
        <v>N/A</v>
      </c>
      <c r="P35" s="7">
        <f t="shared" si="19"/>
        <v>0</v>
      </c>
      <c r="Q35" s="7">
        <f t="shared" si="6"/>
        <v>0</v>
      </c>
      <c r="R35" s="7">
        <f t="shared" si="7"/>
        <v>0</v>
      </c>
      <c r="S35" s="7">
        <f t="shared" si="8"/>
        <v>0</v>
      </c>
      <c r="V35" s="1030"/>
    </row>
    <row r="36" spans="3:24">
      <c r="C36" s="34"/>
      <c r="D36" s="282"/>
      <c r="E36" s="938"/>
      <c r="F36" s="828"/>
      <c r="G36" s="322"/>
      <c r="H36" s="319"/>
      <c r="I36" s="320"/>
      <c r="J36" s="7">
        <f t="shared" si="17"/>
        <v>0</v>
      </c>
      <c r="K36" s="7">
        <f t="shared" si="16"/>
        <v>0</v>
      </c>
      <c r="M36" s="7">
        <f t="shared" si="12"/>
        <v>0</v>
      </c>
      <c r="N36" s="8" t="s">
        <v>75</v>
      </c>
      <c r="O36" s="8" t="str">
        <f t="shared" si="18"/>
        <v>N/A</v>
      </c>
      <c r="P36" s="7">
        <f t="shared" si="19"/>
        <v>0</v>
      </c>
      <c r="Q36" s="7">
        <f t="shared" si="6"/>
        <v>0</v>
      </c>
      <c r="R36" s="7">
        <f t="shared" si="7"/>
        <v>0</v>
      </c>
      <c r="S36" s="7">
        <f t="shared" si="8"/>
        <v>0</v>
      </c>
      <c r="V36" s="1030"/>
    </row>
    <row r="37" spans="3:24">
      <c r="C37" s="34"/>
      <c r="D37" s="282"/>
      <c r="E37" s="938"/>
      <c r="F37" s="828"/>
      <c r="G37" s="322"/>
      <c r="H37" s="319"/>
      <c r="I37" s="320"/>
      <c r="J37" s="7">
        <f t="shared" si="17"/>
        <v>0</v>
      </c>
      <c r="K37" s="7">
        <f t="shared" si="16"/>
        <v>0</v>
      </c>
      <c r="M37" s="7">
        <f t="shared" si="12"/>
        <v>0</v>
      </c>
      <c r="N37" s="8" t="s">
        <v>75</v>
      </c>
      <c r="O37" s="8" t="str">
        <f t="shared" si="18"/>
        <v>N/A</v>
      </c>
      <c r="P37" s="7">
        <f t="shared" si="19"/>
        <v>0</v>
      </c>
      <c r="Q37" s="7">
        <f t="shared" si="6"/>
        <v>0</v>
      </c>
      <c r="R37" s="7">
        <f t="shared" si="7"/>
        <v>0</v>
      </c>
      <c r="S37" s="7">
        <f t="shared" si="8"/>
        <v>0</v>
      </c>
      <c r="X37" s="27">
        <f>SUM(X27:X34)</f>
        <v>14796.834562500004</v>
      </c>
    </row>
    <row r="38" spans="3:24">
      <c r="C38" s="34"/>
      <c r="D38" s="282"/>
      <c r="E38" s="938"/>
      <c r="F38" s="828"/>
      <c r="G38" s="322"/>
      <c r="H38" s="319"/>
      <c r="I38" s="320"/>
      <c r="J38" s="7">
        <f t="shared" si="17"/>
        <v>0</v>
      </c>
      <c r="K38" s="7">
        <f t="shared" si="16"/>
        <v>0</v>
      </c>
      <c r="M38" s="7">
        <f t="shared" si="12"/>
        <v>0</v>
      </c>
      <c r="N38" s="8" t="s">
        <v>75</v>
      </c>
      <c r="O38" s="8" t="str">
        <f t="shared" si="18"/>
        <v>N/A</v>
      </c>
      <c r="P38" s="7">
        <f t="shared" si="19"/>
        <v>0</v>
      </c>
      <c r="Q38" s="7">
        <f t="shared" si="6"/>
        <v>0</v>
      </c>
      <c r="R38" s="7">
        <f t="shared" si="7"/>
        <v>0</v>
      </c>
      <c r="S38" s="7">
        <f t="shared" si="8"/>
        <v>0</v>
      </c>
    </row>
    <row r="39" spans="3:24">
      <c r="C39" s="34"/>
      <c r="D39" s="282"/>
      <c r="E39" s="938"/>
      <c r="F39" s="828"/>
      <c r="G39" s="322"/>
      <c r="H39" s="319"/>
      <c r="I39" s="320"/>
      <c r="J39" s="7">
        <f t="shared" si="17"/>
        <v>0</v>
      </c>
      <c r="K39" s="7">
        <f t="shared" si="16"/>
        <v>0</v>
      </c>
      <c r="L39" s="7"/>
      <c r="M39" s="7">
        <f t="shared" si="12"/>
        <v>0</v>
      </c>
      <c r="N39" s="8" t="s">
        <v>75</v>
      </c>
      <c r="O39" s="8" t="str">
        <f t="shared" si="18"/>
        <v>N/A</v>
      </c>
      <c r="P39" s="7">
        <f t="shared" si="19"/>
        <v>0</v>
      </c>
      <c r="Q39" s="7">
        <f t="shared" si="6"/>
        <v>0</v>
      </c>
      <c r="R39" s="7">
        <f t="shared" si="7"/>
        <v>0</v>
      </c>
      <c r="S39" s="7">
        <f t="shared" si="8"/>
        <v>0</v>
      </c>
      <c r="W39" s="41"/>
    </row>
    <row r="40" spans="3:24">
      <c r="C40" s="34"/>
      <c r="D40" s="281"/>
      <c r="E40" s="938"/>
      <c r="F40" s="828"/>
      <c r="G40" s="322"/>
      <c r="H40" s="319"/>
      <c r="I40" s="320"/>
      <c r="J40" s="7">
        <f t="shared" si="17"/>
        <v>0</v>
      </c>
      <c r="K40" s="7">
        <f t="shared" si="16"/>
        <v>0</v>
      </c>
      <c r="M40" s="7">
        <f t="shared" si="12"/>
        <v>0</v>
      </c>
      <c r="N40" s="8" t="s">
        <v>75</v>
      </c>
      <c r="O40" s="8" t="str">
        <f t="shared" si="18"/>
        <v>N/A</v>
      </c>
      <c r="P40" s="7">
        <f t="shared" si="19"/>
        <v>0</v>
      </c>
      <c r="Q40" s="7">
        <f t="shared" si="6"/>
        <v>0</v>
      </c>
      <c r="R40" s="7">
        <f t="shared" si="7"/>
        <v>0</v>
      </c>
      <c r="S40" s="7">
        <f t="shared" si="8"/>
        <v>0</v>
      </c>
    </row>
    <row r="41" spans="3:24">
      <c r="C41" s="34"/>
      <c r="D41" s="282"/>
      <c r="E41" s="938"/>
      <c r="F41" s="828"/>
      <c r="G41" s="322"/>
      <c r="H41" s="319"/>
      <c r="I41" s="320"/>
      <c r="J41" s="7">
        <f t="shared" si="17"/>
        <v>0</v>
      </c>
      <c r="K41" s="7">
        <f t="shared" si="16"/>
        <v>0</v>
      </c>
      <c r="M41" s="7">
        <f t="shared" si="12"/>
        <v>0</v>
      </c>
      <c r="N41" s="8" t="s">
        <v>75</v>
      </c>
      <c r="O41" s="8" t="str">
        <f t="shared" si="18"/>
        <v>N/A</v>
      </c>
      <c r="P41" s="7">
        <f t="shared" si="19"/>
        <v>0</v>
      </c>
      <c r="Q41" s="7">
        <f t="shared" si="6"/>
        <v>0</v>
      </c>
      <c r="R41" s="7">
        <f t="shared" si="7"/>
        <v>0</v>
      </c>
      <c r="S41" s="7">
        <f t="shared" si="8"/>
        <v>0</v>
      </c>
    </row>
    <row r="42" spans="3:24">
      <c r="C42" s="34"/>
      <c r="D42" s="282"/>
      <c r="E42" s="938"/>
      <c r="F42" s="828"/>
      <c r="G42" s="322"/>
      <c r="H42" s="319"/>
      <c r="I42" s="9"/>
      <c r="J42" s="7">
        <f t="shared" si="17"/>
        <v>0</v>
      </c>
      <c r="K42" s="7">
        <f t="shared" ref="K42" si="26">SUM(I42:J42)</f>
        <v>0</v>
      </c>
      <c r="M42" s="7">
        <f t="shared" ref="M42" si="27">I42*$M$5</f>
        <v>0</v>
      </c>
      <c r="N42" s="8" t="s">
        <v>75</v>
      </c>
      <c r="O42" s="8" t="str">
        <f t="shared" si="18"/>
        <v>N/A</v>
      </c>
      <c r="P42" s="7">
        <f t="shared" si="19"/>
        <v>0</v>
      </c>
      <c r="Q42" s="7">
        <f t="shared" si="6"/>
        <v>0</v>
      </c>
      <c r="R42" s="7">
        <f t="shared" si="7"/>
        <v>0</v>
      </c>
      <c r="S42" s="7">
        <f t="shared" si="8"/>
        <v>0</v>
      </c>
    </row>
    <row r="43" spans="3:24">
      <c r="C43" s="34"/>
      <c r="D43" s="282"/>
      <c r="E43" s="938"/>
      <c r="F43" s="828"/>
      <c r="G43" s="322"/>
      <c r="H43" s="319"/>
      <c r="I43" s="320"/>
      <c r="J43" s="7">
        <f t="shared" si="0"/>
        <v>0</v>
      </c>
      <c r="K43" s="7">
        <f t="shared" ref="K43:K53" si="28">SUM(I43:J43)</f>
        <v>0</v>
      </c>
      <c r="M43" s="7">
        <f t="shared" ref="M43:M53" si="29">I43*$M$5</f>
        <v>0</v>
      </c>
      <c r="N43" s="8" t="s">
        <v>75</v>
      </c>
      <c r="O43" s="8" t="str">
        <f t="shared" si="5"/>
        <v>N/A</v>
      </c>
      <c r="P43" s="7">
        <f t="shared" si="2"/>
        <v>0</v>
      </c>
      <c r="Q43" s="7">
        <f t="shared" si="6"/>
        <v>0</v>
      </c>
      <c r="R43" s="7">
        <f t="shared" si="7"/>
        <v>0</v>
      </c>
      <c r="S43" s="7">
        <f t="shared" si="8"/>
        <v>0</v>
      </c>
    </row>
    <row r="44" spans="3:24">
      <c r="C44" s="34"/>
      <c r="D44" s="282"/>
      <c r="E44" s="938"/>
      <c r="F44" s="828"/>
      <c r="G44" s="322"/>
      <c r="H44" s="319"/>
      <c r="I44" s="320"/>
      <c r="J44" s="7">
        <f t="shared" si="0"/>
        <v>0</v>
      </c>
      <c r="K44" s="7">
        <f t="shared" si="28"/>
        <v>0</v>
      </c>
      <c r="M44" s="7">
        <f t="shared" si="29"/>
        <v>0</v>
      </c>
      <c r="N44" s="8" t="s">
        <v>75</v>
      </c>
      <c r="O44" s="8" t="str">
        <f t="shared" si="5"/>
        <v>N/A</v>
      </c>
      <c r="P44" s="7">
        <f t="shared" si="2"/>
        <v>0</v>
      </c>
      <c r="Q44" s="7">
        <f t="shared" si="6"/>
        <v>0</v>
      </c>
      <c r="R44" s="7">
        <f t="shared" si="7"/>
        <v>0</v>
      </c>
      <c r="S44" s="7">
        <f t="shared" si="8"/>
        <v>0</v>
      </c>
    </row>
    <row r="45" spans="3:24">
      <c r="C45" s="34"/>
      <c r="D45" s="282"/>
      <c r="E45" s="938"/>
      <c r="F45" s="828"/>
      <c r="G45" s="322"/>
      <c r="H45" s="319"/>
      <c r="I45" s="320"/>
      <c r="J45" s="7">
        <f t="shared" si="0"/>
        <v>0</v>
      </c>
      <c r="K45" s="7">
        <f t="shared" si="28"/>
        <v>0</v>
      </c>
      <c r="L45" s="7"/>
      <c r="M45" s="7">
        <f t="shared" si="29"/>
        <v>0</v>
      </c>
      <c r="N45" s="8" t="s">
        <v>75</v>
      </c>
      <c r="O45" s="8" t="str">
        <f t="shared" si="5"/>
        <v>N/A</v>
      </c>
      <c r="P45" s="7">
        <f t="shared" si="2"/>
        <v>0</v>
      </c>
      <c r="Q45" s="7">
        <f t="shared" si="6"/>
        <v>0</v>
      </c>
      <c r="R45" s="7">
        <f t="shared" si="7"/>
        <v>0</v>
      </c>
      <c r="S45" s="7">
        <f t="shared" si="8"/>
        <v>0</v>
      </c>
    </row>
    <row r="46" spans="3:24">
      <c r="C46" s="34"/>
      <c r="D46" s="281"/>
      <c r="E46" s="938"/>
      <c r="F46" s="828"/>
      <c r="G46" s="322"/>
      <c r="H46" s="319"/>
      <c r="I46" s="320"/>
      <c r="J46" s="7">
        <f t="shared" si="0"/>
        <v>0</v>
      </c>
      <c r="K46" s="7">
        <f t="shared" si="28"/>
        <v>0</v>
      </c>
      <c r="M46" s="7">
        <f t="shared" si="29"/>
        <v>0</v>
      </c>
      <c r="N46" s="8" t="s">
        <v>75</v>
      </c>
      <c r="O46" s="8" t="str">
        <f t="shared" si="5"/>
        <v>N/A</v>
      </c>
      <c r="P46" s="7">
        <f t="shared" si="2"/>
        <v>0</v>
      </c>
      <c r="Q46" s="7">
        <f t="shared" si="6"/>
        <v>0</v>
      </c>
      <c r="R46" s="7">
        <f t="shared" si="7"/>
        <v>0</v>
      </c>
      <c r="S46" s="7">
        <f t="shared" si="8"/>
        <v>0</v>
      </c>
    </row>
    <row r="47" spans="3:24">
      <c r="C47" s="34"/>
      <c r="D47" s="282"/>
      <c r="E47" s="938"/>
      <c r="F47" s="828"/>
      <c r="G47" s="322"/>
      <c r="H47" s="319"/>
      <c r="I47" s="320"/>
      <c r="J47" s="7">
        <f t="shared" si="0"/>
        <v>0</v>
      </c>
      <c r="K47" s="7">
        <f t="shared" si="28"/>
        <v>0</v>
      </c>
      <c r="M47" s="7">
        <f t="shared" si="29"/>
        <v>0</v>
      </c>
      <c r="N47" s="8" t="s">
        <v>75</v>
      </c>
      <c r="O47" s="8" t="str">
        <f t="shared" si="5"/>
        <v>N/A</v>
      </c>
      <c r="P47" s="7">
        <f t="shared" si="2"/>
        <v>0</v>
      </c>
      <c r="Q47" s="7">
        <f t="shared" si="6"/>
        <v>0</v>
      </c>
      <c r="R47" s="7">
        <f t="shared" si="7"/>
        <v>0</v>
      </c>
      <c r="S47" s="7">
        <f t="shared" si="8"/>
        <v>0</v>
      </c>
    </row>
    <row r="48" spans="3:24">
      <c r="C48" s="34"/>
      <c r="D48" s="282"/>
      <c r="E48" s="938"/>
      <c r="F48" s="828"/>
      <c r="G48" s="322"/>
      <c r="H48" s="319"/>
      <c r="I48" s="320"/>
      <c r="J48" s="7">
        <f t="shared" si="0"/>
        <v>0</v>
      </c>
      <c r="K48" s="7">
        <f t="shared" si="28"/>
        <v>0</v>
      </c>
      <c r="M48" s="7">
        <f t="shared" si="29"/>
        <v>0</v>
      </c>
      <c r="N48" s="8" t="s">
        <v>75</v>
      </c>
      <c r="O48" s="8" t="str">
        <f t="shared" si="5"/>
        <v>N/A</v>
      </c>
      <c r="P48" s="7">
        <f t="shared" si="2"/>
        <v>0</v>
      </c>
      <c r="Q48" s="7">
        <f t="shared" si="6"/>
        <v>0</v>
      </c>
      <c r="R48" s="7">
        <f t="shared" si="7"/>
        <v>0</v>
      </c>
      <c r="S48" s="7">
        <f t="shared" si="8"/>
        <v>0</v>
      </c>
    </row>
    <row r="49" spans="3:24">
      <c r="C49" s="34"/>
      <c r="D49" s="282"/>
      <c r="E49" s="938"/>
      <c r="F49" s="828"/>
      <c r="G49" s="322"/>
      <c r="H49" s="319"/>
      <c r="I49" s="320"/>
      <c r="J49" s="7">
        <f t="shared" si="0"/>
        <v>0</v>
      </c>
      <c r="K49" s="7">
        <f t="shared" si="28"/>
        <v>0</v>
      </c>
      <c r="M49" s="7">
        <f t="shared" si="29"/>
        <v>0</v>
      </c>
      <c r="N49" s="8" t="s">
        <v>75</v>
      </c>
      <c r="O49" s="8" t="str">
        <f t="shared" si="5"/>
        <v>N/A</v>
      </c>
      <c r="P49" s="7">
        <f t="shared" si="2"/>
        <v>0</v>
      </c>
      <c r="Q49" s="7">
        <f t="shared" si="6"/>
        <v>0</v>
      </c>
      <c r="R49" s="7">
        <f t="shared" si="7"/>
        <v>0</v>
      </c>
      <c r="S49" s="7">
        <f t="shared" si="8"/>
        <v>0</v>
      </c>
    </row>
    <row r="50" spans="3:24">
      <c r="C50" s="34"/>
      <c r="D50" s="282"/>
      <c r="E50" s="938"/>
      <c r="F50" s="828"/>
      <c r="G50" s="322"/>
      <c r="H50" s="319"/>
      <c r="I50" s="320"/>
      <c r="J50" s="7">
        <f t="shared" si="0"/>
        <v>0</v>
      </c>
      <c r="K50" s="7">
        <f t="shared" si="28"/>
        <v>0</v>
      </c>
      <c r="L50" s="7"/>
      <c r="M50" s="7">
        <f t="shared" si="29"/>
        <v>0</v>
      </c>
      <c r="N50" s="8" t="s">
        <v>75</v>
      </c>
      <c r="O50" s="8" t="str">
        <f t="shared" si="5"/>
        <v>N/A</v>
      </c>
      <c r="P50" s="7">
        <f t="shared" si="2"/>
        <v>0</v>
      </c>
      <c r="Q50" s="7">
        <f t="shared" si="6"/>
        <v>0</v>
      </c>
      <c r="R50" s="7">
        <f t="shared" si="7"/>
        <v>0</v>
      </c>
      <c r="S50" s="7">
        <f t="shared" si="8"/>
        <v>0</v>
      </c>
    </row>
    <row r="51" spans="3:24">
      <c r="C51" s="34"/>
      <c r="D51" s="281"/>
      <c r="E51" s="938"/>
      <c r="F51" s="828"/>
      <c r="G51" s="322"/>
      <c r="H51" s="319"/>
      <c r="I51" s="320"/>
      <c r="J51" s="7">
        <f t="shared" si="0"/>
        <v>0</v>
      </c>
      <c r="K51" s="7">
        <f t="shared" si="28"/>
        <v>0</v>
      </c>
      <c r="M51" s="7">
        <f t="shared" si="29"/>
        <v>0</v>
      </c>
      <c r="N51" s="8" t="s">
        <v>75</v>
      </c>
      <c r="O51" s="8" t="str">
        <f t="shared" si="5"/>
        <v>N/A</v>
      </c>
      <c r="P51" s="7">
        <f t="shared" si="2"/>
        <v>0</v>
      </c>
      <c r="Q51" s="7">
        <f t="shared" si="6"/>
        <v>0</v>
      </c>
      <c r="R51" s="7">
        <f t="shared" si="7"/>
        <v>0</v>
      </c>
      <c r="S51" s="7">
        <f t="shared" si="8"/>
        <v>0</v>
      </c>
    </row>
    <row r="52" spans="3:24">
      <c r="C52" s="34"/>
      <c r="D52" s="282"/>
      <c r="E52" s="938"/>
      <c r="F52" s="828"/>
      <c r="G52" s="322"/>
      <c r="H52" s="319"/>
      <c r="I52" s="320"/>
      <c r="J52" s="7">
        <f t="shared" si="0"/>
        <v>0</v>
      </c>
      <c r="K52" s="7">
        <f t="shared" si="28"/>
        <v>0</v>
      </c>
      <c r="M52" s="7">
        <f t="shared" si="29"/>
        <v>0</v>
      </c>
      <c r="N52" s="8" t="s">
        <v>75</v>
      </c>
      <c r="O52" s="8" t="str">
        <f t="shared" si="5"/>
        <v>N/A</v>
      </c>
      <c r="P52" s="7">
        <f t="shared" si="2"/>
        <v>0</v>
      </c>
      <c r="Q52" s="7">
        <f t="shared" si="6"/>
        <v>0</v>
      </c>
      <c r="R52" s="7">
        <f t="shared" si="7"/>
        <v>0</v>
      </c>
      <c r="S52" s="7">
        <f t="shared" si="8"/>
        <v>0</v>
      </c>
    </row>
    <row r="53" spans="3:24">
      <c r="C53" s="34"/>
      <c r="D53" s="282"/>
      <c r="E53" s="938"/>
      <c r="F53" s="828"/>
      <c r="G53" s="322"/>
      <c r="H53" s="319"/>
      <c r="I53" s="320"/>
      <c r="J53" s="7">
        <f t="shared" si="0"/>
        <v>0</v>
      </c>
      <c r="K53" s="7">
        <f t="shared" si="28"/>
        <v>0</v>
      </c>
      <c r="M53" s="7">
        <f t="shared" si="29"/>
        <v>0</v>
      </c>
      <c r="N53" s="8" t="s">
        <v>75</v>
      </c>
      <c r="O53" s="8" t="str">
        <f t="shared" si="5"/>
        <v>N/A</v>
      </c>
      <c r="P53" s="7">
        <f t="shared" si="2"/>
        <v>0</v>
      </c>
      <c r="Q53" s="7">
        <f t="shared" si="6"/>
        <v>0</v>
      </c>
      <c r="R53" s="7">
        <f t="shared" si="7"/>
        <v>0</v>
      </c>
      <c r="S53" s="7">
        <f t="shared" si="8"/>
        <v>0</v>
      </c>
    </row>
    <row r="54" spans="3:24">
      <c r="C54" s="34"/>
      <c r="D54" s="282"/>
      <c r="E54" s="938"/>
      <c r="F54" s="828"/>
      <c r="G54" s="322"/>
      <c r="H54" s="319"/>
      <c r="I54" s="320"/>
      <c r="J54" s="7">
        <f t="shared" si="0"/>
        <v>0</v>
      </c>
      <c r="K54" s="7">
        <f t="shared" ref="K54:K57" si="30">SUM(I54:J54)</f>
        <v>0</v>
      </c>
      <c r="M54" s="7">
        <f t="shared" ref="M54:M57" si="31">I54*$M$5</f>
        <v>0</v>
      </c>
      <c r="N54" s="8" t="s">
        <v>75</v>
      </c>
      <c r="O54" s="8" t="str">
        <f t="shared" si="5"/>
        <v>N/A</v>
      </c>
      <c r="P54" s="7">
        <f t="shared" si="2"/>
        <v>0</v>
      </c>
      <c r="Q54" s="7">
        <f t="shared" si="6"/>
        <v>0</v>
      </c>
      <c r="R54" s="7">
        <f t="shared" si="7"/>
        <v>0</v>
      </c>
      <c r="S54" s="7">
        <f t="shared" si="8"/>
        <v>0</v>
      </c>
    </row>
    <row r="55" spans="3:24">
      <c r="C55" s="34"/>
      <c r="D55" s="282"/>
      <c r="E55" s="938"/>
      <c r="F55" s="828"/>
      <c r="G55" s="322"/>
      <c r="H55" s="319"/>
      <c r="I55" s="320"/>
      <c r="J55" s="7">
        <f t="shared" si="0"/>
        <v>0</v>
      </c>
      <c r="K55" s="7">
        <f t="shared" si="30"/>
        <v>0</v>
      </c>
      <c r="M55" s="7">
        <f t="shared" si="31"/>
        <v>0</v>
      </c>
      <c r="N55" s="8" t="s">
        <v>75</v>
      </c>
      <c r="O55" s="8" t="str">
        <f t="shared" si="5"/>
        <v>N/A</v>
      </c>
      <c r="P55" s="7">
        <f t="shared" si="2"/>
        <v>0</v>
      </c>
      <c r="Q55" s="7">
        <f t="shared" si="6"/>
        <v>0</v>
      </c>
      <c r="R55" s="7">
        <f t="shared" si="7"/>
        <v>0</v>
      </c>
      <c r="S55" s="7">
        <f t="shared" si="8"/>
        <v>0</v>
      </c>
    </row>
    <row r="56" spans="3:24">
      <c r="C56" s="34"/>
      <c r="D56" s="282"/>
      <c r="E56" s="938"/>
      <c r="F56" s="828"/>
      <c r="G56" s="322"/>
      <c r="H56" s="319"/>
      <c r="I56" s="320"/>
      <c r="J56" s="7">
        <f t="shared" si="0"/>
        <v>0</v>
      </c>
      <c r="K56" s="7">
        <f t="shared" si="30"/>
        <v>0</v>
      </c>
      <c r="L56" s="7"/>
      <c r="M56" s="7">
        <f t="shared" si="31"/>
        <v>0</v>
      </c>
      <c r="N56" s="8" t="s">
        <v>75</v>
      </c>
      <c r="O56" s="8" t="str">
        <f t="shared" si="5"/>
        <v>N/A</v>
      </c>
      <c r="P56" s="7">
        <f t="shared" si="2"/>
        <v>0</v>
      </c>
      <c r="Q56" s="7">
        <f t="shared" si="6"/>
        <v>0</v>
      </c>
      <c r="R56" s="7">
        <f t="shared" si="7"/>
        <v>0</v>
      </c>
      <c r="S56" s="7">
        <f t="shared" si="8"/>
        <v>0</v>
      </c>
      <c r="W56" s="41"/>
    </row>
    <row r="57" spans="3:24">
      <c r="C57" s="34"/>
      <c r="D57" s="281"/>
      <c r="E57" s="938"/>
      <c r="F57" s="828"/>
      <c r="G57" s="322"/>
      <c r="H57" s="319"/>
      <c r="I57" s="320"/>
      <c r="J57" s="7">
        <f t="shared" si="0"/>
        <v>0</v>
      </c>
      <c r="K57" s="7">
        <f t="shared" si="30"/>
        <v>0</v>
      </c>
      <c r="M57" s="7">
        <f t="shared" si="31"/>
        <v>0</v>
      </c>
      <c r="N57" s="8" t="s">
        <v>75</v>
      </c>
      <c r="O57" s="8" t="str">
        <f t="shared" si="5"/>
        <v>N/A</v>
      </c>
      <c r="P57" s="7">
        <f t="shared" si="2"/>
        <v>0</v>
      </c>
      <c r="Q57" s="7">
        <f t="shared" si="6"/>
        <v>0</v>
      </c>
      <c r="R57" s="7">
        <f t="shared" si="7"/>
        <v>0</v>
      </c>
      <c r="S57" s="7">
        <f t="shared" si="8"/>
        <v>0</v>
      </c>
    </row>
    <row r="58" spans="3:24">
      <c r="C58" s="34"/>
      <c r="D58" s="282"/>
      <c r="E58" s="938"/>
      <c r="F58" s="828"/>
      <c r="G58" s="322"/>
      <c r="H58" s="319"/>
      <c r="I58" s="320"/>
      <c r="J58" s="7">
        <f t="shared" si="0"/>
        <v>0</v>
      </c>
      <c r="K58" s="7">
        <f t="shared" ref="K58" si="32">SUM(I58:J58)</f>
        <v>0</v>
      </c>
      <c r="M58" s="7">
        <f t="shared" ref="M58" si="33">I58*$M$5</f>
        <v>0</v>
      </c>
      <c r="N58" s="8" t="s">
        <v>75</v>
      </c>
      <c r="O58" s="8" t="str">
        <f t="shared" si="5"/>
        <v>N/A</v>
      </c>
      <c r="P58" s="7">
        <f t="shared" ref="P58" si="34">I58*$P$5</f>
        <v>0</v>
      </c>
      <c r="Q58" s="7">
        <f t="shared" si="6"/>
        <v>0</v>
      </c>
      <c r="R58" s="7">
        <f t="shared" si="7"/>
        <v>0</v>
      </c>
      <c r="S58" s="7">
        <f t="shared" si="8"/>
        <v>0</v>
      </c>
    </row>
    <row r="59" spans="3:24">
      <c r="C59" s="34"/>
      <c r="D59" s="282"/>
      <c r="E59" s="938"/>
      <c r="F59" s="828"/>
      <c r="G59" s="322"/>
      <c r="H59" s="319"/>
      <c r="I59" s="9"/>
      <c r="J59" s="7">
        <f t="shared" si="0"/>
        <v>0</v>
      </c>
      <c r="K59" s="7">
        <f t="shared" si="16"/>
        <v>0</v>
      </c>
      <c r="M59" s="7">
        <f t="shared" si="12"/>
        <v>0</v>
      </c>
      <c r="N59" s="8" t="s">
        <v>75</v>
      </c>
      <c r="O59" s="8" t="str">
        <f t="shared" si="5"/>
        <v>N/A</v>
      </c>
      <c r="P59" s="7">
        <f t="shared" si="2"/>
        <v>0</v>
      </c>
      <c r="Q59" s="7">
        <f t="shared" si="6"/>
        <v>0</v>
      </c>
      <c r="R59" s="7">
        <f t="shared" si="7"/>
        <v>0</v>
      </c>
      <c r="S59" s="7">
        <f t="shared" si="8"/>
        <v>0</v>
      </c>
    </row>
    <row r="60" spans="3:24" ht="12" thickBot="1">
      <c r="C60" s="34"/>
      <c r="D60" s="331"/>
      <c r="E60" s="939"/>
      <c r="F60" s="833"/>
      <c r="G60" s="28"/>
      <c r="H60" s="8"/>
      <c r="I60" s="5"/>
      <c r="J60" s="7"/>
      <c r="K60" s="7"/>
      <c r="M60" s="7"/>
      <c r="N60" s="8"/>
      <c r="O60" s="8"/>
      <c r="P60" s="7"/>
      <c r="Q60" s="7"/>
      <c r="R60" s="7"/>
      <c r="S60" s="7"/>
    </row>
    <row r="61" spans="3:24" s="41" customFormat="1" ht="12" thickBot="1">
      <c r="C61" s="177"/>
      <c r="D61" s="332"/>
      <c r="E61" s="940"/>
      <c r="F61" s="834"/>
      <c r="G61" s="49"/>
      <c r="H61" s="333">
        <v>1100</v>
      </c>
      <c r="I61" s="10">
        <f>SUM(I7:I60)</f>
        <v>7534409.2800000012</v>
      </c>
      <c r="J61" s="10">
        <f>SUM(J7:J60)</f>
        <v>2465264.6513600009</v>
      </c>
      <c r="K61" s="10">
        <f>SUM(K7:K60)</f>
        <v>9999673.9313600026</v>
      </c>
      <c r="L61" s="11"/>
      <c r="M61" s="10">
        <f t="shared" ref="M61:S61" si="35">SUM(M7:M60)</f>
        <v>1288383.9868800002</v>
      </c>
      <c r="N61" s="10">
        <f t="shared" si="35"/>
        <v>0</v>
      </c>
      <c r="O61" s="10">
        <f t="shared" si="35"/>
        <v>0</v>
      </c>
      <c r="P61" s="10">
        <f t="shared" si="35"/>
        <v>109248.93455999999</v>
      </c>
      <c r="Q61" s="10">
        <f t="shared" si="35"/>
        <v>896000</v>
      </c>
      <c r="R61" s="10">
        <f t="shared" si="35"/>
        <v>66150.000000000015</v>
      </c>
      <c r="S61" s="10">
        <f t="shared" si="35"/>
        <v>105481.72991999998</v>
      </c>
      <c r="V61" s="1029"/>
      <c r="W61" s="1029"/>
      <c r="X61" s="27"/>
    </row>
    <row r="62" spans="3:24" ht="12">
      <c r="C62" s="368" t="s">
        <v>143</v>
      </c>
      <c r="D62" s="334"/>
      <c r="E62" s="941"/>
      <c r="F62" s="835"/>
      <c r="G62" s="28"/>
      <c r="H62" s="35"/>
      <c r="I62" s="7"/>
      <c r="J62" s="7"/>
      <c r="K62" s="7"/>
      <c r="L62" s="7"/>
      <c r="M62" s="36"/>
      <c r="N62" s="36"/>
      <c r="O62" s="36"/>
      <c r="P62" s="36"/>
      <c r="Q62" s="36"/>
      <c r="R62" s="36"/>
      <c r="S62" s="36"/>
    </row>
    <row r="63" spans="3:24">
      <c r="C63" s="37"/>
      <c r="D63" s="285"/>
      <c r="E63" s="942"/>
      <c r="F63" s="836"/>
      <c r="G63" s="322"/>
      <c r="H63" s="319"/>
      <c r="I63" s="320"/>
      <c r="J63" s="7">
        <f>SUM(M63:S63)</f>
        <v>0</v>
      </c>
      <c r="K63" s="7">
        <f>J63+I63</f>
        <v>0</v>
      </c>
      <c r="L63" s="7"/>
      <c r="M63" s="7">
        <f t="shared" ref="M63" si="36">I63*$M$5</f>
        <v>0</v>
      </c>
      <c r="N63" s="8" t="s">
        <v>75</v>
      </c>
      <c r="O63" s="8" t="str">
        <f>IF($M$5&gt;0,"N/A",$O$5*I63)</f>
        <v>N/A</v>
      </c>
      <c r="P63" s="7">
        <f>I63*$P$5</f>
        <v>0</v>
      </c>
      <c r="Q63" s="7">
        <f t="shared" ref="Q63" si="37">IF(H63="y", $Q$5*E63, 0)</f>
        <v>0</v>
      </c>
      <c r="R63" s="7">
        <f t="shared" ref="R63" si="38">IF($I63&gt;7000,7000*R$5,$I63*R$5)*E63</f>
        <v>0</v>
      </c>
      <c r="S63" s="7">
        <f t="shared" ref="S63" si="39">S$5*$I63</f>
        <v>0</v>
      </c>
    </row>
    <row r="64" spans="3:24" ht="12" thickBot="1">
      <c r="C64" s="37"/>
      <c r="D64" s="334"/>
      <c r="E64" s="941"/>
      <c r="F64" s="835"/>
      <c r="G64" s="28"/>
      <c r="H64" s="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s="41" customFormat="1" ht="12" thickBot="1">
      <c r="C65" s="177"/>
      <c r="D65" s="334"/>
      <c r="E65" s="941"/>
      <c r="F65" s="835"/>
      <c r="G65" s="49"/>
      <c r="H65" s="333">
        <v>1170</v>
      </c>
      <c r="I65" s="10">
        <f>SUM(I62:I64)</f>
        <v>0</v>
      </c>
      <c r="J65" s="10">
        <f>SUM(J62:J64)</f>
        <v>0</v>
      </c>
      <c r="K65" s="10">
        <f>SUM(K62:K64)</f>
        <v>0</v>
      </c>
      <c r="L65" s="11"/>
      <c r="M65" s="10">
        <f t="shared" ref="M65:S65" si="40">SUM(M62:M64)</f>
        <v>0</v>
      </c>
      <c r="N65" s="10">
        <f t="shared" si="40"/>
        <v>0</v>
      </c>
      <c r="O65" s="10">
        <f t="shared" si="40"/>
        <v>0</v>
      </c>
      <c r="P65" s="10">
        <f t="shared" si="40"/>
        <v>0</v>
      </c>
      <c r="Q65" s="10">
        <f t="shared" si="40"/>
        <v>0</v>
      </c>
      <c r="R65" s="10">
        <f t="shared" si="40"/>
        <v>0</v>
      </c>
      <c r="S65" s="10">
        <f t="shared" si="40"/>
        <v>0</v>
      </c>
    </row>
    <row r="66" spans="3:19" s="41" customFormat="1">
      <c r="C66" s="177"/>
      <c r="D66" s="332"/>
      <c r="E66" s="940"/>
      <c r="F66" s="834"/>
      <c r="G66" s="49"/>
      <c r="H66" s="33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3:19" ht="12">
      <c r="C67" s="368" t="s">
        <v>125</v>
      </c>
      <c r="D67" s="334"/>
      <c r="E67" s="941"/>
      <c r="F67" s="835"/>
      <c r="G67" s="28"/>
      <c r="H67" s="35"/>
      <c r="I67" s="7"/>
      <c r="J67" s="7"/>
      <c r="K67" s="7"/>
      <c r="L67" s="7"/>
      <c r="M67" s="36"/>
      <c r="N67" s="36"/>
      <c r="O67" s="36"/>
      <c r="P67" s="36"/>
      <c r="Q67" s="36"/>
      <c r="R67" s="36"/>
      <c r="S67" s="36"/>
    </row>
    <row r="68" spans="3:19">
      <c r="C68" s="431"/>
      <c r="D68" s="428"/>
      <c r="E68" s="428"/>
      <c r="F68" s="837"/>
      <c r="G68" s="322">
        <v>12</v>
      </c>
      <c r="H68" s="319"/>
      <c r="I68" s="320">
        <f>I61*'Revenue Inputs'!N30</f>
        <v>753440.92800000019</v>
      </c>
      <c r="J68" s="7">
        <f>SUM(M68:S68)</f>
        <v>150311.46513600004</v>
      </c>
      <c r="K68" s="7">
        <f>J68+I68</f>
        <v>903752.39313600026</v>
      </c>
      <c r="L68" s="7"/>
      <c r="M68" s="7">
        <f t="shared" ref="M68" si="41">I68*$M$5</f>
        <v>128838.39868800004</v>
      </c>
      <c r="N68" s="8" t="s">
        <v>75</v>
      </c>
      <c r="O68" s="8" t="str">
        <f>IF($M$5&gt;0,"N/A",$O$5*I68)</f>
        <v>N/A</v>
      </c>
      <c r="P68" s="7">
        <f>I68*$P$5</f>
        <v>10924.893456000003</v>
      </c>
      <c r="Q68" s="7">
        <f t="shared" ref="Q68:Q74" si="42">IF(H68="y", $Q$5*E68, 0)</f>
        <v>0</v>
      </c>
      <c r="R68" s="7">
        <f t="shared" ref="R68:R74" si="43">IF($I68&gt;7000,7000*R$5,$I68*R$5)*E68</f>
        <v>0</v>
      </c>
      <c r="S68" s="7">
        <f t="shared" ref="S68:S74" si="44">S$5*$I68</f>
        <v>10548.172992000003</v>
      </c>
    </row>
    <row r="69" spans="3:19">
      <c r="C69" s="431"/>
      <c r="D69" s="430"/>
      <c r="E69" s="430"/>
      <c r="F69" s="836"/>
      <c r="G69" s="322"/>
      <c r="H69" s="319"/>
      <c r="I69" s="320"/>
      <c r="J69" s="7">
        <f>SUM(M69:S69)</f>
        <v>0</v>
      </c>
      <c r="K69" s="7">
        <f>J69+I69</f>
        <v>0</v>
      </c>
      <c r="L69" s="7"/>
      <c r="M69" s="7">
        <f t="shared" ref="M69:M70" si="45">I69*$M$5</f>
        <v>0</v>
      </c>
      <c r="N69" s="8" t="s">
        <v>75</v>
      </c>
      <c r="O69" s="8" t="str">
        <f>IF($M$5&gt;0,"N/A",$O$5*I69)</f>
        <v>N/A</v>
      </c>
      <c r="P69" s="7">
        <f>I69*$P$5</f>
        <v>0</v>
      </c>
      <c r="Q69" s="7">
        <f t="shared" si="42"/>
        <v>0</v>
      </c>
      <c r="R69" s="7">
        <f t="shared" si="43"/>
        <v>0</v>
      </c>
      <c r="S69" s="7">
        <f t="shared" si="44"/>
        <v>0</v>
      </c>
    </row>
    <row r="70" spans="3:19">
      <c r="C70" s="431"/>
      <c r="D70" s="430"/>
      <c r="E70" s="430"/>
      <c r="F70" s="836"/>
      <c r="G70" s="322"/>
      <c r="H70" s="319"/>
      <c r="I70" s="320"/>
      <c r="J70" s="7">
        <f t="shared" ref="J70:J74" si="46">SUM(M70:S70)</f>
        <v>0</v>
      </c>
      <c r="K70" s="7">
        <f t="shared" ref="K70:K74" si="47">J70+I70</f>
        <v>0</v>
      </c>
      <c r="L70" s="7"/>
      <c r="M70" s="7">
        <f t="shared" si="45"/>
        <v>0</v>
      </c>
      <c r="N70" s="8" t="s">
        <v>75</v>
      </c>
      <c r="O70" s="8" t="str">
        <f t="shared" ref="O70:O74" si="48">IF($M$5&gt;0,"N/A",$O$5*I70)</f>
        <v>N/A</v>
      </c>
      <c r="P70" s="7">
        <f t="shared" ref="P70:P74" si="49">I70*$P$5</f>
        <v>0</v>
      </c>
      <c r="Q70" s="7">
        <f t="shared" si="42"/>
        <v>0</v>
      </c>
      <c r="R70" s="7">
        <f t="shared" si="43"/>
        <v>0</v>
      </c>
      <c r="S70" s="7">
        <f t="shared" si="44"/>
        <v>0</v>
      </c>
    </row>
    <row r="71" spans="3:19">
      <c r="C71" s="431"/>
      <c r="D71" s="428"/>
      <c r="E71" s="428"/>
      <c r="F71" s="837"/>
      <c r="G71" s="322"/>
      <c r="H71" s="429"/>
      <c r="I71" s="320"/>
      <c r="J71" s="7">
        <f t="shared" si="46"/>
        <v>0</v>
      </c>
      <c r="K71" s="7">
        <f t="shared" si="47"/>
        <v>0</v>
      </c>
      <c r="L71" s="7"/>
      <c r="M71" s="7">
        <f t="shared" ref="M71:M74" si="50">I71*$M$5</f>
        <v>0</v>
      </c>
      <c r="N71" s="8" t="s">
        <v>75</v>
      </c>
      <c r="O71" s="8" t="str">
        <f t="shared" si="48"/>
        <v>N/A</v>
      </c>
      <c r="P71" s="7">
        <f t="shared" si="49"/>
        <v>0</v>
      </c>
      <c r="Q71" s="7">
        <f t="shared" si="42"/>
        <v>0</v>
      </c>
      <c r="R71" s="7">
        <f t="shared" si="43"/>
        <v>0</v>
      </c>
      <c r="S71" s="7">
        <f t="shared" si="44"/>
        <v>0</v>
      </c>
    </row>
    <row r="72" spans="3:19">
      <c r="C72" s="431"/>
      <c r="D72" s="430"/>
      <c r="E72" s="430"/>
      <c r="F72" s="838"/>
      <c r="G72" s="322"/>
      <c r="H72" s="319"/>
      <c r="I72" s="320"/>
      <c r="J72" s="7">
        <f t="shared" si="46"/>
        <v>0</v>
      </c>
      <c r="K72" s="7">
        <f t="shared" si="47"/>
        <v>0</v>
      </c>
      <c r="L72" s="7"/>
      <c r="M72" s="7">
        <f t="shared" si="50"/>
        <v>0</v>
      </c>
      <c r="N72" s="8" t="s">
        <v>75</v>
      </c>
      <c r="O72" s="8" t="str">
        <f t="shared" si="48"/>
        <v>N/A</v>
      </c>
      <c r="P72" s="7">
        <f t="shared" si="49"/>
        <v>0</v>
      </c>
      <c r="Q72" s="7">
        <f t="shared" si="42"/>
        <v>0</v>
      </c>
      <c r="R72" s="7">
        <f t="shared" si="43"/>
        <v>0</v>
      </c>
      <c r="S72" s="7">
        <f t="shared" si="44"/>
        <v>0</v>
      </c>
    </row>
    <row r="73" spans="3:19">
      <c r="C73" s="431"/>
      <c r="D73" s="430"/>
      <c r="E73" s="430"/>
      <c r="F73" s="838"/>
      <c r="G73" s="322"/>
      <c r="H73" s="319"/>
      <c r="I73" s="320"/>
      <c r="J73" s="7">
        <f t="shared" si="46"/>
        <v>0</v>
      </c>
      <c r="K73" s="7">
        <f t="shared" si="47"/>
        <v>0</v>
      </c>
      <c r="L73" s="7"/>
      <c r="M73" s="7">
        <f t="shared" si="50"/>
        <v>0</v>
      </c>
      <c r="N73" s="8" t="s">
        <v>75</v>
      </c>
      <c r="O73" s="8" t="str">
        <f t="shared" si="48"/>
        <v>N/A</v>
      </c>
      <c r="P73" s="7">
        <f t="shared" si="49"/>
        <v>0</v>
      </c>
      <c r="Q73" s="7">
        <f t="shared" si="42"/>
        <v>0</v>
      </c>
      <c r="R73" s="7">
        <f t="shared" si="43"/>
        <v>0</v>
      </c>
      <c r="S73" s="7">
        <f t="shared" si="44"/>
        <v>0</v>
      </c>
    </row>
    <row r="74" spans="3:19">
      <c r="C74" s="431"/>
      <c r="D74" s="285"/>
      <c r="E74" s="942"/>
      <c r="F74" s="836"/>
      <c r="G74" s="322"/>
      <c r="H74" s="429"/>
      <c r="I74" s="320"/>
      <c r="J74" s="7">
        <f t="shared" si="46"/>
        <v>0</v>
      </c>
      <c r="K74" s="7">
        <f t="shared" si="47"/>
        <v>0</v>
      </c>
      <c r="L74" s="7"/>
      <c r="M74" s="7">
        <f t="shared" si="50"/>
        <v>0</v>
      </c>
      <c r="N74" s="8" t="s">
        <v>75</v>
      </c>
      <c r="O74" s="8" t="str">
        <f t="shared" si="48"/>
        <v>N/A</v>
      </c>
      <c r="P74" s="7">
        <f t="shared" si="49"/>
        <v>0</v>
      </c>
      <c r="Q74" s="7">
        <f t="shared" si="42"/>
        <v>0</v>
      </c>
      <c r="R74" s="7">
        <f t="shared" si="43"/>
        <v>0</v>
      </c>
      <c r="S74" s="7">
        <f t="shared" si="44"/>
        <v>0</v>
      </c>
    </row>
    <row r="75" spans="3:19" ht="12" thickBot="1">
      <c r="C75" s="37"/>
      <c r="D75" s="38"/>
      <c r="E75" s="39"/>
      <c r="F75" s="835"/>
      <c r="G75" s="28"/>
      <c r="H75" s="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s="41" customFormat="1" ht="12" thickBot="1">
      <c r="C76" s="177"/>
      <c r="D76" s="332"/>
      <c r="E76" s="940"/>
      <c r="F76" s="834"/>
      <c r="G76" s="49"/>
      <c r="H76" s="333">
        <v>1175</v>
      </c>
      <c r="I76" s="10">
        <f>SUM(I67:I75)</f>
        <v>753440.92800000019</v>
      </c>
      <c r="J76" s="10">
        <f>SUM(J67:J75)</f>
        <v>150311.46513600004</v>
      </c>
      <c r="K76" s="10">
        <f>SUM(K67:K75)</f>
        <v>903752.39313600026</v>
      </c>
      <c r="L76" s="11"/>
      <c r="M76" s="10">
        <f t="shared" ref="M76:S76" si="51">SUM(M67:M75)</f>
        <v>128838.39868800004</v>
      </c>
      <c r="N76" s="10">
        <f t="shared" si="51"/>
        <v>0</v>
      </c>
      <c r="O76" s="10">
        <f t="shared" si="51"/>
        <v>0</v>
      </c>
      <c r="P76" s="10">
        <f t="shared" si="51"/>
        <v>10924.893456000003</v>
      </c>
      <c r="Q76" s="10">
        <f t="shared" si="51"/>
        <v>0</v>
      </c>
      <c r="R76" s="10">
        <f t="shared" si="51"/>
        <v>0</v>
      </c>
      <c r="S76" s="10">
        <f t="shared" si="51"/>
        <v>10548.172992000003</v>
      </c>
    </row>
    <row r="77" spans="3:19" ht="12">
      <c r="C77" s="366" t="s">
        <v>145</v>
      </c>
      <c r="D77" s="334"/>
      <c r="E77" s="941"/>
      <c r="F77" s="835"/>
      <c r="G77" s="28"/>
      <c r="H77" s="336"/>
      <c r="I77" s="7"/>
      <c r="J77" s="7"/>
      <c r="K77" s="7"/>
      <c r="L77" s="7"/>
      <c r="M77" s="12"/>
      <c r="N77" s="12"/>
      <c r="O77" s="12"/>
      <c r="P77" s="12"/>
      <c r="Q77" s="12"/>
      <c r="R77" s="12"/>
      <c r="S77" s="12"/>
    </row>
    <row r="78" spans="3:19" ht="12">
      <c r="C78" s="367"/>
      <c r="D78" s="282" t="s">
        <v>621</v>
      </c>
      <c r="E78" s="927"/>
      <c r="F78" s="839"/>
      <c r="G78" s="322"/>
      <c r="H78" s="319"/>
      <c r="I78" s="320"/>
      <c r="J78" s="7">
        <f t="shared" ref="J78:J98" si="52">SUM(M78:S78)</f>
        <v>0</v>
      </c>
      <c r="K78" s="7">
        <f t="shared" ref="K78:K93" si="53">SUM(I78:J78)</f>
        <v>0</v>
      </c>
      <c r="L78" s="7"/>
      <c r="M78" s="7">
        <f t="shared" ref="M78:M93" si="54">I78*$M$5</f>
        <v>0</v>
      </c>
      <c r="N78" s="8" t="s">
        <v>75</v>
      </c>
      <c r="O78" s="8" t="str">
        <f t="shared" ref="O78:O93" si="55">IF($M$5&gt;0,"N/A",$O$5*I78)</f>
        <v>N/A</v>
      </c>
      <c r="P78" s="7">
        <f t="shared" ref="P78:P98" si="56">I78*$P$5</f>
        <v>0</v>
      </c>
      <c r="Q78" s="7">
        <f t="shared" ref="Q78:Q98" si="57">IF(H78="y", $Q$5*E78, 0)</f>
        <v>0</v>
      </c>
      <c r="R78" s="7">
        <f t="shared" ref="R78:R98" si="58">IF($I78&gt;7000,7000*R$5,$I78*R$5)*E78</f>
        <v>0</v>
      </c>
      <c r="S78" s="7">
        <f t="shared" ref="S78:S98" si="59">S$5*$I78</f>
        <v>0</v>
      </c>
    </row>
    <row r="79" spans="3:19">
      <c r="C79" s="34"/>
      <c r="D79" s="282" t="s">
        <v>792</v>
      </c>
      <c r="E79" s="943">
        <v>1</v>
      </c>
      <c r="F79" s="840">
        <v>58249.919999999998</v>
      </c>
      <c r="G79" s="322">
        <v>12</v>
      </c>
      <c r="H79" s="319" t="s">
        <v>529</v>
      </c>
      <c r="I79" s="320">
        <f t="shared" ref="I79:I83" si="60">+F79*E79</f>
        <v>58249.919999999998</v>
      </c>
      <c r="J79" s="7">
        <f>SUM(M79:S79)</f>
        <v>19110.859039999999</v>
      </c>
      <c r="K79" s="7">
        <f>SUM(I79:J79)</f>
        <v>77360.779039999994</v>
      </c>
      <c r="M79" s="7">
        <f>I79*$M$5</f>
        <v>9960.73632</v>
      </c>
      <c r="N79" s="8" t="s">
        <v>75</v>
      </c>
      <c r="O79" s="8" t="str">
        <f>IF($M$5&gt;0,"N/A",$O$5*I79)</f>
        <v>N/A</v>
      </c>
      <c r="P79" s="7">
        <f>I79*$P$5</f>
        <v>844.62383999999997</v>
      </c>
      <c r="Q79" s="7">
        <f t="shared" si="57"/>
        <v>7000</v>
      </c>
      <c r="R79" s="7">
        <f t="shared" si="58"/>
        <v>490.00000000000006</v>
      </c>
      <c r="S79" s="7">
        <f>S$5*$I79</f>
        <v>815.49887999999999</v>
      </c>
    </row>
    <row r="80" spans="3:19" ht="12">
      <c r="C80" s="367"/>
      <c r="D80" s="281" t="s">
        <v>793</v>
      </c>
      <c r="E80" s="927"/>
      <c r="F80" s="839"/>
      <c r="G80" s="322"/>
      <c r="H80" s="319"/>
      <c r="I80" s="320"/>
      <c r="J80" s="7">
        <f t="shared" ref="J80:J88" si="61">SUM(M80:S80)</f>
        <v>0</v>
      </c>
      <c r="K80" s="7">
        <f t="shared" ref="K80:K83" si="62">SUM(I80:J80)</f>
        <v>0</v>
      </c>
      <c r="L80" s="7"/>
      <c r="M80" s="7">
        <f t="shared" ref="M80:M88" si="63">I80*$M$5</f>
        <v>0</v>
      </c>
      <c r="N80" s="8" t="s">
        <v>75</v>
      </c>
      <c r="O80" s="8" t="str">
        <f t="shared" ref="O80:O88" si="64">IF($M$5&gt;0,"N/A",$O$5*I80)</f>
        <v>N/A</v>
      </c>
      <c r="P80" s="7">
        <f t="shared" ref="P80:P88" si="65">I80*$P$5</f>
        <v>0</v>
      </c>
      <c r="Q80" s="7">
        <f t="shared" si="57"/>
        <v>0</v>
      </c>
      <c r="R80" s="7">
        <f t="shared" si="58"/>
        <v>0</v>
      </c>
      <c r="S80" s="7">
        <f t="shared" si="59"/>
        <v>0</v>
      </c>
    </row>
    <row r="81" spans="3:19" ht="12">
      <c r="C81" s="367"/>
      <c r="D81" s="281" t="s">
        <v>794</v>
      </c>
      <c r="E81" s="943">
        <v>1</v>
      </c>
      <c r="F81" s="839">
        <v>16856.28</v>
      </c>
      <c r="G81" s="322">
        <v>12</v>
      </c>
      <c r="H81" s="319" t="s">
        <v>529</v>
      </c>
      <c r="I81" s="320">
        <f t="shared" si="60"/>
        <v>16856.28</v>
      </c>
      <c r="J81" s="7">
        <f t="shared" si="61"/>
        <v>10852.827859999999</v>
      </c>
      <c r="K81" s="7">
        <f t="shared" si="62"/>
        <v>27709.107859999996</v>
      </c>
      <c r="L81" s="7"/>
      <c r="M81" s="7">
        <f t="shared" si="63"/>
        <v>2882.4238799999998</v>
      </c>
      <c r="N81" s="8" t="s">
        <v>75</v>
      </c>
      <c r="O81" s="8" t="str">
        <f t="shared" si="64"/>
        <v>N/A</v>
      </c>
      <c r="P81" s="7">
        <f t="shared" si="65"/>
        <v>244.41605999999999</v>
      </c>
      <c r="Q81" s="7">
        <f t="shared" si="57"/>
        <v>7000</v>
      </c>
      <c r="R81" s="7">
        <f t="shared" si="58"/>
        <v>490.00000000000006</v>
      </c>
      <c r="S81" s="7">
        <f t="shared" si="59"/>
        <v>235.98792</v>
      </c>
    </row>
    <row r="82" spans="3:19" ht="12">
      <c r="C82" s="366"/>
      <c r="D82" s="281" t="s">
        <v>622</v>
      </c>
      <c r="E82" s="927"/>
      <c r="F82" s="839"/>
      <c r="G82" s="322"/>
      <c r="H82" s="319"/>
      <c r="I82" s="320"/>
      <c r="J82" s="7">
        <f t="shared" si="61"/>
        <v>0</v>
      </c>
      <c r="K82" s="7">
        <f t="shared" si="62"/>
        <v>0</v>
      </c>
      <c r="L82" s="7"/>
      <c r="M82" s="7">
        <f t="shared" si="63"/>
        <v>0</v>
      </c>
      <c r="N82" s="8" t="s">
        <v>75</v>
      </c>
      <c r="O82" s="8" t="str">
        <f t="shared" si="64"/>
        <v>N/A</v>
      </c>
      <c r="P82" s="7">
        <f t="shared" si="65"/>
        <v>0</v>
      </c>
      <c r="Q82" s="7">
        <f t="shared" si="57"/>
        <v>0</v>
      </c>
      <c r="R82" s="7">
        <f t="shared" si="58"/>
        <v>0</v>
      </c>
      <c r="S82" s="7">
        <f t="shared" si="59"/>
        <v>0</v>
      </c>
    </row>
    <row r="83" spans="3:19" ht="12">
      <c r="C83" s="366"/>
      <c r="D83" s="281" t="s">
        <v>795</v>
      </c>
      <c r="E83" s="943">
        <v>1</v>
      </c>
      <c r="F83" s="839">
        <v>86481.12</v>
      </c>
      <c r="G83" s="322">
        <v>12</v>
      </c>
      <c r="H83" s="319" t="s">
        <v>529</v>
      </c>
      <c r="I83" s="320">
        <f t="shared" si="60"/>
        <v>86481.12</v>
      </c>
      <c r="J83" s="7">
        <f t="shared" si="61"/>
        <v>24742.98344</v>
      </c>
      <c r="K83" s="7">
        <f t="shared" si="62"/>
        <v>111224.10343999999</v>
      </c>
      <c r="L83" s="7"/>
      <c r="M83" s="7">
        <f t="shared" si="63"/>
        <v>14788.27152</v>
      </c>
      <c r="N83" s="8" t="s">
        <v>75</v>
      </c>
      <c r="O83" s="8" t="str">
        <f t="shared" si="64"/>
        <v>N/A</v>
      </c>
      <c r="P83" s="7">
        <f t="shared" si="65"/>
        <v>1253.97624</v>
      </c>
      <c r="Q83" s="7">
        <f t="shared" si="57"/>
        <v>7000</v>
      </c>
      <c r="R83" s="7">
        <f t="shared" si="58"/>
        <v>490.00000000000006</v>
      </c>
      <c r="S83" s="7">
        <f t="shared" si="59"/>
        <v>1210.73568</v>
      </c>
    </row>
    <row r="84" spans="3:19" ht="12">
      <c r="C84" s="366"/>
      <c r="D84" s="281"/>
      <c r="E84" s="927"/>
      <c r="F84" s="839"/>
      <c r="G84" s="322"/>
      <c r="H84" s="319"/>
      <c r="I84" s="320"/>
      <c r="J84" s="7">
        <f t="shared" si="61"/>
        <v>0</v>
      </c>
      <c r="K84" s="7">
        <f t="shared" ref="K84:K88" si="66">SUM(I84:J84)</f>
        <v>0</v>
      </c>
      <c r="L84" s="7"/>
      <c r="M84" s="7">
        <f t="shared" si="63"/>
        <v>0</v>
      </c>
      <c r="N84" s="8" t="s">
        <v>75</v>
      </c>
      <c r="O84" s="8" t="str">
        <f t="shared" si="64"/>
        <v>N/A</v>
      </c>
      <c r="P84" s="7">
        <f t="shared" si="65"/>
        <v>0</v>
      </c>
      <c r="Q84" s="7">
        <f t="shared" si="57"/>
        <v>0</v>
      </c>
      <c r="R84" s="7">
        <f t="shared" si="58"/>
        <v>0</v>
      </c>
      <c r="S84" s="7">
        <f t="shared" si="59"/>
        <v>0</v>
      </c>
    </row>
    <row r="85" spans="3:19" ht="12">
      <c r="C85" s="366"/>
      <c r="D85" s="281"/>
      <c r="E85" s="927"/>
      <c r="F85" s="839"/>
      <c r="G85" s="322"/>
      <c r="H85" s="319"/>
      <c r="I85" s="320"/>
      <c r="J85" s="7">
        <f t="shared" si="61"/>
        <v>0</v>
      </c>
      <c r="K85" s="7">
        <f t="shared" si="66"/>
        <v>0</v>
      </c>
      <c r="L85" s="7"/>
      <c r="M85" s="7">
        <f t="shared" si="63"/>
        <v>0</v>
      </c>
      <c r="N85" s="8" t="s">
        <v>75</v>
      </c>
      <c r="O85" s="8" t="str">
        <f t="shared" si="64"/>
        <v>N/A</v>
      </c>
      <c r="P85" s="7">
        <f t="shared" si="65"/>
        <v>0</v>
      </c>
      <c r="Q85" s="7">
        <f t="shared" si="57"/>
        <v>0</v>
      </c>
      <c r="R85" s="7">
        <f t="shared" si="58"/>
        <v>0</v>
      </c>
      <c r="S85" s="7">
        <f t="shared" si="59"/>
        <v>0</v>
      </c>
    </row>
    <row r="86" spans="3:19" ht="12">
      <c r="C86" s="366"/>
      <c r="D86" s="281"/>
      <c r="E86" s="927"/>
      <c r="F86" s="839"/>
      <c r="G86" s="322"/>
      <c r="H86" s="319"/>
      <c r="I86" s="320"/>
      <c r="J86" s="7">
        <f t="shared" si="61"/>
        <v>0</v>
      </c>
      <c r="K86" s="7">
        <f t="shared" si="66"/>
        <v>0</v>
      </c>
      <c r="L86" s="7"/>
      <c r="M86" s="7">
        <f t="shared" si="63"/>
        <v>0</v>
      </c>
      <c r="N86" s="8" t="s">
        <v>75</v>
      </c>
      <c r="O86" s="8" t="str">
        <f t="shared" si="64"/>
        <v>N/A</v>
      </c>
      <c r="P86" s="7">
        <f t="shared" si="65"/>
        <v>0</v>
      </c>
      <c r="Q86" s="7">
        <f t="shared" si="57"/>
        <v>0</v>
      </c>
      <c r="R86" s="7">
        <f t="shared" si="58"/>
        <v>0</v>
      </c>
      <c r="S86" s="7">
        <f t="shared" si="59"/>
        <v>0</v>
      </c>
    </row>
    <row r="87" spans="3:19" ht="12">
      <c r="C87" s="366"/>
      <c r="D87" s="281"/>
      <c r="E87" s="927"/>
      <c r="F87" s="839"/>
      <c r="G87" s="322"/>
      <c r="H87" s="319"/>
      <c r="I87" s="320"/>
      <c r="J87" s="7">
        <f t="shared" si="61"/>
        <v>0</v>
      </c>
      <c r="K87" s="7">
        <f t="shared" si="66"/>
        <v>0</v>
      </c>
      <c r="L87" s="7"/>
      <c r="M87" s="7">
        <f t="shared" si="63"/>
        <v>0</v>
      </c>
      <c r="N87" s="8" t="s">
        <v>75</v>
      </c>
      <c r="O87" s="8" t="str">
        <f t="shared" si="64"/>
        <v>N/A</v>
      </c>
      <c r="P87" s="7">
        <f t="shared" si="65"/>
        <v>0</v>
      </c>
      <c r="Q87" s="7">
        <f t="shared" si="57"/>
        <v>0</v>
      </c>
      <c r="R87" s="7">
        <f t="shared" si="58"/>
        <v>0</v>
      </c>
      <c r="S87" s="7">
        <f t="shared" si="59"/>
        <v>0</v>
      </c>
    </row>
    <row r="88" spans="3:19" ht="12">
      <c r="C88" s="366"/>
      <c r="D88" s="281"/>
      <c r="E88" s="927"/>
      <c r="F88" s="839"/>
      <c r="G88" s="322"/>
      <c r="H88" s="319"/>
      <c r="I88" s="320"/>
      <c r="J88" s="7">
        <f t="shared" si="61"/>
        <v>0</v>
      </c>
      <c r="K88" s="7">
        <f t="shared" si="66"/>
        <v>0</v>
      </c>
      <c r="L88" s="7"/>
      <c r="M88" s="7">
        <f t="shared" si="63"/>
        <v>0</v>
      </c>
      <c r="N88" s="8" t="s">
        <v>75</v>
      </c>
      <c r="O88" s="8" t="str">
        <f t="shared" si="64"/>
        <v>N/A</v>
      </c>
      <c r="P88" s="7">
        <f t="shared" si="65"/>
        <v>0</v>
      </c>
      <c r="Q88" s="7">
        <f t="shared" si="57"/>
        <v>0</v>
      </c>
      <c r="R88" s="7">
        <f t="shared" si="58"/>
        <v>0</v>
      </c>
      <c r="S88" s="7">
        <f t="shared" si="59"/>
        <v>0</v>
      </c>
    </row>
    <row r="89" spans="3:19">
      <c r="C89" s="34"/>
      <c r="D89" s="282"/>
      <c r="E89" s="943"/>
      <c r="F89" s="840"/>
      <c r="G89" s="322"/>
      <c r="H89" s="319"/>
      <c r="I89" s="320"/>
      <c r="J89" s="7">
        <f>SUM(M89:S89)</f>
        <v>0</v>
      </c>
      <c r="K89" s="7">
        <f>SUM(I89:J89)</f>
        <v>0</v>
      </c>
      <c r="M89" s="7">
        <f>I89*$M$5</f>
        <v>0</v>
      </c>
      <c r="N89" s="8" t="s">
        <v>75</v>
      </c>
      <c r="O89" s="8" t="str">
        <f>IF($M$5&gt;0,"N/A",$O$5*I89)</f>
        <v>N/A</v>
      </c>
      <c r="P89" s="7">
        <f>I89*$P$5</f>
        <v>0</v>
      </c>
      <c r="Q89" s="7">
        <f t="shared" si="57"/>
        <v>0</v>
      </c>
      <c r="R89" s="7">
        <f t="shared" si="58"/>
        <v>0</v>
      </c>
      <c r="S89" s="7">
        <f>S$5*$I89</f>
        <v>0</v>
      </c>
    </row>
    <row r="90" spans="3:19" ht="12">
      <c r="C90" s="367"/>
      <c r="D90" s="281"/>
      <c r="E90" s="927"/>
      <c r="F90" s="839"/>
      <c r="G90" s="322"/>
      <c r="H90" s="319"/>
      <c r="I90" s="320"/>
      <c r="J90" s="7">
        <f t="shared" si="52"/>
        <v>0</v>
      </c>
      <c r="K90" s="7">
        <f t="shared" si="53"/>
        <v>0</v>
      </c>
      <c r="L90" s="7"/>
      <c r="M90" s="7">
        <f t="shared" si="54"/>
        <v>0</v>
      </c>
      <c r="N90" s="8" t="s">
        <v>75</v>
      </c>
      <c r="O90" s="8" t="str">
        <f t="shared" si="55"/>
        <v>N/A</v>
      </c>
      <c r="P90" s="7">
        <f t="shared" si="56"/>
        <v>0</v>
      </c>
      <c r="Q90" s="7">
        <f t="shared" si="57"/>
        <v>0</v>
      </c>
      <c r="R90" s="7">
        <f t="shared" si="58"/>
        <v>0</v>
      </c>
      <c r="S90" s="7">
        <f t="shared" si="59"/>
        <v>0</v>
      </c>
    </row>
    <row r="91" spans="3:19" ht="12">
      <c r="C91" s="367"/>
      <c r="D91" s="281"/>
      <c r="E91" s="927"/>
      <c r="F91" s="839"/>
      <c r="G91" s="322"/>
      <c r="H91" s="319"/>
      <c r="I91" s="320"/>
      <c r="J91" s="7">
        <f t="shared" si="52"/>
        <v>0</v>
      </c>
      <c r="K91" s="7">
        <f t="shared" si="53"/>
        <v>0</v>
      </c>
      <c r="L91" s="7"/>
      <c r="M91" s="7">
        <f t="shared" si="54"/>
        <v>0</v>
      </c>
      <c r="N91" s="8" t="s">
        <v>75</v>
      </c>
      <c r="O91" s="8" t="str">
        <f t="shared" si="55"/>
        <v>N/A</v>
      </c>
      <c r="P91" s="7">
        <f t="shared" si="56"/>
        <v>0</v>
      </c>
      <c r="Q91" s="7">
        <f t="shared" si="57"/>
        <v>0</v>
      </c>
      <c r="R91" s="7">
        <f t="shared" si="58"/>
        <v>0</v>
      </c>
      <c r="S91" s="7">
        <f t="shared" si="59"/>
        <v>0</v>
      </c>
    </row>
    <row r="92" spans="3:19" ht="12">
      <c r="C92" s="366"/>
      <c r="D92" s="281"/>
      <c r="E92" s="927"/>
      <c r="F92" s="839"/>
      <c r="G92" s="322"/>
      <c r="H92" s="319"/>
      <c r="I92" s="320"/>
      <c r="J92" s="7">
        <f t="shared" si="52"/>
        <v>0</v>
      </c>
      <c r="K92" s="7">
        <f t="shared" si="53"/>
        <v>0</v>
      </c>
      <c r="L92" s="7"/>
      <c r="M92" s="7">
        <f t="shared" si="54"/>
        <v>0</v>
      </c>
      <c r="N92" s="8" t="s">
        <v>75</v>
      </c>
      <c r="O92" s="8" t="str">
        <f t="shared" si="55"/>
        <v>N/A</v>
      </c>
      <c r="P92" s="7">
        <f t="shared" si="56"/>
        <v>0</v>
      </c>
      <c r="Q92" s="7">
        <f t="shared" si="57"/>
        <v>0</v>
      </c>
      <c r="R92" s="7">
        <f t="shared" si="58"/>
        <v>0</v>
      </c>
      <c r="S92" s="7">
        <f t="shared" si="59"/>
        <v>0</v>
      </c>
    </row>
    <row r="93" spans="3:19" ht="12">
      <c r="C93" s="366"/>
      <c r="D93" s="281"/>
      <c r="E93" s="927"/>
      <c r="F93" s="839"/>
      <c r="G93" s="322"/>
      <c r="H93" s="319"/>
      <c r="I93" s="320"/>
      <c r="J93" s="7">
        <f t="shared" si="52"/>
        <v>0</v>
      </c>
      <c r="K93" s="7">
        <f t="shared" si="53"/>
        <v>0</v>
      </c>
      <c r="L93" s="7"/>
      <c r="M93" s="7">
        <f t="shared" si="54"/>
        <v>0</v>
      </c>
      <c r="N93" s="8" t="s">
        <v>75</v>
      </c>
      <c r="O93" s="8" t="str">
        <f t="shared" si="55"/>
        <v>N/A</v>
      </c>
      <c r="P93" s="7">
        <f t="shared" si="56"/>
        <v>0</v>
      </c>
      <c r="Q93" s="7">
        <f t="shared" si="57"/>
        <v>0</v>
      </c>
      <c r="R93" s="7">
        <f t="shared" si="58"/>
        <v>0</v>
      </c>
      <c r="S93" s="7">
        <f t="shared" si="59"/>
        <v>0</v>
      </c>
    </row>
    <row r="94" spans="3:19" ht="12">
      <c r="C94" s="366"/>
      <c r="D94" s="281"/>
      <c r="E94" s="927"/>
      <c r="F94" s="839"/>
      <c r="G94" s="322"/>
      <c r="H94" s="319"/>
      <c r="I94" s="320"/>
      <c r="J94" s="7">
        <f t="shared" si="52"/>
        <v>0</v>
      </c>
      <c r="K94" s="7">
        <f t="shared" ref="K94:K98" si="67">SUM(I94:J94)</f>
        <v>0</v>
      </c>
      <c r="L94" s="7"/>
      <c r="M94" s="7">
        <f t="shared" ref="M94:M98" si="68">I94*$M$5</f>
        <v>0</v>
      </c>
      <c r="N94" s="8" t="s">
        <v>75</v>
      </c>
      <c r="O94" s="8" t="str">
        <f t="shared" ref="O94:O98" si="69">IF($M$5&gt;0,"N/A",$O$5*I94)</f>
        <v>N/A</v>
      </c>
      <c r="P94" s="7">
        <f t="shared" si="56"/>
        <v>0</v>
      </c>
      <c r="Q94" s="7">
        <f t="shared" si="57"/>
        <v>0</v>
      </c>
      <c r="R94" s="7">
        <f t="shared" si="58"/>
        <v>0</v>
      </c>
      <c r="S94" s="7">
        <f t="shared" si="59"/>
        <v>0</v>
      </c>
    </row>
    <row r="95" spans="3:19" ht="12">
      <c r="C95" s="366"/>
      <c r="D95" s="281"/>
      <c r="E95" s="927"/>
      <c r="F95" s="839"/>
      <c r="G95" s="322"/>
      <c r="H95" s="319"/>
      <c r="I95" s="320"/>
      <c r="J95" s="7">
        <f t="shared" si="52"/>
        <v>0</v>
      </c>
      <c r="K95" s="7">
        <f t="shared" si="67"/>
        <v>0</v>
      </c>
      <c r="L95" s="7"/>
      <c r="M95" s="7">
        <f t="shared" si="68"/>
        <v>0</v>
      </c>
      <c r="N95" s="8" t="s">
        <v>75</v>
      </c>
      <c r="O95" s="8" t="str">
        <f t="shared" si="69"/>
        <v>N/A</v>
      </c>
      <c r="P95" s="7">
        <f t="shared" si="56"/>
        <v>0</v>
      </c>
      <c r="Q95" s="7">
        <f t="shared" si="57"/>
        <v>0</v>
      </c>
      <c r="R95" s="7">
        <f t="shared" si="58"/>
        <v>0</v>
      </c>
      <c r="S95" s="7">
        <f t="shared" si="59"/>
        <v>0</v>
      </c>
    </row>
    <row r="96" spans="3:19" ht="12">
      <c r="C96" s="366"/>
      <c r="D96" s="281"/>
      <c r="E96" s="927"/>
      <c r="F96" s="839"/>
      <c r="G96" s="322"/>
      <c r="H96" s="319"/>
      <c r="I96" s="320"/>
      <c r="J96" s="7">
        <f t="shared" si="52"/>
        <v>0</v>
      </c>
      <c r="K96" s="7">
        <f t="shared" si="67"/>
        <v>0</v>
      </c>
      <c r="L96" s="7"/>
      <c r="M96" s="7">
        <f t="shared" si="68"/>
        <v>0</v>
      </c>
      <c r="N96" s="8" t="s">
        <v>75</v>
      </c>
      <c r="O96" s="8" t="str">
        <f t="shared" si="69"/>
        <v>N/A</v>
      </c>
      <c r="P96" s="7">
        <f t="shared" si="56"/>
        <v>0</v>
      </c>
      <c r="Q96" s="7">
        <f t="shared" si="57"/>
        <v>0</v>
      </c>
      <c r="R96" s="7">
        <f t="shared" si="58"/>
        <v>0</v>
      </c>
      <c r="S96" s="7">
        <f t="shared" si="59"/>
        <v>0</v>
      </c>
    </row>
    <row r="97" spans="3:19" ht="12">
      <c r="C97" s="366"/>
      <c r="D97" s="281"/>
      <c r="E97" s="927"/>
      <c r="F97" s="839"/>
      <c r="G97" s="322"/>
      <c r="H97" s="319"/>
      <c r="I97" s="320"/>
      <c r="J97" s="7">
        <f t="shared" si="52"/>
        <v>0</v>
      </c>
      <c r="K97" s="7">
        <f t="shared" si="67"/>
        <v>0</v>
      </c>
      <c r="L97" s="7"/>
      <c r="M97" s="7">
        <f t="shared" ref="M97" si="70">I97*$M$5</f>
        <v>0</v>
      </c>
      <c r="N97" s="8" t="s">
        <v>75</v>
      </c>
      <c r="O97" s="8" t="str">
        <f t="shared" ref="O97" si="71">IF($M$5&gt;0,"N/A",$O$5*I97)</f>
        <v>N/A</v>
      </c>
      <c r="P97" s="7">
        <f t="shared" si="56"/>
        <v>0</v>
      </c>
      <c r="Q97" s="7">
        <f t="shared" si="57"/>
        <v>0</v>
      </c>
      <c r="R97" s="7">
        <f t="shared" si="58"/>
        <v>0</v>
      </c>
      <c r="S97" s="7">
        <f t="shared" si="59"/>
        <v>0</v>
      </c>
    </row>
    <row r="98" spans="3:19" ht="12">
      <c r="C98" s="366"/>
      <c r="D98" s="281"/>
      <c r="E98" s="927"/>
      <c r="F98" s="839"/>
      <c r="G98" s="322"/>
      <c r="H98" s="319"/>
      <c r="I98" s="320"/>
      <c r="J98" s="7">
        <f t="shared" si="52"/>
        <v>0</v>
      </c>
      <c r="K98" s="7">
        <f t="shared" si="67"/>
        <v>0</v>
      </c>
      <c r="L98" s="7"/>
      <c r="M98" s="7">
        <f t="shared" si="68"/>
        <v>0</v>
      </c>
      <c r="N98" s="8" t="s">
        <v>75</v>
      </c>
      <c r="O98" s="8" t="str">
        <f t="shared" si="69"/>
        <v>N/A</v>
      </c>
      <c r="P98" s="7">
        <f t="shared" si="56"/>
        <v>0</v>
      </c>
      <c r="Q98" s="7">
        <f t="shared" si="57"/>
        <v>0</v>
      </c>
      <c r="R98" s="7">
        <f t="shared" si="58"/>
        <v>0</v>
      </c>
      <c r="S98" s="7">
        <f t="shared" si="59"/>
        <v>0</v>
      </c>
    </row>
    <row r="99" spans="3:19" ht="13" thickBot="1">
      <c r="C99" s="368"/>
      <c r="D99" s="337"/>
      <c r="E99" s="427"/>
      <c r="F99" s="841"/>
      <c r="G99" s="28"/>
      <c r="H99" s="427"/>
      <c r="I99" s="337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3:19" s="41" customFormat="1" ht="13" thickBot="1">
      <c r="C100" s="368"/>
      <c r="D100" s="332"/>
      <c r="E100" s="940"/>
      <c r="F100" s="834"/>
      <c r="G100" s="49"/>
      <c r="H100" s="333">
        <v>1200</v>
      </c>
      <c r="I100" s="10">
        <f>SUM(I78:I99)</f>
        <v>161587.32</v>
      </c>
      <c r="J100" s="10">
        <f>SUM(J78:J99)</f>
        <v>54706.670339999997</v>
      </c>
      <c r="K100" s="10">
        <f>SUM(K78:K99)</f>
        <v>216293.99033999996</v>
      </c>
      <c r="L100" s="11"/>
      <c r="M100" s="10">
        <f t="shared" ref="M100:S100" si="72">SUM(M78:M99)</f>
        <v>27631.43172</v>
      </c>
      <c r="N100" s="10">
        <f t="shared" si="72"/>
        <v>0</v>
      </c>
      <c r="O100" s="10">
        <f t="shared" si="72"/>
        <v>0</v>
      </c>
      <c r="P100" s="10">
        <f t="shared" si="72"/>
        <v>2343.0161399999997</v>
      </c>
      <c r="Q100" s="10">
        <f t="shared" si="72"/>
        <v>21000</v>
      </c>
      <c r="R100" s="10">
        <f t="shared" si="72"/>
        <v>1470.0000000000002</v>
      </c>
      <c r="S100" s="10">
        <f t="shared" si="72"/>
        <v>2262.2224799999999</v>
      </c>
    </row>
    <row r="101" spans="3:19" ht="12">
      <c r="C101" s="366" t="s">
        <v>18</v>
      </c>
      <c r="D101" s="334"/>
      <c r="E101" s="941"/>
      <c r="F101" s="835"/>
      <c r="G101" s="28"/>
      <c r="H101" s="35"/>
      <c r="I101" s="7"/>
      <c r="J101" s="7"/>
      <c r="K101" s="7"/>
      <c r="L101" s="7"/>
      <c r="M101" s="36"/>
      <c r="N101" s="36"/>
      <c r="O101" s="36"/>
      <c r="P101" s="36"/>
      <c r="Q101" s="36"/>
      <c r="R101" s="36"/>
      <c r="S101" s="36"/>
    </row>
    <row r="102" spans="3:19" ht="12">
      <c r="C102" s="366"/>
      <c r="D102" s="281" t="s">
        <v>777</v>
      </c>
      <c r="E102" s="927">
        <v>1</v>
      </c>
      <c r="F102" s="840">
        <v>85000.08</v>
      </c>
      <c r="G102" s="322">
        <v>12</v>
      </c>
      <c r="H102" s="319" t="s">
        <v>529</v>
      </c>
      <c r="I102" s="320">
        <f>F102*E102</f>
        <v>85000.08</v>
      </c>
      <c r="J102" s="7">
        <f t="shared" ref="J102:J120" si="73">SUM(M102:S102)</f>
        <v>24447.515960000004</v>
      </c>
      <c r="K102" s="7">
        <f t="shared" ref="K102:K120" si="74">SUM(I102:J102)</f>
        <v>109447.59596000001</v>
      </c>
      <c r="L102" s="7"/>
      <c r="M102" s="7">
        <f t="shared" ref="M102:M120" si="75">I102*$M$5</f>
        <v>14535.013680000002</v>
      </c>
      <c r="N102" s="8" t="s">
        <v>75</v>
      </c>
      <c r="O102" s="8" t="str">
        <f t="shared" ref="O102:O115" si="76">IF($M$5&gt;0,"N/A",$O$5*I102)</f>
        <v>N/A</v>
      </c>
      <c r="P102" s="7">
        <f t="shared" ref="P102:P120" si="77">I102*$P$5</f>
        <v>1232.50116</v>
      </c>
      <c r="Q102" s="7">
        <f t="shared" ref="Q102:Q120" si="78">IF(H102="y", $Q$5*E102, 0)</f>
        <v>7000</v>
      </c>
      <c r="R102" s="7">
        <f t="shared" ref="R102:R120" si="79">IF($I102&gt;7000,7000*R$5,$I102*R$5)*E102</f>
        <v>490.00000000000006</v>
      </c>
      <c r="S102" s="7">
        <f t="shared" ref="S102:S120" si="80">S$5*$I102</f>
        <v>1190.0011200000001</v>
      </c>
    </row>
    <row r="103" spans="3:19" ht="12">
      <c r="C103" s="366"/>
      <c r="D103" s="281" t="s">
        <v>796</v>
      </c>
      <c r="E103" s="927">
        <v>1</v>
      </c>
      <c r="F103" s="840">
        <v>85000.08</v>
      </c>
      <c r="G103" s="322">
        <v>12</v>
      </c>
      <c r="H103" s="319" t="s">
        <v>529</v>
      </c>
      <c r="I103" s="320">
        <f t="shared" ref="I103:I115" si="81">F103*E103</f>
        <v>85000.08</v>
      </c>
      <c r="J103" s="7">
        <f t="shared" ref="J103:J111" si="82">SUM(M103:S103)</f>
        <v>24447.515960000004</v>
      </c>
      <c r="K103" s="7">
        <f t="shared" ref="K103:K111" si="83">SUM(I103:J103)</f>
        <v>109447.59596000001</v>
      </c>
      <c r="L103" s="7"/>
      <c r="M103" s="7">
        <f t="shared" ref="M103:M111" si="84">I103*$M$5</f>
        <v>14535.013680000002</v>
      </c>
      <c r="N103" s="8" t="s">
        <v>75</v>
      </c>
      <c r="O103" s="8" t="str">
        <f t="shared" ref="O103:O111" si="85">IF($M$5&gt;0,"N/A",$O$5*I103)</f>
        <v>N/A</v>
      </c>
      <c r="P103" s="7">
        <f t="shared" ref="P103:P111" si="86">I103*$P$5</f>
        <v>1232.50116</v>
      </c>
      <c r="Q103" s="7">
        <f t="shared" si="78"/>
        <v>7000</v>
      </c>
      <c r="R103" s="7">
        <f t="shared" si="79"/>
        <v>490.00000000000006</v>
      </c>
      <c r="S103" s="7">
        <f t="shared" si="80"/>
        <v>1190.0011200000001</v>
      </c>
    </row>
    <row r="104" spans="3:19" ht="12">
      <c r="C104" s="366"/>
      <c r="D104" s="281" t="s">
        <v>779</v>
      </c>
      <c r="E104" s="927">
        <v>1</v>
      </c>
      <c r="F104" s="840">
        <v>88000</v>
      </c>
      <c r="G104" s="322">
        <v>12</v>
      </c>
      <c r="H104" s="319" t="s">
        <v>529</v>
      </c>
      <c r="I104" s="320">
        <f t="shared" si="81"/>
        <v>88000</v>
      </c>
      <c r="J104" s="7">
        <f t="shared" si="82"/>
        <v>25046</v>
      </c>
      <c r="K104" s="7">
        <f t="shared" si="83"/>
        <v>113046</v>
      </c>
      <c r="L104" s="7"/>
      <c r="M104" s="7">
        <f t="shared" si="84"/>
        <v>15048.000000000002</v>
      </c>
      <c r="N104" s="8" t="s">
        <v>75</v>
      </c>
      <c r="O104" s="8" t="str">
        <f t="shared" si="85"/>
        <v>N/A</v>
      </c>
      <c r="P104" s="7">
        <f t="shared" si="86"/>
        <v>1276</v>
      </c>
      <c r="Q104" s="7">
        <f t="shared" si="78"/>
        <v>7000</v>
      </c>
      <c r="R104" s="7">
        <f t="shared" si="79"/>
        <v>490.00000000000006</v>
      </c>
      <c r="S104" s="7">
        <f t="shared" si="80"/>
        <v>1232</v>
      </c>
    </row>
    <row r="105" spans="3:19" ht="12">
      <c r="C105" s="366"/>
      <c r="D105" s="281" t="s">
        <v>780</v>
      </c>
      <c r="E105" s="927">
        <v>1</v>
      </c>
      <c r="F105" s="839">
        <v>112999</v>
      </c>
      <c r="G105" s="322">
        <v>12</v>
      </c>
      <c r="H105" s="319" t="s">
        <v>529</v>
      </c>
      <c r="I105" s="320">
        <f t="shared" si="81"/>
        <v>112999</v>
      </c>
      <c r="J105" s="7">
        <f t="shared" si="82"/>
        <v>30033.300500000001</v>
      </c>
      <c r="K105" s="7">
        <f t="shared" si="83"/>
        <v>143032.30050000001</v>
      </c>
      <c r="L105" s="7"/>
      <c r="M105" s="7">
        <f t="shared" si="84"/>
        <v>19322.829000000002</v>
      </c>
      <c r="N105" s="8" t="s">
        <v>75</v>
      </c>
      <c r="O105" s="8" t="str">
        <f t="shared" si="85"/>
        <v>N/A</v>
      </c>
      <c r="P105" s="7">
        <f t="shared" si="86"/>
        <v>1638.4855</v>
      </c>
      <c r="Q105" s="7">
        <f t="shared" si="78"/>
        <v>7000</v>
      </c>
      <c r="R105" s="7">
        <f t="shared" si="79"/>
        <v>490.00000000000006</v>
      </c>
      <c r="S105" s="7">
        <f t="shared" si="80"/>
        <v>1581.9860000000001</v>
      </c>
    </row>
    <row r="106" spans="3:19" ht="12">
      <c r="C106" s="368"/>
      <c r="D106" s="282" t="s">
        <v>776</v>
      </c>
      <c r="E106" s="927">
        <v>1</v>
      </c>
      <c r="F106" s="839">
        <v>55000</v>
      </c>
      <c r="G106" s="322">
        <v>12</v>
      </c>
      <c r="H106" s="319" t="s">
        <v>529</v>
      </c>
      <c r="I106" s="320">
        <f t="shared" si="81"/>
        <v>55000</v>
      </c>
      <c r="J106" s="7">
        <f t="shared" si="82"/>
        <v>18462.5</v>
      </c>
      <c r="K106" s="7">
        <f t="shared" si="83"/>
        <v>73462.5</v>
      </c>
      <c r="L106" s="7"/>
      <c r="M106" s="7">
        <f t="shared" si="84"/>
        <v>9405</v>
      </c>
      <c r="N106" s="8" t="s">
        <v>75</v>
      </c>
      <c r="O106" s="8" t="str">
        <f t="shared" si="85"/>
        <v>N/A</v>
      </c>
      <c r="P106" s="7">
        <f t="shared" si="86"/>
        <v>797.5</v>
      </c>
      <c r="Q106" s="7">
        <f t="shared" si="78"/>
        <v>7000</v>
      </c>
      <c r="R106" s="7">
        <f t="shared" si="79"/>
        <v>490.00000000000006</v>
      </c>
      <c r="S106" s="7">
        <f t="shared" si="80"/>
        <v>770</v>
      </c>
    </row>
    <row r="107" spans="3:19" ht="12">
      <c r="C107" s="366"/>
      <c r="D107" s="281" t="s">
        <v>781</v>
      </c>
      <c r="E107" s="927">
        <v>1</v>
      </c>
      <c r="F107" s="840">
        <v>112999</v>
      </c>
      <c r="G107" s="322">
        <v>12</v>
      </c>
      <c r="H107" s="319" t="s">
        <v>529</v>
      </c>
      <c r="I107" s="320">
        <f t="shared" si="81"/>
        <v>112999</v>
      </c>
      <c r="J107" s="7">
        <f t="shared" si="82"/>
        <v>30033.300500000001</v>
      </c>
      <c r="K107" s="7">
        <f t="shared" si="83"/>
        <v>143032.30050000001</v>
      </c>
      <c r="L107" s="7"/>
      <c r="M107" s="7">
        <f t="shared" si="84"/>
        <v>19322.829000000002</v>
      </c>
      <c r="N107" s="8" t="s">
        <v>75</v>
      </c>
      <c r="O107" s="8" t="str">
        <f t="shared" si="85"/>
        <v>N/A</v>
      </c>
      <c r="P107" s="7">
        <f t="shared" si="86"/>
        <v>1638.4855</v>
      </c>
      <c r="Q107" s="7">
        <f t="shared" si="78"/>
        <v>7000</v>
      </c>
      <c r="R107" s="7">
        <f t="shared" si="79"/>
        <v>490.00000000000006</v>
      </c>
      <c r="S107" s="7">
        <f t="shared" si="80"/>
        <v>1581.9860000000001</v>
      </c>
    </row>
    <row r="108" spans="3:19" ht="12">
      <c r="C108" s="366"/>
      <c r="D108" s="281" t="s">
        <v>783</v>
      </c>
      <c r="E108" s="927">
        <v>1</v>
      </c>
      <c r="F108" s="840">
        <v>55000</v>
      </c>
      <c r="G108" s="322">
        <v>12</v>
      </c>
      <c r="H108" s="319" t="s">
        <v>529</v>
      </c>
      <c r="I108" s="320">
        <f t="shared" si="81"/>
        <v>55000</v>
      </c>
      <c r="J108" s="7">
        <f t="shared" si="82"/>
        <v>18462.5</v>
      </c>
      <c r="K108" s="7">
        <f t="shared" si="83"/>
        <v>73462.5</v>
      </c>
      <c r="L108" s="7"/>
      <c r="M108" s="7">
        <f t="shared" si="84"/>
        <v>9405</v>
      </c>
      <c r="N108" s="8" t="s">
        <v>75</v>
      </c>
      <c r="O108" s="8" t="str">
        <f t="shared" si="85"/>
        <v>N/A</v>
      </c>
      <c r="P108" s="7">
        <f t="shared" si="86"/>
        <v>797.5</v>
      </c>
      <c r="Q108" s="7">
        <f t="shared" si="78"/>
        <v>7000</v>
      </c>
      <c r="R108" s="7">
        <f t="shared" si="79"/>
        <v>490.00000000000006</v>
      </c>
      <c r="S108" s="7">
        <f t="shared" si="80"/>
        <v>770</v>
      </c>
    </row>
    <row r="109" spans="3:19" ht="12">
      <c r="C109" s="366"/>
      <c r="D109" s="281" t="s">
        <v>773</v>
      </c>
      <c r="E109" s="927">
        <v>1</v>
      </c>
      <c r="F109" s="840">
        <v>135799</v>
      </c>
      <c r="G109" s="322">
        <v>12</v>
      </c>
      <c r="H109" s="319" t="s">
        <v>529</v>
      </c>
      <c r="I109" s="320">
        <f t="shared" si="81"/>
        <v>135799</v>
      </c>
      <c r="J109" s="7">
        <f t="shared" si="82"/>
        <v>34581.900500000003</v>
      </c>
      <c r="K109" s="7">
        <f t="shared" si="83"/>
        <v>170380.90049999999</v>
      </c>
      <c r="L109" s="7"/>
      <c r="M109" s="7">
        <f t="shared" si="84"/>
        <v>23221.629000000001</v>
      </c>
      <c r="N109" s="8" t="s">
        <v>75</v>
      </c>
      <c r="O109" s="8" t="str">
        <f t="shared" si="85"/>
        <v>N/A</v>
      </c>
      <c r="P109" s="7">
        <f t="shared" si="86"/>
        <v>1969.0855000000001</v>
      </c>
      <c r="Q109" s="7">
        <f t="shared" si="78"/>
        <v>7000</v>
      </c>
      <c r="R109" s="7">
        <f t="shared" si="79"/>
        <v>490.00000000000006</v>
      </c>
      <c r="S109" s="7">
        <f t="shared" si="80"/>
        <v>1901.1860000000001</v>
      </c>
    </row>
    <row r="110" spans="3:19" ht="12">
      <c r="C110" s="366"/>
      <c r="D110" s="281" t="s">
        <v>782</v>
      </c>
      <c r="E110" s="927">
        <v>1</v>
      </c>
      <c r="F110" s="839">
        <v>141799</v>
      </c>
      <c r="G110" s="322">
        <v>12</v>
      </c>
      <c r="H110" s="319" t="s">
        <v>529</v>
      </c>
      <c r="I110" s="320">
        <f t="shared" si="81"/>
        <v>141799</v>
      </c>
      <c r="J110" s="7">
        <f t="shared" si="82"/>
        <v>35778.900500000003</v>
      </c>
      <c r="K110" s="7">
        <f t="shared" si="83"/>
        <v>177577.90049999999</v>
      </c>
      <c r="L110" s="7"/>
      <c r="M110" s="7">
        <f t="shared" si="84"/>
        <v>24247.629000000001</v>
      </c>
      <c r="N110" s="8" t="s">
        <v>75</v>
      </c>
      <c r="O110" s="8" t="str">
        <f t="shared" si="85"/>
        <v>N/A</v>
      </c>
      <c r="P110" s="7">
        <f t="shared" si="86"/>
        <v>2056.0855000000001</v>
      </c>
      <c r="Q110" s="7">
        <f t="shared" si="78"/>
        <v>7000</v>
      </c>
      <c r="R110" s="7">
        <f t="shared" si="79"/>
        <v>490.00000000000006</v>
      </c>
      <c r="S110" s="7">
        <f t="shared" si="80"/>
        <v>1985.1860000000001</v>
      </c>
    </row>
    <row r="111" spans="3:19" ht="12">
      <c r="C111" s="368"/>
      <c r="D111" s="1020" t="s">
        <v>778</v>
      </c>
      <c r="E111" s="927">
        <v>1</v>
      </c>
      <c r="F111" s="1027">
        <v>126199</v>
      </c>
      <c r="G111" s="322">
        <v>12</v>
      </c>
      <c r="H111" s="319" t="s">
        <v>529</v>
      </c>
      <c r="I111" s="320">
        <f t="shared" si="81"/>
        <v>126199</v>
      </c>
      <c r="J111" s="7">
        <f t="shared" si="82"/>
        <v>32666.700500000003</v>
      </c>
      <c r="K111" s="7">
        <f t="shared" si="83"/>
        <v>158865.70050000001</v>
      </c>
      <c r="L111" s="7"/>
      <c r="M111" s="7">
        <f t="shared" si="84"/>
        <v>21580.029000000002</v>
      </c>
      <c r="N111" s="8" t="s">
        <v>75</v>
      </c>
      <c r="O111" s="8" t="str">
        <f t="shared" si="85"/>
        <v>N/A</v>
      </c>
      <c r="P111" s="7">
        <f t="shared" si="86"/>
        <v>1829.8855000000001</v>
      </c>
      <c r="Q111" s="7">
        <f t="shared" si="78"/>
        <v>7000</v>
      </c>
      <c r="R111" s="7">
        <f t="shared" si="79"/>
        <v>490.00000000000006</v>
      </c>
      <c r="S111" s="7">
        <f t="shared" si="80"/>
        <v>1766.7860000000001</v>
      </c>
    </row>
    <row r="112" spans="3:19" ht="12">
      <c r="C112" s="366"/>
      <c r="D112" s="281" t="s">
        <v>772</v>
      </c>
      <c r="E112" s="927">
        <v>1</v>
      </c>
      <c r="F112" s="840">
        <v>124000</v>
      </c>
      <c r="G112" s="322">
        <v>12</v>
      </c>
      <c r="H112" s="319" t="s">
        <v>529</v>
      </c>
      <c r="I112" s="320">
        <f t="shared" si="81"/>
        <v>124000</v>
      </c>
      <c r="J112" s="7">
        <f t="shared" si="73"/>
        <v>32228</v>
      </c>
      <c r="K112" s="7">
        <f t="shared" si="74"/>
        <v>156228</v>
      </c>
      <c r="L112" s="7"/>
      <c r="M112" s="7">
        <f t="shared" si="75"/>
        <v>21204</v>
      </c>
      <c r="N112" s="8" t="s">
        <v>75</v>
      </c>
      <c r="O112" s="8" t="str">
        <f t="shared" si="76"/>
        <v>N/A</v>
      </c>
      <c r="P112" s="7">
        <f t="shared" si="77"/>
        <v>1798</v>
      </c>
      <c r="Q112" s="7">
        <f t="shared" si="78"/>
        <v>7000</v>
      </c>
      <c r="R112" s="7">
        <f t="shared" si="79"/>
        <v>490.00000000000006</v>
      </c>
      <c r="S112" s="7">
        <f t="shared" si="80"/>
        <v>1736</v>
      </c>
    </row>
    <row r="113" spans="3:24" ht="12">
      <c r="C113" s="366"/>
      <c r="D113" s="281" t="s">
        <v>775</v>
      </c>
      <c r="E113" s="927">
        <v>1</v>
      </c>
      <c r="F113" s="839">
        <v>166200</v>
      </c>
      <c r="G113" s="322">
        <v>12</v>
      </c>
      <c r="H113" s="319" t="s">
        <v>529</v>
      </c>
      <c r="I113" s="320">
        <f t="shared" si="81"/>
        <v>166200</v>
      </c>
      <c r="J113" s="7">
        <f t="shared" si="73"/>
        <v>40646.900000000009</v>
      </c>
      <c r="K113" s="7">
        <f t="shared" si="74"/>
        <v>206846.90000000002</v>
      </c>
      <c r="L113" s="7"/>
      <c r="M113" s="7">
        <f t="shared" si="75"/>
        <v>28420.2</v>
      </c>
      <c r="N113" s="8" t="s">
        <v>75</v>
      </c>
      <c r="O113" s="8" t="str">
        <f t="shared" si="76"/>
        <v>N/A</v>
      </c>
      <c r="P113" s="7">
        <f t="shared" si="77"/>
        <v>2409.9</v>
      </c>
      <c r="Q113" s="7">
        <f t="shared" si="78"/>
        <v>7000</v>
      </c>
      <c r="R113" s="7">
        <f t="shared" si="79"/>
        <v>490.00000000000006</v>
      </c>
      <c r="S113" s="7">
        <f t="shared" si="80"/>
        <v>2326.8000000000002</v>
      </c>
    </row>
    <row r="114" spans="3:24" ht="12">
      <c r="C114" s="366"/>
      <c r="D114" s="281" t="s">
        <v>774</v>
      </c>
      <c r="E114" s="927">
        <v>1</v>
      </c>
      <c r="F114" s="839">
        <v>55000</v>
      </c>
      <c r="G114" s="322">
        <v>12</v>
      </c>
      <c r="H114" s="319" t="s">
        <v>529</v>
      </c>
      <c r="I114" s="320">
        <f t="shared" si="81"/>
        <v>55000</v>
      </c>
      <c r="J114" s="7">
        <f t="shared" si="73"/>
        <v>21822.5</v>
      </c>
      <c r="K114" s="7">
        <f t="shared" si="74"/>
        <v>76822.5</v>
      </c>
      <c r="L114" s="7"/>
      <c r="M114" s="7">
        <f t="shared" si="75"/>
        <v>9405</v>
      </c>
      <c r="N114" s="8" t="s">
        <v>75</v>
      </c>
      <c r="O114" s="8" t="str">
        <f t="shared" si="76"/>
        <v>N/A</v>
      </c>
      <c r="P114" s="7">
        <f t="shared" si="77"/>
        <v>797.5</v>
      </c>
      <c r="Q114" s="7">
        <f t="shared" si="78"/>
        <v>7000</v>
      </c>
      <c r="R114" s="7">
        <f>IF($I114&lt;7000,7000*R$5,$I114*R$5)*E114</f>
        <v>3850.0000000000005</v>
      </c>
      <c r="S114" s="7">
        <f t="shared" si="80"/>
        <v>770</v>
      </c>
    </row>
    <row r="115" spans="3:24" ht="12">
      <c r="C115" s="368"/>
      <c r="D115" s="281" t="s">
        <v>784</v>
      </c>
      <c r="E115" s="927">
        <v>1</v>
      </c>
      <c r="F115" s="840">
        <v>72488</v>
      </c>
      <c r="G115" s="322">
        <v>12</v>
      </c>
      <c r="H115" s="319" t="s">
        <v>529</v>
      </c>
      <c r="I115" s="320">
        <f t="shared" si="81"/>
        <v>72488</v>
      </c>
      <c r="J115" s="7">
        <f t="shared" si="73"/>
        <v>21951.356</v>
      </c>
      <c r="K115" s="7">
        <f t="shared" si="74"/>
        <v>94439.356</v>
      </c>
      <c r="L115" s="7"/>
      <c r="M115" s="7">
        <f t="shared" si="75"/>
        <v>12395.448</v>
      </c>
      <c r="N115" s="8" t="s">
        <v>75</v>
      </c>
      <c r="O115" s="8" t="str">
        <f t="shared" si="76"/>
        <v>N/A</v>
      </c>
      <c r="P115" s="7">
        <f t="shared" si="77"/>
        <v>1051.076</v>
      </c>
      <c r="Q115" s="7">
        <f t="shared" si="78"/>
        <v>7000</v>
      </c>
      <c r="R115" s="7">
        <f t="shared" si="79"/>
        <v>490.00000000000006</v>
      </c>
      <c r="S115" s="7">
        <f t="shared" si="80"/>
        <v>1014.832</v>
      </c>
    </row>
    <row r="116" spans="3:24" ht="12">
      <c r="C116" s="366"/>
      <c r="D116" s="281"/>
      <c r="E116" s="927"/>
      <c r="F116" s="839"/>
      <c r="G116" s="322"/>
      <c r="H116" s="319"/>
      <c r="I116" s="320"/>
      <c r="J116" s="7">
        <f t="shared" si="73"/>
        <v>0</v>
      </c>
      <c r="K116" s="7">
        <f t="shared" si="74"/>
        <v>0</v>
      </c>
      <c r="L116" s="7"/>
      <c r="M116" s="7">
        <f t="shared" si="75"/>
        <v>0</v>
      </c>
      <c r="N116" s="8" t="s">
        <v>75</v>
      </c>
      <c r="O116" s="8" t="str">
        <f t="shared" ref="O116:O120" si="87">IF($M$5&gt;0,"N/A",$O$5*I116)</f>
        <v>N/A</v>
      </c>
      <c r="P116" s="7">
        <f t="shared" si="77"/>
        <v>0</v>
      </c>
      <c r="Q116" s="7">
        <f t="shared" si="78"/>
        <v>0</v>
      </c>
      <c r="R116" s="7">
        <f t="shared" si="79"/>
        <v>0</v>
      </c>
      <c r="S116" s="7">
        <f t="shared" si="80"/>
        <v>0</v>
      </c>
    </row>
    <row r="117" spans="3:24" ht="12">
      <c r="C117" s="366"/>
      <c r="D117" s="281"/>
      <c r="E117" s="927"/>
      <c r="F117" s="839"/>
      <c r="G117" s="322"/>
      <c r="H117" s="319"/>
      <c r="I117" s="320"/>
      <c r="J117" s="7">
        <f t="shared" si="73"/>
        <v>0</v>
      </c>
      <c r="K117" s="7">
        <f t="shared" si="74"/>
        <v>0</v>
      </c>
      <c r="L117" s="7"/>
      <c r="M117" s="7">
        <f t="shared" si="75"/>
        <v>0</v>
      </c>
      <c r="N117" s="8" t="s">
        <v>75</v>
      </c>
      <c r="O117" s="8" t="str">
        <f t="shared" si="87"/>
        <v>N/A</v>
      </c>
      <c r="P117" s="7">
        <f t="shared" si="77"/>
        <v>0</v>
      </c>
      <c r="Q117" s="7">
        <f t="shared" si="78"/>
        <v>0</v>
      </c>
      <c r="R117" s="7">
        <f t="shared" si="79"/>
        <v>0</v>
      </c>
      <c r="S117" s="7">
        <f t="shared" si="80"/>
        <v>0</v>
      </c>
    </row>
    <row r="118" spans="3:24" ht="12">
      <c r="C118" s="366"/>
      <c r="D118" s="281"/>
      <c r="E118" s="927"/>
      <c r="F118" s="840"/>
      <c r="G118" s="322"/>
      <c r="H118" s="319"/>
      <c r="I118" s="320"/>
      <c r="J118" s="7">
        <f t="shared" si="73"/>
        <v>0</v>
      </c>
      <c r="K118" s="7">
        <f t="shared" si="74"/>
        <v>0</v>
      </c>
      <c r="L118" s="7"/>
      <c r="M118" s="7">
        <f t="shared" si="75"/>
        <v>0</v>
      </c>
      <c r="N118" s="8" t="s">
        <v>75</v>
      </c>
      <c r="O118" s="8" t="str">
        <f t="shared" si="87"/>
        <v>N/A</v>
      </c>
      <c r="P118" s="7">
        <f t="shared" si="77"/>
        <v>0</v>
      </c>
      <c r="Q118" s="7">
        <f t="shared" si="78"/>
        <v>0</v>
      </c>
      <c r="R118" s="7">
        <f t="shared" si="79"/>
        <v>0</v>
      </c>
      <c r="S118" s="7">
        <f t="shared" si="80"/>
        <v>0</v>
      </c>
    </row>
    <row r="119" spans="3:24" ht="12">
      <c r="C119" s="366"/>
      <c r="D119" s="281"/>
      <c r="E119" s="927"/>
      <c r="F119" s="839"/>
      <c r="G119" s="322"/>
      <c r="H119" s="319"/>
      <c r="I119" s="320"/>
      <c r="J119" s="7">
        <f t="shared" si="73"/>
        <v>0</v>
      </c>
      <c r="K119" s="7">
        <f t="shared" si="74"/>
        <v>0</v>
      </c>
      <c r="L119" s="7"/>
      <c r="M119" s="7">
        <f t="shared" si="75"/>
        <v>0</v>
      </c>
      <c r="N119" s="8" t="s">
        <v>75</v>
      </c>
      <c r="O119" s="8" t="str">
        <f t="shared" si="87"/>
        <v>N/A</v>
      </c>
      <c r="P119" s="7">
        <f t="shared" si="77"/>
        <v>0</v>
      </c>
      <c r="Q119" s="7">
        <f t="shared" si="78"/>
        <v>0</v>
      </c>
      <c r="R119" s="7">
        <f t="shared" si="79"/>
        <v>0</v>
      </c>
      <c r="S119" s="7">
        <f t="shared" si="80"/>
        <v>0</v>
      </c>
    </row>
    <row r="120" spans="3:24" ht="12">
      <c r="C120" s="368"/>
      <c r="D120" s="281"/>
      <c r="E120" s="927"/>
      <c r="F120" s="839"/>
      <c r="G120" s="322"/>
      <c r="H120" s="319"/>
      <c r="I120" s="320"/>
      <c r="J120" s="7">
        <f t="shared" si="73"/>
        <v>0</v>
      </c>
      <c r="K120" s="7">
        <f t="shared" si="74"/>
        <v>0</v>
      </c>
      <c r="L120" s="7"/>
      <c r="M120" s="7">
        <f t="shared" si="75"/>
        <v>0</v>
      </c>
      <c r="N120" s="8" t="s">
        <v>75</v>
      </c>
      <c r="O120" s="8" t="str">
        <f t="shared" si="87"/>
        <v>N/A</v>
      </c>
      <c r="P120" s="7">
        <f t="shared" si="77"/>
        <v>0</v>
      </c>
      <c r="Q120" s="7">
        <f t="shared" si="78"/>
        <v>0</v>
      </c>
      <c r="R120" s="7">
        <f t="shared" si="79"/>
        <v>0</v>
      </c>
      <c r="S120" s="7">
        <f t="shared" si="80"/>
        <v>0</v>
      </c>
    </row>
    <row r="121" spans="3:24" ht="13" thickBot="1">
      <c r="C121" s="368"/>
      <c r="D121" s="337"/>
      <c r="E121" s="427"/>
      <c r="F121" s="841"/>
      <c r="G121" s="28"/>
      <c r="H121" s="427"/>
      <c r="I121" s="337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W121" s="1030"/>
    </row>
    <row r="122" spans="3:24" s="41" customFormat="1" ht="13" thickBot="1">
      <c r="C122" s="368"/>
      <c r="D122" s="332"/>
      <c r="E122" s="940"/>
      <c r="F122" s="834"/>
      <c r="G122" s="49"/>
      <c r="H122" s="333">
        <v>1300</v>
      </c>
      <c r="I122" s="10">
        <f>SUM(I102:I121)</f>
        <v>1415483.1600000001</v>
      </c>
      <c r="J122" s="10">
        <f>SUM(J102:J121)</f>
        <v>390608.89041999995</v>
      </c>
      <c r="K122" s="10">
        <f>SUM(K102:K121)</f>
        <v>1806092.05042</v>
      </c>
      <c r="L122" s="11"/>
      <c r="M122" s="10">
        <f t="shared" ref="M122:S122" si="88">SUM(M102:M121)</f>
        <v>242047.62036000003</v>
      </c>
      <c r="N122" s="10">
        <f t="shared" si="88"/>
        <v>0</v>
      </c>
      <c r="O122" s="10">
        <f t="shared" si="88"/>
        <v>0</v>
      </c>
      <c r="P122" s="10">
        <f t="shared" si="88"/>
        <v>20524.505820000006</v>
      </c>
      <c r="Q122" s="10">
        <f t="shared" si="88"/>
        <v>98000</v>
      </c>
      <c r="R122" s="10">
        <f t="shared" si="88"/>
        <v>10220.000000000002</v>
      </c>
      <c r="S122" s="10">
        <f t="shared" si="88"/>
        <v>19816.764239999997</v>
      </c>
    </row>
    <row r="123" spans="3:24" ht="12">
      <c r="C123" s="366" t="s">
        <v>19</v>
      </c>
      <c r="D123" s="334"/>
      <c r="E123" s="941"/>
      <c r="F123" s="835"/>
      <c r="G123" s="28"/>
      <c r="H123" s="35"/>
      <c r="I123" s="7"/>
      <c r="J123" s="7"/>
      <c r="K123" s="7"/>
      <c r="L123" s="7"/>
      <c r="M123" s="36"/>
      <c r="N123" s="36"/>
      <c r="O123" s="36"/>
      <c r="P123" s="36"/>
      <c r="Q123" s="36"/>
      <c r="R123" s="36"/>
      <c r="S123" s="36"/>
    </row>
    <row r="124" spans="3:24" ht="12">
      <c r="C124" s="366"/>
      <c r="D124" s="282"/>
      <c r="E124" s="927"/>
      <c r="F124" s="840"/>
      <c r="G124" s="322"/>
      <c r="H124" s="319"/>
      <c r="I124" s="320"/>
      <c r="J124" s="7">
        <f t="shared" ref="J124:J142" si="89">SUM(M124:S124)</f>
        <v>0</v>
      </c>
      <c r="K124" s="7">
        <f t="shared" ref="K124:K142" si="90">SUM(I124:J124)</f>
        <v>0</v>
      </c>
      <c r="L124" s="7"/>
      <c r="M124" s="7">
        <f t="shared" ref="M124:M142" si="91">I124*$M$5</f>
        <v>0</v>
      </c>
      <c r="N124" s="8" t="s">
        <v>75</v>
      </c>
      <c r="O124" s="8" t="str">
        <f t="shared" ref="O124:O137" si="92">IF($M$5&gt;0,"N/A",$O$5*I124)</f>
        <v>N/A</v>
      </c>
      <c r="P124" s="7">
        <f t="shared" ref="P124:P142" si="93">I124*$P$5</f>
        <v>0</v>
      </c>
      <c r="Q124" s="7">
        <f t="shared" ref="Q124:Q142" si="94">IF(H124="y", $Q$5*E124, 0)</f>
        <v>0</v>
      </c>
      <c r="R124" s="7">
        <f t="shared" ref="R124:R142" si="95">IF($I124&gt;7000,7000*R$5,$I124*R$5)*E124</f>
        <v>0</v>
      </c>
      <c r="S124" s="7">
        <f t="shared" ref="S124:S142" si="96">S$5*$I124</f>
        <v>0</v>
      </c>
      <c r="X124" s="1031"/>
    </row>
    <row r="125" spans="3:24" ht="12">
      <c r="C125" s="366"/>
      <c r="D125" s="282"/>
      <c r="E125" s="927"/>
      <c r="F125" s="840"/>
      <c r="G125" s="322"/>
      <c r="H125" s="319"/>
      <c r="I125" s="320"/>
      <c r="J125" s="7">
        <f t="shared" ref="J125:J133" si="97">SUM(M125:S125)</f>
        <v>0</v>
      </c>
      <c r="K125" s="7">
        <f t="shared" ref="K125:K133" si="98">SUM(I125:J125)</f>
        <v>0</v>
      </c>
      <c r="L125" s="7"/>
      <c r="M125" s="7">
        <f t="shared" ref="M125:M133" si="99">I125*$M$5</f>
        <v>0</v>
      </c>
      <c r="N125" s="8" t="s">
        <v>75</v>
      </c>
      <c r="O125" s="8" t="str">
        <f t="shared" ref="O125:O133" si="100">IF($M$5&gt;0,"N/A",$O$5*I125)</f>
        <v>N/A</v>
      </c>
      <c r="P125" s="7">
        <f t="shared" ref="P125:P133" si="101">I125*$P$5</f>
        <v>0</v>
      </c>
      <c r="Q125" s="7">
        <f t="shared" si="94"/>
        <v>0</v>
      </c>
      <c r="R125" s="7">
        <f t="shared" si="95"/>
        <v>0</v>
      </c>
      <c r="S125" s="7">
        <f t="shared" si="96"/>
        <v>0</v>
      </c>
    </row>
    <row r="126" spans="3:24" ht="12" customHeight="1">
      <c r="C126" s="366"/>
      <c r="D126" s="282"/>
      <c r="E126" s="927"/>
      <c r="F126" s="840"/>
      <c r="G126" s="322"/>
      <c r="H126" s="13"/>
      <c r="I126" s="14"/>
      <c r="J126" s="7">
        <f t="shared" si="97"/>
        <v>0</v>
      </c>
      <c r="K126" s="7">
        <f t="shared" si="98"/>
        <v>0</v>
      </c>
      <c r="L126" s="7"/>
      <c r="M126" s="7">
        <f t="shared" si="99"/>
        <v>0</v>
      </c>
      <c r="N126" s="8" t="s">
        <v>75</v>
      </c>
      <c r="O126" s="8" t="str">
        <f t="shared" si="100"/>
        <v>N/A</v>
      </c>
      <c r="P126" s="7">
        <f t="shared" si="101"/>
        <v>0</v>
      </c>
      <c r="Q126" s="7">
        <f t="shared" si="94"/>
        <v>0</v>
      </c>
      <c r="R126" s="7">
        <f t="shared" si="95"/>
        <v>0</v>
      </c>
      <c r="S126" s="7">
        <f t="shared" si="96"/>
        <v>0</v>
      </c>
    </row>
    <row r="127" spans="3:24" ht="10.25" customHeight="1">
      <c r="C127" s="366"/>
      <c r="D127" s="282"/>
      <c r="E127" s="927"/>
      <c r="F127" s="840"/>
      <c r="G127" s="322"/>
      <c r="H127" s="13"/>
      <c r="I127" s="14"/>
      <c r="J127" s="7">
        <f t="shared" si="97"/>
        <v>0</v>
      </c>
      <c r="K127" s="7">
        <f t="shared" si="98"/>
        <v>0</v>
      </c>
      <c r="L127" s="7"/>
      <c r="M127" s="7">
        <f t="shared" si="99"/>
        <v>0</v>
      </c>
      <c r="N127" s="8" t="s">
        <v>75</v>
      </c>
      <c r="O127" s="8" t="str">
        <f t="shared" si="100"/>
        <v>N/A</v>
      </c>
      <c r="P127" s="7">
        <f t="shared" si="101"/>
        <v>0</v>
      </c>
      <c r="Q127" s="7">
        <f t="shared" si="94"/>
        <v>0</v>
      </c>
      <c r="R127" s="7">
        <f t="shared" si="95"/>
        <v>0</v>
      </c>
      <c r="S127" s="7">
        <f t="shared" si="96"/>
        <v>0</v>
      </c>
    </row>
    <row r="128" spans="3:24" ht="12">
      <c r="C128" s="368"/>
      <c r="D128" s="282"/>
      <c r="E128" s="927"/>
      <c r="F128" s="840"/>
      <c r="G128" s="322"/>
      <c r="H128" s="13"/>
      <c r="I128" s="14"/>
      <c r="J128" s="7">
        <f t="shared" si="97"/>
        <v>0</v>
      </c>
      <c r="K128" s="7">
        <f t="shared" si="98"/>
        <v>0</v>
      </c>
      <c r="L128" s="7"/>
      <c r="M128" s="7">
        <f t="shared" si="99"/>
        <v>0</v>
      </c>
      <c r="N128" s="8" t="s">
        <v>75</v>
      </c>
      <c r="O128" s="8" t="str">
        <f t="shared" si="100"/>
        <v>N/A</v>
      </c>
      <c r="P128" s="7">
        <f t="shared" si="101"/>
        <v>0</v>
      </c>
      <c r="Q128" s="7">
        <f t="shared" si="94"/>
        <v>0</v>
      </c>
      <c r="R128" s="7">
        <f t="shared" si="95"/>
        <v>0</v>
      </c>
      <c r="S128" s="7">
        <f t="shared" si="96"/>
        <v>0</v>
      </c>
    </row>
    <row r="129" spans="3:19" ht="12">
      <c r="C129" s="366"/>
      <c r="D129" s="282"/>
      <c r="E129" s="927"/>
      <c r="F129" s="840"/>
      <c r="G129" s="322"/>
      <c r="H129" s="13"/>
      <c r="I129" s="14"/>
      <c r="J129" s="7">
        <f t="shared" si="97"/>
        <v>0</v>
      </c>
      <c r="K129" s="7">
        <f t="shared" si="98"/>
        <v>0</v>
      </c>
      <c r="L129" s="7"/>
      <c r="M129" s="7">
        <f t="shared" si="99"/>
        <v>0</v>
      </c>
      <c r="N129" s="8" t="s">
        <v>75</v>
      </c>
      <c r="O129" s="8" t="str">
        <f t="shared" si="100"/>
        <v>N/A</v>
      </c>
      <c r="P129" s="7">
        <f t="shared" si="101"/>
        <v>0</v>
      </c>
      <c r="Q129" s="7">
        <f t="shared" si="94"/>
        <v>0</v>
      </c>
      <c r="R129" s="7">
        <f t="shared" si="95"/>
        <v>0</v>
      </c>
      <c r="S129" s="7">
        <f t="shared" si="96"/>
        <v>0</v>
      </c>
    </row>
    <row r="130" spans="3:19" ht="12">
      <c r="C130" s="366"/>
      <c r="D130" s="282"/>
      <c r="E130" s="927"/>
      <c r="F130" s="840"/>
      <c r="G130" s="322"/>
      <c r="H130" s="13"/>
      <c r="I130" s="14"/>
      <c r="J130" s="7">
        <f t="shared" si="97"/>
        <v>0</v>
      </c>
      <c r="K130" s="7">
        <f t="shared" si="98"/>
        <v>0</v>
      </c>
      <c r="L130" s="7"/>
      <c r="M130" s="7">
        <f t="shared" si="99"/>
        <v>0</v>
      </c>
      <c r="N130" s="8" t="s">
        <v>75</v>
      </c>
      <c r="O130" s="8" t="str">
        <f t="shared" si="100"/>
        <v>N/A</v>
      </c>
      <c r="P130" s="7">
        <f t="shared" si="101"/>
        <v>0</v>
      </c>
      <c r="Q130" s="7">
        <f t="shared" si="94"/>
        <v>0</v>
      </c>
      <c r="R130" s="7">
        <f t="shared" si="95"/>
        <v>0</v>
      </c>
      <c r="S130" s="7">
        <f t="shared" si="96"/>
        <v>0</v>
      </c>
    </row>
    <row r="131" spans="3:19" ht="12">
      <c r="C131" s="366"/>
      <c r="D131" s="282"/>
      <c r="E131" s="927"/>
      <c r="F131" s="840"/>
      <c r="G131" s="322"/>
      <c r="H131" s="13"/>
      <c r="I131" s="14"/>
      <c r="J131" s="7">
        <f t="shared" si="97"/>
        <v>0</v>
      </c>
      <c r="K131" s="7">
        <f t="shared" si="98"/>
        <v>0</v>
      </c>
      <c r="L131" s="7"/>
      <c r="M131" s="7">
        <f t="shared" si="99"/>
        <v>0</v>
      </c>
      <c r="N131" s="8" t="s">
        <v>75</v>
      </c>
      <c r="O131" s="8" t="str">
        <f t="shared" si="100"/>
        <v>N/A</v>
      </c>
      <c r="P131" s="7">
        <f t="shared" si="101"/>
        <v>0</v>
      </c>
      <c r="Q131" s="7">
        <f t="shared" si="94"/>
        <v>0</v>
      </c>
      <c r="R131" s="7">
        <f t="shared" si="95"/>
        <v>0</v>
      </c>
      <c r="S131" s="7">
        <f t="shared" si="96"/>
        <v>0</v>
      </c>
    </row>
    <row r="132" spans="3:19" ht="12">
      <c r="C132" s="366"/>
      <c r="D132" s="282"/>
      <c r="E132" s="927"/>
      <c r="F132" s="840"/>
      <c r="G132" s="322"/>
      <c r="H132" s="13"/>
      <c r="I132" s="14"/>
      <c r="J132" s="7">
        <f t="shared" si="97"/>
        <v>0</v>
      </c>
      <c r="K132" s="7">
        <f t="shared" si="98"/>
        <v>0</v>
      </c>
      <c r="L132" s="7"/>
      <c r="M132" s="7">
        <f t="shared" si="99"/>
        <v>0</v>
      </c>
      <c r="N132" s="8" t="s">
        <v>75</v>
      </c>
      <c r="O132" s="8" t="str">
        <f t="shared" si="100"/>
        <v>N/A</v>
      </c>
      <c r="P132" s="7">
        <f t="shared" si="101"/>
        <v>0</v>
      </c>
      <c r="Q132" s="7">
        <f t="shared" si="94"/>
        <v>0</v>
      </c>
      <c r="R132" s="7">
        <f t="shared" si="95"/>
        <v>0</v>
      </c>
      <c r="S132" s="7">
        <f t="shared" si="96"/>
        <v>0</v>
      </c>
    </row>
    <row r="133" spans="3:19" ht="12">
      <c r="C133" s="368"/>
      <c r="D133" s="282"/>
      <c r="E133" s="927"/>
      <c r="F133" s="840"/>
      <c r="G133" s="322"/>
      <c r="H133" s="13"/>
      <c r="I133" s="14"/>
      <c r="J133" s="7">
        <f t="shared" si="97"/>
        <v>0</v>
      </c>
      <c r="K133" s="7">
        <f t="shared" si="98"/>
        <v>0</v>
      </c>
      <c r="L133" s="7"/>
      <c r="M133" s="7">
        <f t="shared" si="99"/>
        <v>0</v>
      </c>
      <c r="N133" s="8" t="s">
        <v>75</v>
      </c>
      <c r="O133" s="8" t="str">
        <f t="shared" si="100"/>
        <v>N/A</v>
      </c>
      <c r="P133" s="7">
        <f t="shared" si="101"/>
        <v>0</v>
      </c>
      <c r="Q133" s="7">
        <f t="shared" si="94"/>
        <v>0</v>
      </c>
      <c r="R133" s="7">
        <f t="shared" si="95"/>
        <v>0</v>
      </c>
      <c r="S133" s="7">
        <f t="shared" si="96"/>
        <v>0</v>
      </c>
    </row>
    <row r="134" spans="3:19" ht="12">
      <c r="C134" s="366"/>
      <c r="D134" s="282"/>
      <c r="E134" s="927"/>
      <c r="F134" s="840"/>
      <c r="G134" s="322"/>
      <c r="H134" s="13"/>
      <c r="I134" s="14"/>
      <c r="J134" s="7">
        <f t="shared" si="89"/>
        <v>0</v>
      </c>
      <c r="K134" s="7">
        <f t="shared" si="90"/>
        <v>0</v>
      </c>
      <c r="L134" s="7"/>
      <c r="M134" s="7">
        <f t="shared" si="91"/>
        <v>0</v>
      </c>
      <c r="N134" s="8" t="s">
        <v>75</v>
      </c>
      <c r="O134" s="8" t="str">
        <f t="shared" si="92"/>
        <v>N/A</v>
      </c>
      <c r="P134" s="7">
        <f t="shared" si="93"/>
        <v>0</v>
      </c>
      <c r="Q134" s="7">
        <f t="shared" si="94"/>
        <v>0</v>
      </c>
      <c r="R134" s="7">
        <f t="shared" si="95"/>
        <v>0</v>
      </c>
      <c r="S134" s="7">
        <f t="shared" si="96"/>
        <v>0</v>
      </c>
    </row>
    <row r="135" spans="3:19" ht="12" customHeight="1">
      <c r="C135" s="366"/>
      <c r="D135" s="282"/>
      <c r="E135" s="927"/>
      <c r="F135" s="840"/>
      <c r="G135" s="322"/>
      <c r="H135" s="13"/>
      <c r="I135" s="14"/>
      <c r="J135" s="7">
        <f t="shared" si="89"/>
        <v>0</v>
      </c>
      <c r="K135" s="7">
        <f t="shared" si="90"/>
        <v>0</v>
      </c>
      <c r="L135" s="7"/>
      <c r="M135" s="7">
        <f t="shared" si="91"/>
        <v>0</v>
      </c>
      <c r="N135" s="8" t="s">
        <v>75</v>
      </c>
      <c r="O135" s="8" t="str">
        <f t="shared" si="92"/>
        <v>N/A</v>
      </c>
      <c r="P135" s="7">
        <f t="shared" si="93"/>
        <v>0</v>
      </c>
      <c r="Q135" s="7">
        <f t="shared" si="94"/>
        <v>0</v>
      </c>
      <c r="R135" s="7">
        <f t="shared" si="95"/>
        <v>0</v>
      </c>
      <c r="S135" s="7">
        <f t="shared" si="96"/>
        <v>0</v>
      </c>
    </row>
    <row r="136" spans="3:19" ht="10.25" customHeight="1">
      <c r="C136" s="366"/>
      <c r="D136" s="282"/>
      <c r="E136" s="927"/>
      <c r="F136" s="840"/>
      <c r="G136" s="322"/>
      <c r="H136" s="13"/>
      <c r="I136" s="14"/>
      <c r="J136" s="7">
        <f t="shared" si="89"/>
        <v>0</v>
      </c>
      <c r="K136" s="7">
        <f t="shared" si="90"/>
        <v>0</v>
      </c>
      <c r="L136" s="7"/>
      <c r="M136" s="7">
        <f t="shared" si="91"/>
        <v>0</v>
      </c>
      <c r="N136" s="8" t="s">
        <v>75</v>
      </c>
      <c r="O136" s="8" t="str">
        <f t="shared" si="92"/>
        <v>N/A</v>
      </c>
      <c r="P136" s="7">
        <f t="shared" si="93"/>
        <v>0</v>
      </c>
      <c r="Q136" s="7">
        <f t="shared" si="94"/>
        <v>0</v>
      </c>
      <c r="R136" s="7">
        <f t="shared" si="95"/>
        <v>0</v>
      </c>
      <c r="S136" s="7">
        <f t="shared" si="96"/>
        <v>0</v>
      </c>
    </row>
    <row r="137" spans="3:19" ht="12">
      <c r="C137" s="368"/>
      <c r="D137" s="282"/>
      <c r="E137" s="927"/>
      <c r="F137" s="840"/>
      <c r="G137" s="322"/>
      <c r="H137" s="13"/>
      <c r="I137" s="14"/>
      <c r="J137" s="7">
        <f t="shared" si="89"/>
        <v>0</v>
      </c>
      <c r="K137" s="7">
        <f t="shared" si="90"/>
        <v>0</v>
      </c>
      <c r="L137" s="7"/>
      <c r="M137" s="7">
        <f t="shared" si="91"/>
        <v>0</v>
      </c>
      <c r="N137" s="8" t="s">
        <v>75</v>
      </c>
      <c r="O137" s="8" t="str">
        <f t="shared" si="92"/>
        <v>N/A</v>
      </c>
      <c r="P137" s="7">
        <f t="shared" si="93"/>
        <v>0</v>
      </c>
      <c r="Q137" s="7">
        <f t="shared" si="94"/>
        <v>0</v>
      </c>
      <c r="R137" s="7">
        <f t="shared" si="95"/>
        <v>0</v>
      </c>
      <c r="S137" s="7">
        <f t="shared" si="96"/>
        <v>0</v>
      </c>
    </row>
    <row r="138" spans="3:19" ht="12">
      <c r="C138" s="366"/>
      <c r="D138" s="282"/>
      <c r="E138" s="927"/>
      <c r="F138" s="840"/>
      <c r="G138" s="322"/>
      <c r="H138" s="13"/>
      <c r="I138" s="14"/>
      <c r="J138" s="7">
        <f t="shared" si="89"/>
        <v>0</v>
      </c>
      <c r="K138" s="7">
        <f t="shared" si="90"/>
        <v>0</v>
      </c>
      <c r="L138" s="7"/>
      <c r="M138" s="7">
        <f t="shared" si="91"/>
        <v>0</v>
      </c>
      <c r="N138" s="8" t="s">
        <v>75</v>
      </c>
      <c r="O138" s="8" t="str">
        <f t="shared" ref="O138:O142" si="102">IF($M$5&gt;0,"N/A",$O$5*I138)</f>
        <v>N/A</v>
      </c>
      <c r="P138" s="7">
        <f t="shared" si="93"/>
        <v>0</v>
      </c>
      <c r="Q138" s="7">
        <f t="shared" si="94"/>
        <v>0</v>
      </c>
      <c r="R138" s="7">
        <f t="shared" si="95"/>
        <v>0</v>
      </c>
      <c r="S138" s="7">
        <f t="shared" si="96"/>
        <v>0</v>
      </c>
    </row>
    <row r="139" spans="3:19" ht="12">
      <c r="C139" s="366"/>
      <c r="D139" s="282"/>
      <c r="E139" s="927"/>
      <c r="F139" s="840"/>
      <c r="G139" s="322"/>
      <c r="H139" s="13"/>
      <c r="I139" s="14"/>
      <c r="J139" s="7">
        <f t="shared" si="89"/>
        <v>0</v>
      </c>
      <c r="K139" s="7">
        <f t="shared" si="90"/>
        <v>0</v>
      </c>
      <c r="L139" s="7"/>
      <c r="M139" s="7">
        <f t="shared" si="91"/>
        <v>0</v>
      </c>
      <c r="N139" s="8" t="s">
        <v>75</v>
      </c>
      <c r="O139" s="8" t="str">
        <f t="shared" si="102"/>
        <v>N/A</v>
      </c>
      <c r="P139" s="7">
        <f t="shared" si="93"/>
        <v>0</v>
      </c>
      <c r="Q139" s="7">
        <f t="shared" si="94"/>
        <v>0</v>
      </c>
      <c r="R139" s="7">
        <f t="shared" si="95"/>
        <v>0</v>
      </c>
      <c r="S139" s="7">
        <f t="shared" si="96"/>
        <v>0</v>
      </c>
    </row>
    <row r="140" spans="3:19" ht="12">
      <c r="C140" s="366"/>
      <c r="D140" s="282"/>
      <c r="E140" s="927"/>
      <c r="F140" s="840"/>
      <c r="G140" s="322"/>
      <c r="H140" s="13"/>
      <c r="I140" s="14"/>
      <c r="J140" s="7">
        <f t="shared" si="89"/>
        <v>0</v>
      </c>
      <c r="K140" s="7">
        <f t="shared" si="90"/>
        <v>0</v>
      </c>
      <c r="L140" s="7"/>
      <c r="M140" s="7">
        <f t="shared" si="91"/>
        <v>0</v>
      </c>
      <c r="N140" s="8" t="s">
        <v>75</v>
      </c>
      <c r="O140" s="8" t="str">
        <f t="shared" si="102"/>
        <v>N/A</v>
      </c>
      <c r="P140" s="7">
        <f t="shared" si="93"/>
        <v>0</v>
      </c>
      <c r="Q140" s="7">
        <f t="shared" si="94"/>
        <v>0</v>
      </c>
      <c r="R140" s="7">
        <f t="shared" si="95"/>
        <v>0</v>
      </c>
      <c r="S140" s="7">
        <f t="shared" si="96"/>
        <v>0</v>
      </c>
    </row>
    <row r="141" spans="3:19" ht="12">
      <c r="C141" s="366"/>
      <c r="D141" s="282"/>
      <c r="E141" s="927"/>
      <c r="F141" s="840"/>
      <c r="G141" s="322"/>
      <c r="H141" s="13"/>
      <c r="I141" s="14"/>
      <c r="J141" s="7">
        <f t="shared" si="89"/>
        <v>0</v>
      </c>
      <c r="K141" s="7">
        <f t="shared" si="90"/>
        <v>0</v>
      </c>
      <c r="L141" s="7"/>
      <c r="M141" s="7">
        <f t="shared" si="91"/>
        <v>0</v>
      </c>
      <c r="N141" s="8" t="s">
        <v>75</v>
      </c>
      <c r="O141" s="8" t="str">
        <f t="shared" si="102"/>
        <v>N/A</v>
      </c>
      <c r="P141" s="7">
        <f t="shared" si="93"/>
        <v>0</v>
      </c>
      <c r="Q141" s="7">
        <f t="shared" si="94"/>
        <v>0</v>
      </c>
      <c r="R141" s="7">
        <f t="shared" si="95"/>
        <v>0</v>
      </c>
      <c r="S141" s="7">
        <f t="shared" si="96"/>
        <v>0</v>
      </c>
    </row>
    <row r="142" spans="3:19" ht="12">
      <c r="C142" s="368"/>
      <c r="D142" s="282"/>
      <c r="E142" s="927"/>
      <c r="F142" s="840"/>
      <c r="G142" s="322"/>
      <c r="H142" s="13"/>
      <c r="I142" s="14"/>
      <c r="J142" s="7">
        <f t="shared" si="89"/>
        <v>0</v>
      </c>
      <c r="K142" s="7">
        <f t="shared" si="90"/>
        <v>0</v>
      </c>
      <c r="L142" s="7"/>
      <c r="M142" s="7">
        <f t="shared" si="91"/>
        <v>0</v>
      </c>
      <c r="N142" s="8" t="s">
        <v>75</v>
      </c>
      <c r="O142" s="8" t="str">
        <f t="shared" si="102"/>
        <v>N/A</v>
      </c>
      <c r="P142" s="7">
        <f t="shared" si="93"/>
        <v>0</v>
      </c>
      <c r="Q142" s="7">
        <f t="shared" si="94"/>
        <v>0</v>
      </c>
      <c r="R142" s="7">
        <f t="shared" si="95"/>
        <v>0</v>
      </c>
      <c r="S142" s="7">
        <f t="shared" si="96"/>
        <v>0</v>
      </c>
    </row>
    <row r="143" spans="3:19" ht="13" thickBot="1">
      <c r="C143" s="368"/>
      <c r="D143" s="337"/>
      <c r="E143" s="427"/>
      <c r="F143" s="841"/>
      <c r="G143" s="28"/>
      <c r="H143" s="427"/>
      <c r="I143" s="337"/>
      <c r="J143" s="40"/>
      <c r="K143" s="40"/>
      <c r="L143" s="40"/>
      <c r="M143" s="40"/>
      <c r="N143" s="40"/>
      <c r="O143" s="40"/>
      <c r="P143" s="40"/>
      <c r="Q143" s="40"/>
      <c r="R143" s="40"/>
      <c r="S143" s="40"/>
    </row>
    <row r="144" spans="3:19" s="41" customFormat="1" ht="13" thickBot="1">
      <c r="C144" s="368"/>
      <c r="D144" s="332"/>
      <c r="E144" s="940"/>
      <c r="F144" s="834"/>
      <c r="G144" s="49"/>
      <c r="H144" s="333">
        <v>1900</v>
      </c>
      <c r="I144" s="15">
        <f>SUM(I124:I143)</f>
        <v>0</v>
      </c>
      <c r="J144" s="15">
        <f>SUM(J124:J143)</f>
        <v>0</v>
      </c>
      <c r="K144" s="15">
        <f>SUM(K124:K143)</f>
        <v>0</v>
      </c>
      <c r="L144" s="16"/>
      <c r="M144" s="15">
        <f t="shared" ref="M144:S144" si="103">SUM(M124:M143)</f>
        <v>0</v>
      </c>
      <c r="N144" s="15">
        <f t="shared" si="103"/>
        <v>0</v>
      </c>
      <c r="O144" s="15">
        <f t="shared" si="103"/>
        <v>0</v>
      </c>
      <c r="P144" s="15">
        <f t="shared" si="103"/>
        <v>0</v>
      </c>
      <c r="Q144" s="15">
        <f t="shared" si="103"/>
        <v>0</v>
      </c>
      <c r="R144" s="15">
        <f t="shared" si="103"/>
        <v>0</v>
      </c>
      <c r="S144" s="15">
        <f t="shared" si="103"/>
        <v>0</v>
      </c>
    </row>
    <row r="145" spans="3:19" ht="12">
      <c r="C145" s="369" t="s">
        <v>20</v>
      </c>
      <c r="D145" s="334"/>
      <c r="E145" s="941"/>
      <c r="F145" s="835"/>
      <c r="G145" s="28"/>
      <c r="H145" s="35"/>
      <c r="I145" s="7"/>
      <c r="J145" s="7"/>
      <c r="K145" s="7"/>
      <c r="L145" s="7"/>
      <c r="M145" s="36"/>
      <c r="N145" s="36"/>
      <c r="O145" s="36"/>
      <c r="P145" s="36"/>
      <c r="Q145" s="36"/>
      <c r="R145" s="36"/>
      <c r="S145" s="36"/>
    </row>
    <row r="146" spans="3:19" ht="12">
      <c r="C146" s="369"/>
      <c r="D146" s="318" t="s">
        <v>785</v>
      </c>
      <c r="E146" s="927">
        <v>1</v>
      </c>
      <c r="F146" s="842">
        <v>58847.64</v>
      </c>
      <c r="G146" s="322">
        <v>12</v>
      </c>
      <c r="H146" s="319" t="s">
        <v>529</v>
      </c>
      <c r="I146" s="320">
        <f>F146*E146</f>
        <v>58847.64</v>
      </c>
      <c r="J146" s="7">
        <f t="shared" ref="J146:J164" si="104">SUM(M146:S146)</f>
        <v>12815.71142</v>
      </c>
      <c r="K146" s="7">
        <f t="shared" ref="K146:K164" si="105">SUM(I146:J146)</f>
        <v>71663.351419999992</v>
      </c>
      <c r="L146" s="7"/>
      <c r="M146" s="8" t="s">
        <v>75</v>
      </c>
      <c r="N146" s="7">
        <f t="shared" ref="N146:N164" si="106">I146*$N$5</f>
        <v>0</v>
      </c>
      <c r="O146" s="8">
        <f>I146*$O$5</f>
        <v>3648.55368</v>
      </c>
      <c r="P146" s="7">
        <f t="shared" ref="P146:P159" si="107">I146*$P$5</f>
        <v>853.29078000000004</v>
      </c>
      <c r="Q146" s="7">
        <f t="shared" ref="Q146:Q164" si="108">IF(H146="y", $Q$5*E146, 0)</f>
        <v>7000</v>
      </c>
      <c r="R146" s="7">
        <f t="shared" ref="R146:R164" si="109">IF($I146&gt;7000,7000*R$5,$I146*R$5)*E146</f>
        <v>490.00000000000006</v>
      </c>
      <c r="S146" s="7">
        <f t="shared" ref="S146:S164" si="110">S$5*$I146</f>
        <v>823.86696000000006</v>
      </c>
    </row>
    <row r="147" spans="3:19" ht="12">
      <c r="C147" s="369"/>
      <c r="D147" s="318" t="s">
        <v>786</v>
      </c>
      <c r="E147" s="927">
        <v>1</v>
      </c>
      <c r="F147" s="842">
        <v>20123.64</v>
      </c>
      <c r="G147" s="322">
        <v>12</v>
      </c>
      <c r="H147" s="319" t="s">
        <v>529</v>
      </c>
      <c r="I147" s="320">
        <f t="shared" ref="I147:I151" si="111">F147*E147</f>
        <v>20123.64</v>
      </c>
      <c r="J147" s="7">
        <f t="shared" ref="J147:J155" si="112">SUM(M147:S147)</f>
        <v>9311.1894200000006</v>
      </c>
      <c r="K147" s="7">
        <f t="shared" ref="K147:K155" si="113">SUM(I147:J147)</f>
        <v>29434.829420000002</v>
      </c>
      <c r="L147" s="7"/>
      <c r="M147" s="8" t="s">
        <v>75</v>
      </c>
      <c r="N147" s="7">
        <f t="shared" ref="N147:N155" si="114">I147*$N$5</f>
        <v>0</v>
      </c>
      <c r="O147" s="8">
        <f t="shared" ref="O147:O150" si="115">I147*$O$5</f>
        <v>1247.6656800000001</v>
      </c>
      <c r="P147" s="7">
        <f t="shared" ref="P147:P155" si="116">I147*$P$5</f>
        <v>291.79277999999999</v>
      </c>
      <c r="Q147" s="7">
        <f t="shared" si="108"/>
        <v>7000</v>
      </c>
      <c r="R147" s="7">
        <f t="shared" si="109"/>
        <v>490.00000000000006</v>
      </c>
      <c r="S147" s="7">
        <f t="shared" si="110"/>
        <v>281.73095999999998</v>
      </c>
    </row>
    <row r="148" spans="3:19" ht="12">
      <c r="C148" s="369"/>
      <c r="D148" s="318" t="s">
        <v>787</v>
      </c>
      <c r="E148" s="927">
        <v>1</v>
      </c>
      <c r="F148" s="842">
        <v>32493.120000000003</v>
      </c>
      <c r="G148" s="322">
        <v>12</v>
      </c>
      <c r="H148" s="319" t="s">
        <v>529</v>
      </c>
      <c r="I148" s="320">
        <f t="shared" si="111"/>
        <v>32493.120000000003</v>
      </c>
      <c r="J148" s="7">
        <f t="shared" si="112"/>
        <v>10430.627359999999</v>
      </c>
      <c r="K148" s="7">
        <f t="shared" si="113"/>
        <v>42923.747360000001</v>
      </c>
      <c r="L148" s="7"/>
      <c r="M148" s="8" t="s">
        <v>75</v>
      </c>
      <c r="N148" s="7">
        <f t="shared" si="114"/>
        <v>0</v>
      </c>
      <c r="O148" s="8">
        <f t="shared" si="115"/>
        <v>2014.5734400000001</v>
      </c>
      <c r="P148" s="7">
        <f t="shared" si="116"/>
        <v>471.15024000000005</v>
      </c>
      <c r="Q148" s="7">
        <f t="shared" si="108"/>
        <v>7000</v>
      </c>
      <c r="R148" s="7">
        <f t="shared" si="109"/>
        <v>490.00000000000006</v>
      </c>
      <c r="S148" s="7">
        <f>S$5*$I148</f>
        <v>454.90368000000007</v>
      </c>
    </row>
    <row r="149" spans="3:19" ht="12">
      <c r="C149" s="369"/>
      <c r="D149" s="318" t="s">
        <v>788</v>
      </c>
      <c r="E149" s="928">
        <v>1</v>
      </c>
      <c r="F149" s="842">
        <v>45690.96</v>
      </c>
      <c r="G149" s="322">
        <v>12</v>
      </c>
      <c r="H149" s="319" t="s">
        <v>529</v>
      </c>
      <c r="I149" s="320">
        <f t="shared" si="111"/>
        <v>45690.96</v>
      </c>
      <c r="J149" s="7">
        <f t="shared" si="112"/>
        <v>11625.03188</v>
      </c>
      <c r="K149" s="7">
        <f t="shared" si="113"/>
        <v>57315.991880000001</v>
      </c>
      <c r="L149" s="7"/>
      <c r="M149" s="8" t="s">
        <v>75</v>
      </c>
      <c r="N149" s="7">
        <f t="shared" si="114"/>
        <v>0</v>
      </c>
      <c r="O149" s="8">
        <f t="shared" si="115"/>
        <v>2832.83952</v>
      </c>
      <c r="P149" s="7">
        <f t="shared" si="116"/>
        <v>662.51891999999998</v>
      </c>
      <c r="Q149" s="7">
        <f t="shared" si="108"/>
        <v>7000</v>
      </c>
      <c r="R149" s="7">
        <f t="shared" si="109"/>
        <v>490.00000000000006</v>
      </c>
      <c r="S149" s="7">
        <f>S$5*$I149</f>
        <v>639.67344000000003</v>
      </c>
    </row>
    <row r="150" spans="3:19" ht="12">
      <c r="C150" s="368"/>
      <c r="D150" s="318" t="s">
        <v>799</v>
      </c>
      <c r="E150" s="928">
        <v>1</v>
      </c>
      <c r="F150" s="842">
        <v>37568.160000000003</v>
      </c>
      <c r="G150" s="322">
        <v>12</v>
      </c>
      <c r="H150" s="319" t="s">
        <v>529</v>
      </c>
      <c r="I150" s="320">
        <f t="shared" si="111"/>
        <v>37568.160000000003</v>
      </c>
      <c r="J150" s="7">
        <f t="shared" si="112"/>
        <v>10889.91848</v>
      </c>
      <c r="K150" s="7">
        <f t="shared" si="113"/>
        <v>48458.078480000004</v>
      </c>
      <c r="L150" s="7"/>
      <c r="M150" s="8" t="s">
        <v>75</v>
      </c>
      <c r="N150" s="7">
        <f t="shared" si="114"/>
        <v>0</v>
      </c>
      <c r="O150" s="8">
        <f t="shared" si="115"/>
        <v>2329.2259200000003</v>
      </c>
      <c r="P150" s="7">
        <f t="shared" si="116"/>
        <v>544.73832000000004</v>
      </c>
      <c r="Q150" s="7">
        <f t="shared" si="108"/>
        <v>7000</v>
      </c>
      <c r="R150" s="7">
        <f t="shared" si="109"/>
        <v>490.00000000000006</v>
      </c>
      <c r="S150" s="7">
        <f t="shared" si="110"/>
        <v>525.95424000000003</v>
      </c>
    </row>
    <row r="151" spans="3:19" ht="12">
      <c r="C151" s="369"/>
      <c r="D151" s="318" t="s">
        <v>789</v>
      </c>
      <c r="E151" s="928">
        <v>1</v>
      </c>
      <c r="F151" s="842">
        <v>46200</v>
      </c>
      <c r="G151" s="322">
        <v>12</v>
      </c>
      <c r="H151" s="319" t="s">
        <v>529</v>
      </c>
      <c r="I151" s="320">
        <f t="shared" si="111"/>
        <v>46200</v>
      </c>
      <c r="J151" s="7">
        <f t="shared" si="112"/>
        <v>11671.099999999999</v>
      </c>
      <c r="K151" s="7">
        <f t="shared" si="113"/>
        <v>57871.1</v>
      </c>
      <c r="L151" s="7"/>
      <c r="M151" s="8" t="s">
        <v>75</v>
      </c>
      <c r="N151" s="7">
        <f t="shared" si="114"/>
        <v>0</v>
      </c>
      <c r="O151" s="8">
        <f>I151*$O$5</f>
        <v>2864.4</v>
      </c>
      <c r="P151" s="7">
        <f t="shared" si="116"/>
        <v>669.9</v>
      </c>
      <c r="Q151" s="7">
        <f t="shared" si="108"/>
        <v>7000</v>
      </c>
      <c r="R151" s="7">
        <f t="shared" si="109"/>
        <v>490.00000000000006</v>
      </c>
      <c r="S151" s="7">
        <f t="shared" si="110"/>
        <v>646.80000000000007</v>
      </c>
    </row>
    <row r="152" spans="3:19" ht="12">
      <c r="C152" s="369"/>
      <c r="D152" s="318"/>
      <c r="E152" s="928"/>
      <c r="F152" s="842"/>
      <c r="G152" s="322"/>
      <c r="H152" s="319"/>
      <c r="I152" s="320"/>
      <c r="J152" s="7">
        <f t="shared" si="112"/>
        <v>0</v>
      </c>
      <c r="K152" s="7">
        <f t="shared" si="113"/>
        <v>0</v>
      </c>
      <c r="L152" s="7"/>
      <c r="M152" s="8" t="s">
        <v>75</v>
      </c>
      <c r="N152" s="7">
        <f t="shared" si="114"/>
        <v>0</v>
      </c>
      <c r="O152" s="8">
        <f t="shared" ref="O152:O155" si="117">I152*$O$5</f>
        <v>0</v>
      </c>
      <c r="P152" s="7">
        <f t="shared" si="116"/>
        <v>0</v>
      </c>
      <c r="Q152" s="7">
        <f t="shared" si="108"/>
        <v>0</v>
      </c>
      <c r="R152" s="7">
        <f t="shared" si="109"/>
        <v>0</v>
      </c>
      <c r="S152" s="7">
        <f t="shared" si="110"/>
        <v>0</v>
      </c>
    </row>
    <row r="153" spans="3:19" ht="12">
      <c r="C153" s="369"/>
      <c r="D153" s="318"/>
      <c r="E153" s="928"/>
      <c r="F153" s="842"/>
      <c r="G153" s="322"/>
      <c r="H153" s="319"/>
      <c r="I153" s="320"/>
      <c r="J153" s="7">
        <f t="shared" si="112"/>
        <v>0</v>
      </c>
      <c r="K153" s="7">
        <f t="shared" si="113"/>
        <v>0</v>
      </c>
      <c r="L153" s="7"/>
      <c r="M153" s="8" t="s">
        <v>75</v>
      </c>
      <c r="N153" s="7">
        <f t="shared" si="114"/>
        <v>0</v>
      </c>
      <c r="O153" s="8">
        <f t="shared" si="117"/>
        <v>0</v>
      </c>
      <c r="P153" s="7">
        <f t="shared" si="116"/>
        <v>0</v>
      </c>
      <c r="Q153" s="7">
        <f t="shared" si="108"/>
        <v>0</v>
      </c>
      <c r="R153" s="7">
        <f t="shared" si="109"/>
        <v>0</v>
      </c>
      <c r="S153" s="7">
        <f>S$5*$I153</f>
        <v>0</v>
      </c>
    </row>
    <row r="154" spans="3:19" ht="12">
      <c r="C154" s="369"/>
      <c r="D154" s="318"/>
      <c r="E154" s="928"/>
      <c r="F154" s="842"/>
      <c r="G154" s="322"/>
      <c r="H154" s="319"/>
      <c r="I154" s="320"/>
      <c r="J154" s="7">
        <f t="shared" si="112"/>
        <v>0</v>
      </c>
      <c r="K154" s="7">
        <f t="shared" si="113"/>
        <v>0</v>
      </c>
      <c r="L154" s="7"/>
      <c r="M154" s="8" t="s">
        <v>75</v>
      </c>
      <c r="N154" s="7">
        <f t="shared" si="114"/>
        <v>0</v>
      </c>
      <c r="O154" s="8">
        <f t="shared" si="117"/>
        <v>0</v>
      </c>
      <c r="P154" s="7">
        <f t="shared" si="116"/>
        <v>0</v>
      </c>
      <c r="Q154" s="7">
        <f t="shared" si="108"/>
        <v>0</v>
      </c>
      <c r="R154" s="7">
        <f t="shared" si="109"/>
        <v>0</v>
      </c>
      <c r="S154" s="7">
        <f>S$5*$I154</f>
        <v>0</v>
      </c>
    </row>
    <row r="155" spans="3:19" ht="12">
      <c r="C155" s="368"/>
      <c r="D155" s="318"/>
      <c r="E155" s="928"/>
      <c r="F155" s="842"/>
      <c r="G155" s="322"/>
      <c r="H155" s="319"/>
      <c r="I155" s="320"/>
      <c r="J155" s="7">
        <f t="shared" si="112"/>
        <v>0</v>
      </c>
      <c r="K155" s="7">
        <f t="shared" si="113"/>
        <v>0</v>
      </c>
      <c r="L155" s="7"/>
      <c r="M155" s="8" t="s">
        <v>75</v>
      </c>
      <c r="N155" s="7">
        <f t="shared" si="114"/>
        <v>0</v>
      </c>
      <c r="O155" s="8">
        <f t="shared" si="117"/>
        <v>0</v>
      </c>
      <c r="P155" s="7">
        <f t="shared" si="116"/>
        <v>0</v>
      </c>
      <c r="Q155" s="7">
        <f t="shared" si="108"/>
        <v>0</v>
      </c>
      <c r="R155" s="7">
        <f>IF($I155&lt;7000,7000*R$5,$I155*R$5)*E155</f>
        <v>0</v>
      </c>
      <c r="S155" s="7">
        <f t="shared" si="110"/>
        <v>0</v>
      </c>
    </row>
    <row r="156" spans="3:19" ht="12">
      <c r="C156" s="369"/>
      <c r="D156" s="318"/>
      <c r="E156" s="928"/>
      <c r="F156" s="842"/>
      <c r="G156" s="322"/>
      <c r="H156" s="319"/>
      <c r="I156" s="320"/>
      <c r="J156" s="7">
        <f t="shared" si="104"/>
        <v>0</v>
      </c>
      <c r="K156" s="7">
        <f t="shared" si="105"/>
        <v>0</v>
      </c>
      <c r="L156" s="7"/>
      <c r="M156" s="8" t="s">
        <v>75</v>
      </c>
      <c r="N156" s="7">
        <f t="shared" si="106"/>
        <v>0</v>
      </c>
      <c r="O156" s="8">
        <f t="shared" ref="O156:O159" si="118">I156*$O$5</f>
        <v>0</v>
      </c>
      <c r="P156" s="7">
        <f t="shared" si="107"/>
        <v>0</v>
      </c>
      <c r="Q156" s="7">
        <f t="shared" si="108"/>
        <v>0</v>
      </c>
      <c r="R156" s="7">
        <f t="shared" si="109"/>
        <v>0</v>
      </c>
      <c r="S156" s="7">
        <f t="shared" si="110"/>
        <v>0</v>
      </c>
    </row>
    <row r="157" spans="3:19" ht="12">
      <c r="C157" s="369"/>
      <c r="D157" s="318"/>
      <c r="E157" s="928"/>
      <c r="F157" s="842"/>
      <c r="G157" s="322"/>
      <c r="H157" s="319"/>
      <c r="I157" s="320"/>
      <c r="J157" s="7">
        <f t="shared" si="104"/>
        <v>0</v>
      </c>
      <c r="K157" s="7">
        <f t="shared" si="105"/>
        <v>0</v>
      </c>
      <c r="L157" s="7"/>
      <c r="M157" s="8" t="s">
        <v>75</v>
      </c>
      <c r="N157" s="7">
        <f t="shared" si="106"/>
        <v>0</v>
      </c>
      <c r="O157" s="8">
        <f t="shared" si="118"/>
        <v>0</v>
      </c>
      <c r="P157" s="7">
        <f t="shared" ref="P157" si="119">I157*$P$5</f>
        <v>0</v>
      </c>
      <c r="Q157" s="7">
        <f t="shared" si="108"/>
        <v>0</v>
      </c>
      <c r="R157" s="7">
        <f t="shared" si="109"/>
        <v>0</v>
      </c>
      <c r="S157" s="7">
        <f>S$5*$I157</f>
        <v>0</v>
      </c>
    </row>
    <row r="158" spans="3:19" ht="12">
      <c r="C158" s="369"/>
      <c r="D158" s="318"/>
      <c r="E158" s="928"/>
      <c r="F158" s="842"/>
      <c r="G158" s="322"/>
      <c r="H158" s="319"/>
      <c r="I158" s="320"/>
      <c r="J158" s="7">
        <f t="shared" si="104"/>
        <v>0</v>
      </c>
      <c r="K158" s="7">
        <f t="shared" si="105"/>
        <v>0</v>
      </c>
      <c r="L158" s="7"/>
      <c r="M158" s="8" t="s">
        <v>75</v>
      </c>
      <c r="N158" s="7">
        <f t="shared" si="106"/>
        <v>0</v>
      </c>
      <c r="O158" s="8">
        <f t="shared" si="118"/>
        <v>0</v>
      </c>
      <c r="P158" s="7">
        <f t="shared" ref="P158" si="120">I158*$P$5</f>
        <v>0</v>
      </c>
      <c r="Q158" s="7">
        <f t="shared" si="108"/>
        <v>0</v>
      </c>
      <c r="R158" s="7">
        <f t="shared" si="109"/>
        <v>0</v>
      </c>
      <c r="S158" s="7">
        <f>S$5*$I158</f>
        <v>0</v>
      </c>
    </row>
    <row r="159" spans="3:19" ht="12">
      <c r="C159" s="368"/>
      <c r="D159" s="318"/>
      <c r="E159" s="928"/>
      <c r="F159" s="842"/>
      <c r="G159" s="322"/>
      <c r="H159" s="319"/>
      <c r="I159" s="320"/>
      <c r="J159" s="7">
        <f t="shared" si="104"/>
        <v>0</v>
      </c>
      <c r="K159" s="7">
        <f t="shared" si="105"/>
        <v>0</v>
      </c>
      <c r="L159" s="7"/>
      <c r="M159" s="8" t="s">
        <v>75</v>
      </c>
      <c r="N159" s="7">
        <f t="shared" si="106"/>
        <v>0</v>
      </c>
      <c r="O159" s="8">
        <f t="shared" si="118"/>
        <v>0</v>
      </c>
      <c r="P159" s="7">
        <f t="shared" si="107"/>
        <v>0</v>
      </c>
      <c r="Q159" s="7">
        <f t="shared" si="108"/>
        <v>0</v>
      </c>
      <c r="R159" s="7">
        <f t="shared" si="109"/>
        <v>0</v>
      </c>
      <c r="S159" s="7">
        <f t="shared" si="110"/>
        <v>0</v>
      </c>
    </row>
    <row r="160" spans="3:19" ht="12">
      <c r="C160" s="369"/>
      <c r="D160" s="318"/>
      <c r="E160" s="928"/>
      <c r="F160" s="842"/>
      <c r="G160" s="322"/>
      <c r="H160" s="319"/>
      <c r="I160" s="320"/>
      <c r="J160" s="7">
        <f t="shared" si="104"/>
        <v>0</v>
      </c>
      <c r="K160" s="7">
        <f t="shared" si="105"/>
        <v>0</v>
      </c>
      <c r="L160" s="7"/>
      <c r="M160" s="8" t="s">
        <v>75</v>
      </c>
      <c r="N160" s="7">
        <f t="shared" si="106"/>
        <v>0</v>
      </c>
      <c r="O160" s="8">
        <f>I160*$O$5</f>
        <v>0</v>
      </c>
      <c r="P160" s="7">
        <f t="shared" ref="P160:P164" si="121">I160*$P$5</f>
        <v>0</v>
      </c>
      <c r="Q160" s="7">
        <f t="shared" si="108"/>
        <v>0</v>
      </c>
      <c r="R160" s="7">
        <f t="shared" si="109"/>
        <v>0</v>
      </c>
      <c r="S160" s="7">
        <f t="shared" si="110"/>
        <v>0</v>
      </c>
    </row>
    <row r="161" spans="3:19" ht="12">
      <c r="C161" s="369"/>
      <c r="D161" s="318"/>
      <c r="E161" s="928"/>
      <c r="F161" s="842"/>
      <c r="G161" s="322"/>
      <c r="H161" s="319"/>
      <c r="I161" s="320"/>
      <c r="J161" s="7">
        <f t="shared" si="104"/>
        <v>0</v>
      </c>
      <c r="K161" s="7">
        <f t="shared" si="105"/>
        <v>0</v>
      </c>
      <c r="L161" s="7"/>
      <c r="M161" s="8" t="s">
        <v>75</v>
      </c>
      <c r="N161" s="7">
        <f t="shared" si="106"/>
        <v>0</v>
      </c>
      <c r="O161" s="8">
        <f t="shared" ref="O161:O164" si="122">I161*$O$5</f>
        <v>0</v>
      </c>
      <c r="P161" s="7">
        <f t="shared" si="121"/>
        <v>0</v>
      </c>
      <c r="Q161" s="7">
        <f t="shared" si="108"/>
        <v>0</v>
      </c>
      <c r="R161" s="7">
        <f t="shared" si="109"/>
        <v>0</v>
      </c>
      <c r="S161" s="7">
        <f t="shared" si="110"/>
        <v>0</v>
      </c>
    </row>
    <row r="162" spans="3:19" ht="12">
      <c r="C162" s="369"/>
      <c r="D162" s="318"/>
      <c r="E162" s="928"/>
      <c r="F162" s="842"/>
      <c r="G162" s="322"/>
      <c r="H162" s="319"/>
      <c r="I162" s="320"/>
      <c r="J162" s="7">
        <f t="shared" si="104"/>
        <v>0</v>
      </c>
      <c r="K162" s="7">
        <f t="shared" si="105"/>
        <v>0</v>
      </c>
      <c r="L162" s="7"/>
      <c r="M162" s="8" t="s">
        <v>75</v>
      </c>
      <c r="N162" s="7">
        <f t="shared" si="106"/>
        <v>0</v>
      </c>
      <c r="O162" s="8">
        <f t="shared" si="122"/>
        <v>0</v>
      </c>
      <c r="P162" s="7">
        <f t="shared" si="121"/>
        <v>0</v>
      </c>
      <c r="Q162" s="7">
        <f t="shared" si="108"/>
        <v>0</v>
      </c>
      <c r="R162" s="7">
        <f t="shared" si="109"/>
        <v>0</v>
      </c>
      <c r="S162" s="7">
        <f>S$5*$I162</f>
        <v>0</v>
      </c>
    </row>
    <row r="163" spans="3:19" ht="12">
      <c r="C163" s="369"/>
      <c r="D163" s="318"/>
      <c r="E163" s="928"/>
      <c r="F163" s="842"/>
      <c r="G163" s="322"/>
      <c r="H163" s="319"/>
      <c r="I163" s="320"/>
      <c r="J163" s="7">
        <f t="shared" si="104"/>
        <v>0</v>
      </c>
      <c r="K163" s="7">
        <f t="shared" si="105"/>
        <v>0</v>
      </c>
      <c r="L163" s="7"/>
      <c r="M163" s="8" t="s">
        <v>75</v>
      </c>
      <c r="N163" s="7">
        <f t="shared" si="106"/>
        <v>0</v>
      </c>
      <c r="O163" s="8">
        <f t="shared" si="122"/>
        <v>0</v>
      </c>
      <c r="P163" s="7">
        <f t="shared" si="121"/>
        <v>0</v>
      </c>
      <c r="Q163" s="7">
        <f t="shared" si="108"/>
        <v>0</v>
      </c>
      <c r="R163" s="7">
        <f t="shared" si="109"/>
        <v>0</v>
      </c>
      <c r="S163" s="7">
        <f>S$5*$I163</f>
        <v>0</v>
      </c>
    </row>
    <row r="164" spans="3:19" ht="12">
      <c r="C164" s="368"/>
      <c r="D164" s="318"/>
      <c r="E164" s="928"/>
      <c r="F164" s="842"/>
      <c r="G164" s="322"/>
      <c r="H164" s="319"/>
      <c r="I164" s="320"/>
      <c r="J164" s="7">
        <f t="shared" si="104"/>
        <v>0</v>
      </c>
      <c r="K164" s="7">
        <f t="shared" si="105"/>
        <v>0</v>
      </c>
      <c r="L164" s="7"/>
      <c r="M164" s="8" t="s">
        <v>75</v>
      </c>
      <c r="N164" s="7">
        <f t="shared" si="106"/>
        <v>0</v>
      </c>
      <c r="O164" s="8">
        <f t="shared" si="122"/>
        <v>0</v>
      </c>
      <c r="P164" s="7">
        <f t="shared" si="121"/>
        <v>0</v>
      </c>
      <c r="Q164" s="7">
        <f t="shared" si="108"/>
        <v>0</v>
      </c>
      <c r="R164" s="7">
        <f t="shared" si="109"/>
        <v>0</v>
      </c>
      <c r="S164" s="7">
        <f t="shared" si="110"/>
        <v>0</v>
      </c>
    </row>
    <row r="165" spans="3:19" ht="13" thickBot="1">
      <c r="C165" s="368"/>
      <c r="D165" s="337"/>
      <c r="E165" s="427"/>
      <c r="F165" s="841"/>
      <c r="G165" s="28"/>
      <c r="H165" s="427"/>
      <c r="I165" s="337"/>
      <c r="J165" s="40"/>
      <c r="K165" s="40"/>
      <c r="L165" s="40"/>
      <c r="M165" s="40"/>
      <c r="N165" s="40"/>
      <c r="O165" s="40"/>
      <c r="P165" s="40"/>
      <c r="Q165" s="40"/>
      <c r="R165" s="40"/>
      <c r="S165" s="40"/>
    </row>
    <row r="166" spans="3:19" s="41" customFormat="1" ht="13" thickBot="1">
      <c r="C166" s="368"/>
      <c r="D166" s="332"/>
      <c r="E166" s="940"/>
      <c r="F166" s="834"/>
      <c r="G166" s="49"/>
      <c r="H166" s="333">
        <v>2100</v>
      </c>
      <c r="I166" s="10">
        <f>SUM(I146:I165)</f>
        <v>240923.51999999999</v>
      </c>
      <c r="J166" s="10">
        <f>SUM(J146:J165)</f>
        <v>66743.578559999994</v>
      </c>
      <c r="K166" s="10">
        <f>SUM(K146:K165)</f>
        <v>307667.09856000001</v>
      </c>
      <c r="L166" s="11"/>
      <c r="M166" s="10">
        <f t="shared" ref="M166:S166" si="123">SUM(M146:M165)</f>
        <v>0</v>
      </c>
      <c r="N166" s="10">
        <f t="shared" si="123"/>
        <v>0</v>
      </c>
      <c r="O166" s="10">
        <f t="shared" si="123"/>
        <v>14937.258240000001</v>
      </c>
      <c r="P166" s="10">
        <f t="shared" si="123"/>
        <v>3493.39104</v>
      </c>
      <c r="Q166" s="10">
        <f t="shared" si="123"/>
        <v>42000</v>
      </c>
      <c r="R166" s="10">
        <f t="shared" si="123"/>
        <v>2940.0000000000005</v>
      </c>
      <c r="S166" s="10">
        <f t="shared" si="123"/>
        <v>3372.9292800000003</v>
      </c>
    </row>
    <row r="167" spans="3:19" ht="12" customHeight="1">
      <c r="C167" s="369" t="s">
        <v>21</v>
      </c>
      <c r="D167" s="334"/>
      <c r="E167" s="941"/>
      <c r="F167" s="835"/>
      <c r="G167" s="28"/>
      <c r="H167" s="35"/>
      <c r="I167" s="7"/>
      <c r="J167" s="7"/>
      <c r="K167" s="7"/>
      <c r="L167" s="7"/>
      <c r="M167" s="36"/>
      <c r="N167" s="36"/>
      <c r="O167" s="36"/>
      <c r="P167" s="36"/>
      <c r="Q167" s="36"/>
      <c r="R167" s="36"/>
      <c r="S167" s="36"/>
    </row>
    <row r="168" spans="3:19" ht="12">
      <c r="C168" s="369"/>
      <c r="D168" s="281"/>
      <c r="E168" s="927"/>
      <c r="F168" s="840"/>
      <c r="G168" s="322"/>
      <c r="H168" s="319"/>
      <c r="I168" s="320"/>
      <c r="J168" s="7">
        <f t="shared" ref="J168:J186" si="124">SUM(M168:S168)</f>
        <v>0</v>
      </c>
      <c r="K168" s="7">
        <f t="shared" ref="K168:K186" si="125">SUM(I168:J168)</f>
        <v>0</v>
      </c>
      <c r="L168" s="7"/>
      <c r="M168" s="8" t="s">
        <v>75</v>
      </c>
      <c r="N168" s="7">
        <f t="shared" ref="N168:N186" si="126">I168*$N$5</f>
        <v>0</v>
      </c>
      <c r="O168" s="8">
        <f t="shared" ref="O168:O181" si="127">I168*$O$5</f>
        <v>0</v>
      </c>
      <c r="P168" s="7">
        <f t="shared" ref="P168:P181" si="128">I168*$P$5</f>
        <v>0</v>
      </c>
      <c r="Q168" s="7">
        <f t="shared" ref="Q168:Q186" si="129">IF(H168="y", $Q$5*E168, 0)</f>
        <v>0</v>
      </c>
      <c r="R168" s="7">
        <f t="shared" ref="R168:R186" si="130">IF($I168&gt;7000,7000*R$5,$I168*R$5)*E168</f>
        <v>0</v>
      </c>
      <c r="S168" s="7">
        <f t="shared" ref="S168:S186" si="131">S$5*$I168</f>
        <v>0</v>
      </c>
    </row>
    <row r="169" spans="3:19" ht="12">
      <c r="C169" s="369"/>
      <c r="D169" s="282"/>
      <c r="E169" s="927"/>
      <c r="F169" s="840"/>
      <c r="G169" s="322"/>
      <c r="H169" s="319"/>
      <c r="I169" s="320"/>
      <c r="J169" s="7">
        <f t="shared" ref="J169:J177" si="132">SUM(M169:S169)</f>
        <v>0</v>
      </c>
      <c r="K169" s="7">
        <f t="shared" ref="K169:K177" si="133">SUM(I169:J169)</f>
        <v>0</v>
      </c>
      <c r="L169" s="7"/>
      <c r="M169" s="8" t="s">
        <v>75</v>
      </c>
      <c r="N169" s="7">
        <f t="shared" ref="N169:N177" si="134">I169*$N$5</f>
        <v>0</v>
      </c>
      <c r="O169" s="8">
        <f t="shared" ref="O169:O177" si="135">I169*$O$5</f>
        <v>0</v>
      </c>
      <c r="P169" s="7">
        <f t="shared" ref="P169:P177" si="136">I169*$P$5</f>
        <v>0</v>
      </c>
      <c r="Q169" s="7">
        <f t="shared" si="129"/>
        <v>0</v>
      </c>
      <c r="R169" s="7">
        <f t="shared" si="130"/>
        <v>0</v>
      </c>
      <c r="S169" s="7">
        <f t="shared" si="131"/>
        <v>0</v>
      </c>
    </row>
    <row r="170" spans="3:19" ht="12">
      <c r="C170" s="369"/>
      <c r="D170" s="282"/>
      <c r="E170" s="927"/>
      <c r="F170" s="840"/>
      <c r="G170" s="322"/>
      <c r="H170" s="319"/>
      <c r="I170" s="320"/>
      <c r="J170" s="7">
        <f t="shared" si="132"/>
        <v>0</v>
      </c>
      <c r="K170" s="7">
        <f t="shared" si="133"/>
        <v>0</v>
      </c>
      <c r="L170" s="7"/>
      <c r="M170" s="8" t="s">
        <v>75</v>
      </c>
      <c r="N170" s="7">
        <f t="shared" si="134"/>
        <v>0</v>
      </c>
      <c r="O170" s="8">
        <f t="shared" si="135"/>
        <v>0</v>
      </c>
      <c r="P170" s="7">
        <f t="shared" si="136"/>
        <v>0</v>
      </c>
      <c r="Q170" s="7">
        <f t="shared" si="129"/>
        <v>0</v>
      </c>
      <c r="R170" s="7">
        <f t="shared" si="130"/>
        <v>0</v>
      </c>
      <c r="S170" s="7">
        <f t="shared" si="131"/>
        <v>0</v>
      </c>
    </row>
    <row r="171" spans="3:19" ht="12">
      <c r="C171" s="369"/>
      <c r="D171" s="282"/>
      <c r="E171" s="927"/>
      <c r="F171" s="840"/>
      <c r="G171" s="322"/>
      <c r="H171" s="319"/>
      <c r="I171" s="320"/>
      <c r="J171" s="7">
        <f t="shared" si="132"/>
        <v>0</v>
      </c>
      <c r="K171" s="7">
        <f t="shared" si="133"/>
        <v>0</v>
      </c>
      <c r="L171" s="7"/>
      <c r="M171" s="8" t="s">
        <v>75</v>
      </c>
      <c r="N171" s="7">
        <f t="shared" si="134"/>
        <v>0</v>
      </c>
      <c r="O171" s="8">
        <f t="shared" si="135"/>
        <v>0</v>
      </c>
      <c r="P171" s="7">
        <f t="shared" si="136"/>
        <v>0</v>
      </c>
      <c r="Q171" s="7">
        <f t="shared" si="129"/>
        <v>0</v>
      </c>
      <c r="R171" s="7">
        <f t="shared" si="130"/>
        <v>0</v>
      </c>
      <c r="S171" s="7">
        <f t="shared" si="131"/>
        <v>0</v>
      </c>
    </row>
    <row r="172" spans="3:19" ht="12">
      <c r="C172" s="368"/>
      <c r="D172" s="282"/>
      <c r="E172" s="927"/>
      <c r="F172" s="840"/>
      <c r="G172" s="322"/>
      <c r="H172" s="319"/>
      <c r="I172" s="320"/>
      <c r="J172" s="7">
        <f t="shared" si="132"/>
        <v>0</v>
      </c>
      <c r="K172" s="7">
        <f t="shared" si="133"/>
        <v>0</v>
      </c>
      <c r="L172" s="7"/>
      <c r="M172" s="8" t="s">
        <v>75</v>
      </c>
      <c r="N172" s="7">
        <f t="shared" si="134"/>
        <v>0</v>
      </c>
      <c r="O172" s="8">
        <f t="shared" si="135"/>
        <v>0</v>
      </c>
      <c r="P172" s="7">
        <f t="shared" si="136"/>
        <v>0</v>
      </c>
      <c r="Q172" s="7">
        <f t="shared" si="129"/>
        <v>0</v>
      </c>
      <c r="R172" s="7">
        <f t="shared" si="130"/>
        <v>0</v>
      </c>
      <c r="S172" s="7">
        <f t="shared" si="131"/>
        <v>0</v>
      </c>
    </row>
    <row r="173" spans="3:19" ht="12">
      <c r="C173" s="369"/>
      <c r="D173" s="281"/>
      <c r="E173" s="927"/>
      <c r="F173" s="840"/>
      <c r="G173" s="322"/>
      <c r="H173" s="319"/>
      <c r="I173" s="320"/>
      <c r="J173" s="7">
        <f t="shared" si="132"/>
        <v>0</v>
      </c>
      <c r="K173" s="7">
        <f t="shared" si="133"/>
        <v>0</v>
      </c>
      <c r="L173" s="7"/>
      <c r="M173" s="8" t="s">
        <v>75</v>
      </c>
      <c r="N173" s="7">
        <f t="shared" si="134"/>
        <v>0</v>
      </c>
      <c r="O173" s="8">
        <f t="shared" si="135"/>
        <v>0</v>
      </c>
      <c r="P173" s="7">
        <f t="shared" si="136"/>
        <v>0</v>
      </c>
      <c r="Q173" s="7">
        <f t="shared" si="129"/>
        <v>0</v>
      </c>
      <c r="R173" s="7">
        <f t="shared" si="130"/>
        <v>0</v>
      </c>
      <c r="S173" s="7">
        <f t="shared" si="131"/>
        <v>0</v>
      </c>
    </row>
    <row r="174" spans="3:19" ht="12">
      <c r="C174" s="369"/>
      <c r="D174" s="282"/>
      <c r="E174" s="927"/>
      <c r="F174" s="840"/>
      <c r="G174" s="322"/>
      <c r="H174" s="319"/>
      <c r="I174" s="320"/>
      <c r="J174" s="7">
        <f t="shared" si="132"/>
        <v>0</v>
      </c>
      <c r="K174" s="7">
        <f t="shared" si="133"/>
        <v>0</v>
      </c>
      <c r="L174" s="7"/>
      <c r="M174" s="8" t="s">
        <v>75</v>
      </c>
      <c r="N174" s="7">
        <f t="shared" si="134"/>
        <v>0</v>
      </c>
      <c r="O174" s="8">
        <f t="shared" si="135"/>
        <v>0</v>
      </c>
      <c r="P174" s="7">
        <f t="shared" si="136"/>
        <v>0</v>
      </c>
      <c r="Q174" s="7">
        <f t="shared" si="129"/>
        <v>0</v>
      </c>
      <c r="R174" s="7">
        <f t="shared" si="130"/>
        <v>0</v>
      </c>
      <c r="S174" s="7">
        <f t="shared" si="131"/>
        <v>0</v>
      </c>
    </row>
    <row r="175" spans="3:19" ht="12">
      <c r="C175" s="369"/>
      <c r="D175" s="282"/>
      <c r="E175" s="927"/>
      <c r="F175" s="840"/>
      <c r="G175" s="322"/>
      <c r="H175" s="319"/>
      <c r="I175" s="320"/>
      <c r="J175" s="7">
        <f t="shared" si="132"/>
        <v>0</v>
      </c>
      <c r="K175" s="7">
        <f t="shared" si="133"/>
        <v>0</v>
      </c>
      <c r="L175" s="7"/>
      <c r="M175" s="8" t="s">
        <v>75</v>
      </c>
      <c r="N175" s="7">
        <f t="shared" si="134"/>
        <v>0</v>
      </c>
      <c r="O175" s="8">
        <f t="shared" si="135"/>
        <v>0</v>
      </c>
      <c r="P175" s="7">
        <f t="shared" si="136"/>
        <v>0</v>
      </c>
      <c r="Q175" s="7">
        <f t="shared" si="129"/>
        <v>0</v>
      </c>
      <c r="R175" s="7">
        <f t="shared" si="130"/>
        <v>0</v>
      </c>
      <c r="S175" s="7">
        <f t="shared" si="131"/>
        <v>0</v>
      </c>
    </row>
    <row r="176" spans="3:19" ht="12">
      <c r="C176" s="369"/>
      <c r="D176" s="282"/>
      <c r="E176" s="927"/>
      <c r="F176" s="840"/>
      <c r="G176" s="322"/>
      <c r="H176" s="319"/>
      <c r="I176" s="320"/>
      <c r="J176" s="7">
        <f t="shared" si="132"/>
        <v>0</v>
      </c>
      <c r="K176" s="7">
        <f t="shared" si="133"/>
        <v>0</v>
      </c>
      <c r="L176" s="7"/>
      <c r="M176" s="8" t="s">
        <v>75</v>
      </c>
      <c r="N176" s="7">
        <f t="shared" si="134"/>
        <v>0</v>
      </c>
      <c r="O176" s="8">
        <f t="shared" si="135"/>
        <v>0</v>
      </c>
      <c r="P176" s="7">
        <f t="shared" si="136"/>
        <v>0</v>
      </c>
      <c r="Q176" s="7">
        <f t="shared" si="129"/>
        <v>0</v>
      </c>
      <c r="R176" s="7">
        <f t="shared" si="130"/>
        <v>0</v>
      </c>
      <c r="S176" s="7">
        <f t="shared" si="131"/>
        <v>0</v>
      </c>
    </row>
    <row r="177" spans="3:19" ht="12">
      <c r="C177" s="368"/>
      <c r="D177" s="282"/>
      <c r="E177" s="927"/>
      <c r="F177" s="840"/>
      <c r="G177" s="322"/>
      <c r="H177" s="319"/>
      <c r="I177" s="320"/>
      <c r="J177" s="7">
        <f t="shared" si="132"/>
        <v>0</v>
      </c>
      <c r="K177" s="7">
        <f t="shared" si="133"/>
        <v>0</v>
      </c>
      <c r="L177" s="7"/>
      <c r="M177" s="8" t="s">
        <v>75</v>
      </c>
      <c r="N177" s="7">
        <f t="shared" si="134"/>
        <v>0</v>
      </c>
      <c r="O177" s="8">
        <f t="shared" si="135"/>
        <v>0</v>
      </c>
      <c r="P177" s="7">
        <f t="shared" si="136"/>
        <v>0</v>
      </c>
      <c r="Q177" s="7">
        <f t="shared" si="129"/>
        <v>0</v>
      </c>
      <c r="R177" s="7">
        <f t="shared" si="130"/>
        <v>0</v>
      </c>
      <c r="S177" s="7">
        <f t="shared" si="131"/>
        <v>0</v>
      </c>
    </row>
    <row r="178" spans="3:19" ht="12">
      <c r="C178" s="369"/>
      <c r="D178" s="282"/>
      <c r="E178" s="927"/>
      <c r="F178" s="840"/>
      <c r="G178" s="322"/>
      <c r="H178" s="319"/>
      <c r="I178" s="320"/>
      <c r="J178" s="7">
        <f t="shared" si="124"/>
        <v>0</v>
      </c>
      <c r="K178" s="7">
        <f t="shared" si="125"/>
        <v>0</v>
      </c>
      <c r="L178" s="7"/>
      <c r="M178" s="8" t="s">
        <v>75</v>
      </c>
      <c r="N178" s="7">
        <f t="shared" si="126"/>
        <v>0</v>
      </c>
      <c r="O178" s="8">
        <f t="shared" si="127"/>
        <v>0</v>
      </c>
      <c r="P178" s="7">
        <f t="shared" si="128"/>
        <v>0</v>
      </c>
      <c r="Q178" s="7">
        <f t="shared" si="129"/>
        <v>0</v>
      </c>
      <c r="R178" s="7">
        <f t="shared" si="130"/>
        <v>0</v>
      </c>
      <c r="S178" s="7">
        <f t="shared" si="131"/>
        <v>0</v>
      </c>
    </row>
    <row r="179" spans="3:19" ht="12">
      <c r="C179" s="369"/>
      <c r="D179" s="282"/>
      <c r="E179" s="927"/>
      <c r="F179" s="840"/>
      <c r="G179" s="322"/>
      <c r="H179" s="319"/>
      <c r="I179" s="320"/>
      <c r="J179" s="7">
        <f t="shared" si="124"/>
        <v>0</v>
      </c>
      <c r="K179" s="7">
        <f t="shared" si="125"/>
        <v>0</v>
      </c>
      <c r="L179" s="7"/>
      <c r="M179" s="8" t="s">
        <v>75</v>
      </c>
      <c r="N179" s="7">
        <f t="shared" si="126"/>
        <v>0</v>
      </c>
      <c r="O179" s="8">
        <f t="shared" si="127"/>
        <v>0</v>
      </c>
      <c r="P179" s="7">
        <f t="shared" si="128"/>
        <v>0</v>
      </c>
      <c r="Q179" s="7">
        <f t="shared" si="129"/>
        <v>0</v>
      </c>
      <c r="R179" s="7">
        <f t="shared" si="130"/>
        <v>0</v>
      </c>
      <c r="S179" s="7">
        <f t="shared" si="131"/>
        <v>0</v>
      </c>
    </row>
    <row r="180" spans="3:19" ht="12">
      <c r="C180" s="369"/>
      <c r="D180" s="282"/>
      <c r="E180" s="927"/>
      <c r="F180" s="840"/>
      <c r="G180" s="322"/>
      <c r="H180" s="319"/>
      <c r="I180" s="320"/>
      <c r="J180" s="7">
        <f t="shared" si="124"/>
        <v>0</v>
      </c>
      <c r="K180" s="7">
        <f t="shared" si="125"/>
        <v>0</v>
      </c>
      <c r="L180" s="7"/>
      <c r="M180" s="8" t="s">
        <v>75</v>
      </c>
      <c r="N180" s="7">
        <f t="shared" si="126"/>
        <v>0</v>
      </c>
      <c r="O180" s="8">
        <f t="shared" si="127"/>
        <v>0</v>
      </c>
      <c r="P180" s="7">
        <f t="shared" si="128"/>
        <v>0</v>
      </c>
      <c r="Q180" s="7">
        <f t="shared" si="129"/>
        <v>0</v>
      </c>
      <c r="R180" s="7">
        <f t="shared" si="130"/>
        <v>0</v>
      </c>
      <c r="S180" s="7">
        <f t="shared" si="131"/>
        <v>0</v>
      </c>
    </row>
    <row r="181" spans="3:19" ht="12">
      <c r="C181" s="368"/>
      <c r="D181" s="282"/>
      <c r="E181" s="927"/>
      <c r="F181" s="840"/>
      <c r="G181" s="322"/>
      <c r="H181" s="319"/>
      <c r="I181" s="320"/>
      <c r="J181" s="7">
        <f t="shared" si="124"/>
        <v>0</v>
      </c>
      <c r="K181" s="7">
        <f t="shared" si="125"/>
        <v>0</v>
      </c>
      <c r="L181" s="7"/>
      <c r="M181" s="8" t="s">
        <v>75</v>
      </c>
      <c r="N181" s="7">
        <f t="shared" si="126"/>
        <v>0</v>
      </c>
      <c r="O181" s="8">
        <f t="shared" si="127"/>
        <v>0</v>
      </c>
      <c r="P181" s="7">
        <f t="shared" si="128"/>
        <v>0</v>
      </c>
      <c r="Q181" s="7">
        <f t="shared" si="129"/>
        <v>0</v>
      </c>
      <c r="R181" s="7">
        <f t="shared" si="130"/>
        <v>0</v>
      </c>
      <c r="S181" s="7">
        <f t="shared" si="131"/>
        <v>0</v>
      </c>
    </row>
    <row r="182" spans="3:19" ht="12">
      <c r="C182" s="369"/>
      <c r="D182" s="281"/>
      <c r="E182" s="927"/>
      <c r="F182" s="840"/>
      <c r="G182" s="322"/>
      <c r="H182" s="319"/>
      <c r="I182" s="320"/>
      <c r="J182" s="7">
        <f t="shared" si="124"/>
        <v>0</v>
      </c>
      <c r="K182" s="7">
        <f t="shared" si="125"/>
        <v>0</v>
      </c>
      <c r="L182" s="7"/>
      <c r="M182" s="8" t="s">
        <v>75</v>
      </c>
      <c r="N182" s="7">
        <f t="shared" si="126"/>
        <v>0</v>
      </c>
      <c r="O182" s="8">
        <f t="shared" ref="O182:O186" si="137">I182*$O$5</f>
        <v>0</v>
      </c>
      <c r="P182" s="7">
        <f t="shared" ref="P182:P186" si="138">I182*$P$5</f>
        <v>0</v>
      </c>
      <c r="Q182" s="7">
        <f t="shared" si="129"/>
        <v>0</v>
      </c>
      <c r="R182" s="7">
        <f t="shared" si="130"/>
        <v>0</v>
      </c>
      <c r="S182" s="7">
        <f t="shared" si="131"/>
        <v>0</v>
      </c>
    </row>
    <row r="183" spans="3:19" ht="12">
      <c r="C183" s="369"/>
      <c r="D183" s="282"/>
      <c r="E183" s="927"/>
      <c r="F183" s="840"/>
      <c r="G183" s="322"/>
      <c r="H183" s="319"/>
      <c r="I183" s="320"/>
      <c r="J183" s="7">
        <f t="shared" si="124"/>
        <v>0</v>
      </c>
      <c r="K183" s="7">
        <f t="shared" si="125"/>
        <v>0</v>
      </c>
      <c r="L183" s="7"/>
      <c r="M183" s="8" t="s">
        <v>75</v>
      </c>
      <c r="N183" s="7">
        <f t="shared" si="126"/>
        <v>0</v>
      </c>
      <c r="O183" s="8">
        <f t="shared" si="137"/>
        <v>0</v>
      </c>
      <c r="P183" s="7">
        <f t="shared" si="138"/>
        <v>0</v>
      </c>
      <c r="Q183" s="7">
        <f t="shared" si="129"/>
        <v>0</v>
      </c>
      <c r="R183" s="7">
        <f t="shared" si="130"/>
        <v>0</v>
      </c>
      <c r="S183" s="7">
        <f t="shared" si="131"/>
        <v>0</v>
      </c>
    </row>
    <row r="184" spans="3:19" ht="12">
      <c r="C184" s="369"/>
      <c r="D184" s="282"/>
      <c r="E184" s="927"/>
      <c r="F184" s="840"/>
      <c r="G184" s="322"/>
      <c r="H184" s="319"/>
      <c r="I184" s="320"/>
      <c r="J184" s="7">
        <f t="shared" si="124"/>
        <v>0</v>
      </c>
      <c r="K184" s="7">
        <f t="shared" si="125"/>
        <v>0</v>
      </c>
      <c r="L184" s="7"/>
      <c r="M184" s="8" t="s">
        <v>75</v>
      </c>
      <c r="N184" s="7">
        <f t="shared" si="126"/>
        <v>0</v>
      </c>
      <c r="O184" s="8">
        <f t="shared" si="137"/>
        <v>0</v>
      </c>
      <c r="P184" s="7">
        <f t="shared" si="138"/>
        <v>0</v>
      </c>
      <c r="Q184" s="7">
        <f t="shared" si="129"/>
        <v>0</v>
      </c>
      <c r="R184" s="7">
        <f t="shared" si="130"/>
        <v>0</v>
      </c>
      <c r="S184" s="7">
        <f t="shared" si="131"/>
        <v>0</v>
      </c>
    </row>
    <row r="185" spans="3:19" ht="12">
      <c r="C185" s="369"/>
      <c r="D185" s="282"/>
      <c r="E185" s="927"/>
      <c r="F185" s="840"/>
      <c r="G185" s="322"/>
      <c r="H185" s="319"/>
      <c r="I185" s="320"/>
      <c r="J185" s="7">
        <f t="shared" si="124"/>
        <v>0</v>
      </c>
      <c r="K185" s="7">
        <f t="shared" si="125"/>
        <v>0</v>
      </c>
      <c r="L185" s="7"/>
      <c r="M185" s="8" t="s">
        <v>75</v>
      </c>
      <c r="N185" s="7">
        <f t="shared" si="126"/>
        <v>0</v>
      </c>
      <c r="O185" s="8">
        <f t="shared" si="137"/>
        <v>0</v>
      </c>
      <c r="P185" s="7">
        <f t="shared" si="138"/>
        <v>0</v>
      </c>
      <c r="Q185" s="7">
        <f t="shared" si="129"/>
        <v>0</v>
      </c>
      <c r="R185" s="7">
        <f t="shared" si="130"/>
        <v>0</v>
      </c>
      <c r="S185" s="7">
        <f t="shared" si="131"/>
        <v>0</v>
      </c>
    </row>
    <row r="186" spans="3:19" ht="12">
      <c r="C186" s="368"/>
      <c r="D186" s="282"/>
      <c r="E186" s="927"/>
      <c r="F186" s="840"/>
      <c r="G186" s="322"/>
      <c r="H186" s="319"/>
      <c r="I186" s="320"/>
      <c r="J186" s="7">
        <f t="shared" si="124"/>
        <v>0</v>
      </c>
      <c r="K186" s="7">
        <f t="shared" si="125"/>
        <v>0</v>
      </c>
      <c r="L186" s="7"/>
      <c r="M186" s="8" t="s">
        <v>75</v>
      </c>
      <c r="N186" s="7">
        <f t="shared" si="126"/>
        <v>0</v>
      </c>
      <c r="O186" s="8">
        <f t="shared" si="137"/>
        <v>0</v>
      </c>
      <c r="P186" s="7">
        <f t="shared" si="138"/>
        <v>0</v>
      </c>
      <c r="Q186" s="7">
        <f t="shared" si="129"/>
        <v>0</v>
      </c>
      <c r="R186" s="7">
        <f t="shared" si="130"/>
        <v>0</v>
      </c>
      <c r="S186" s="7">
        <f t="shared" si="131"/>
        <v>0</v>
      </c>
    </row>
    <row r="187" spans="3:19" ht="13" thickBot="1">
      <c r="C187" s="368"/>
      <c r="D187" s="337"/>
      <c r="E187" s="427"/>
      <c r="F187" s="841"/>
      <c r="G187" s="28"/>
      <c r="H187" s="427"/>
      <c r="I187" s="337"/>
      <c r="J187" s="40"/>
      <c r="K187" s="40"/>
      <c r="L187" s="40"/>
      <c r="M187" s="40"/>
      <c r="N187" s="40"/>
      <c r="O187" s="40"/>
      <c r="P187" s="40"/>
      <c r="Q187" s="40"/>
      <c r="R187" s="40"/>
      <c r="S187" s="40"/>
    </row>
    <row r="188" spans="3:19" s="41" customFormat="1" ht="13" thickBot="1">
      <c r="C188" s="368"/>
      <c r="D188" s="332"/>
      <c r="E188" s="940"/>
      <c r="F188" s="834"/>
      <c r="G188" s="49"/>
      <c r="H188" s="17">
        <v>2200</v>
      </c>
      <c r="I188" s="10">
        <f>SUM(I168:I187)</f>
        <v>0</v>
      </c>
      <c r="J188" s="10">
        <f>SUM(J168:J187)</f>
        <v>0</v>
      </c>
      <c r="K188" s="10">
        <f>SUM(K168:K187)</f>
        <v>0</v>
      </c>
      <c r="L188" s="11"/>
      <c r="M188" s="10">
        <f t="shared" ref="M188:S188" si="139">SUM(M168:M187)</f>
        <v>0</v>
      </c>
      <c r="N188" s="10">
        <f t="shared" si="139"/>
        <v>0</v>
      </c>
      <c r="O188" s="10">
        <f t="shared" si="139"/>
        <v>0</v>
      </c>
      <c r="P188" s="10">
        <f t="shared" si="139"/>
        <v>0</v>
      </c>
      <c r="Q188" s="10">
        <f t="shared" si="139"/>
        <v>0</v>
      </c>
      <c r="R188" s="10">
        <f t="shared" si="139"/>
        <v>0</v>
      </c>
      <c r="S188" s="10">
        <f t="shared" si="139"/>
        <v>0</v>
      </c>
    </row>
    <row r="189" spans="3:19" ht="12">
      <c r="C189" s="369" t="s">
        <v>22</v>
      </c>
      <c r="D189" s="334"/>
      <c r="E189" s="941"/>
      <c r="F189" s="835"/>
      <c r="G189" s="28"/>
      <c r="H189" s="35"/>
      <c r="I189" s="7"/>
      <c r="J189" s="7"/>
      <c r="K189" s="7"/>
      <c r="L189" s="7"/>
      <c r="M189" s="36"/>
      <c r="N189" s="36"/>
      <c r="O189" s="36"/>
      <c r="P189" s="36"/>
      <c r="Q189" s="36"/>
      <c r="R189" s="36"/>
      <c r="S189" s="36"/>
    </row>
    <row r="190" spans="3:19" ht="12">
      <c r="C190" s="369"/>
      <c r="D190" s="281"/>
      <c r="E190" s="927"/>
      <c r="F190" s="842"/>
      <c r="G190" s="322"/>
      <c r="H190" s="319"/>
      <c r="I190" s="320"/>
      <c r="J190" s="7">
        <f t="shared" ref="J190:J198" si="140">SUM(M190:S190)</f>
        <v>0</v>
      </c>
      <c r="K190" s="7">
        <f t="shared" ref="K190:K198" si="141">SUM(I190:J190)</f>
        <v>0</v>
      </c>
      <c r="L190" s="7"/>
      <c r="M190" s="8" t="s">
        <v>75</v>
      </c>
      <c r="N190" s="7">
        <f t="shared" ref="N190:N198" si="142">I190*$N$5</f>
        <v>0</v>
      </c>
      <c r="O190" s="8">
        <f t="shared" ref="O190:O198" si="143">I190*$O$5</f>
        <v>0</v>
      </c>
      <c r="P190" s="7">
        <f t="shared" ref="P190:P198" si="144">I190*$P$5</f>
        <v>0</v>
      </c>
      <c r="Q190" s="7">
        <f t="shared" ref="Q190:Q198" si="145">IF(H190="y", $Q$5*E190, 0)</f>
        <v>0</v>
      </c>
      <c r="R190" s="7">
        <f t="shared" ref="R190:R198" si="146">IF($I190&gt;7000,7000*R$5,$I190*R$5)*E190</f>
        <v>0</v>
      </c>
      <c r="S190" s="7">
        <f t="shared" ref="S190:S198" si="147">S$5*$I190</f>
        <v>0</v>
      </c>
    </row>
    <row r="191" spans="3:19" ht="12">
      <c r="C191" s="369"/>
      <c r="D191" s="281"/>
      <c r="E191" s="927"/>
      <c r="F191" s="842"/>
      <c r="G191" s="322"/>
      <c r="H191" s="319"/>
      <c r="I191" s="320"/>
      <c r="J191" s="7">
        <f t="shared" ref="J191:J194" si="148">SUM(M191:S191)</f>
        <v>0</v>
      </c>
      <c r="K191" s="7">
        <f t="shared" ref="K191:K194" si="149">SUM(I191:J191)</f>
        <v>0</v>
      </c>
      <c r="L191" s="7"/>
      <c r="M191" s="8" t="s">
        <v>75</v>
      </c>
      <c r="N191" s="7">
        <f t="shared" ref="N191:N194" si="150">I191*$N$5</f>
        <v>0</v>
      </c>
      <c r="O191" s="8">
        <f t="shared" ref="O191:O194" si="151">I191*$O$5</f>
        <v>0</v>
      </c>
      <c r="P191" s="7">
        <f t="shared" si="144"/>
        <v>0</v>
      </c>
      <c r="Q191" s="7">
        <f t="shared" si="145"/>
        <v>0</v>
      </c>
      <c r="R191" s="7">
        <f t="shared" si="146"/>
        <v>0</v>
      </c>
      <c r="S191" s="7">
        <f t="shared" si="147"/>
        <v>0</v>
      </c>
    </row>
    <row r="192" spans="3:19" ht="12">
      <c r="C192" s="369"/>
      <c r="D192" s="281"/>
      <c r="E192" s="927"/>
      <c r="F192" s="842"/>
      <c r="G192" s="322"/>
      <c r="H192" s="319"/>
      <c r="I192" s="320"/>
      <c r="J192" s="7">
        <f t="shared" si="148"/>
        <v>0</v>
      </c>
      <c r="K192" s="7">
        <f t="shared" si="149"/>
        <v>0</v>
      </c>
      <c r="L192" s="7"/>
      <c r="M192" s="8" t="s">
        <v>75</v>
      </c>
      <c r="N192" s="7">
        <f t="shared" si="150"/>
        <v>0</v>
      </c>
      <c r="O192" s="8">
        <f t="shared" si="151"/>
        <v>0</v>
      </c>
      <c r="P192" s="7">
        <f t="shared" ref="P192:P194" si="152">I192*$P$5</f>
        <v>0</v>
      </c>
      <c r="Q192" s="7">
        <f t="shared" si="145"/>
        <v>0</v>
      </c>
      <c r="R192" s="7">
        <f t="shared" si="146"/>
        <v>0</v>
      </c>
      <c r="S192" s="7">
        <f t="shared" si="147"/>
        <v>0</v>
      </c>
    </row>
    <row r="193" spans="3:19" ht="12">
      <c r="C193" s="369"/>
      <c r="D193" s="281"/>
      <c r="E193" s="927"/>
      <c r="F193" s="842"/>
      <c r="G193" s="322"/>
      <c r="H193" s="319"/>
      <c r="I193" s="320"/>
      <c r="J193" s="7">
        <f t="shared" si="148"/>
        <v>0</v>
      </c>
      <c r="K193" s="7">
        <f t="shared" si="149"/>
        <v>0</v>
      </c>
      <c r="L193" s="7"/>
      <c r="M193" s="8" t="s">
        <v>75</v>
      </c>
      <c r="N193" s="7">
        <f t="shared" si="150"/>
        <v>0</v>
      </c>
      <c r="O193" s="8">
        <f t="shared" si="151"/>
        <v>0</v>
      </c>
      <c r="P193" s="7">
        <f t="shared" si="152"/>
        <v>0</v>
      </c>
      <c r="Q193" s="7">
        <f t="shared" si="145"/>
        <v>0</v>
      </c>
      <c r="R193" s="7">
        <f t="shared" si="146"/>
        <v>0</v>
      </c>
      <c r="S193" s="7">
        <f t="shared" si="147"/>
        <v>0</v>
      </c>
    </row>
    <row r="194" spans="3:19" ht="12">
      <c r="C194" s="368"/>
      <c r="D194" s="281"/>
      <c r="E194" s="927"/>
      <c r="F194" s="842"/>
      <c r="G194" s="322"/>
      <c r="H194" s="319"/>
      <c r="I194" s="320"/>
      <c r="J194" s="7">
        <f t="shared" si="148"/>
        <v>0</v>
      </c>
      <c r="K194" s="7">
        <f t="shared" si="149"/>
        <v>0</v>
      </c>
      <c r="L194" s="7"/>
      <c r="M194" s="8" t="s">
        <v>75</v>
      </c>
      <c r="N194" s="7">
        <f t="shared" si="150"/>
        <v>0</v>
      </c>
      <c r="O194" s="8">
        <f t="shared" si="151"/>
        <v>0</v>
      </c>
      <c r="P194" s="7">
        <f t="shared" si="152"/>
        <v>0</v>
      </c>
      <c r="Q194" s="7">
        <f t="shared" si="145"/>
        <v>0</v>
      </c>
      <c r="R194" s="7">
        <f t="shared" si="146"/>
        <v>0</v>
      </c>
      <c r="S194" s="7">
        <f t="shared" si="147"/>
        <v>0</v>
      </c>
    </row>
    <row r="195" spans="3:19" ht="12">
      <c r="C195" s="369"/>
      <c r="D195" s="281"/>
      <c r="E195" s="927"/>
      <c r="F195" s="842"/>
      <c r="G195" s="322"/>
      <c r="H195" s="319"/>
      <c r="I195" s="320"/>
      <c r="J195" s="7">
        <f t="shared" si="140"/>
        <v>0</v>
      </c>
      <c r="K195" s="7">
        <f t="shared" si="141"/>
        <v>0</v>
      </c>
      <c r="L195" s="7"/>
      <c r="M195" s="8" t="s">
        <v>75</v>
      </c>
      <c r="N195" s="7">
        <f t="shared" si="142"/>
        <v>0</v>
      </c>
      <c r="O195" s="8">
        <f t="shared" si="143"/>
        <v>0</v>
      </c>
      <c r="P195" s="7">
        <f t="shared" ref="P195" si="153">I195*$P$5</f>
        <v>0</v>
      </c>
      <c r="Q195" s="7">
        <f t="shared" si="145"/>
        <v>0</v>
      </c>
      <c r="R195" s="7">
        <f t="shared" si="146"/>
        <v>0</v>
      </c>
      <c r="S195" s="7">
        <f t="shared" si="147"/>
        <v>0</v>
      </c>
    </row>
    <row r="196" spans="3:19" ht="12">
      <c r="C196" s="369"/>
      <c r="D196" s="281"/>
      <c r="E196" s="927"/>
      <c r="F196" s="842"/>
      <c r="G196" s="322"/>
      <c r="H196" s="319"/>
      <c r="I196" s="320"/>
      <c r="J196" s="7">
        <f t="shared" si="140"/>
        <v>0</v>
      </c>
      <c r="K196" s="7">
        <f t="shared" si="141"/>
        <v>0</v>
      </c>
      <c r="L196" s="7"/>
      <c r="M196" s="8" t="s">
        <v>75</v>
      </c>
      <c r="N196" s="7">
        <f t="shared" si="142"/>
        <v>0</v>
      </c>
      <c r="O196" s="8">
        <f t="shared" si="143"/>
        <v>0</v>
      </c>
      <c r="P196" s="7">
        <f t="shared" si="144"/>
        <v>0</v>
      </c>
      <c r="Q196" s="7">
        <f t="shared" si="145"/>
        <v>0</v>
      </c>
      <c r="R196" s="7">
        <f t="shared" si="146"/>
        <v>0</v>
      </c>
      <c r="S196" s="7">
        <f t="shared" si="147"/>
        <v>0</v>
      </c>
    </row>
    <row r="197" spans="3:19" ht="12">
      <c r="C197" s="369"/>
      <c r="D197" s="281"/>
      <c r="E197" s="927"/>
      <c r="F197" s="842"/>
      <c r="G197" s="322"/>
      <c r="H197" s="319"/>
      <c r="I197" s="320"/>
      <c r="J197" s="7">
        <f t="shared" si="140"/>
        <v>0</v>
      </c>
      <c r="K197" s="7">
        <f t="shared" si="141"/>
        <v>0</v>
      </c>
      <c r="L197" s="7"/>
      <c r="M197" s="8" t="s">
        <v>75</v>
      </c>
      <c r="N197" s="7">
        <f t="shared" si="142"/>
        <v>0</v>
      </c>
      <c r="O197" s="8">
        <f t="shared" si="143"/>
        <v>0</v>
      </c>
      <c r="P197" s="7">
        <f t="shared" si="144"/>
        <v>0</v>
      </c>
      <c r="Q197" s="7">
        <f t="shared" si="145"/>
        <v>0</v>
      </c>
      <c r="R197" s="7">
        <f t="shared" si="146"/>
        <v>0</v>
      </c>
      <c r="S197" s="7">
        <f t="shared" si="147"/>
        <v>0</v>
      </c>
    </row>
    <row r="198" spans="3:19" ht="12">
      <c r="C198" s="368"/>
      <c r="D198" s="281"/>
      <c r="E198" s="927"/>
      <c r="F198" s="842"/>
      <c r="G198" s="322"/>
      <c r="H198" s="319"/>
      <c r="I198" s="320"/>
      <c r="J198" s="7">
        <f t="shared" si="140"/>
        <v>0</v>
      </c>
      <c r="K198" s="7">
        <f t="shared" si="141"/>
        <v>0</v>
      </c>
      <c r="L198" s="7"/>
      <c r="M198" s="8" t="s">
        <v>75</v>
      </c>
      <c r="N198" s="7">
        <f t="shared" si="142"/>
        <v>0</v>
      </c>
      <c r="O198" s="8">
        <f t="shared" si="143"/>
        <v>0</v>
      </c>
      <c r="P198" s="7">
        <f t="shared" si="144"/>
        <v>0</v>
      </c>
      <c r="Q198" s="7">
        <f t="shared" si="145"/>
        <v>0</v>
      </c>
      <c r="R198" s="7">
        <f t="shared" si="146"/>
        <v>0</v>
      </c>
      <c r="S198" s="7">
        <f t="shared" si="147"/>
        <v>0</v>
      </c>
    </row>
    <row r="199" spans="3:19" ht="13" thickBot="1">
      <c r="C199" s="368"/>
      <c r="D199" s="337"/>
      <c r="E199" s="427"/>
      <c r="F199" s="841"/>
      <c r="G199" s="28"/>
      <c r="H199" s="427"/>
      <c r="I199" s="337"/>
      <c r="J199" s="40"/>
      <c r="K199" s="40"/>
      <c r="L199" s="40"/>
      <c r="M199" s="40"/>
      <c r="N199" s="40"/>
      <c r="O199" s="40"/>
      <c r="P199" s="40"/>
      <c r="Q199" s="40"/>
      <c r="R199" s="40"/>
      <c r="S199" s="40"/>
    </row>
    <row r="200" spans="3:19" s="41" customFormat="1" ht="13" thickBot="1">
      <c r="C200" s="368"/>
      <c r="D200" s="18"/>
      <c r="E200" s="944"/>
      <c r="F200" s="834"/>
      <c r="G200" s="49"/>
      <c r="H200" s="333">
        <v>2300</v>
      </c>
      <c r="I200" s="10">
        <f>SUM(I190:I199)</f>
        <v>0</v>
      </c>
      <c r="J200" s="10">
        <f>SUM(J190:J199)</f>
        <v>0</v>
      </c>
      <c r="K200" s="10">
        <f>SUM(K190:K199)</f>
        <v>0</v>
      </c>
      <c r="L200" s="11"/>
      <c r="M200" s="10">
        <f t="shared" ref="M200:S200" si="154">SUM(M190:M199)</f>
        <v>0</v>
      </c>
      <c r="N200" s="10">
        <f t="shared" si="154"/>
        <v>0</v>
      </c>
      <c r="O200" s="10">
        <f t="shared" si="154"/>
        <v>0</v>
      </c>
      <c r="P200" s="10">
        <f t="shared" si="154"/>
        <v>0</v>
      </c>
      <c r="Q200" s="10">
        <f t="shared" si="154"/>
        <v>0</v>
      </c>
      <c r="R200" s="10">
        <f t="shared" si="154"/>
        <v>0</v>
      </c>
      <c r="S200" s="10">
        <f t="shared" si="154"/>
        <v>0</v>
      </c>
    </row>
    <row r="201" spans="3:19" ht="12">
      <c r="C201" s="369" t="s">
        <v>23</v>
      </c>
      <c r="D201" s="19"/>
      <c r="E201" s="38"/>
      <c r="F201" s="835"/>
      <c r="G201" s="28"/>
      <c r="H201" s="35"/>
      <c r="I201" s="7"/>
      <c r="J201" s="7"/>
      <c r="K201" s="7"/>
      <c r="L201" s="7"/>
      <c r="M201" s="36"/>
      <c r="N201" s="36"/>
      <c r="O201" s="36"/>
      <c r="P201" s="36"/>
      <c r="Q201" s="36"/>
      <c r="R201" s="36"/>
      <c r="S201" s="36"/>
    </row>
    <row r="202" spans="3:19" ht="12">
      <c r="C202" s="369"/>
      <c r="D202" s="281" t="s">
        <v>797</v>
      </c>
      <c r="E202" s="927">
        <v>1</v>
      </c>
      <c r="F202" s="839">
        <v>60924.959999999999</v>
      </c>
      <c r="G202" s="322">
        <v>12</v>
      </c>
      <c r="H202" s="319" t="s">
        <v>529</v>
      </c>
      <c r="I202" s="320">
        <v>60924.959999999999</v>
      </c>
      <c r="J202" s="7">
        <f t="shared" ref="J202:J212" si="155">SUM(M202:S202)</f>
        <v>13003.70888</v>
      </c>
      <c r="K202" s="7">
        <f t="shared" ref="K202:K212" si="156">SUM(I202:J202)</f>
        <v>73928.668879999997</v>
      </c>
      <c r="L202" s="7"/>
      <c r="M202" s="8" t="s">
        <v>75</v>
      </c>
      <c r="N202" s="7">
        <f t="shared" ref="N202:N203" si="157">I202*$N$5</f>
        <v>0</v>
      </c>
      <c r="O202" s="8">
        <f t="shared" ref="O202:O211" si="158">I202*$O$5</f>
        <v>3777.3475199999998</v>
      </c>
      <c r="P202" s="7">
        <f t="shared" ref="P202:P207" si="159">I202*$P$5</f>
        <v>883.41192000000001</v>
      </c>
      <c r="Q202" s="7">
        <f t="shared" ref="Q202:Q212" si="160">IF(H202="y", $Q$5*E202, 0)</f>
        <v>7000</v>
      </c>
      <c r="R202" s="7">
        <f t="shared" ref="R202:R212" si="161">IF($I202&gt;7000,7000*R$5,$I202*R$5)*E202</f>
        <v>490.00000000000006</v>
      </c>
      <c r="S202" s="7">
        <f t="shared" ref="S202:S212" si="162">S$5*$I202</f>
        <v>852.94943999999998</v>
      </c>
    </row>
    <row r="203" spans="3:19" ht="12">
      <c r="C203" s="369"/>
      <c r="D203" s="282" t="s">
        <v>798</v>
      </c>
      <c r="E203" s="927">
        <v>1</v>
      </c>
      <c r="F203" s="839">
        <v>39899.4</v>
      </c>
      <c r="G203" s="322">
        <v>12</v>
      </c>
      <c r="H203" s="319" t="s">
        <v>529</v>
      </c>
      <c r="I203" s="320">
        <v>39899.4</v>
      </c>
      <c r="J203" s="7">
        <f t="shared" ref="J203:J207" si="163">SUM(M203:S203)</f>
        <v>11100.895700000001</v>
      </c>
      <c r="K203" s="7">
        <f t="shared" ref="K203:K207" si="164">SUM(I203:J203)</f>
        <v>51000.295700000002</v>
      </c>
      <c r="L203" s="7"/>
      <c r="M203" s="8" t="s">
        <v>75</v>
      </c>
      <c r="N203" s="7">
        <f t="shared" si="157"/>
        <v>0</v>
      </c>
      <c r="O203" s="8">
        <f t="shared" ref="O203:O207" si="165">I203*$O$5</f>
        <v>2473.7628</v>
      </c>
      <c r="P203" s="7">
        <f t="shared" si="159"/>
        <v>578.54130000000009</v>
      </c>
      <c r="Q203" s="7">
        <f t="shared" si="160"/>
        <v>7000</v>
      </c>
      <c r="R203" s="7">
        <f t="shared" si="161"/>
        <v>490.00000000000006</v>
      </c>
      <c r="S203" s="7">
        <f t="shared" si="162"/>
        <v>558.59160000000008</v>
      </c>
    </row>
    <row r="204" spans="3:19" ht="12">
      <c r="C204" s="369"/>
      <c r="D204" s="281"/>
      <c r="E204" s="927"/>
      <c r="F204" s="839"/>
      <c r="G204" s="322"/>
      <c r="H204" s="319"/>
      <c r="I204" s="320"/>
      <c r="J204" s="7">
        <f t="shared" si="163"/>
        <v>0</v>
      </c>
      <c r="K204" s="7">
        <f t="shared" si="164"/>
        <v>0</v>
      </c>
      <c r="L204" s="7"/>
      <c r="M204" s="8" t="s">
        <v>75</v>
      </c>
      <c r="N204" s="7">
        <f>I204*$N$5</f>
        <v>0</v>
      </c>
      <c r="O204" s="8">
        <f t="shared" si="165"/>
        <v>0</v>
      </c>
      <c r="P204" s="7">
        <f t="shared" si="159"/>
        <v>0</v>
      </c>
      <c r="Q204" s="7">
        <f t="shared" si="160"/>
        <v>0</v>
      </c>
      <c r="R204" s="7">
        <f t="shared" si="161"/>
        <v>0</v>
      </c>
      <c r="S204" s="7">
        <f t="shared" si="162"/>
        <v>0</v>
      </c>
    </row>
    <row r="205" spans="3:19" ht="12">
      <c r="C205" s="369"/>
      <c r="D205" s="281"/>
      <c r="E205" s="927"/>
      <c r="F205" s="839"/>
      <c r="G205" s="322"/>
      <c r="H205" s="319"/>
      <c r="I205" s="320"/>
      <c r="J205" s="7">
        <f t="shared" si="163"/>
        <v>0</v>
      </c>
      <c r="K205" s="7">
        <f t="shared" si="164"/>
        <v>0</v>
      </c>
      <c r="L205" s="7"/>
      <c r="M205" s="8" t="s">
        <v>75</v>
      </c>
      <c r="N205" s="7">
        <f>I205*$N$5</f>
        <v>0</v>
      </c>
      <c r="O205" s="8">
        <f t="shared" si="165"/>
        <v>0</v>
      </c>
      <c r="P205" s="7">
        <f t="shared" si="159"/>
        <v>0</v>
      </c>
      <c r="Q205" s="7">
        <f t="shared" si="160"/>
        <v>0</v>
      </c>
      <c r="R205" s="7">
        <f t="shared" si="161"/>
        <v>0</v>
      </c>
      <c r="S205" s="7">
        <f t="shared" si="162"/>
        <v>0</v>
      </c>
    </row>
    <row r="206" spans="3:19" ht="12">
      <c r="C206" s="368"/>
      <c r="D206" s="282"/>
      <c r="E206" s="927"/>
      <c r="F206" s="839"/>
      <c r="G206" s="322"/>
      <c r="H206" s="319"/>
      <c r="I206" s="320"/>
      <c r="J206" s="7">
        <f t="shared" si="163"/>
        <v>0</v>
      </c>
      <c r="K206" s="7">
        <f t="shared" si="164"/>
        <v>0</v>
      </c>
      <c r="L206" s="7"/>
      <c r="M206" s="8" t="s">
        <v>75</v>
      </c>
      <c r="N206" s="7">
        <f t="shared" ref="N206:N207" si="166">I206*$N$5</f>
        <v>0</v>
      </c>
      <c r="O206" s="8">
        <f t="shared" si="165"/>
        <v>0</v>
      </c>
      <c r="P206" s="7">
        <f t="shared" si="159"/>
        <v>0</v>
      </c>
      <c r="Q206" s="7">
        <f t="shared" si="160"/>
        <v>0</v>
      </c>
      <c r="R206" s="7">
        <f t="shared" si="161"/>
        <v>0</v>
      </c>
      <c r="S206" s="7">
        <f t="shared" si="162"/>
        <v>0</v>
      </c>
    </row>
    <row r="207" spans="3:19" ht="12">
      <c r="C207" s="369"/>
      <c r="D207" s="281"/>
      <c r="E207" s="927"/>
      <c r="F207" s="839"/>
      <c r="G207" s="322"/>
      <c r="H207" s="319"/>
      <c r="I207" s="320"/>
      <c r="J207" s="7">
        <f t="shared" si="163"/>
        <v>0</v>
      </c>
      <c r="K207" s="7">
        <f t="shared" si="164"/>
        <v>0</v>
      </c>
      <c r="L207" s="7"/>
      <c r="M207" s="8" t="s">
        <v>75</v>
      </c>
      <c r="N207" s="7">
        <f t="shared" si="166"/>
        <v>0</v>
      </c>
      <c r="O207" s="8">
        <f t="shared" si="165"/>
        <v>0</v>
      </c>
      <c r="P207" s="7">
        <f t="shared" si="159"/>
        <v>0</v>
      </c>
      <c r="Q207" s="7">
        <f t="shared" si="160"/>
        <v>0</v>
      </c>
      <c r="R207" s="7">
        <f t="shared" si="161"/>
        <v>0</v>
      </c>
      <c r="S207" s="7">
        <f t="shared" si="162"/>
        <v>0</v>
      </c>
    </row>
    <row r="208" spans="3:19" ht="12">
      <c r="C208" s="369"/>
      <c r="D208" s="282"/>
      <c r="E208" s="927"/>
      <c r="F208" s="839"/>
      <c r="G208" s="322"/>
      <c r="H208" s="319"/>
      <c r="I208" s="320"/>
      <c r="J208" s="7">
        <f t="shared" si="155"/>
        <v>0</v>
      </c>
      <c r="K208" s="7">
        <f t="shared" si="156"/>
        <v>0</v>
      </c>
      <c r="L208" s="7"/>
      <c r="M208" s="8" t="s">
        <v>75</v>
      </c>
      <c r="N208" s="7">
        <f t="shared" ref="N208" si="167">I208*$N$5</f>
        <v>0</v>
      </c>
      <c r="O208" s="8">
        <f t="shared" si="158"/>
        <v>0</v>
      </c>
      <c r="P208" s="7">
        <f t="shared" ref="P208:P212" si="168">I208*$P$5</f>
        <v>0</v>
      </c>
      <c r="Q208" s="7">
        <f t="shared" si="160"/>
        <v>0</v>
      </c>
      <c r="R208" s="7">
        <f t="shared" si="161"/>
        <v>0</v>
      </c>
      <c r="S208" s="7">
        <f t="shared" si="162"/>
        <v>0</v>
      </c>
    </row>
    <row r="209" spans="3:19" ht="12">
      <c r="C209" s="369"/>
      <c r="D209" s="281"/>
      <c r="E209" s="927"/>
      <c r="F209" s="839"/>
      <c r="G209" s="322"/>
      <c r="H209" s="319"/>
      <c r="I209" s="320"/>
      <c r="J209" s="7">
        <f t="shared" si="155"/>
        <v>0</v>
      </c>
      <c r="K209" s="7">
        <f t="shared" si="156"/>
        <v>0</v>
      </c>
      <c r="L209" s="7"/>
      <c r="M209" s="8" t="s">
        <v>75</v>
      </c>
      <c r="N209" s="7">
        <f>I209*$N$5</f>
        <v>0</v>
      </c>
      <c r="O209" s="8">
        <f t="shared" si="158"/>
        <v>0</v>
      </c>
      <c r="P209" s="7">
        <f t="shared" si="168"/>
        <v>0</v>
      </c>
      <c r="Q209" s="7">
        <f t="shared" si="160"/>
        <v>0</v>
      </c>
      <c r="R209" s="7">
        <f t="shared" si="161"/>
        <v>0</v>
      </c>
      <c r="S209" s="7">
        <f t="shared" si="162"/>
        <v>0</v>
      </c>
    </row>
    <row r="210" spans="3:19" ht="12">
      <c r="C210" s="369"/>
      <c r="D210" s="281"/>
      <c r="E210" s="927"/>
      <c r="F210" s="839"/>
      <c r="G210" s="322"/>
      <c r="H210" s="319"/>
      <c r="I210" s="320"/>
      <c r="J210" s="7">
        <f t="shared" si="155"/>
        <v>0</v>
      </c>
      <c r="K210" s="7">
        <f t="shared" si="156"/>
        <v>0</v>
      </c>
      <c r="L210" s="7"/>
      <c r="M210" s="8" t="s">
        <v>75</v>
      </c>
      <c r="N210" s="7">
        <f>I210*$N$5</f>
        <v>0</v>
      </c>
      <c r="O210" s="8">
        <f t="shared" si="158"/>
        <v>0</v>
      </c>
      <c r="P210" s="7">
        <f t="shared" si="168"/>
        <v>0</v>
      </c>
      <c r="Q210" s="7">
        <f t="shared" si="160"/>
        <v>0</v>
      </c>
      <c r="R210" s="7">
        <f t="shared" si="161"/>
        <v>0</v>
      </c>
      <c r="S210" s="7">
        <f t="shared" si="162"/>
        <v>0</v>
      </c>
    </row>
    <row r="211" spans="3:19" ht="12">
      <c r="C211" s="368"/>
      <c r="D211" s="282"/>
      <c r="E211" s="927"/>
      <c r="F211" s="839"/>
      <c r="G211" s="322"/>
      <c r="H211" s="319"/>
      <c r="I211" s="320"/>
      <c r="J211" s="7">
        <f t="shared" si="155"/>
        <v>0</v>
      </c>
      <c r="K211" s="7">
        <f t="shared" si="156"/>
        <v>0</v>
      </c>
      <c r="L211" s="7"/>
      <c r="M211" s="8" t="s">
        <v>75</v>
      </c>
      <c r="N211" s="7">
        <f t="shared" ref="N211:N212" si="169">I211*$N$5</f>
        <v>0</v>
      </c>
      <c r="O211" s="8">
        <f t="shared" si="158"/>
        <v>0</v>
      </c>
      <c r="P211" s="7">
        <f t="shared" si="168"/>
        <v>0</v>
      </c>
      <c r="Q211" s="7">
        <f t="shared" si="160"/>
        <v>0</v>
      </c>
      <c r="R211" s="7">
        <f t="shared" si="161"/>
        <v>0</v>
      </c>
      <c r="S211" s="7">
        <f t="shared" si="162"/>
        <v>0</v>
      </c>
    </row>
    <row r="212" spans="3:19" ht="12">
      <c r="C212" s="369"/>
      <c r="D212" s="281"/>
      <c r="E212" s="927"/>
      <c r="F212" s="839"/>
      <c r="G212" s="322"/>
      <c r="H212" s="319"/>
      <c r="I212" s="320"/>
      <c r="J212" s="7">
        <f t="shared" si="155"/>
        <v>0</v>
      </c>
      <c r="K212" s="7">
        <f t="shared" si="156"/>
        <v>0</v>
      </c>
      <c r="L212" s="7"/>
      <c r="M212" s="8" t="s">
        <v>75</v>
      </c>
      <c r="N212" s="7">
        <f t="shared" si="169"/>
        <v>0</v>
      </c>
      <c r="O212" s="8">
        <f t="shared" ref="O212" si="170">I212*$O$5</f>
        <v>0</v>
      </c>
      <c r="P212" s="7">
        <f t="shared" si="168"/>
        <v>0</v>
      </c>
      <c r="Q212" s="7">
        <f t="shared" si="160"/>
        <v>0</v>
      </c>
      <c r="R212" s="7">
        <f t="shared" si="161"/>
        <v>0</v>
      </c>
      <c r="S212" s="7">
        <f t="shared" si="162"/>
        <v>0</v>
      </c>
    </row>
    <row r="213" spans="3:19" ht="12.5" customHeight="1" thickBot="1">
      <c r="C213" s="368"/>
      <c r="D213" s="337"/>
      <c r="E213" s="427"/>
      <c r="F213" s="841"/>
      <c r="G213" s="28"/>
      <c r="H213" s="427"/>
      <c r="I213" s="337"/>
      <c r="J213" s="40"/>
      <c r="K213" s="40"/>
      <c r="L213" s="40"/>
      <c r="M213" s="40"/>
      <c r="N213" s="40"/>
      <c r="O213" s="40"/>
      <c r="P213" s="7"/>
      <c r="Q213" s="7"/>
      <c r="R213" s="7"/>
      <c r="S213" s="7"/>
    </row>
    <row r="214" spans="3:19" s="41" customFormat="1" ht="13" thickBot="1">
      <c r="C214" s="368"/>
      <c r="D214" s="332"/>
      <c r="E214" s="940"/>
      <c r="F214" s="834"/>
      <c r="G214" s="49"/>
      <c r="H214" s="17">
        <v>2400</v>
      </c>
      <c r="I214" s="10">
        <f>SUM(I202:I213)</f>
        <v>100824.36</v>
      </c>
      <c r="J214" s="10">
        <f>SUM(J202:J213)</f>
        <v>24104.604579999999</v>
      </c>
      <c r="K214" s="10">
        <f>SUM(K202:K213)</f>
        <v>124928.96458</v>
      </c>
      <c r="L214" s="11"/>
      <c r="M214" s="10">
        <f t="shared" ref="M214:S214" si="171">SUM(M202:M213)</f>
        <v>0</v>
      </c>
      <c r="N214" s="10">
        <f t="shared" si="171"/>
        <v>0</v>
      </c>
      <c r="O214" s="10">
        <f t="shared" si="171"/>
        <v>6251.1103199999998</v>
      </c>
      <c r="P214" s="10">
        <f t="shared" si="171"/>
        <v>1461.9532200000001</v>
      </c>
      <c r="Q214" s="10">
        <f t="shared" si="171"/>
        <v>14000</v>
      </c>
      <c r="R214" s="10">
        <f t="shared" si="171"/>
        <v>980.00000000000011</v>
      </c>
      <c r="S214" s="10">
        <f t="shared" si="171"/>
        <v>1411.5410400000001</v>
      </c>
    </row>
    <row r="215" spans="3:19" ht="12">
      <c r="C215" s="369" t="s">
        <v>24</v>
      </c>
      <c r="D215" s="334"/>
      <c r="E215" s="941"/>
      <c r="F215" s="835"/>
      <c r="G215" s="28"/>
      <c r="H215" s="35"/>
      <c r="I215" s="7"/>
      <c r="J215" s="7"/>
      <c r="K215" s="7"/>
      <c r="L215" s="7"/>
      <c r="M215" s="36"/>
      <c r="N215" s="36"/>
      <c r="O215" s="36"/>
      <c r="P215" s="36"/>
      <c r="Q215" s="36"/>
      <c r="R215" s="36"/>
      <c r="S215" s="36"/>
    </row>
    <row r="216" spans="3:19" ht="12">
      <c r="C216" s="369"/>
      <c r="D216" s="321" t="s">
        <v>771</v>
      </c>
      <c r="E216" s="942">
        <v>1</v>
      </c>
      <c r="F216" s="836">
        <v>41910.28</v>
      </c>
      <c r="G216" s="322">
        <v>12</v>
      </c>
      <c r="H216" s="319" t="s">
        <v>529</v>
      </c>
      <c r="I216" s="320">
        <f t="shared" ref="I216" si="172">F216*E216</f>
        <v>41910.28</v>
      </c>
      <c r="J216" s="7">
        <f t="shared" ref="J216:J227" si="173">SUM(M216:S216)</f>
        <v>11282.88034</v>
      </c>
      <c r="K216" s="7">
        <f t="shared" ref="K216:K226" si="174">SUM(I216:J216)</f>
        <v>53193.160340000002</v>
      </c>
      <c r="L216" s="7"/>
      <c r="M216" s="8" t="s">
        <v>75</v>
      </c>
      <c r="N216" s="7">
        <f t="shared" ref="N216:N224" si="175">I216*$N$5</f>
        <v>0</v>
      </c>
      <c r="O216" s="8">
        <f t="shared" ref="O216:O227" si="176">I216*$O$5</f>
        <v>2598.4373599999999</v>
      </c>
      <c r="P216" s="7">
        <f t="shared" ref="P216:P227" si="177">I216*$P$5</f>
        <v>607.69906000000003</v>
      </c>
      <c r="Q216" s="7">
        <f t="shared" ref="Q216:Q227" si="178">IF(H216="y", $Q$5*E216, 0)</f>
        <v>7000</v>
      </c>
      <c r="R216" s="7">
        <f t="shared" ref="R216:R227" si="179">IF($I216&gt;7000,7000*R$5,$I216*R$5)*E216</f>
        <v>490.00000000000006</v>
      </c>
      <c r="S216" s="7">
        <f t="shared" ref="S216:S227" si="180">S$5*$I216</f>
        <v>586.74392</v>
      </c>
    </row>
    <row r="217" spans="3:19" ht="12">
      <c r="C217" s="369"/>
      <c r="D217" s="321"/>
      <c r="E217" s="942"/>
      <c r="F217" s="836"/>
      <c r="G217" s="322"/>
      <c r="H217" s="319"/>
      <c r="I217" s="320"/>
      <c r="J217" s="7">
        <f t="shared" ref="J217" si="181">SUM(M217:S217)</f>
        <v>0</v>
      </c>
      <c r="K217" s="7">
        <f t="shared" ref="K217:K218" si="182">SUM(I217:J217)</f>
        <v>0</v>
      </c>
      <c r="L217" s="7"/>
      <c r="M217" s="8" t="s">
        <v>75</v>
      </c>
      <c r="N217" s="7">
        <f t="shared" si="175"/>
        <v>0</v>
      </c>
      <c r="O217" s="8">
        <f t="shared" si="176"/>
        <v>0</v>
      </c>
      <c r="P217" s="7">
        <f t="shared" si="177"/>
        <v>0</v>
      </c>
      <c r="Q217" s="7">
        <f t="shared" si="178"/>
        <v>0</v>
      </c>
      <c r="R217" s="7">
        <f t="shared" si="179"/>
        <v>0</v>
      </c>
      <c r="S217" s="7">
        <f t="shared" si="180"/>
        <v>0</v>
      </c>
    </row>
    <row r="218" spans="3:19" ht="12">
      <c r="C218" s="369"/>
      <c r="D218" s="285"/>
      <c r="E218" s="942"/>
      <c r="F218" s="842"/>
      <c r="G218" s="322"/>
      <c r="H218" s="319"/>
      <c r="I218" s="320"/>
      <c r="J218" s="7">
        <f t="shared" ref="J218:J219" si="183">SUM(M218:S218)</f>
        <v>0</v>
      </c>
      <c r="K218" s="7">
        <f t="shared" si="182"/>
        <v>0</v>
      </c>
      <c r="L218" s="7"/>
      <c r="M218" s="8" t="s">
        <v>75</v>
      </c>
      <c r="N218" s="7">
        <f t="shared" ref="N218:N222" si="184">I218*$N$5</f>
        <v>0</v>
      </c>
      <c r="O218" s="8">
        <f t="shared" si="176"/>
        <v>0</v>
      </c>
      <c r="P218" s="7">
        <f t="shared" si="177"/>
        <v>0</v>
      </c>
      <c r="Q218" s="7">
        <f t="shared" si="178"/>
        <v>0</v>
      </c>
      <c r="R218" s="7">
        <f t="shared" si="179"/>
        <v>0</v>
      </c>
      <c r="S218" s="7">
        <f t="shared" si="180"/>
        <v>0</v>
      </c>
    </row>
    <row r="219" spans="3:19" ht="12">
      <c r="C219" s="369"/>
      <c r="D219" s="321"/>
      <c r="E219" s="942"/>
      <c r="F219" s="842"/>
      <c r="G219" s="322"/>
      <c r="H219" s="319"/>
      <c r="I219" s="320"/>
      <c r="J219" s="7">
        <f t="shared" si="183"/>
        <v>0</v>
      </c>
      <c r="K219" s="7">
        <f t="shared" ref="K219" si="185">SUM(I219:J219)</f>
        <v>0</v>
      </c>
      <c r="L219" s="7"/>
      <c r="M219" s="8" t="s">
        <v>75</v>
      </c>
      <c r="N219" s="7">
        <f t="shared" si="184"/>
        <v>0</v>
      </c>
      <c r="O219" s="8">
        <f t="shared" si="176"/>
        <v>0</v>
      </c>
      <c r="P219" s="7">
        <f t="shared" si="177"/>
        <v>0</v>
      </c>
      <c r="Q219" s="7">
        <f t="shared" si="178"/>
        <v>0</v>
      </c>
      <c r="R219" s="7">
        <f t="shared" si="179"/>
        <v>0</v>
      </c>
      <c r="S219" s="7">
        <f t="shared" si="180"/>
        <v>0</v>
      </c>
    </row>
    <row r="220" spans="3:19" ht="12">
      <c r="C220" s="369"/>
      <c r="D220" s="321"/>
      <c r="E220" s="942"/>
      <c r="F220" s="836"/>
      <c r="G220" s="322"/>
      <c r="H220" s="319"/>
      <c r="I220" s="320"/>
      <c r="J220" s="7">
        <f t="shared" ref="J220:J222" si="186">SUM(M220:S220)</f>
        <v>0</v>
      </c>
      <c r="K220" s="7">
        <f t="shared" ref="K220:K221" si="187">SUM(I220:J220)</f>
        <v>0</v>
      </c>
      <c r="L220" s="7"/>
      <c r="M220" s="8" t="s">
        <v>75</v>
      </c>
      <c r="N220" s="7">
        <f t="shared" si="184"/>
        <v>0</v>
      </c>
      <c r="O220" s="8">
        <f t="shared" si="176"/>
        <v>0</v>
      </c>
      <c r="P220" s="7">
        <f t="shared" si="177"/>
        <v>0</v>
      </c>
      <c r="Q220" s="7">
        <f t="shared" si="178"/>
        <v>0</v>
      </c>
      <c r="R220" s="7">
        <f t="shared" si="179"/>
        <v>0</v>
      </c>
      <c r="S220" s="7">
        <f t="shared" si="180"/>
        <v>0</v>
      </c>
    </row>
    <row r="221" spans="3:19" ht="12">
      <c r="C221" s="369"/>
      <c r="D221" s="285"/>
      <c r="E221" s="942"/>
      <c r="F221" s="842"/>
      <c r="G221" s="322"/>
      <c r="H221" s="319"/>
      <c r="I221" s="320"/>
      <c r="J221" s="7">
        <f t="shared" si="186"/>
        <v>0</v>
      </c>
      <c r="K221" s="7">
        <f t="shared" si="187"/>
        <v>0</v>
      </c>
      <c r="L221" s="7"/>
      <c r="M221" s="8" t="s">
        <v>75</v>
      </c>
      <c r="N221" s="7">
        <f t="shared" si="184"/>
        <v>0</v>
      </c>
      <c r="O221" s="8">
        <f t="shared" ref="O221:O222" si="188">I221*$O$5</f>
        <v>0</v>
      </c>
      <c r="P221" s="7">
        <f t="shared" ref="P221:P222" si="189">I221*$P$5</f>
        <v>0</v>
      </c>
      <c r="Q221" s="7">
        <f t="shared" si="178"/>
        <v>0</v>
      </c>
      <c r="R221" s="7">
        <f t="shared" si="179"/>
        <v>0</v>
      </c>
      <c r="S221" s="7">
        <f t="shared" si="180"/>
        <v>0</v>
      </c>
    </row>
    <row r="222" spans="3:19" ht="12">
      <c r="C222" s="369"/>
      <c r="D222" s="321"/>
      <c r="E222" s="942"/>
      <c r="F222" s="842"/>
      <c r="G222" s="322"/>
      <c r="H222" s="319"/>
      <c r="I222" s="320"/>
      <c r="J222" s="7">
        <f t="shared" si="186"/>
        <v>0</v>
      </c>
      <c r="K222" s="7">
        <f t="shared" ref="K222" si="190">SUM(I222:J222)</f>
        <v>0</v>
      </c>
      <c r="L222" s="7"/>
      <c r="M222" s="8" t="s">
        <v>75</v>
      </c>
      <c r="N222" s="7">
        <f t="shared" si="184"/>
        <v>0</v>
      </c>
      <c r="O222" s="8">
        <f t="shared" si="188"/>
        <v>0</v>
      </c>
      <c r="P222" s="7">
        <f t="shared" si="189"/>
        <v>0</v>
      </c>
      <c r="Q222" s="7">
        <f t="shared" si="178"/>
        <v>0</v>
      </c>
      <c r="R222" s="7">
        <f t="shared" si="179"/>
        <v>0</v>
      </c>
      <c r="S222" s="7">
        <f t="shared" si="180"/>
        <v>0</v>
      </c>
    </row>
    <row r="223" spans="3:19" ht="12">
      <c r="C223" s="369"/>
      <c r="D223" s="285"/>
      <c r="E223" s="942"/>
      <c r="F223" s="842"/>
      <c r="G223" s="322"/>
      <c r="H223" s="319"/>
      <c r="I223" s="320"/>
      <c r="J223" s="7">
        <f t="shared" ref="J223:J224" si="191">SUM(M223:S223)</f>
        <v>0</v>
      </c>
      <c r="K223" s="7">
        <f t="shared" ref="K223" si="192">SUM(I223:J223)</f>
        <v>0</v>
      </c>
      <c r="L223" s="7"/>
      <c r="M223" s="8" t="s">
        <v>75</v>
      </c>
      <c r="N223" s="7">
        <f t="shared" si="175"/>
        <v>0</v>
      </c>
      <c r="O223" s="8">
        <f t="shared" ref="O223:O224" si="193">I223*$O$5</f>
        <v>0</v>
      </c>
      <c r="P223" s="7">
        <f t="shared" ref="P223:P224" si="194">I223*$P$5</f>
        <v>0</v>
      </c>
      <c r="Q223" s="7">
        <f t="shared" si="178"/>
        <v>0</v>
      </c>
      <c r="R223" s="7">
        <f t="shared" si="179"/>
        <v>0</v>
      </c>
      <c r="S223" s="7">
        <f t="shared" si="180"/>
        <v>0</v>
      </c>
    </row>
    <row r="224" spans="3:19" ht="12">
      <c r="C224" s="369"/>
      <c r="D224" s="321"/>
      <c r="E224" s="942"/>
      <c r="F224" s="842"/>
      <c r="G224" s="322"/>
      <c r="H224" s="319"/>
      <c r="I224" s="320"/>
      <c r="J224" s="7">
        <f t="shared" si="191"/>
        <v>0</v>
      </c>
      <c r="K224" s="7">
        <f t="shared" ref="K224" si="195">SUM(I224:J224)</f>
        <v>0</v>
      </c>
      <c r="L224" s="7"/>
      <c r="M224" s="8" t="s">
        <v>75</v>
      </c>
      <c r="N224" s="7">
        <f t="shared" si="175"/>
        <v>0</v>
      </c>
      <c r="O224" s="8">
        <f t="shared" si="193"/>
        <v>0</v>
      </c>
      <c r="P224" s="7">
        <f t="shared" si="194"/>
        <v>0</v>
      </c>
      <c r="Q224" s="7">
        <f t="shared" si="178"/>
        <v>0</v>
      </c>
      <c r="R224" s="7">
        <f t="shared" si="179"/>
        <v>0</v>
      </c>
      <c r="S224" s="7">
        <f t="shared" si="180"/>
        <v>0</v>
      </c>
    </row>
    <row r="225" spans="3:19" ht="12">
      <c r="C225" s="369"/>
      <c r="D225" s="321"/>
      <c r="E225" s="942"/>
      <c r="F225" s="836"/>
      <c r="G225" s="322"/>
      <c r="H225" s="319"/>
      <c r="I225" s="320"/>
      <c r="J225" s="7">
        <f t="shared" ref="J225" si="196">SUM(M225:S225)</f>
        <v>0</v>
      </c>
      <c r="K225" s="7">
        <f t="shared" ref="K225" si="197">SUM(I225:J225)</f>
        <v>0</v>
      </c>
      <c r="L225" s="7"/>
      <c r="M225" s="8" t="s">
        <v>75</v>
      </c>
      <c r="N225" s="7">
        <f t="shared" ref="N225" si="198">I225*$N$5</f>
        <v>0</v>
      </c>
      <c r="O225" s="8">
        <f t="shared" ref="O225" si="199">I225*$O$5</f>
        <v>0</v>
      </c>
      <c r="P225" s="7">
        <f t="shared" ref="P225" si="200">I225*$P$5</f>
        <v>0</v>
      </c>
      <c r="Q225" s="7">
        <f t="shared" si="178"/>
        <v>0</v>
      </c>
      <c r="R225" s="7">
        <f t="shared" si="179"/>
        <v>0</v>
      </c>
      <c r="S225" s="7">
        <f t="shared" si="180"/>
        <v>0</v>
      </c>
    </row>
    <row r="226" spans="3:19" ht="12">
      <c r="C226" s="369"/>
      <c r="D226" s="285"/>
      <c r="E226" s="942"/>
      <c r="F226" s="842"/>
      <c r="G226" s="322"/>
      <c r="H226" s="319"/>
      <c r="I226" s="320"/>
      <c r="J226" s="7">
        <f t="shared" si="173"/>
        <v>0</v>
      </c>
      <c r="K226" s="7">
        <f t="shared" si="174"/>
        <v>0</v>
      </c>
      <c r="L226" s="7"/>
      <c r="M226" s="8" t="s">
        <v>75</v>
      </c>
      <c r="N226" s="7">
        <f t="shared" ref="N226:N227" si="201">I226*$N$5</f>
        <v>0</v>
      </c>
      <c r="O226" s="8">
        <f t="shared" si="176"/>
        <v>0</v>
      </c>
      <c r="P226" s="7">
        <f t="shared" si="177"/>
        <v>0</v>
      </c>
      <c r="Q226" s="7">
        <f t="shared" si="178"/>
        <v>0</v>
      </c>
      <c r="R226" s="7">
        <f t="shared" si="179"/>
        <v>0</v>
      </c>
      <c r="S226" s="7">
        <f t="shared" si="180"/>
        <v>0</v>
      </c>
    </row>
    <row r="227" spans="3:19" ht="12">
      <c r="C227" s="369"/>
      <c r="D227" s="321"/>
      <c r="E227" s="942"/>
      <c r="F227" s="842"/>
      <c r="G227" s="322"/>
      <c r="H227" s="319"/>
      <c r="I227" s="320"/>
      <c r="J227" s="7">
        <f t="shared" si="173"/>
        <v>0</v>
      </c>
      <c r="K227" s="7">
        <f t="shared" ref="K227" si="202">SUM(I227:J227)</f>
        <v>0</v>
      </c>
      <c r="L227" s="7"/>
      <c r="M227" s="8" t="s">
        <v>75</v>
      </c>
      <c r="N227" s="7">
        <f t="shared" si="201"/>
        <v>0</v>
      </c>
      <c r="O227" s="8">
        <f t="shared" si="176"/>
        <v>0</v>
      </c>
      <c r="P227" s="7">
        <f t="shared" si="177"/>
        <v>0</v>
      </c>
      <c r="Q227" s="7">
        <f t="shared" si="178"/>
        <v>0</v>
      </c>
      <c r="R227" s="7">
        <f t="shared" si="179"/>
        <v>0</v>
      </c>
      <c r="S227" s="7">
        <f t="shared" si="180"/>
        <v>0</v>
      </c>
    </row>
    <row r="228" spans="3:19" ht="12.5" customHeight="1" thickBot="1">
      <c r="C228" s="369"/>
      <c r="D228" s="337"/>
      <c r="E228" s="427"/>
      <c r="F228" s="841"/>
      <c r="G228" s="28"/>
      <c r="H228" s="427"/>
      <c r="I228" s="337"/>
      <c r="J228" s="40"/>
      <c r="K228" s="40"/>
      <c r="L228" s="40"/>
      <c r="M228" s="40"/>
      <c r="N228" s="40"/>
      <c r="O228" s="40"/>
      <c r="P228" s="7"/>
      <c r="Q228" s="7"/>
      <c r="R228" s="7"/>
      <c r="S228" s="7"/>
    </row>
    <row r="229" spans="3:19" s="41" customFormat="1" ht="13" thickBot="1">
      <c r="C229" s="369"/>
      <c r="D229" s="43"/>
      <c r="E229" s="50"/>
      <c r="F229" s="835"/>
      <c r="G229" s="28"/>
      <c r="H229" s="17">
        <v>2900</v>
      </c>
      <c r="I229" s="10">
        <f>SUM(I216:I228)</f>
        <v>41910.28</v>
      </c>
      <c r="J229" s="10">
        <f>SUM(J216:J228)</f>
        <v>11282.88034</v>
      </c>
      <c r="K229" s="10">
        <f>SUM(K216:K228)</f>
        <v>53193.160340000002</v>
      </c>
      <c r="L229" s="11"/>
      <c r="M229" s="10">
        <f t="shared" ref="M229:S229" si="203">SUM(M216:M228)</f>
        <v>0</v>
      </c>
      <c r="N229" s="10">
        <f t="shared" si="203"/>
        <v>0</v>
      </c>
      <c r="O229" s="10">
        <f t="shared" si="203"/>
        <v>2598.4373599999999</v>
      </c>
      <c r="P229" s="10">
        <f t="shared" si="203"/>
        <v>607.69906000000003</v>
      </c>
      <c r="Q229" s="10">
        <f t="shared" si="203"/>
        <v>7000</v>
      </c>
      <c r="R229" s="10">
        <f t="shared" si="203"/>
        <v>490.00000000000006</v>
      </c>
      <c r="S229" s="10">
        <f t="shared" si="203"/>
        <v>586.74392</v>
      </c>
    </row>
    <row r="230" spans="3:19" ht="12">
      <c r="C230" s="369"/>
      <c r="D230" s="43"/>
      <c r="E230" s="50"/>
      <c r="F230" s="841"/>
      <c r="G230" s="28"/>
      <c r="H230" s="427"/>
      <c r="I230" s="337"/>
      <c r="J230" s="7"/>
      <c r="K230" s="7"/>
      <c r="L230" s="7"/>
      <c r="M230" s="36"/>
      <c r="N230" s="36"/>
      <c r="O230" s="36"/>
      <c r="P230" s="36"/>
      <c r="Q230" s="36"/>
      <c r="R230" s="36"/>
      <c r="S230" s="36"/>
    </row>
    <row r="231" spans="3:19" s="42" customFormat="1" ht="13" thickBot="1">
      <c r="C231" s="370"/>
      <c r="D231" s="43"/>
      <c r="E231" s="50"/>
      <c r="F231" s="843"/>
      <c r="G231" s="50"/>
      <c r="H231" s="20"/>
      <c r="I231" s="21">
        <f>SUM(I61,I229,I188,I214,I200,I166,I144,I122,I76,I65,I100)</f>
        <v>10248578.848000001</v>
      </c>
      <c r="J231" s="21">
        <f>SUM(J61,J229,J188,J214,J200,J166,J144,J122,J76,J65,J100)</f>
        <v>3163022.7407360012</v>
      </c>
      <c r="K231" s="21">
        <f>SUM(K61,K229,K188,K214,K200,K166,K144,K122,K76,K65,K100)</f>
        <v>13411601.588736001</v>
      </c>
      <c r="L231" s="22"/>
      <c r="M231" s="21">
        <f t="shared" ref="M231:S231" si="204">SUM(M61,M229,M188,M214,M200,M166,M144,M122,M76,M65,M100)</f>
        <v>1686901.4376480004</v>
      </c>
      <c r="N231" s="21">
        <f t="shared" si="204"/>
        <v>0</v>
      </c>
      <c r="O231" s="21">
        <f t="shared" si="204"/>
        <v>23786.805919999999</v>
      </c>
      <c r="P231" s="21">
        <f t="shared" si="204"/>
        <v>148604.39329599997</v>
      </c>
      <c r="Q231" s="21">
        <f t="shared" si="204"/>
        <v>1078000</v>
      </c>
      <c r="R231" s="21">
        <f t="shared" si="204"/>
        <v>82250.000000000015</v>
      </c>
      <c r="S231" s="21">
        <f t="shared" si="204"/>
        <v>143480.10387199998</v>
      </c>
    </row>
    <row r="232" spans="3:19" ht="13" thickTop="1">
      <c r="C232" s="370"/>
      <c r="D232" s="6"/>
      <c r="E232" s="28"/>
      <c r="F232" s="36"/>
      <c r="G232" s="28"/>
      <c r="H232" s="44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3:19" ht="12">
      <c r="C233" s="369"/>
      <c r="D233" s="6"/>
      <c r="E233" s="28"/>
      <c r="F233" s="36"/>
      <c r="G233" s="28"/>
      <c r="I233" s="925">
        <f>I231-I76</f>
        <v>9495137.9200000018</v>
      </c>
      <c r="J233" s="36"/>
      <c r="K233" s="36"/>
      <c r="M233" s="36"/>
      <c r="N233" s="36"/>
      <c r="O233" s="36"/>
      <c r="P233" s="36"/>
      <c r="Q233" s="36"/>
      <c r="R233" s="7"/>
      <c r="S233" s="7"/>
    </row>
    <row r="234" spans="3:19" ht="12">
      <c r="C234" s="369"/>
      <c r="H234" s="958" t="s">
        <v>641</v>
      </c>
      <c r="I234" s="925">
        <v>9349968.3599999994</v>
      </c>
      <c r="J234" s="27" t="s">
        <v>635</v>
      </c>
    </row>
    <row r="235" spans="3:19" ht="12">
      <c r="C235" s="369"/>
      <c r="H235" s="958" t="s">
        <v>642</v>
      </c>
      <c r="I235" s="925">
        <f>I233-I234</f>
        <v>145169.56000000238</v>
      </c>
    </row>
    <row r="236" spans="3:19" ht="12">
      <c r="C236" s="369"/>
      <c r="I236" s="925"/>
    </row>
    <row r="237" spans="3:19" ht="12">
      <c r="C237" s="369"/>
      <c r="I237" s="925"/>
    </row>
    <row r="238" spans="3:19" ht="12">
      <c r="C238" s="369"/>
    </row>
    <row r="239" spans="3:19" ht="12">
      <c r="C239" s="369"/>
    </row>
    <row r="240" spans="3:19" ht="12">
      <c r="C240" s="369"/>
    </row>
    <row r="241" spans="1:26" ht="12">
      <c r="C241" s="369"/>
    </row>
    <row r="242" spans="1:26" ht="12">
      <c r="C242" s="369"/>
    </row>
    <row r="244" spans="1:26" s="46" customFormat="1">
      <c r="A244" s="27"/>
      <c r="B244" s="27"/>
      <c r="C244" s="27"/>
      <c r="D244" s="27"/>
      <c r="E244" s="45"/>
      <c r="F244" s="844"/>
      <c r="G244" s="45"/>
      <c r="H244" s="45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s="46" customFormat="1">
      <c r="A245" s="27"/>
      <c r="B245" s="27"/>
      <c r="C245" s="27"/>
      <c r="D245" s="27"/>
      <c r="E245" s="45"/>
      <c r="F245" s="844"/>
      <c r="G245" s="45"/>
      <c r="H245" s="45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s="46" customFormat="1">
      <c r="A246" s="27"/>
      <c r="B246" s="27"/>
      <c r="C246" s="27"/>
      <c r="D246" s="27"/>
      <c r="E246" s="45"/>
      <c r="F246" s="844"/>
      <c r="G246" s="45"/>
      <c r="H246" s="45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s="46" customFormat="1">
      <c r="A247" s="27"/>
      <c r="B247" s="27"/>
      <c r="C247" s="27"/>
      <c r="D247" s="27"/>
      <c r="E247" s="45"/>
      <c r="F247" s="844"/>
      <c r="G247" s="45"/>
      <c r="H247" s="45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s="46" customFormat="1">
      <c r="A248" s="27"/>
      <c r="B248" s="27"/>
      <c r="C248" s="27"/>
      <c r="D248" s="27"/>
      <c r="E248" s="45"/>
      <c r="F248" s="844"/>
      <c r="G248" s="45"/>
      <c r="H248" s="45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s="46" customFormat="1">
      <c r="A249" s="27"/>
      <c r="B249" s="27"/>
      <c r="C249" s="27"/>
      <c r="D249" s="27"/>
      <c r="E249" s="45"/>
      <c r="F249" s="844"/>
      <c r="G249" s="45"/>
      <c r="H249" s="45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s="46" customFormat="1">
      <c r="A250" s="27"/>
      <c r="B250" s="27"/>
      <c r="C250" s="27"/>
      <c r="D250" s="27"/>
      <c r="E250" s="45"/>
      <c r="F250" s="844"/>
      <c r="G250" s="45"/>
      <c r="H250" s="45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s="46" customFormat="1">
      <c r="A251" s="27"/>
      <c r="B251" s="27"/>
      <c r="C251" s="27"/>
      <c r="D251" s="27"/>
      <c r="E251" s="45"/>
      <c r="F251" s="844"/>
      <c r="G251" s="45"/>
      <c r="H251" s="45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s="46" customFormat="1">
      <c r="A252" s="27"/>
      <c r="B252" s="27"/>
      <c r="C252" s="27"/>
      <c r="D252" s="27"/>
      <c r="E252" s="45"/>
      <c r="F252" s="844"/>
      <c r="G252" s="45"/>
      <c r="H252" s="45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s="46" customFormat="1">
      <c r="A253" s="27"/>
      <c r="B253" s="27"/>
      <c r="C253" s="27"/>
      <c r="D253" s="27"/>
      <c r="E253" s="45"/>
      <c r="F253" s="844"/>
      <c r="G253" s="45"/>
      <c r="H253" s="45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s="46" customFormat="1">
      <c r="A254" s="27"/>
      <c r="B254" s="27"/>
      <c r="C254" s="27"/>
      <c r="D254" s="27"/>
      <c r="E254" s="45"/>
      <c r="F254" s="844"/>
      <c r="G254" s="45"/>
      <c r="H254" s="45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s="46" customFormat="1">
      <c r="A255" s="27"/>
      <c r="B255" s="27"/>
      <c r="C255" s="27"/>
      <c r="D255" s="27"/>
      <c r="E255" s="45"/>
      <c r="F255" s="844"/>
      <c r="G255" s="45"/>
      <c r="H255" s="45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s="46" customFormat="1">
      <c r="A256" s="27"/>
      <c r="B256" s="27"/>
      <c r="C256" s="27"/>
      <c r="D256" s="27"/>
      <c r="E256" s="45"/>
      <c r="F256" s="844"/>
      <c r="G256" s="45"/>
      <c r="H256" s="45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</sheetData>
  <sheetProtection insertColumns="0" insertRows="0" deleteColumns="0" deleteRows="0"/>
  <mergeCells count="1">
    <mergeCell ref="I4:J4"/>
  </mergeCells>
  <printOptions horizontalCentered="1"/>
  <pageMargins left="0.25" right="0.25" top="0.25" bottom="0.25" header="0.3" footer="0.3"/>
  <pageSetup scale="7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8FD610"/>
  </sheetPr>
  <dimension ref="A1:Z256"/>
  <sheetViews>
    <sheetView zoomScaleNormal="100" zoomScaleSheetLayoutView="85" workbookViewId="0">
      <pane ySplit="5" topLeftCell="A8" activePane="bottomLeft" state="frozen"/>
      <selection activeCell="K88" sqref="K88"/>
      <selection pane="bottomLeft" activeCell="M2" sqref="M2"/>
    </sheetView>
  </sheetViews>
  <sheetFormatPr baseColWidth="10" defaultColWidth="8.83203125" defaultRowHeight="11"/>
  <cols>
    <col min="1" max="1" width="1.33203125" style="27" customWidth="1"/>
    <col min="2" max="2" width="3.6640625" style="27" customWidth="1"/>
    <col min="3" max="3" width="2.6640625" style="27" customWidth="1"/>
    <col min="4" max="5" width="14.33203125" style="844" customWidth="1"/>
    <col min="6" max="6" width="20.6640625" style="844" bestFit="1" customWidth="1"/>
    <col min="7" max="7" width="8" style="45" customWidth="1"/>
    <col min="8" max="8" width="7" style="45" customWidth="1"/>
    <col min="9" max="9" width="11" style="27" bestFit="1" customWidth="1"/>
    <col min="10" max="11" width="9.33203125" style="27" customWidth="1"/>
    <col min="12" max="12" width="4.6640625" style="27" customWidth="1"/>
    <col min="13" max="15" width="8.33203125" style="27" customWidth="1"/>
    <col min="16" max="16" width="15.5" style="27" bestFit="1" customWidth="1"/>
    <col min="17" max="19" width="8.33203125" style="27" customWidth="1"/>
    <col min="20" max="16384" width="8.83203125" style="27"/>
  </cols>
  <sheetData>
    <row r="1" spans="1:19" s="1" customFormat="1" ht="20">
      <c r="B1" s="364" t="str">
        <f>'FY19-20'!A1</f>
        <v>Granite Mountain Charter School</v>
      </c>
      <c r="D1" s="830"/>
      <c r="E1" s="830"/>
      <c r="F1" s="830"/>
      <c r="G1" s="48"/>
      <c r="H1" s="426"/>
      <c r="N1" s="47"/>
      <c r="O1" s="47"/>
      <c r="P1" s="47"/>
      <c r="Q1" s="47"/>
      <c r="R1" s="47"/>
      <c r="S1" s="47"/>
    </row>
    <row r="2" spans="1:19" ht="14">
      <c r="B2" s="365" t="s">
        <v>341</v>
      </c>
      <c r="E2" s="831"/>
      <c r="F2" s="831"/>
      <c r="H2" s="28"/>
      <c r="I2" s="2"/>
      <c r="J2" s="2"/>
      <c r="K2" s="2"/>
      <c r="L2" s="2"/>
      <c r="P2" s="1018" t="s">
        <v>770</v>
      </c>
      <c r="Q2" s="1019">
        <v>0.08</v>
      </c>
    </row>
    <row r="3" spans="1:19" s="30" customFormat="1" ht="36">
      <c r="A3" s="29"/>
      <c r="B3" s="363" t="str">
        <f>'FY19-20'!A3</f>
        <v>Revised 08/06/20</v>
      </c>
      <c r="C3" s="1"/>
      <c r="D3" s="853"/>
      <c r="E3" s="845"/>
      <c r="F3" s="831"/>
      <c r="G3" s="32"/>
      <c r="H3" s="31"/>
      <c r="I3" s="3"/>
      <c r="J3" s="3"/>
      <c r="K3" s="3"/>
      <c r="L3" s="3"/>
      <c r="M3" s="4" t="s">
        <v>69</v>
      </c>
      <c r="N3" s="4" t="s">
        <v>70</v>
      </c>
      <c r="O3" s="32" t="s">
        <v>246</v>
      </c>
      <c r="P3" s="32" t="s">
        <v>240</v>
      </c>
      <c r="Q3" s="32" t="s">
        <v>235</v>
      </c>
      <c r="R3" s="32" t="s">
        <v>247</v>
      </c>
      <c r="S3" s="32" t="s">
        <v>266</v>
      </c>
    </row>
    <row r="4" spans="1:19" ht="15" customHeight="1">
      <c r="C4" s="6"/>
      <c r="D4" s="831"/>
      <c r="E4" s="831"/>
      <c r="F4" s="831"/>
      <c r="G4" s="28"/>
      <c r="H4" s="480" t="s">
        <v>407</v>
      </c>
      <c r="I4" s="479">
        <f>'Multi-Year'!J9</f>
        <v>0.02</v>
      </c>
      <c r="J4" s="478"/>
      <c r="M4" s="33">
        <v>3101</v>
      </c>
      <c r="N4" s="33">
        <v>3202</v>
      </c>
      <c r="O4" s="33">
        <v>3301</v>
      </c>
      <c r="P4" s="33">
        <v>3311</v>
      </c>
      <c r="Q4" s="33">
        <v>3401</v>
      </c>
      <c r="R4" s="33">
        <v>3501</v>
      </c>
      <c r="S4" s="33">
        <v>3601</v>
      </c>
    </row>
    <row r="5" spans="1:19" s="51" customFormat="1" ht="44.25" customHeight="1">
      <c r="D5" s="832" t="s">
        <v>71</v>
      </c>
      <c r="E5" s="832" t="s">
        <v>525</v>
      </c>
      <c r="F5" s="832" t="s">
        <v>526</v>
      </c>
      <c r="G5" s="358" t="s">
        <v>527</v>
      </c>
      <c r="H5" s="359" t="s">
        <v>72</v>
      </c>
      <c r="I5" s="360" t="s">
        <v>73</v>
      </c>
      <c r="J5" s="360" t="s">
        <v>3</v>
      </c>
      <c r="K5" s="360" t="s">
        <v>74</v>
      </c>
      <c r="L5" s="52"/>
      <c r="M5" s="361">
        <v>0.184</v>
      </c>
      <c r="N5" s="361"/>
      <c r="O5" s="361">
        <v>6.2E-2</v>
      </c>
      <c r="P5" s="361">
        <v>1.4500000000000001E-2</v>
      </c>
      <c r="Q5" s="362">
        <f>'Payroll 19-20'!Q5*(1+'Payroll 20-21'!Q2)</f>
        <v>7560.0000000000009</v>
      </c>
      <c r="R5" s="361">
        <v>7.0000000000000007E-2</v>
      </c>
      <c r="S5" s="361">
        <v>1.4E-2</v>
      </c>
    </row>
    <row r="6" spans="1:19" ht="12">
      <c r="B6" s="51"/>
      <c r="C6" s="366" t="s">
        <v>17</v>
      </c>
      <c r="D6" s="831"/>
      <c r="E6" s="831"/>
      <c r="F6" s="831"/>
      <c r="G6" s="28"/>
      <c r="H6" s="28"/>
      <c r="I6" s="2"/>
      <c r="J6" s="2"/>
      <c r="K6" s="2"/>
      <c r="L6" s="2"/>
      <c r="O6" s="5"/>
      <c r="P6" s="5"/>
      <c r="Q6" s="5"/>
      <c r="R6" s="5"/>
      <c r="S6" s="5"/>
    </row>
    <row r="7" spans="1:19">
      <c r="B7" s="51"/>
      <c r="C7" s="34"/>
      <c r="D7" s="840" t="str">
        <f>'Payroll 19-20'!D7</f>
        <v>Coord-REgional</v>
      </c>
      <c r="E7" s="840">
        <f>'Payroll 19-20'!E7*(1+'Revenue Inputs'!O$27)</f>
        <v>1</v>
      </c>
      <c r="F7" s="828">
        <f>'Payroll 19-20'!F7*(1+$I$4)</f>
        <v>81599.918399999995</v>
      </c>
      <c r="G7" s="322">
        <f>'Payroll 19-20'!G7</f>
        <v>12</v>
      </c>
      <c r="H7" s="319" t="str">
        <f>'Payroll 19-20'!H7</f>
        <v>y</v>
      </c>
      <c r="I7" s="320">
        <f>F7*E7</f>
        <v>81599.918399999995</v>
      </c>
      <c r="J7" s="7">
        <f t="shared" ref="J7:J59" si="0">SUM(M7:S7)</f>
        <v>25389.982660000001</v>
      </c>
      <c r="K7" s="7">
        <f t="shared" ref="K7:K9" si="1">SUM(I7:J7)</f>
        <v>106989.90106</v>
      </c>
      <c r="L7" s="352"/>
      <c r="M7" s="7">
        <f>I7*$M$5</f>
        <v>15014.3849856</v>
      </c>
      <c r="N7" s="8" t="s">
        <v>75</v>
      </c>
      <c r="O7" s="8" t="str">
        <f>IF($M$5&gt;0,"N/A",$O$5*I7)</f>
        <v>N/A</v>
      </c>
      <c r="P7" s="7">
        <f t="shared" ref="P7:P59" si="2">I7*$P$5</f>
        <v>1183.1988168</v>
      </c>
      <c r="Q7" s="7">
        <f>IF(H7="y", $Q$5*E7, 0)</f>
        <v>7560.0000000000009</v>
      </c>
      <c r="R7" s="7">
        <f>IF($I7&gt;7000,7000*R$5,$I7*R$5)*E7</f>
        <v>490.00000000000006</v>
      </c>
      <c r="S7" s="7">
        <f>S$5*$I7</f>
        <v>1142.3988575999999</v>
      </c>
    </row>
    <row r="8" spans="1:19">
      <c r="B8" s="51"/>
      <c r="C8" s="34"/>
      <c r="D8" s="1027" t="str">
        <f>'Payroll 19-20'!D8</f>
        <v>Director</v>
      </c>
      <c r="E8" s="1027">
        <f>'Payroll 19-20'!E8*(1+'Revenue Inputs'!O$27)</f>
        <v>1</v>
      </c>
      <c r="F8" s="1022">
        <v>58240</v>
      </c>
      <c r="G8" s="1023">
        <f>'Payroll 19-20'!G8</f>
        <v>12</v>
      </c>
      <c r="H8" s="1024" t="str">
        <f>'Payroll 19-20'!H8</f>
        <v>y</v>
      </c>
      <c r="I8" s="1025">
        <f t="shared" ref="I8:I14" si="3">F8*E8</f>
        <v>58240</v>
      </c>
      <c r="J8" s="7">
        <f t="shared" si="0"/>
        <v>20426</v>
      </c>
      <c r="K8" s="7">
        <f t="shared" si="1"/>
        <v>78666</v>
      </c>
      <c r="L8" s="352"/>
      <c r="M8" s="7">
        <f t="shared" ref="M8:M9" si="4">I8*$M$5</f>
        <v>10716.16</v>
      </c>
      <c r="N8" s="8" t="s">
        <v>75</v>
      </c>
      <c r="O8" s="8" t="str">
        <f t="shared" ref="O8:O59" si="5">IF($M$5&gt;0,"N/A",$O$5*I8)</f>
        <v>N/A</v>
      </c>
      <c r="P8" s="7">
        <f t="shared" si="2"/>
        <v>844.48</v>
      </c>
      <c r="Q8" s="7">
        <f t="shared" ref="Q8:Q59" si="6">IF(H8="y", $Q$5*E8, 0)</f>
        <v>7560.0000000000009</v>
      </c>
      <c r="R8" s="7">
        <f t="shared" ref="R8:R59" si="7">IF($I8&gt;7000,7000*R$5,$I8*R$5)*E8</f>
        <v>490.00000000000006</v>
      </c>
      <c r="S8" s="7">
        <f t="shared" ref="S8:S59" si="8">S$5*$I8</f>
        <v>815.36</v>
      </c>
    </row>
    <row r="9" spans="1:19">
      <c r="B9" s="51"/>
      <c r="C9" s="34"/>
      <c r="D9" s="840" t="str">
        <f>'Payroll 19-20'!D9</f>
        <v>High School Teacher</v>
      </c>
      <c r="E9" s="840">
        <f>'Payroll 19-20'!E9*(1+'Revenue Inputs'!O$27)</f>
        <v>2</v>
      </c>
      <c r="F9" s="828">
        <f>'Payroll 19-20'!F9*(1+$I$4)</f>
        <v>59414.918400000002</v>
      </c>
      <c r="G9" s="322">
        <f>'Payroll 19-20'!G9</f>
        <v>12</v>
      </c>
      <c r="H9" s="319" t="str">
        <f>'Payroll 19-20'!H9</f>
        <v>y</v>
      </c>
      <c r="I9" s="320">
        <f t="shared" si="3"/>
        <v>118829.8368</v>
      </c>
      <c r="J9" s="7">
        <f t="shared" si="0"/>
        <v>41351.340320000003</v>
      </c>
      <c r="K9" s="7">
        <f t="shared" si="1"/>
        <v>160181.17712000001</v>
      </c>
      <c r="L9" s="352"/>
      <c r="M9" s="7">
        <f t="shared" si="4"/>
        <v>21864.689971200001</v>
      </c>
      <c r="N9" s="8" t="s">
        <v>75</v>
      </c>
      <c r="O9" s="8" t="str">
        <f t="shared" si="5"/>
        <v>N/A</v>
      </c>
      <c r="P9" s="7">
        <f t="shared" si="2"/>
        <v>1723.0326336000001</v>
      </c>
      <c r="Q9" s="7">
        <f t="shared" si="6"/>
        <v>15120.000000000002</v>
      </c>
      <c r="R9" s="7">
        <f t="shared" si="7"/>
        <v>980.00000000000011</v>
      </c>
      <c r="S9" s="7">
        <f t="shared" si="8"/>
        <v>1663.6177152</v>
      </c>
    </row>
    <row r="10" spans="1:19">
      <c r="B10" s="51"/>
      <c r="C10" s="34"/>
      <c r="D10" s="840" t="str">
        <f>'Payroll 19-20'!D10</f>
        <v>Home School Teacher</v>
      </c>
      <c r="E10" s="840">
        <f>'Payroll 19-20'!E10*(1+'Revenue Inputs'!O$27)</f>
        <v>3</v>
      </c>
      <c r="F10" s="828">
        <f>'Payroll 19-20'!F10*(1+$I$4)</f>
        <v>45243.752400000005</v>
      </c>
      <c r="G10" s="322">
        <f>'Payroll 19-20'!G10</f>
        <v>12</v>
      </c>
      <c r="H10" s="319" t="str">
        <f>'Payroll 19-20'!H10</f>
        <v>y</v>
      </c>
      <c r="I10" s="320">
        <f t="shared" si="3"/>
        <v>135731.25720000002</v>
      </c>
      <c r="J10" s="7">
        <f t="shared" si="0"/>
        <v>52992.892155000009</v>
      </c>
      <c r="K10" s="7">
        <f>SUM(I10:J10)</f>
        <v>188724.14935500003</v>
      </c>
      <c r="L10" s="352"/>
      <c r="M10" s="7">
        <f>I10*$M$5</f>
        <v>24974.551324800002</v>
      </c>
      <c r="N10" s="8" t="s">
        <v>75</v>
      </c>
      <c r="O10" s="8" t="str">
        <f t="shared" si="5"/>
        <v>N/A</v>
      </c>
      <c r="P10" s="7">
        <f t="shared" si="2"/>
        <v>1968.1032294000004</v>
      </c>
      <c r="Q10" s="7">
        <f t="shared" si="6"/>
        <v>22680.000000000004</v>
      </c>
      <c r="R10" s="7">
        <f t="shared" si="7"/>
        <v>1470.0000000000002</v>
      </c>
      <c r="S10" s="7">
        <f t="shared" si="8"/>
        <v>1900.2376008000003</v>
      </c>
    </row>
    <row r="11" spans="1:19">
      <c r="B11" s="51"/>
      <c r="C11" s="34"/>
      <c r="D11" s="840" t="str">
        <f>'Payroll 19-20'!D11</f>
        <v>Regional Coordinator</v>
      </c>
      <c r="E11" s="840">
        <f>'Payroll 19-20'!E11*(1+'Revenue Inputs'!O$27)</f>
        <v>2</v>
      </c>
      <c r="F11" s="828">
        <f>'Payroll 19-20'!F11*(1+$I$4)</f>
        <v>81599.903099999996</v>
      </c>
      <c r="G11" s="322">
        <f>'Payroll 19-20'!G11</f>
        <v>12</v>
      </c>
      <c r="H11" s="319" t="str">
        <f>'Payroll 19-20'!H11</f>
        <v>y</v>
      </c>
      <c r="I11" s="320">
        <f t="shared" si="3"/>
        <v>163199.80619999999</v>
      </c>
      <c r="J11" s="7">
        <f t="shared" si="0"/>
        <v>50779.958817499995</v>
      </c>
      <c r="K11" s="7">
        <f t="shared" ref="K11:K12" si="9">SUM(I11:J11)</f>
        <v>213979.76501749997</v>
      </c>
      <c r="L11" s="352"/>
      <c r="M11" s="7">
        <f t="shared" ref="M11:M12" si="10">I11*$M$5</f>
        <v>30028.764340799997</v>
      </c>
      <c r="N11" s="8" t="s">
        <v>75</v>
      </c>
      <c r="O11" s="8" t="str">
        <f t="shared" si="5"/>
        <v>N/A</v>
      </c>
      <c r="P11" s="7">
        <f t="shared" si="2"/>
        <v>2366.3971898999998</v>
      </c>
      <c r="Q11" s="7">
        <f t="shared" si="6"/>
        <v>15120.000000000002</v>
      </c>
      <c r="R11" s="7">
        <f t="shared" si="7"/>
        <v>980.00000000000011</v>
      </c>
      <c r="S11" s="7">
        <f t="shared" si="8"/>
        <v>2284.7972867999997</v>
      </c>
    </row>
    <row r="12" spans="1:19">
      <c r="B12" s="51"/>
      <c r="C12" s="34"/>
      <c r="D12" s="840" t="str">
        <f>'Payroll 19-20'!D12</f>
        <v>SPED Teacher</v>
      </c>
      <c r="E12" s="840">
        <f>'Payroll 19-20'!E12*(1+'Revenue Inputs'!O$27)</f>
        <v>2</v>
      </c>
      <c r="F12" s="828">
        <f>'Payroll 19-20'!F12*(1+$I$4)</f>
        <v>65596.2408</v>
      </c>
      <c r="G12" s="322">
        <f>'Payroll 19-20'!G12</f>
        <v>12</v>
      </c>
      <c r="H12" s="319" t="str">
        <f>'Payroll 19-20'!H12</f>
        <v>y</v>
      </c>
      <c r="I12" s="320">
        <f t="shared" si="3"/>
        <v>131192.4816</v>
      </c>
      <c r="J12" s="7">
        <f t="shared" si="0"/>
        <v>43978.402340000008</v>
      </c>
      <c r="K12" s="7">
        <f t="shared" si="9"/>
        <v>175170.88394</v>
      </c>
      <c r="L12" s="352"/>
      <c r="M12" s="7">
        <f t="shared" si="10"/>
        <v>24139.416614400001</v>
      </c>
      <c r="N12" s="8" t="s">
        <v>75</v>
      </c>
      <c r="O12" s="8" t="str">
        <f t="shared" si="5"/>
        <v>N/A</v>
      </c>
      <c r="P12" s="7">
        <f t="shared" si="2"/>
        <v>1902.2909832</v>
      </c>
      <c r="Q12" s="7">
        <f t="shared" si="6"/>
        <v>15120.000000000002</v>
      </c>
      <c r="R12" s="7">
        <f t="shared" si="7"/>
        <v>980.00000000000011</v>
      </c>
      <c r="S12" s="7">
        <f t="shared" si="8"/>
        <v>1836.6947424</v>
      </c>
    </row>
    <row r="13" spans="1:19">
      <c r="B13" s="51"/>
      <c r="C13" s="34"/>
      <c r="D13" s="840" t="str">
        <f>'Payroll 19-20'!D13</f>
        <v>Teacher</v>
      </c>
      <c r="E13" s="840">
        <f>'Payroll 19-20'!E13*(1+'Revenue Inputs'!O$27)</f>
        <v>36</v>
      </c>
      <c r="F13" s="828">
        <f>'Payroll 19-20'!F13*(1+$I$4)</f>
        <v>74846.824800000002</v>
      </c>
      <c r="G13" s="322">
        <f>'Payroll 19-20'!G13</f>
        <v>12</v>
      </c>
      <c r="H13" s="319" t="str">
        <f>'Payroll 19-20'!H13</f>
        <v>y</v>
      </c>
      <c r="I13" s="320">
        <f t="shared" si="3"/>
        <v>2694485.6928000003</v>
      </c>
      <c r="J13" s="7">
        <f t="shared" si="0"/>
        <v>862378.20972000004</v>
      </c>
      <c r="K13" s="7">
        <f>SUM(I13:J13)</f>
        <v>3556863.9025200005</v>
      </c>
      <c r="L13" s="352"/>
      <c r="M13" s="7">
        <f>I13*$M$5</f>
        <v>495785.36747520004</v>
      </c>
      <c r="N13" s="8" t="s">
        <v>75</v>
      </c>
      <c r="O13" s="8" t="str">
        <f t="shared" si="5"/>
        <v>N/A</v>
      </c>
      <c r="P13" s="7">
        <f t="shared" si="2"/>
        <v>39070.042545600008</v>
      </c>
      <c r="Q13" s="7">
        <f t="shared" si="6"/>
        <v>272160.00000000006</v>
      </c>
      <c r="R13" s="7">
        <f t="shared" si="7"/>
        <v>17640.000000000004</v>
      </c>
      <c r="S13" s="7">
        <f t="shared" si="8"/>
        <v>37722.799699200004</v>
      </c>
    </row>
    <row r="14" spans="1:19">
      <c r="B14" s="51"/>
      <c r="C14" s="34"/>
      <c r="D14" s="840" t="str">
        <f>'Payroll 19-20'!D14</f>
        <v>Teacher - SPED</v>
      </c>
      <c r="E14" s="840">
        <f>'Payroll 19-20'!E14*(1+'Revenue Inputs'!O$27)</f>
        <v>8</v>
      </c>
      <c r="F14" s="828">
        <f>'Payroll 19-20'!F14*(1+$I$4)</f>
        <v>72057.706200000001</v>
      </c>
      <c r="G14" s="322">
        <f>'Payroll 19-20'!G14</f>
        <v>12</v>
      </c>
      <c r="H14" s="319" t="str">
        <f>'Payroll 19-20'!H14</f>
        <v>y</v>
      </c>
      <c r="I14" s="320">
        <f t="shared" si="3"/>
        <v>576461.6496</v>
      </c>
      <c r="J14" s="7">
        <f>SUM(M14:S14)</f>
        <v>186898.10054000001</v>
      </c>
      <c r="K14" s="7">
        <f>SUM(I14:J14)</f>
        <v>763359.75014000002</v>
      </c>
      <c r="L14" s="352"/>
      <c r="M14" s="7">
        <f>I14*$M$5</f>
        <v>106068.94352640001</v>
      </c>
      <c r="N14" s="8" t="s">
        <v>75</v>
      </c>
      <c r="O14" s="8" t="str">
        <f t="shared" si="5"/>
        <v>N/A</v>
      </c>
      <c r="P14" s="7">
        <f>I14*$P$5</f>
        <v>8358.6939192000009</v>
      </c>
      <c r="Q14" s="7">
        <f t="shared" si="6"/>
        <v>60480.000000000007</v>
      </c>
      <c r="R14" s="7">
        <f t="shared" si="7"/>
        <v>3920.0000000000005</v>
      </c>
      <c r="S14" s="7">
        <f>S$5*$I14</f>
        <v>8070.4630944</v>
      </c>
    </row>
    <row r="15" spans="1:19">
      <c r="B15" s="51"/>
      <c r="C15" s="34"/>
      <c r="D15" s="840">
        <f>'Payroll 19-20'!D15</f>
        <v>0</v>
      </c>
      <c r="E15" s="840">
        <f>'Payroll 19-20'!E15*(1+'Revenue Inputs'!O$27)</f>
        <v>0</v>
      </c>
      <c r="F15" s="828">
        <f>'Payroll 19-20'!F15*(1+$I$4)</f>
        <v>0</v>
      </c>
      <c r="G15" s="322">
        <f>'Payroll 19-20'!G15</f>
        <v>0</v>
      </c>
      <c r="H15" s="319">
        <f>'Payroll 19-20'!H15</f>
        <v>0</v>
      </c>
      <c r="I15" s="320">
        <f t="shared" ref="I15:I59" si="11">F15*E15</f>
        <v>0</v>
      </c>
      <c r="J15" s="7">
        <f t="shared" si="0"/>
        <v>0</v>
      </c>
      <c r="K15" s="7">
        <f>SUM(I15:J15)</f>
        <v>0</v>
      </c>
      <c r="L15" s="352"/>
      <c r="M15" s="7">
        <f>I15*$M$5</f>
        <v>0</v>
      </c>
      <c r="N15" s="8" t="s">
        <v>75</v>
      </c>
      <c r="O15" s="8" t="str">
        <f t="shared" si="5"/>
        <v>N/A</v>
      </c>
      <c r="P15" s="7">
        <f t="shared" si="2"/>
        <v>0</v>
      </c>
      <c r="Q15" s="7">
        <f t="shared" si="6"/>
        <v>0</v>
      </c>
      <c r="R15" s="7">
        <f t="shared" si="7"/>
        <v>0</v>
      </c>
      <c r="S15" s="7">
        <f t="shared" si="8"/>
        <v>0</v>
      </c>
    </row>
    <row r="16" spans="1:19">
      <c r="B16" s="51"/>
      <c r="C16" s="34"/>
      <c r="D16" s="840">
        <f>'Payroll 19-20'!D16</f>
        <v>0</v>
      </c>
      <c r="E16" s="840">
        <f>'Payroll 19-20'!E16*(1+'Revenue Inputs'!O$27)</f>
        <v>0</v>
      </c>
      <c r="F16" s="828">
        <f>'Payroll 19-20'!F16*(1+$I$4)</f>
        <v>0</v>
      </c>
      <c r="G16" s="322">
        <f>'Payroll 19-20'!G16</f>
        <v>0</v>
      </c>
      <c r="H16" s="319">
        <f>'Payroll 19-20'!H16</f>
        <v>0</v>
      </c>
      <c r="I16" s="320">
        <f t="shared" si="11"/>
        <v>0</v>
      </c>
      <c r="J16" s="7">
        <f t="shared" si="0"/>
        <v>0</v>
      </c>
      <c r="K16" s="7">
        <f t="shared" ref="K16:K17" si="12">SUM(I16:J16)</f>
        <v>0</v>
      </c>
      <c r="M16" s="7">
        <f t="shared" ref="M16:M59" si="13">I16*$M$5</f>
        <v>0</v>
      </c>
      <c r="N16" s="8" t="s">
        <v>75</v>
      </c>
      <c r="O16" s="8" t="str">
        <f t="shared" si="5"/>
        <v>N/A</v>
      </c>
      <c r="P16" s="7">
        <f t="shared" si="2"/>
        <v>0</v>
      </c>
      <c r="Q16" s="7">
        <f t="shared" si="6"/>
        <v>0</v>
      </c>
      <c r="R16" s="7">
        <f t="shared" si="7"/>
        <v>0</v>
      </c>
      <c r="S16" s="7">
        <f t="shared" si="8"/>
        <v>0</v>
      </c>
    </row>
    <row r="17" spans="2:19">
      <c r="B17" s="51"/>
      <c r="C17" s="34"/>
      <c r="D17" s="1027" t="str">
        <f>'Payroll 19-20'!D17</f>
        <v>Home School Teacher</v>
      </c>
      <c r="E17" s="1027">
        <f>'Payroll 19-20'!E17*(1+'Revenue Inputs'!O$27)</f>
        <v>2</v>
      </c>
      <c r="F17" s="1022">
        <v>58240</v>
      </c>
      <c r="G17" s="1023">
        <f>'Payroll 19-20'!G17</f>
        <v>12</v>
      </c>
      <c r="H17" s="1024" t="str">
        <f>'Payroll 19-20'!H17</f>
        <v>y</v>
      </c>
      <c r="I17" s="1025">
        <f>F17*E17</f>
        <v>116480</v>
      </c>
      <c r="J17" s="7">
        <f t="shared" si="0"/>
        <v>40852</v>
      </c>
      <c r="K17" s="7">
        <f t="shared" si="12"/>
        <v>157332</v>
      </c>
      <c r="M17" s="7">
        <f t="shared" si="13"/>
        <v>21432.32</v>
      </c>
      <c r="N17" s="8" t="s">
        <v>75</v>
      </c>
      <c r="O17" s="8" t="str">
        <f t="shared" si="5"/>
        <v>N/A</v>
      </c>
      <c r="P17" s="7">
        <f t="shared" si="2"/>
        <v>1688.96</v>
      </c>
      <c r="Q17" s="7">
        <f t="shared" si="6"/>
        <v>15120.000000000002</v>
      </c>
      <c r="R17" s="7">
        <f t="shared" si="7"/>
        <v>980.00000000000011</v>
      </c>
      <c r="S17" s="7">
        <f t="shared" si="8"/>
        <v>1630.72</v>
      </c>
    </row>
    <row r="18" spans="2:19">
      <c r="B18" s="51"/>
      <c r="C18" s="34"/>
      <c r="D18" s="840" t="str">
        <f>'Payroll 19-20'!D18</f>
        <v>Home School Teacher</v>
      </c>
      <c r="E18" s="840">
        <f>'Payroll 19-20'!E18*(1+'Revenue Inputs'!O$27)</f>
        <v>2</v>
      </c>
      <c r="F18" s="828">
        <f>'Payroll 19-20'!F18*(1+$I$4)</f>
        <v>60899.201999999997</v>
      </c>
      <c r="G18" s="322">
        <f>'Payroll 19-20'!G18</f>
        <v>13</v>
      </c>
      <c r="H18" s="319" t="str">
        <f>'Payroll 19-20'!H18</f>
        <v>y</v>
      </c>
      <c r="I18" s="320">
        <f t="shared" si="11"/>
        <v>121798.40399999999</v>
      </c>
      <c r="J18" s="7">
        <f t="shared" si="0"/>
        <v>41982.16085</v>
      </c>
      <c r="K18" s="7">
        <f>SUM(I18:J18)</f>
        <v>163780.56485</v>
      </c>
      <c r="M18" s="7">
        <f>I18*$M$5</f>
        <v>22410.906336</v>
      </c>
      <c r="N18" s="8" t="s">
        <v>75</v>
      </c>
      <c r="O18" s="8" t="str">
        <f t="shared" si="5"/>
        <v>N/A</v>
      </c>
      <c r="P18" s="7">
        <f t="shared" si="2"/>
        <v>1766.0768580000001</v>
      </c>
      <c r="Q18" s="7">
        <f t="shared" si="6"/>
        <v>15120.000000000002</v>
      </c>
      <c r="R18" s="7">
        <f t="shared" si="7"/>
        <v>980.00000000000011</v>
      </c>
      <c r="S18" s="7">
        <f t="shared" si="8"/>
        <v>1705.1776560000001</v>
      </c>
    </row>
    <row r="19" spans="2:19">
      <c r="B19" s="51"/>
      <c r="C19" s="34"/>
      <c r="D19" s="840" t="str">
        <f>'Payroll 19-20'!D19</f>
        <v>SPED Teacher</v>
      </c>
      <c r="E19" s="840">
        <f>'Payroll 19-20'!E19*(1+'Revenue Inputs'!O$27)</f>
        <v>6</v>
      </c>
      <c r="F19" s="828">
        <f>'Payroll 19-20'!F19*(1+$I$4)</f>
        <v>61149.081600000005</v>
      </c>
      <c r="G19" s="322">
        <f>'Payroll 19-20'!G19</f>
        <v>12</v>
      </c>
      <c r="H19" s="319" t="str">
        <f>'Payroll 19-20'!H19</f>
        <v>y</v>
      </c>
      <c r="I19" s="320">
        <f t="shared" si="11"/>
        <v>366894.48960000003</v>
      </c>
      <c r="J19" s="7">
        <f t="shared" si="0"/>
        <v>126265.07904</v>
      </c>
      <c r="K19" s="7">
        <f t="shared" ref="K19:K59" si="14">SUM(I19:J19)</f>
        <v>493159.56864000001</v>
      </c>
      <c r="M19" s="7">
        <f t="shared" ref="M19" si="15">I19*$M$5</f>
        <v>67508.586086399999</v>
      </c>
      <c r="N19" s="8" t="s">
        <v>75</v>
      </c>
      <c r="O19" s="8" t="str">
        <f t="shared" si="5"/>
        <v>N/A</v>
      </c>
      <c r="P19" s="7">
        <f t="shared" si="2"/>
        <v>5319.9700992000007</v>
      </c>
      <c r="Q19" s="7">
        <f t="shared" si="6"/>
        <v>45360.000000000007</v>
      </c>
      <c r="R19" s="7">
        <f t="shared" si="7"/>
        <v>2940.0000000000005</v>
      </c>
      <c r="S19" s="7">
        <f t="shared" si="8"/>
        <v>5136.5228544000001</v>
      </c>
    </row>
    <row r="20" spans="2:19">
      <c r="B20" s="51"/>
      <c r="C20" s="34"/>
      <c r="D20" s="1027" t="str">
        <f>'Payroll 19-20'!D20</f>
        <v>Teacher - SPED</v>
      </c>
      <c r="E20" s="1027">
        <f>'Payroll 19-20'!E20*(1+'Revenue Inputs'!O$27)</f>
        <v>1</v>
      </c>
      <c r="F20" s="1022">
        <v>58240</v>
      </c>
      <c r="G20" s="1023">
        <f>'Payroll 19-20'!G20</f>
        <v>12</v>
      </c>
      <c r="H20" s="1024" t="str">
        <f>'Payroll 19-20'!H20</f>
        <v>y</v>
      </c>
      <c r="I20" s="1025">
        <f t="shared" si="11"/>
        <v>58240</v>
      </c>
      <c r="J20" s="7">
        <f t="shared" si="0"/>
        <v>20426</v>
      </c>
      <c r="K20" s="7">
        <f t="shared" si="14"/>
        <v>78666</v>
      </c>
      <c r="M20" s="7">
        <f t="shared" si="13"/>
        <v>10716.16</v>
      </c>
      <c r="N20" s="8" t="s">
        <v>75</v>
      </c>
      <c r="O20" s="8" t="str">
        <f t="shared" si="5"/>
        <v>N/A</v>
      </c>
      <c r="P20" s="7">
        <f t="shared" si="2"/>
        <v>844.48</v>
      </c>
      <c r="Q20" s="7">
        <f t="shared" si="6"/>
        <v>7560.0000000000009</v>
      </c>
      <c r="R20" s="7">
        <f t="shared" si="7"/>
        <v>490.00000000000006</v>
      </c>
      <c r="S20" s="7">
        <f t="shared" si="8"/>
        <v>815.36</v>
      </c>
    </row>
    <row r="21" spans="2:19">
      <c r="B21" s="51"/>
      <c r="C21" s="34"/>
      <c r="D21" s="1027" t="str">
        <f>'Payroll 19-20'!D21</f>
        <v>Teacher</v>
      </c>
      <c r="E21" s="1027">
        <f>'Payroll 19-20'!E21*(1+'Revenue Inputs'!O$27)</f>
        <v>57</v>
      </c>
      <c r="F21" s="1022">
        <v>58240</v>
      </c>
      <c r="G21" s="1023">
        <f>'Payroll 19-20'!G21</f>
        <v>12</v>
      </c>
      <c r="H21" s="1024" t="str">
        <f>'Payroll 19-20'!H21</f>
        <v>y</v>
      </c>
      <c r="I21" s="1025">
        <f t="shared" si="11"/>
        <v>3319680</v>
      </c>
      <c r="J21" s="7">
        <f t="shared" si="0"/>
        <v>1164282</v>
      </c>
      <c r="K21" s="7">
        <f t="shared" si="14"/>
        <v>4483962</v>
      </c>
      <c r="M21" s="7">
        <f t="shared" si="13"/>
        <v>610821.12</v>
      </c>
      <c r="N21" s="8" t="s">
        <v>75</v>
      </c>
      <c r="O21" s="8" t="str">
        <f t="shared" si="5"/>
        <v>N/A</v>
      </c>
      <c r="P21" s="7">
        <f t="shared" si="2"/>
        <v>48135.360000000001</v>
      </c>
      <c r="Q21" s="7">
        <f t="shared" si="6"/>
        <v>430920.00000000006</v>
      </c>
      <c r="R21" s="7">
        <f t="shared" si="7"/>
        <v>27930.000000000004</v>
      </c>
      <c r="S21" s="7">
        <f t="shared" si="8"/>
        <v>46475.520000000004</v>
      </c>
    </row>
    <row r="22" spans="2:19">
      <c r="B22" s="51"/>
      <c r="C22" s="34"/>
      <c r="D22" s="840" t="str">
        <f>'Payroll 19-20'!D22</f>
        <v>Teacher</v>
      </c>
      <c r="E22" s="840">
        <f>'Payroll 19-20'!E22*(1+'Revenue Inputs'!O$27)</f>
        <v>5</v>
      </c>
      <c r="F22" s="828">
        <f>'Payroll 19-20'!F22*(1+$I$4)</f>
        <v>59465.979600000006</v>
      </c>
      <c r="G22" s="322">
        <f>'Payroll 19-20'!G22</f>
        <v>12</v>
      </c>
      <c r="H22" s="319" t="str">
        <f>'Payroll 19-20'!H22</f>
        <v>y</v>
      </c>
      <c r="I22" s="320">
        <f>F22*E22</f>
        <v>297329.89800000004</v>
      </c>
      <c r="J22" s="7">
        <f t="shared" si="0"/>
        <v>103432.60332500003</v>
      </c>
      <c r="K22" s="7">
        <f t="shared" si="14"/>
        <v>400762.50132500008</v>
      </c>
      <c r="L22" s="7"/>
      <c r="M22" s="7">
        <f t="shared" si="13"/>
        <v>54708.701232000007</v>
      </c>
      <c r="N22" s="8" t="s">
        <v>75</v>
      </c>
      <c r="O22" s="8" t="str">
        <f t="shared" si="5"/>
        <v>N/A</v>
      </c>
      <c r="P22" s="7">
        <f t="shared" si="2"/>
        <v>4311.2835210000012</v>
      </c>
      <c r="Q22" s="7">
        <f t="shared" si="6"/>
        <v>37800.000000000007</v>
      </c>
      <c r="R22" s="7">
        <f t="shared" si="7"/>
        <v>2450.0000000000005</v>
      </c>
      <c r="S22" s="7">
        <f t="shared" si="8"/>
        <v>4162.6185720000003</v>
      </c>
    </row>
    <row r="23" spans="2:19">
      <c r="B23" s="51"/>
      <c r="C23" s="34"/>
      <c r="D23" s="840">
        <f>'Payroll 19-20'!D23</f>
        <v>0</v>
      </c>
      <c r="E23" s="840">
        <f>'Payroll 19-20'!E23*(1+'Revenue Inputs'!O$27)</f>
        <v>0</v>
      </c>
      <c r="F23" s="828">
        <f>'Payroll 19-20'!F23*(1+$I$4)</f>
        <v>0</v>
      </c>
      <c r="G23" s="322">
        <f>'Payroll 19-20'!G23</f>
        <v>0</v>
      </c>
      <c r="H23" s="319">
        <f>'Payroll 19-20'!H23</f>
        <v>0</v>
      </c>
      <c r="I23" s="320">
        <f t="shared" si="11"/>
        <v>0</v>
      </c>
      <c r="J23" s="7">
        <f t="shared" si="0"/>
        <v>0</v>
      </c>
      <c r="K23" s="7">
        <f t="shared" si="14"/>
        <v>0</v>
      </c>
      <c r="M23" s="7">
        <f t="shared" si="13"/>
        <v>0</v>
      </c>
      <c r="N23" s="8" t="s">
        <v>75</v>
      </c>
      <c r="O23" s="8" t="str">
        <f t="shared" si="5"/>
        <v>N/A</v>
      </c>
      <c r="P23" s="7">
        <f t="shared" si="2"/>
        <v>0</v>
      </c>
      <c r="Q23" s="7">
        <f t="shared" si="6"/>
        <v>0</v>
      </c>
      <c r="R23" s="7">
        <f>IF($I23&lt;7000,7000*R$5,$I23*R$5)*E23</f>
        <v>0</v>
      </c>
      <c r="S23" s="7">
        <f t="shared" si="8"/>
        <v>0</v>
      </c>
    </row>
    <row r="24" spans="2:19">
      <c r="B24" s="51"/>
      <c r="C24" s="34"/>
      <c r="D24" s="840">
        <f>'Payroll 19-20'!D24</f>
        <v>0</v>
      </c>
      <c r="E24" s="840">
        <f>'Payroll 19-20'!E24*(1+'Revenue Inputs'!O$27)</f>
        <v>0</v>
      </c>
      <c r="F24" s="828">
        <f>'Payroll 19-20'!F24*(1+$I$4)</f>
        <v>0</v>
      </c>
      <c r="G24" s="322">
        <f>'Payroll 19-20'!G24</f>
        <v>0</v>
      </c>
      <c r="H24" s="319">
        <f>'Payroll 19-20'!H24</f>
        <v>0</v>
      </c>
      <c r="I24" s="320">
        <f t="shared" si="11"/>
        <v>0</v>
      </c>
      <c r="J24" s="7">
        <f t="shared" si="0"/>
        <v>0</v>
      </c>
      <c r="K24" s="7">
        <f t="shared" si="14"/>
        <v>0</v>
      </c>
      <c r="M24" s="7">
        <f t="shared" si="13"/>
        <v>0</v>
      </c>
      <c r="N24" s="8" t="s">
        <v>75</v>
      </c>
      <c r="O24" s="8" t="str">
        <f t="shared" si="5"/>
        <v>N/A</v>
      </c>
      <c r="P24" s="7">
        <f t="shared" si="2"/>
        <v>0</v>
      </c>
      <c r="Q24" s="7">
        <f t="shared" si="6"/>
        <v>0</v>
      </c>
      <c r="R24" s="7">
        <f t="shared" si="7"/>
        <v>0</v>
      </c>
      <c r="S24" s="7">
        <f t="shared" si="8"/>
        <v>0</v>
      </c>
    </row>
    <row r="25" spans="2:19">
      <c r="B25" s="51"/>
      <c r="C25" s="34"/>
      <c r="D25" s="840">
        <f>'Payroll 19-20'!D25</f>
        <v>0</v>
      </c>
      <c r="E25" s="840">
        <f>'Payroll 19-20'!E25*(1+'Revenue Inputs'!O$27)</f>
        <v>0</v>
      </c>
      <c r="F25" s="828">
        <f>'Payroll 19-20'!F25*(1+$I$4)</f>
        <v>0</v>
      </c>
      <c r="G25" s="322">
        <f>'Payroll 19-20'!G25</f>
        <v>0</v>
      </c>
      <c r="H25" s="319">
        <f>'Payroll 19-20'!H25</f>
        <v>0</v>
      </c>
      <c r="I25" s="320">
        <f t="shared" si="11"/>
        <v>0</v>
      </c>
      <c r="J25" s="7">
        <f t="shared" si="0"/>
        <v>0</v>
      </c>
      <c r="K25" s="7">
        <f t="shared" si="14"/>
        <v>0</v>
      </c>
      <c r="M25" s="7">
        <f t="shared" si="13"/>
        <v>0</v>
      </c>
      <c r="N25" s="8" t="s">
        <v>75</v>
      </c>
      <c r="O25" s="8" t="str">
        <f t="shared" si="5"/>
        <v>N/A</v>
      </c>
      <c r="P25" s="7">
        <f t="shared" si="2"/>
        <v>0</v>
      </c>
      <c r="Q25" s="7">
        <f t="shared" si="6"/>
        <v>0</v>
      </c>
      <c r="R25" s="7">
        <f t="shared" si="7"/>
        <v>0</v>
      </c>
      <c r="S25" s="7">
        <f t="shared" si="8"/>
        <v>0</v>
      </c>
    </row>
    <row r="26" spans="2:19">
      <c r="B26" s="51"/>
      <c r="C26" s="34"/>
      <c r="D26" s="840">
        <f>'Payroll 19-20'!D26</f>
        <v>0</v>
      </c>
      <c r="E26" s="840">
        <f>'Payroll 19-20'!E26*(1+'Revenue Inputs'!O$27)</f>
        <v>0</v>
      </c>
      <c r="F26" s="828">
        <f>'Payroll 19-20'!F26*(1+$I$4)</f>
        <v>0</v>
      </c>
      <c r="G26" s="322">
        <f>'Payroll 19-20'!G26</f>
        <v>0</v>
      </c>
      <c r="H26" s="319">
        <f>'Payroll 19-20'!H26</f>
        <v>0</v>
      </c>
      <c r="I26" s="320">
        <f t="shared" si="11"/>
        <v>0</v>
      </c>
      <c r="J26" s="7">
        <f t="shared" ref="J26:J42" si="16">SUM(M26:S26)</f>
        <v>0</v>
      </c>
      <c r="K26" s="7">
        <f t="shared" ref="K26:K42" si="17">SUM(I26:J26)</f>
        <v>0</v>
      </c>
      <c r="M26" s="7">
        <f t="shared" ref="M26:M42" si="18">I26*$M$5</f>
        <v>0</v>
      </c>
      <c r="N26" s="8" t="s">
        <v>75</v>
      </c>
      <c r="O26" s="8" t="str">
        <f t="shared" ref="O26:O42" si="19">IF($M$5&gt;0,"N/A",$O$5*I26)</f>
        <v>N/A</v>
      </c>
      <c r="P26" s="7">
        <f t="shared" ref="P26:P42" si="20">I26*$P$5</f>
        <v>0</v>
      </c>
      <c r="Q26" s="7">
        <f t="shared" si="6"/>
        <v>0</v>
      </c>
      <c r="R26" s="7">
        <f t="shared" si="7"/>
        <v>0</v>
      </c>
      <c r="S26" s="7">
        <f t="shared" si="8"/>
        <v>0</v>
      </c>
    </row>
    <row r="27" spans="2:19">
      <c r="C27" s="34"/>
      <c r="D27" s="840" t="str">
        <f>'Payroll 19-20'!D27</f>
        <v>Andrea Anderson</v>
      </c>
      <c r="E27" s="840">
        <f>'Payroll 19-20'!E27*(1+'Revenue Inputs'!O$27)</f>
        <v>1</v>
      </c>
      <c r="F27" s="828">
        <f>'Payroll 19-20'!F27*(1+$I$4)</f>
        <v>20971.2</v>
      </c>
      <c r="G27" s="322">
        <f>'Payroll 19-20'!G27</f>
        <v>12</v>
      </c>
      <c r="H27" s="319" t="str">
        <f>'Payroll 19-20'!H27</f>
        <v>n</v>
      </c>
      <c r="I27" s="320">
        <f t="shared" si="11"/>
        <v>20971.2</v>
      </c>
      <c r="J27" s="7">
        <f t="shared" si="16"/>
        <v>4946.38</v>
      </c>
      <c r="K27" s="7">
        <f t="shared" si="17"/>
        <v>25917.58</v>
      </c>
      <c r="M27" s="7">
        <f t="shared" si="18"/>
        <v>3858.7008000000001</v>
      </c>
      <c r="N27" s="8" t="s">
        <v>75</v>
      </c>
      <c r="O27" s="8" t="str">
        <f t="shared" si="19"/>
        <v>N/A</v>
      </c>
      <c r="P27" s="7">
        <f t="shared" si="20"/>
        <v>304.08240000000001</v>
      </c>
      <c r="Q27" s="7">
        <f t="shared" si="6"/>
        <v>0</v>
      </c>
      <c r="R27" s="7">
        <f t="shared" si="7"/>
        <v>490.00000000000006</v>
      </c>
      <c r="S27" s="7">
        <f t="shared" si="8"/>
        <v>293.59680000000003</v>
      </c>
    </row>
    <row r="28" spans="2:19">
      <c r="C28" s="34"/>
      <c r="D28" s="840" t="str">
        <f>'Payroll 19-20'!D28</f>
        <v>Brianna Herrera</v>
      </c>
      <c r="E28" s="840">
        <f>'Payroll 19-20'!E28*(1+'Revenue Inputs'!O$27)</f>
        <v>1</v>
      </c>
      <c r="F28" s="828">
        <f>'Payroll 19-20'!F28*(1+$I$4)</f>
        <v>22246.2</v>
      </c>
      <c r="G28" s="322">
        <f>'Payroll 19-20'!G28</f>
        <v>12</v>
      </c>
      <c r="H28" s="319" t="str">
        <f>'Payroll 19-20'!H28</f>
        <v>n</v>
      </c>
      <c r="I28" s="320">
        <f t="shared" si="11"/>
        <v>22246.2</v>
      </c>
      <c r="J28" s="7">
        <f t="shared" si="16"/>
        <v>5217.3175000000001</v>
      </c>
      <c r="K28" s="7">
        <f t="shared" si="17"/>
        <v>27463.517500000002</v>
      </c>
      <c r="L28" s="7"/>
      <c r="M28" s="7">
        <f t="shared" si="18"/>
        <v>4093.3008</v>
      </c>
      <c r="N28" s="8" t="s">
        <v>75</v>
      </c>
      <c r="O28" s="8" t="str">
        <f t="shared" si="19"/>
        <v>N/A</v>
      </c>
      <c r="P28" s="7">
        <f t="shared" si="20"/>
        <v>322.56990000000002</v>
      </c>
      <c r="Q28" s="7">
        <f t="shared" si="6"/>
        <v>0</v>
      </c>
      <c r="R28" s="7">
        <f t="shared" si="7"/>
        <v>490.00000000000006</v>
      </c>
      <c r="S28" s="7">
        <f t="shared" si="8"/>
        <v>311.4468</v>
      </c>
    </row>
    <row r="29" spans="2:19">
      <c r="C29" s="34"/>
      <c r="D29" s="840" t="str">
        <f>'Payroll 19-20'!D29</f>
        <v>Jessica Zeegers</v>
      </c>
      <c r="E29" s="840">
        <f>'Payroll 19-20'!E29*(1+'Revenue Inputs'!O$27)</f>
        <v>1</v>
      </c>
      <c r="F29" s="828">
        <f>'Payroll 19-20'!F29*(1+$I$4)</f>
        <v>25944.21</v>
      </c>
      <c r="G29" s="322">
        <f>'Payroll 19-20'!G29</f>
        <v>12</v>
      </c>
      <c r="H29" s="319" t="str">
        <f>'Payroll 19-20'!H29</f>
        <v>n</v>
      </c>
      <c r="I29" s="320">
        <f t="shared" si="11"/>
        <v>25944.21</v>
      </c>
      <c r="J29" s="7">
        <f t="shared" si="16"/>
        <v>6003.1446249999999</v>
      </c>
      <c r="K29" s="7">
        <f t="shared" si="17"/>
        <v>31947.354625</v>
      </c>
      <c r="M29" s="7">
        <f t="shared" si="18"/>
        <v>4773.7346399999997</v>
      </c>
      <c r="N29" s="8" t="s">
        <v>75</v>
      </c>
      <c r="O29" s="8" t="str">
        <f t="shared" si="19"/>
        <v>N/A</v>
      </c>
      <c r="P29" s="7">
        <f t="shared" si="20"/>
        <v>376.19104500000003</v>
      </c>
      <c r="Q29" s="7">
        <f t="shared" si="6"/>
        <v>0</v>
      </c>
      <c r="R29" s="7">
        <f t="shared" si="7"/>
        <v>490.00000000000006</v>
      </c>
      <c r="S29" s="7">
        <f t="shared" si="8"/>
        <v>363.21893999999998</v>
      </c>
    </row>
    <row r="30" spans="2:19">
      <c r="C30" s="34"/>
      <c r="D30" s="840" t="str">
        <f>'Payroll 19-20'!D30</f>
        <v>Rebecca Thomas</v>
      </c>
      <c r="E30" s="840">
        <f>'Payroll 19-20'!E30*(1+'Revenue Inputs'!O$27)</f>
        <v>1</v>
      </c>
      <c r="F30" s="828">
        <f>'Payroll 19-20'!F30*(1+$I$4)</f>
        <v>20971.2</v>
      </c>
      <c r="G30" s="322">
        <f>'Payroll 19-20'!G30</f>
        <v>12</v>
      </c>
      <c r="H30" s="319" t="str">
        <f>'Payroll 19-20'!H30</f>
        <v>n</v>
      </c>
      <c r="I30" s="320">
        <f t="shared" si="11"/>
        <v>20971.2</v>
      </c>
      <c r="J30" s="7">
        <f t="shared" si="16"/>
        <v>4946.38</v>
      </c>
      <c r="K30" s="7">
        <f t="shared" si="17"/>
        <v>25917.58</v>
      </c>
      <c r="M30" s="7">
        <f t="shared" si="18"/>
        <v>3858.7008000000001</v>
      </c>
      <c r="N30" s="8" t="s">
        <v>75</v>
      </c>
      <c r="O30" s="8" t="str">
        <f t="shared" si="19"/>
        <v>N/A</v>
      </c>
      <c r="P30" s="7">
        <f t="shared" si="20"/>
        <v>304.08240000000001</v>
      </c>
      <c r="Q30" s="7">
        <f t="shared" si="6"/>
        <v>0</v>
      </c>
      <c r="R30" s="7">
        <f t="shared" si="7"/>
        <v>490.00000000000006</v>
      </c>
      <c r="S30" s="7">
        <f t="shared" si="8"/>
        <v>293.59680000000003</v>
      </c>
    </row>
    <row r="31" spans="2:19">
      <c r="C31" s="34"/>
      <c r="D31" s="840" t="str">
        <f>'Payroll 19-20'!D31</f>
        <v>Esperanza Gregeola</v>
      </c>
      <c r="E31" s="840">
        <f>'Payroll 19-20'!E31*(1+'Revenue Inputs'!O$27)</f>
        <v>1</v>
      </c>
      <c r="F31" s="828">
        <f>'Payroll 19-20'!F31*(1+$I$4)</f>
        <v>22883.7</v>
      </c>
      <c r="G31" s="322">
        <f>'Payroll 19-20'!G31</f>
        <v>12</v>
      </c>
      <c r="H31" s="319" t="str">
        <f>'Payroll 19-20'!H31</f>
        <v>n</v>
      </c>
      <c r="I31" s="320">
        <f t="shared" si="11"/>
        <v>22883.7</v>
      </c>
      <c r="J31" s="7">
        <f t="shared" si="16"/>
        <v>5352.7862500000001</v>
      </c>
      <c r="K31" s="7">
        <f t="shared" si="17"/>
        <v>28236.486250000002</v>
      </c>
      <c r="M31" s="7">
        <f t="shared" si="18"/>
        <v>4210.6008000000002</v>
      </c>
      <c r="N31" s="8" t="s">
        <v>75</v>
      </c>
      <c r="O31" s="8" t="str">
        <f t="shared" si="19"/>
        <v>N/A</v>
      </c>
      <c r="P31" s="7">
        <f t="shared" si="20"/>
        <v>331.81365000000005</v>
      </c>
      <c r="Q31" s="7">
        <f t="shared" si="6"/>
        <v>0</v>
      </c>
      <c r="R31" s="7">
        <f t="shared" si="7"/>
        <v>490.00000000000006</v>
      </c>
      <c r="S31" s="7">
        <f t="shared" si="8"/>
        <v>320.37180000000001</v>
      </c>
    </row>
    <row r="32" spans="2:19">
      <c r="C32" s="34"/>
      <c r="D32" s="840">
        <f>'Payroll 19-20'!D32</f>
        <v>0</v>
      </c>
      <c r="E32" s="840">
        <f>'Payroll 19-20'!E32*(1+'Revenue Inputs'!O$27)</f>
        <v>0</v>
      </c>
      <c r="F32" s="828">
        <f>'Payroll 19-20'!F32*(1+$I$4)</f>
        <v>0</v>
      </c>
      <c r="G32" s="322">
        <f>'Payroll 19-20'!G32</f>
        <v>0</v>
      </c>
      <c r="H32" s="319">
        <f>'Payroll 19-20'!H32</f>
        <v>0</v>
      </c>
      <c r="I32" s="320">
        <f t="shared" si="11"/>
        <v>0</v>
      </c>
      <c r="J32" s="7">
        <f t="shared" si="16"/>
        <v>0</v>
      </c>
      <c r="K32" s="7">
        <f t="shared" si="17"/>
        <v>0</v>
      </c>
      <c r="M32" s="7">
        <f t="shared" si="18"/>
        <v>0</v>
      </c>
      <c r="N32" s="8" t="s">
        <v>75</v>
      </c>
      <c r="O32" s="8" t="str">
        <f t="shared" si="19"/>
        <v>N/A</v>
      </c>
      <c r="P32" s="7">
        <f t="shared" si="20"/>
        <v>0</v>
      </c>
      <c r="Q32" s="7">
        <f t="shared" si="6"/>
        <v>0</v>
      </c>
      <c r="R32" s="7">
        <f t="shared" si="7"/>
        <v>0</v>
      </c>
      <c r="S32" s="7">
        <f t="shared" si="8"/>
        <v>0</v>
      </c>
    </row>
    <row r="33" spans="3:23">
      <c r="C33" s="34"/>
      <c r="D33" s="840" t="str">
        <f>'Payroll 19-20'!D33</f>
        <v>TBD</v>
      </c>
      <c r="E33" s="840">
        <f>'Payroll 19-20'!E33*(1+'Revenue Inputs'!O$27)</f>
        <v>1</v>
      </c>
      <c r="F33" s="828">
        <f>'Payroll 19-20'!F33*(1+$I$4)</f>
        <v>17528.7</v>
      </c>
      <c r="G33" s="322">
        <f>'Payroll 19-20'!G33</f>
        <v>12</v>
      </c>
      <c r="H33" s="319" t="str">
        <f>'Payroll 19-20'!H33</f>
        <v>n</v>
      </c>
      <c r="I33" s="320">
        <f t="shared" si="11"/>
        <v>17528.7</v>
      </c>
      <c r="J33" s="7">
        <f t="shared" si="16"/>
        <v>4214.8487500000001</v>
      </c>
      <c r="K33" s="7">
        <f t="shared" si="17"/>
        <v>21743.548750000002</v>
      </c>
      <c r="L33" s="7"/>
      <c r="M33" s="7">
        <f t="shared" si="18"/>
        <v>3225.2808</v>
      </c>
      <c r="N33" s="8" t="s">
        <v>75</v>
      </c>
      <c r="O33" s="8" t="str">
        <f t="shared" si="19"/>
        <v>N/A</v>
      </c>
      <c r="P33" s="7">
        <f t="shared" si="20"/>
        <v>254.16615000000002</v>
      </c>
      <c r="Q33" s="7">
        <f t="shared" si="6"/>
        <v>0</v>
      </c>
      <c r="R33" s="7">
        <f t="shared" si="7"/>
        <v>490.00000000000006</v>
      </c>
      <c r="S33" s="7">
        <f t="shared" si="8"/>
        <v>245.40180000000001</v>
      </c>
    </row>
    <row r="34" spans="3:23">
      <c r="C34" s="34"/>
      <c r="D34" s="840" t="str">
        <f>'Payroll 19-20'!D34</f>
        <v>TBD</v>
      </c>
      <c r="E34" s="840">
        <f>'Payroll 19-20'!E34*(1+'Revenue Inputs'!O$27)</f>
        <v>1</v>
      </c>
      <c r="F34" s="828">
        <f>'Payroll 19-20'!F34*(1+$I$4)</f>
        <v>17528.7</v>
      </c>
      <c r="G34" s="322">
        <f>'Payroll 19-20'!G34</f>
        <v>12</v>
      </c>
      <c r="H34" s="319" t="str">
        <f>'Payroll 19-20'!H34</f>
        <v>n</v>
      </c>
      <c r="I34" s="320">
        <f t="shared" si="11"/>
        <v>17528.7</v>
      </c>
      <c r="J34" s="7">
        <f t="shared" si="16"/>
        <v>4214.8487500000001</v>
      </c>
      <c r="K34" s="7">
        <f t="shared" si="17"/>
        <v>21743.548750000002</v>
      </c>
      <c r="M34" s="7">
        <f t="shared" si="18"/>
        <v>3225.2808</v>
      </c>
      <c r="N34" s="8" t="s">
        <v>75</v>
      </c>
      <c r="O34" s="8" t="str">
        <f t="shared" si="19"/>
        <v>N/A</v>
      </c>
      <c r="P34" s="7">
        <f t="shared" si="20"/>
        <v>254.16615000000002</v>
      </c>
      <c r="Q34" s="7">
        <f t="shared" si="6"/>
        <v>0</v>
      </c>
      <c r="R34" s="7">
        <f t="shared" si="7"/>
        <v>490.00000000000006</v>
      </c>
      <c r="S34" s="7">
        <f t="shared" si="8"/>
        <v>245.40180000000001</v>
      </c>
    </row>
    <row r="35" spans="3:23">
      <c r="C35" s="34"/>
      <c r="D35" s="840">
        <f>'Payroll 19-20'!D35</f>
        <v>0</v>
      </c>
      <c r="E35" s="840">
        <f>'Payroll 19-20'!E35*(1+'Revenue Inputs'!O$27)</f>
        <v>0</v>
      </c>
      <c r="F35" s="828">
        <f>'Payroll 19-20'!F35*(1+$I$4)</f>
        <v>0</v>
      </c>
      <c r="G35" s="322">
        <f>'Payroll 19-20'!G35</f>
        <v>0</v>
      </c>
      <c r="H35" s="319">
        <f>'Payroll 19-20'!H35</f>
        <v>0</v>
      </c>
      <c r="I35" s="320">
        <f t="shared" si="11"/>
        <v>0</v>
      </c>
      <c r="J35" s="7">
        <f t="shared" si="16"/>
        <v>0</v>
      </c>
      <c r="K35" s="7">
        <f t="shared" si="17"/>
        <v>0</v>
      </c>
      <c r="M35" s="7">
        <f t="shared" si="18"/>
        <v>0</v>
      </c>
      <c r="N35" s="8" t="s">
        <v>75</v>
      </c>
      <c r="O35" s="8" t="str">
        <f t="shared" si="19"/>
        <v>N/A</v>
      </c>
      <c r="P35" s="7">
        <f t="shared" si="20"/>
        <v>0</v>
      </c>
      <c r="Q35" s="7">
        <f t="shared" si="6"/>
        <v>0</v>
      </c>
      <c r="R35" s="7">
        <f t="shared" si="7"/>
        <v>0</v>
      </c>
      <c r="S35" s="7">
        <f t="shared" si="8"/>
        <v>0</v>
      </c>
    </row>
    <row r="36" spans="3:23">
      <c r="C36" s="34"/>
      <c r="D36" s="840">
        <f>'Payroll 19-20'!D36</f>
        <v>0</v>
      </c>
      <c r="E36" s="840">
        <f>'Payroll 19-20'!E36*(1+'Revenue Inputs'!O$27)</f>
        <v>0</v>
      </c>
      <c r="F36" s="828">
        <f>'Payroll 19-20'!F36*(1+$I$4)</f>
        <v>0</v>
      </c>
      <c r="G36" s="322">
        <f>'Payroll 19-20'!G36</f>
        <v>0</v>
      </c>
      <c r="H36" s="319">
        <f>'Payroll 19-20'!H36</f>
        <v>0</v>
      </c>
      <c r="I36" s="320">
        <f t="shared" si="11"/>
        <v>0</v>
      </c>
      <c r="J36" s="7">
        <f t="shared" si="16"/>
        <v>0</v>
      </c>
      <c r="K36" s="7">
        <f t="shared" si="17"/>
        <v>0</v>
      </c>
      <c r="M36" s="7">
        <f t="shared" si="18"/>
        <v>0</v>
      </c>
      <c r="N36" s="8" t="s">
        <v>75</v>
      </c>
      <c r="O36" s="8" t="str">
        <f t="shared" si="19"/>
        <v>N/A</v>
      </c>
      <c r="P36" s="7">
        <f t="shared" si="20"/>
        <v>0</v>
      </c>
      <c r="Q36" s="7">
        <f t="shared" si="6"/>
        <v>0</v>
      </c>
      <c r="R36" s="7">
        <f t="shared" si="7"/>
        <v>0</v>
      </c>
      <c r="S36" s="7">
        <f t="shared" si="8"/>
        <v>0</v>
      </c>
    </row>
    <row r="37" spans="3:23">
      <c r="C37" s="34"/>
      <c r="D37" s="840">
        <f>'Payroll 19-20'!D37</f>
        <v>0</v>
      </c>
      <c r="E37" s="840">
        <f>'Payroll 19-20'!E37*(1+'Revenue Inputs'!O$27)</f>
        <v>0</v>
      </c>
      <c r="F37" s="828">
        <f>'Payroll 19-20'!F37*(1+$I$4)</f>
        <v>0</v>
      </c>
      <c r="G37" s="322">
        <f>'Payroll 19-20'!G37</f>
        <v>0</v>
      </c>
      <c r="H37" s="319">
        <f>'Payroll 19-20'!H37</f>
        <v>0</v>
      </c>
      <c r="I37" s="320">
        <f t="shared" si="11"/>
        <v>0</v>
      </c>
      <c r="J37" s="7">
        <f t="shared" si="16"/>
        <v>0</v>
      </c>
      <c r="K37" s="7">
        <f t="shared" si="17"/>
        <v>0</v>
      </c>
      <c r="M37" s="7">
        <f t="shared" si="18"/>
        <v>0</v>
      </c>
      <c r="N37" s="8" t="s">
        <v>75</v>
      </c>
      <c r="O37" s="8" t="str">
        <f t="shared" si="19"/>
        <v>N/A</v>
      </c>
      <c r="P37" s="7">
        <f t="shared" si="20"/>
        <v>0</v>
      </c>
      <c r="Q37" s="7">
        <f t="shared" si="6"/>
        <v>0</v>
      </c>
      <c r="R37" s="7">
        <f t="shared" si="7"/>
        <v>0</v>
      </c>
      <c r="S37" s="7">
        <f t="shared" si="8"/>
        <v>0</v>
      </c>
    </row>
    <row r="38" spans="3:23">
      <c r="C38" s="34"/>
      <c r="D38" s="840">
        <f>'Payroll 19-20'!D38</f>
        <v>0</v>
      </c>
      <c r="E38" s="840">
        <f>'Payroll 19-20'!E38*(1+'Revenue Inputs'!O$27)</f>
        <v>0</v>
      </c>
      <c r="F38" s="828">
        <f>'Payroll 19-20'!F38*(1+$I$4)</f>
        <v>0</v>
      </c>
      <c r="G38" s="322">
        <f>'Payroll 19-20'!G38</f>
        <v>0</v>
      </c>
      <c r="H38" s="319">
        <f>'Payroll 19-20'!H38</f>
        <v>0</v>
      </c>
      <c r="I38" s="320">
        <f t="shared" si="11"/>
        <v>0</v>
      </c>
      <c r="J38" s="7">
        <f t="shared" si="16"/>
        <v>0</v>
      </c>
      <c r="K38" s="7">
        <f t="shared" si="17"/>
        <v>0</v>
      </c>
      <c r="M38" s="7">
        <f t="shared" si="18"/>
        <v>0</v>
      </c>
      <c r="N38" s="8" t="s">
        <v>75</v>
      </c>
      <c r="O38" s="8" t="str">
        <f t="shared" si="19"/>
        <v>N/A</v>
      </c>
      <c r="P38" s="7">
        <f t="shared" si="20"/>
        <v>0</v>
      </c>
      <c r="Q38" s="7">
        <f t="shared" si="6"/>
        <v>0</v>
      </c>
      <c r="R38" s="7">
        <f t="shared" si="7"/>
        <v>0</v>
      </c>
      <c r="S38" s="7">
        <f t="shared" si="8"/>
        <v>0</v>
      </c>
    </row>
    <row r="39" spans="3:23">
      <c r="C39" s="34"/>
      <c r="D39" s="840">
        <f>'Payroll 19-20'!D39</f>
        <v>0</v>
      </c>
      <c r="E39" s="840">
        <f>'Payroll 19-20'!E39*(1+'Revenue Inputs'!O$27)</f>
        <v>0</v>
      </c>
      <c r="F39" s="828">
        <f>'Payroll 19-20'!F39*(1+$I$4)</f>
        <v>0</v>
      </c>
      <c r="G39" s="322">
        <f>'Payroll 19-20'!G39</f>
        <v>0</v>
      </c>
      <c r="H39" s="319">
        <f>'Payroll 19-20'!H39</f>
        <v>0</v>
      </c>
      <c r="I39" s="320">
        <f t="shared" si="11"/>
        <v>0</v>
      </c>
      <c r="J39" s="7">
        <f t="shared" si="16"/>
        <v>0</v>
      </c>
      <c r="K39" s="7">
        <f t="shared" si="17"/>
        <v>0</v>
      </c>
      <c r="L39" s="7"/>
      <c r="M39" s="7">
        <f t="shared" si="18"/>
        <v>0</v>
      </c>
      <c r="N39" s="8" t="s">
        <v>75</v>
      </c>
      <c r="O39" s="8" t="str">
        <f t="shared" si="19"/>
        <v>N/A</v>
      </c>
      <c r="P39" s="7">
        <f t="shared" si="20"/>
        <v>0</v>
      </c>
      <c r="Q39" s="7">
        <f t="shared" si="6"/>
        <v>0</v>
      </c>
      <c r="R39" s="7">
        <f t="shared" si="7"/>
        <v>0</v>
      </c>
      <c r="S39" s="7">
        <f t="shared" si="8"/>
        <v>0</v>
      </c>
      <c r="W39" s="41"/>
    </row>
    <row r="40" spans="3:23">
      <c r="C40" s="34"/>
      <c r="D40" s="840">
        <f>'Payroll 19-20'!D40</f>
        <v>0</v>
      </c>
      <c r="E40" s="840">
        <f>'Payroll 19-20'!E40*(1+'Revenue Inputs'!O$27)</f>
        <v>0</v>
      </c>
      <c r="F40" s="828">
        <f>'Payroll 19-20'!F40*(1+$I$4)</f>
        <v>0</v>
      </c>
      <c r="G40" s="322">
        <f>'Payroll 19-20'!G40</f>
        <v>0</v>
      </c>
      <c r="H40" s="319">
        <f>'Payroll 19-20'!H40</f>
        <v>0</v>
      </c>
      <c r="I40" s="320">
        <f t="shared" si="11"/>
        <v>0</v>
      </c>
      <c r="J40" s="7">
        <f t="shared" si="16"/>
        <v>0</v>
      </c>
      <c r="K40" s="7">
        <f t="shared" si="17"/>
        <v>0</v>
      </c>
      <c r="M40" s="7">
        <f t="shared" si="18"/>
        <v>0</v>
      </c>
      <c r="N40" s="8" t="s">
        <v>75</v>
      </c>
      <c r="O40" s="8" t="str">
        <f t="shared" si="19"/>
        <v>N/A</v>
      </c>
      <c r="P40" s="7">
        <f t="shared" si="20"/>
        <v>0</v>
      </c>
      <c r="Q40" s="7">
        <f t="shared" si="6"/>
        <v>0</v>
      </c>
      <c r="R40" s="7">
        <f t="shared" si="7"/>
        <v>0</v>
      </c>
      <c r="S40" s="7">
        <f t="shared" si="8"/>
        <v>0</v>
      </c>
    </row>
    <row r="41" spans="3:23">
      <c r="C41" s="34"/>
      <c r="D41" s="840">
        <f>'Payroll 19-20'!D41</f>
        <v>0</v>
      </c>
      <c r="E41" s="840">
        <f>'Payroll 19-20'!E41*(1+'Revenue Inputs'!O$27)</f>
        <v>0</v>
      </c>
      <c r="F41" s="828">
        <f>'Payroll 19-20'!F41*(1+$I$4)</f>
        <v>0</v>
      </c>
      <c r="G41" s="322">
        <f>'Payroll 19-20'!G41</f>
        <v>0</v>
      </c>
      <c r="H41" s="319">
        <f>'Payroll 19-20'!H41</f>
        <v>0</v>
      </c>
      <c r="I41" s="320">
        <f t="shared" si="11"/>
        <v>0</v>
      </c>
      <c r="J41" s="7">
        <f t="shared" si="16"/>
        <v>0</v>
      </c>
      <c r="K41" s="7">
        <f t="shared" si="17"/>
        <v>0</v>
      </c>
      <c r="M41" s="7">
        <f t="shared" si="18"/>
        <v>0</v>
      </c>
      <c r="N41" s="8" t="s">
        <v>75</v>
      </c>
      <c r="O41" s="8" t="str">
        <f t="shared" si="19"/>
        <v>N/A</v>
      </c>
      <c r="P41" s="7">
        <f t="shared" si="20"/>
        <v>0</v>
      </c>
      <c r="Q41" s="7">
        <f t="shared" si="6"/>
        <v>0</v>
      </c>
      <c r="R41" s="7">
        <f t="shared" si="7"/>
        <v>0</v>
      </c>
      <c r="S41" s="7">
        <f t="shared" si="8"/>
        <v>0</v>
      </c>
    </row>
    <row r="42" spans="3:23">
      <c r="C42" s="34"/>
      <c r="D42" s="840">
        <f>'Payroll 19-20'!D42</f>
        <v>0</v>
      </c>
      <c r="E42" s="840">
        <f>'Payroll 19-20'!E42*(1+'Revenue Inputs'!O$27)</f>
        <v>0</v>
      </c>
      <c r="F42" s="828">
        <f>'Payroll 19-20'!F42*(1+$I$4)</f>
        <v>0</v>
      </c>
      <c r="G42" s="322">
        <f>'Payroll 19-20'!G42</f>
        <v>0</v>
      </c>
      <c r="H42" s="319">
        <f>'Payroll 19-20'!H42</f>
        <v>0</v>
      </c>
      <c r="I42" s="320">
        <f t="shared" si="11"/>
        <v>0</v>
      </c>
      <c r="J42" s="7">
        <f t="shared" si="16"/>
        <v>0</v>
      </c>
      <c r="K42" s="7">
        <f t="shared" si="17"/>
        <v>0</v>
      </c>
      <c r="M42" s="7">
        <f t="shared" si="18"/>
        <v>0</v>
      </c>
      <c r="N42" s="8" t="s">
        <v>75</v>
      </c>
      <c r="O42" s="8" t="str">
        <f t="shared" si="19"/>
        <v>N/A</v>
      </c>
      <c r="P42" s="7">
        <f t="shared" si="20"/>
        <v>0</v>
      </c>
      <c r="Q42" s="7">
        <f t="shared" si="6"/>
        <v>0</v>
      </c>
      <c r="R42" s="7">
        <f t="shared" si="7"/>
        <v>0</v>
      </c>
      <c r="S42" s="7">
        <f t="shared" si="8"/>
        <v>0</v>
      </c>
    </row>
    <row r="43" spans="3:23">
      <c r="C43" s="34"/>
      <c r="D43" s="840">
        <f>'Payroll 19-20'!D43</f>
        <v>0</v>
      </c>
      <c r="E43" s="840">
        <f>'Payroll 19-20'!E43*(1+'Revenue Inputs'!O$27)</f>
        <v>0</v>
      </c>
      <c r="F43" s="828">
        <f>'Payroll 19-20'!F43*(1+$I$4)</f>
        <v>0</v>
      </c>
      <c r="G43" s="322">
        <f>'Payroll 19-20'!G43</f>
        <v>0</v>
      </c>
      <c r="H43" s="319">
        <f>'Payroll 19-20'!H43</f>
        <v>0</v>
      </c>
      <c r="I43" s="320">
        <f t="shared" si="11"/>
        <v>0</v>
      </c>
      <c r="J43" s="7">
        <f t="shared" si="0"/>
        <v>0</v>
      </c>
      <c r="K43" s="7">
        <f t="shared" si="14"/>
        <v>0</v>
      </c>
      <c r="M43" s="7">
        <f t="shared" si="13"/>
        <v>0</v>
      </c>
      <c r="N43" s="8" t="s">
        <v>75</v>
      </c>
      <c r="O43" s="8" t="str">
        <f t="shared" si="5"/>
        <v>N/A</v>
      </c>
      <c r="P43" s="7">
        <f t="shared" si="2"/>
        <v>0</v>
      </c>
      <c r="Q43" s="7">
        <f t="shared" si="6"/>
        <v>0</v>
      </c>
      <c r="R43" s="7">
        <f t="shared" si="7"/>
        <v>0</v>
      </c>
      <c r="S43" s="7">
        <f t="shared" si="8"/>
        <v>0</v>
      </c>
    </row>
    <row r="44" spans="3:23">
      <c r="C44" s="34"/>
      <c r="D44" s="840">
        <f>'Payroll 19-20'!D44</f>
        <v>0</v>
      </c>
      <c r="E44" s="840">
        <f>'Payroll 19-20'!E44*(1+'Revenue Inputs'!O$27)</f>
        <v>0</v>
      </c>
      <c r="F44" s="828">
        <f>'Payroll 19-20'!F44*(1+$I$4)</f>
        <v>0</v>
      </c>
      <c r="G44" s="322">
        <f>'Payroll 19-20'!G44</f>
        <v>0</v>
      </c>
      <c r="H44" s="319">
        <f>'Payroll 19-20'!H44</f>
        <v>0</v>
      </c>
      <c r="I44" s="320">
        <f t="shared" si="11"/>
        <v>0</v>
      </c>
      <c r="J44" s="7">
        <f t="shared" si="0"/>
        <v>0</v>
      </c>
      <c r="K44" s="7">
        <f t="shared" si="14"/>
        <v>0</v>
      </c>
      <c r="M44" s="7">
        <f t="shared" si="13"/>
        <v>0</v>
      </c>
      <c r="N44" s="8" t="s">
        <v>75</v>
      </c>
      <c r="O44" s="8" t="str">
        <f t="shared" si="5"/>
        <v>N/A</v>
      </c>
      <c r="P44" s="7">
        <f t="shared" si="2"/>
        <v>0</v>
      </c>
      <c r="Q44" s="7">
        <f t="shared" si="6"/>
        <v>0</v>
      </c>
      <c r="R44" s="7">
        <f t="shared" si="7"/>
        <v>0</v>
      </c>
      <c r="S44" s="7">
        <f t="shared" si="8"/>
        <v>0</v>
      </c>
    </row>
    <row r="45" spans="3:23">
      <c r="C45" s="34"/>
      <c r="D45" s="840">
        <f>'Payroll 19-20'!D45</f>
        <v>0</v>
      </c>
      <c r="E45" s="840">
        <f>'Payroll 19-20'!E45*(1+'Revenue Inputs'!O$27)</f>
        <v>0</v>
      </c>
      <c r="F45" s="828">
        <f>'Payroll 19-20'!F45*(1+$I$4)</f>
        <v>0</v>
      </c>
      <c r="G45" s="322">
        <f>'Payroll 19-20'!G45</f>
        <v>0</v>
      </c>
      <c r="H45" s="319">
        <f>'Payroll 19-20'!H45</f>
        <v>0</v>
      </c>
      <c r="I45" s="320">
        <f t="shared" si="11"/>
        <v>0</v>
      </c>
      <c r="J45" s="7">
        <f t="shared" si="0"/>
        <v>0</v>
      </c>
      <c r="K45" s="7">
        <f t="shared" si="14"/>
        <v>0</v>
      </c>
      <c r="L45" s="7"/>
      <c r="M45" s="7">
        <f t="shared" si="13"/>
        <v>0</v>
      </c>
      <c r="N45" s="8" t="s">
        <v>75</v>
      </c>
      <c r="O45" s="8" t="str">
        <f t="shared" si="5"/>
        <v>N/A</v>
      </c>
      <c r="P45" s="7">
        <f t="shared" si="2"/>
        <v>0</v>
      </c>
      <c r="Q45" s="7">
        <f t="shared" si="6"/>
        <v>0</v>
      </c>
      <c r="R45" s="7">
        <f t="shared" si="7"/>
        <v>0</v>
      </c>
      <c r="S45" s="7">
        <f t="shared" si="8"/>
        <v>0</v>
      </c>
    </row>
    <row r="46" spans="3:23">
      <c r="C46" s="34"/>
      <c r="D46" s="840">
        <f>'Payroll 19-20'!D46</f>
        <v>0</v>
      </c>
      <c r="E46" s="840">
        <f>'Payroll 19-20'!E46*(1+'Revenue Inputs'!O$27)</f>
        <v>0</v>
      </c>
      <c r="F46" s="828">
        <f>'Payroll 19-20'!F46*(1+$I$4)</f>
        <v>0</v>
      </c>
      <c r="G46" s="322">
        <f>'Payroll 19-20'!G46</f>
        <v>0</v>
      </c>
      <c r="H46" s="319">
        <f>'Payroll 19-20'!H46</f>
        <v>0</v>
      </c>
      <c r="I46" s="320">
        <f t="shared" si="11"/>
        <v>0</v>
      </c>
      <c r="J46" s="7">
        <f t="shared" si="0"/>
        <v>0</v>
      </c>
      <c r="K46" s="7">
        <f t="shared" si="14"/>
        <v>0</v>
      </c>
      <c r="M46" s="7">
        <f t="shared" si="13"/>
        <v>0</v>
      </c>
      <c r="N46" s="8" t="s">
        <v>75</v>
      </c>
      <c r="O46" s="8" t="str">
        <f t="shared" si="5"/>
        <v>N/A</v>
      </c>
      <c r="P46" s="7">
        <f t="shared" si="2"/>
        <v>0</v>
      </c>
      <c r="Q46" s="7">
        <f t="shared" si="6"/>
        <v>0</v>
      </c>
      <c r="R46" s="7">
        <f t="shared" si="7"/>
        <v>0</v>
      </c>
      <c r="S46" s="7">
        <f t="shared" si="8"/>
        <v>0</v>
      </c>
    </row>
    <row r="47" spans="3:23">
      <c r="C47" s="34"/>
      <c r="D47" s="840">
        <f>'Payroll 19-20'!D47</f>
        <v>0</v>
      </c>
      <c r="E47" s="840">
        <f>'Payroll 19-20'!E47*(1+'Revenue Inputs'!O$27)</f>
        <v>0</v>
      </c>
      <c r="F47" s="828">
        <f>'Payroll 19-20'!F47*(1+$I$4)</f>
        <v>0</v>
      </c>
      <c r="G47" s="322">
        <f>'Payroll 19-20'!G47</f>
        <v>0</v>
      </c>
      <c r="H47" s="319">
        <f>'Payroll 19-20'!H47</f>
        <v>0</v>
      </c>
      <c r="I47" s="320">
        <f t="shared" si="11"/>
        <v>0</v>
      </c>
      <c r="J47" s="7">
        <f t="shared" si="0"/>
        <v>0</v>
      </c>
      <c r="K47" s="7">
        <f t="shared" si="14"/>
        <v>0</v>
      </c>
      <c r="M47" s="7">
        <f t="shared" si="13"/>
        <v>0</v>
      </c>
      <c r="N47" s="8" t="s">
        <v>75</v>
      </c>
      <c r="O47" s="8" t="str">
        <f t="shared" si="5"/>
        <v>N/A</v>
      </c>
      <c r="P47" s="7">
        <f t="shared" si="2"/>
        <v>0</v>
      </c>
      <c r="Q47" s="7">
        <f t="shared" si="6"/>
        <v>0</v>
      </c>
      <c r="R47" s="7">
        <f t="shared" si="7"/>
        <v>0</v>
      </c>
      <c r="S47" s="7">
        <f t="shared" si="8"/>
        <v>0</v>
      </c>
    </row>
    <row r="48" spans="3:23">
      <c r="C48" s="34"/>
      <c r="D48" s="840">
        <f>'Payroll 19-20'!D48</f>
        <v>0</v>
      </c>
      <c r="E48" s="840">
        <f>'Payroll 19-20'!E48*(1+'Revenue Inputs'!O$27)</f>
        <v>0</v>
      </c>
      <c r="F48" s="828">
        <f>'Payroll 19-20'!F48*(1+$I$4)</f>
        <v>0</v>
      </c>
      <c r="G48" s="322">
        <f>'Payroll 19-20'!G48</f>
        <v>0</v>
      </c>
      <c r="H48" s="319">
        <f>'Payroll 19-20'!H48</f>
        <v>0</v>
      </c>
      <c r="I48" s="320">
        <f t="shared" si="11"/>
        <v>0</v>
      </c>
      <c r="J48" s="7">
        <f t="shared" si="0"/>
        <v>0</v>
      </c>
      <c r="K48" s="7">
        <f t="shared" si="14"/>
        <v>0</v>
      </c>
      <c r="M48" s="7">
        <f t="shared" si="13"/>
        <v>0</v>
      </c>
      <c r="N48" s="8" t="s">
        <v>75</v>
      </c>
      <c r="O48" s="8" t="str">
        <f t="shared" si="5"/>
        <v>N/A</v>
      </c>
      <c r="P48" s="7">
        <f t="shared" si="2"/>
        <v>0</v>
      </c>
      <c r="Q48" s="7">
        <f t="shared" si="6"/>
        <v>0</v>
      </c>
      <c r="R48" s="7">
        <f t="shared" si="7"/>
        <v>0</v>
      </c>
      <c r="S48" s="7">
        <f t="shared" si="8"/>
        <v>0</v>
      </c>
    </row>
    <row r="49" spans="3:24">
      <c r="C49" s="34"/>
      <c r="D49" s="840">
        <f>'Payroll 19-20'!D49</f>
        <v>0</v>
      </c>
      <c r="E49" s="840">
        <f>'Payroll 19-20'!E49*(1+'Revenue Inputs'!O$27)</f>
        <v>0</v>
      </c>
      <c r="F49" s="828">
        <f>'Payroll 19-20'!F49*(1+$I$4)</f>
        <v>0</v>
      </c>
      <c r="G49" s="322">
        <f>'Payroll 19-20'!G49</f>
        <v>0</v>
      </c>
      <c r="H49" s="319">
        <f>'Payroll 19-20'!H49</f>
        <v>0</v>
      </c>
      <c r="I49" s="320">
        <f t="shared" si="11"/>
        <v>0</v>
      </c>
      <c r="J49" s="7">
        <f t="shared" si="0"/>
        <v>0</v>
      </c>
      <c r="K49" s="7">
        <f t="shared" si="14"/>
        <v>0</v>
      </c>
      <c r="M49" s="7">
        <f t="shared" si="13"/>
        <v>0</v>
      </c>
      <c r="N49" s="8" t="s">
        <v>75</v>
      </c>
      <c r="O49" s="8" t="str">
        <f t="shared" si="5"/>
        <v>N/A</v>
      </c>
      <c r="P49" s="7">
        <f t="shared" si="2"/>
        <v>0</v>
      </c>
      <c r="Q49" s="7">
        <f t="shared" si="6"/>
        <v>0</v>
      </c>
      <c r="R49" s="7">
        <f t="shared" si="7"/>
        <v>0</v>
      </c>
      <c r="S49" s="7">
        <f t="shared" si="8"/>
        <v>0</v>
      </c>
    </row>
    <row r="50" spans="3:24">
      <c r="C50" s="34"/>
      <c r="D50" s="840">
        <f>'Payroll 19-20'!D50</f>
        <v>0</v>
      </c>
      <c r="E50" s="840">
        <f>'Payroll 19-20'!E50*(1+'Revenue Inputs'!O$27)</f>
        <v>0</v>
      </c>
      <c r="F50" s="828">
        <f>'Payroll 19-20'!F50*(1+$I$4)</f>
        <v>0</v>
      </c>
      <c r="G50" s="322">
        <f>'Payroll 19-20'!G50</f>
        <v>0</v>
      </c>
      <c r="H50" s="319">
        <f>'Payroll 19-20'!H50</f>
        <v>0</v>
      </c>
      <c r="I50" s="320">
        <f t="shared" si="11"/>
        <v>0</v>
      </c>
      <c r="J50" s="7">
        <f t="shared" si="0"/>
        <v>0</v>
      </c>
      <c r="K50" s="7">
        <f t="shared" si="14"/>
        <v>0</v>
      </c>
      <c r="L50" s="7"/>
      <c r="M50" s="7">
        <f t="shared" si="13"/>
        <v>0</v>
      </c>
      <c r="N50" s="8" t="s">
        <v>75</v>
      </c>
      <c r="O50" s="8" t="str">
        <f t="shared" si="5"/>
        <v>N/A</v>
      </c>
      <c r="P50" s="7">
        <f t="shared" si="2"/>
        <v>0</v>
      </c>
      <c r="Q50" s="7">
        <f t="shared" si="6"/>
        <v>0</v>
      </c>
      <c r="R50" s="7">
        <f t="shared" si="7"/>
        <v>0</v>
      </c>
      <c r="S50" s="7">
        <f t="shared" si="8"/>
        <v>0</v>
      </c>
    </row>
    <row r="51" spans="3:24">
      <c r="C51" s="34"/>
      <c r="D51" s="840">
        <f>'Payroll 19-20'!D51</f>
        <v>0</v>
      </c>
      <c r="E51" s="840">
        <f>'Payroll 19-20'!E51*(1+'Revenue Inputs'!O$27)</f>
        <v>0</v>
      </c>
      <c r="F51" s="828">
        <f>'Payroll 19-20'!F51*(1+$I$4)</f>
        <v>0</v>
      </c>
      <c r="G51" s="322">
        <f>'Payroll 19-20'!G51</f>
        <v>0</v>
      </c>
      <c r="H51" s="319">
        <f>'Payroll 19-20'!H51</f>
        <v>0</v>
      </c>
      <c r="I51" s="320">
        <f t="shared" si="11"/>
        <v>0</v>
      </c>
      <c r="J51" s="7">
        <f t="shared" si="0"/>
        <v>0</v>
      </c>
      <c r="K51" s="7">
        <f t="shared" si="14"/>
        <v>0</v>
      </c>
      <c r="M51" s="7">
        <f t="shared" si="13"/>
        <v>0</v>
      </c>
      <c r="N51" s="8" t="s">
        <v>75</v>
      </c>
      <c r="O51" s="8" t="str">
        <f t="shared" si="5"/>
        <v>N/A</v>
      </c>
      <c r="P51" s="7">
        <f t="shared" si="2"/>
        <v>0</v>
      </c>
      <c r="Q51" s="7">
        <f t="shared" si="6"/>
        <v>0</v>
      </c>
      <c r="R51" s="7">
        <f t="shared" si="7"/>
        <v>0</v>
      </c>
      <c r="S51" s="7">
        <f t="shared" si="8"/>
        <v>0</v>
      </c>
    </row>
    <row r="52" spans="3:24">
      <c r="C52" s="34"/>
      <c r="D52" s="840">
        <f>'Payroll 19-20'!D52</f>
        <v>0</v>
      </c>
      <c r="E52" s="840">
        <f>'Payroll 19-20'!E52*(1+'Revenue Inputs'!O$27)</f>
        <v>0</v>
      </c>
      <c r="F52" s="828">
        <f>'Payroll 19-20'!F52*(1+$I$4)</f>
        <v>0</v>
      </c>
      <c r="G52" s="322">
        <f>'Payroll 19-20'!G52</f>
        <v>0</v>
      </c>
      <c r="H52" s="319">
        <f>'Payroll 19-20'!H52</f>
        <v>0</v>
      </c>
      <c r="I52" s="320">
        <f t="shared" si="11"/>
        <v>0</v>
      </c>
      <c r="J52" s="7">
        <f t="shared" si="0"/>
        <v>0</v>
      </c>
      <c r="K52" s="7">
        <f t="shared" si="14"/>
        <v>0</v>
      </c>
      <c r="M52" s="7">
        <f t="shared" si="13"/>
        <v>0</v>
      </c>
      <c r="N52" s="8" t="s">
        <v>75</v>
      </c>
      <c r="O52" s="8" t="str">
        <f t="shared" si="5"/>
        <v>N/A</v>
      </c>
      <c r="P52" s="7">
        <f t="shared" si="2"/>
        <v>0</v>
      </c>
      <c r="Q52" s="7">
        <f t="shared" si="6"/>
        <v>0</v>
      </c>
      <c r="R52" s="7">
        <f t="shared" si="7"/>
        <v>0</v>
      </c>
      <c r="S52" s="7">
        <f t="shared" si="8"/>
        <v>0</v>
      </c>
    </row>
    <row r="53" spans="3:24">
      <c r="C53" s="34"/>
      <c r="D53" s="840">
        <f>'Payroll 19-20'!D53</f>
        <v>0</v>
      </c>
      <c r="E53" s="840">
        <f>'Payroll 19-20'!E53*(1+'Revenue Inputs'!O$27)</f>
        <v>0</v>
      </c>
      <c r="F53" s="828">
        <f>'Payroll 19-20'!F53*(1+$I$4)</f>
        <v>0</v>
      </c>
      <c r="G53" s="322">
        <f>'Payroll 19-20'!G53</f>
        <v>0</v>
      </c>
      <c r="H53" s="319">
        <f>'Payroll 19-20'!H53</f>
        <v>0</v>
      </c>
      <c r="I53" s="320">
        <f t="shared" si="11"/>
        <v>0</v>
      </c>
      <c r="J53" s="7">
        <f t="shared" si="0"/>
        <v>0</v>
      </c>
      <c r="K53" s="7">
        <f t="shared" si="14"/>
        <v>0</v>
      </c>
      <c r="M53" s="7">
        <f t="shared" si="13"/>
        <v>0</v>
      </c>
      <c r="N53" s="8" t="s">
        <v>75</v>
      </c>
      <c r="O53" s="8" t="str">
        <f t="shared" si="5"/>
        <v>N/A</v>
      </c>
      <c r="P53" s="7">
        <f t="shared" si="2"/>
        <v>0</v>
      </c>
      <c r="Q53" s="7">
        <f t="shared" si="6"/>
        <v>0</v>
      </c>
      <c r="R53" s="7">
        <f t="shared" si="7"/>
        <v>0</v>
      </c>
      <c r="S53" s="7">
        <f t="shared" si="8"/>
        <v>0</v>
      </c>
    </row>
    <row r="54" spans="3:24">
      <c r="C54" s="34"/>
      <c r="D54" s="840">
        <f>'Payroll 19-20'!D54</f>
        <v>0</v>
      </c>
      <c r="E54" s="840">
        <f>'Payroll 19-20'!E54*(1+'Revenue Inputs'!O$27)</f>
        <v>0</v>
      </c>
      <c r="F54" s="828">
        <f>'Payroll 19-20'!F54*(1+$I$4)</f>
        <v>0</v>
      </c>
      <c r="G54" s="322">
        <f>'Payroll 19-20'!G54</f>
        <v>0</v>
      </c>
      <c r="H54" s="319">
        <f>'Payroll 19-20'!H54</f>
        <v>0</v>
      </c>
      <c r="I54" s="320">
        <f t="shared" si="11"/>
        <v>0</v>
      </c>
      <c r="J54" s="7">
        <f t="shared" si="0"/>
        <v>0</v>
      </c>
      <c r="K54" s="7">
        <f t="shared" si="14"/>
        <v>0</v>
      </c>
      <c r="M54" s="7">
        <f t="shared" si="13"/>
        <v>0</v>
      </c>
      <c r="N54" s="8" t="s">
        <v>75</v>
      </c>
      <c r="O54" s="8" t="str">
        <f t="shared" si="5"/>
        <v>N/A</v>
      </c>
      <c r="P54" s="7">
        <f t="shared" si="2"/>
        <v>0</v>
      </c>
      <c r="Q54" s="7">
        <f t="shared" si="6"/>
        <v>0</v>
      </c>
      <c r="R54" s="7">
        <f t="shared" si="7"/>
        <v>0</v>
      </c>
      <c r="S54" s="7">
        <f t="shared" si="8"/>
        <v>0</v>
      </c>
    </row>
    <row r="55" spans="3:24">
      <c r="C55" s="34"/>
      <c r="D55" s="840">
        <f>'Payroll 19-20'!D55</f>
        <v>0</v>
      </c>
      <c r="E55" s="840">
        <f>'Payroll 19-20'!E55*(1+'Revenue Inputs'!O$27)</f>
        <v>0</v>
      </c>
      <c r="F55" s="828">
        <f>'Payroll 19-20'!F55*(1+$I$4)</f>
        <v>0</v>
      </c>
      <c r="G55" s="322">
        <f>'Payroll 19-20'!G55</f>
        <v>0</v>
      </c>
      <c r="H55" s="319">
        <f>'Payroll 19-20'!H55</f>
        <v>0</v>
      </c>
      <c r="I55" s="320">
        <f t="shared" si="11"/>
        <v>0</v>
      </c>
      <c r="J55" s="7">
        <f t="shared" si="0"/>
        <v>0</v>
      </c>
      <c r="K55" s="7">
        <f t="shared" si="14"/>
        <v>0</v>
      </c>
      <c r="M55" s="7">
        <f t="shared" si="13"/>
        <v>0</v>
      </c>
      <c r="N55" s="8" t="s">
        <v>75</v>
      </c>
      <c r="O55" s="8" t="str">
        <f t="shared" si="5"/>
        <v>N/A</v>
      </c>
      <c r="P55" s="7">
        <f t="shared" si="2"/>
        <v>0</v>
      </c>
      <c r="Q55" s="7">
        <f t="shared" si="6"/>
        <v>0</v>
      </c>
      <c r="R55" s="7">
        <f t="shared" si="7"/>
        <v>0</v>
      </c>
      <c r="S55" s="7">
        <f t="shared" si="8"/>
        <v>0</v>
      </c>
    </row>
    <row r="56" spans="3:24">
      <c r="C56" s="34"/>
      <c r="D56" s="840">
        <f>'Payroll 19-20'!D56</f>
        <v>0</v>
      </c>
      <c r="E56" s="840">
        <f>'Payroll 19-20'!E56*(1+'Revenue Inputs'!O$27)</f>
        <v>0</v>
      </c>
      <c r="F56" s="828">
        <f>'Payroll 19-20'!F56*(1+$I$4)</f>
        <v>0</v>
      </c>
      <c r="G56" s="322">
        <f>'Payroll 19-20'!G56</f>
        <v>0</v>
      </c>
      <c r="H56" s="319">
        <f>'Payroll 19-20'!H56</f>
        <v>0</v>
      </c>
      <c r="I56" s="320">
        <f t="shared" si="11"/>
        <v>0</v>
      </c>
      <c r="J56" s="7">
        <f t="shared" si="0"/>
        <v>0</v>
      </c>
      <c r="K56" s="7">
        <f t="shared" si="14"/>
        <v>0</v>
      </c>
      <c r="L56" s="7"/>
      <c r="M56" s="7">
        <f t="shared" si="13"/>
        <v>0</v>
      </c>
      <c r="N56" s="8" t="s">
        <v>75</v>
      </c>
      <c r="O56" s="8" t="str">
        <f t="shared" si="5"/>
        <v>N/A</v>
      </c>
      <c r="P56" s="7">
        <f t="shared" si="2"/>
        <v>0</v>
      </c>
      <c r="Q56" s="7">
        <f t="shared" si="6"/>
        <v>0</v>
      </c>
      <c r="R56" s="7">
        <f t="shared" si="7"/>
        <v>0</v>
      </c>
      <c r="S56" s="7">
        <f t="shared" si="8"/>
        <v>0</v>
      </c>
      <c r="W56" s="41"/>
    </row>
    <row r="57" spans="3:24">
      <c r="C57" s="34"/>
      <c r="D57" s="840">
        <f>'Payroll 19-20'!D57</f>
        <v>0</v>
      </c>
      <c r="E57" s="840">
        <f>'Payroll 19-20'!E57*(1+'Revenue Inputs'!O$27)</f>
        <v>0</v>
      </c>
      <c r="F57" s="828">
        <f>'Payroll 19-20'!F57*(1+$I$4)</f>
        <v>0</v>
      </c>
      <c r="G57" s="322">
        <f>'Payroll 19-20'!G57</f>
        <v>0</v>
      </c>
      <c r="H57" s="319">
        <f>'Payroll 19-20'!H57</f>
        <v>0</v>
      </c>
      <c r="I57" s="320">
        <f t="shared" si="11"/>
        <v>0</v>
      </c>
      <c r="J57" s="7">
        <f t="shared" si="0"/>
        <v>0</v>
      </c>
      <c r="K57" s="7">
        <f t="shared" si="14"/>
        <v>0</v>
      </c>
      <c r="M57" s="7">
        <f t="shared" si="13"/>
        <v>0</v>
      </c>
      <c r="N57" s="8" t="s">
        <v>75</v>
      </c>
      <c r="O57" s="8" t="str">
        <f t="shared" si="5"/>
        <v>N/A</v>
      </c>
      <c r="P57" s="7">
        <f t="shared" si="2"/>
        <v>0</v>
      </c>
      <c r="Q57" s="7">
        <f t="shared" si="6"/>
        <v>0</v>
      </c>
      <c r="R57" s="7">
        <f t="shared" si="7"/>
        <v>0</v>
      </c>
      <c r="S57" s="7">
        <f t="shared" si="8"/>
        <v>0</v>
      </c>
    </row>
    <row r="58" spans="3:24">
      <c r="C58" s="34"/>
      <c r="D58" s="840">
        <f>'Payroll 19-20'!D58</f>
        <v>0</v>
      </c>
      <c r="E58" s="840">
        <f>'Payroll 19-20'!E58*(1+'Revenue Inputs'!O$27)</f>
        <v>0</v>
      </c>
      <c r="F58" s="828">
        <f>'Payroll 19-20'!F58*(1+$I$4)</f>
        <v>0</v>
      </c>
      <c r="G58" s="322">
        <f>'Payroll 19-20'!G58</f>
        <v>0</v>
      </c>
      <c r="H58" s="319">
        <f>'Payroll 19-20'!H58</f>
        <v>0</v>
      </c>
      <c r="I58" s="320">
        <f t="shared" si="11"/>
        <v>0</v>
      </c>
      <c r="J58" s="7">
        <f t="shared" si="0"/>
        <v>0</v>
      </c>
      <c r="K58" s="7">
        <f t="shared" si="14"/>
        <v>0</v>
      </c>
      <c r="M58" s="7">
        <f t="shared" si="13"/>
        <v>0</v>
      </c>
      <c r="N58" s="8" t="s">
        <v>75</v>
      </c>
      <c r="O58" s="8" t="str">
        <f t="shared" si="5"/>
        <v>N/A</v>
      </c>
      <c r="P58" s="7">
        <f t="shared" si="2"/>
        <v>0</v>
      </c>
      <c r="Q58" s="7">
        <f t="shared" si="6"/>
        <v>0</v>
      </c>
      <c r="R58" s="7">
        <f t="shared" si="7"/>
        <v>0</v>
      </c>
      <c r="S58" s="7">
        <f t="shared" si="8"/>
        <v>0</v>
      </c>
    </row>
    <row r="59" spans="3:24">
      <c r="C59" s="34"/>
      <c r="D59" s="840">
        <f>'Payroll 19-20'!D59</f>
        <v>0</v>
      </c>
      <c r="E59" s="840">
        <f>'Payroll 19-20'!E59*(1+'Revenue Inputs'!O$27)</f>
        <v>0</v>
      </c>
      <c r="F59" s="828">
        <f>'Payroll 19-20'!F59*(1+$I$4)</f>
        <v>0</v>
      </c>
      <c r="G59" s="322">
        <f>'Payroll 19-20'!G59</f>
        <v>0</v>
      </c>
      <c r="H59" s="319">
        <f>'Payroll 19-20'!H59</f>
        <v>0</v>
      </c>
      <c r="I59" s="320">
        <f t="shared" si="11"/>
        <v>0</v>
      </c>
      <c r="J59" s="7">
        <f t="shared" si="0"/>
        <v>0</v>
      </c>
      <c r="K59" s="7">
        <f t="shared" si="14"/>
        <v>0</v>
      </c>
      <c r="M59" s="7">
        <f t="shared" si="13"/>
        <v>0</v>
      </c>
      <c r="N59" s="8" t="s">
        <v>75</v>
      </c>
      <c r="O59" s="8" t="str">
        <f t="shared" si="5"/>
        <v>N/A</v>
      </c>
      <c r="P59" s="7">
        <f t="shared" si="2"/>
        <v>0</v>
      </c>
      <c r="Q59" s="7">
        <f t="shared" si="6"/>
        <v>0</v>
      </c>
      <c r="R59" s="7">
        <f t="shared" si="7"/>
        <v>0</v>
      </c>
      <c r="S59" s="7">
        <f t="shared" si="8"/>
        <v>0</v>
      </c>
    </row>
    <row r="60" spans="3:24" ht="12" thickBot="1">
      <c r="C60" s="34"/>
      <c r="D60" s="833"/>
      <c r="E60" s="846"/>
      <c r="F60" s="833"/>
      <c r="G60" s="28"/>
      <c r="H60" s="8"/>
      <c r="I60" s="5"/>
      <c r="J60" s="7"/>
      <c r="K60" s="7"/>
      <c r="M60" s="7"/>
      <c r="N60" s="8"/>
      <c r="O60" s="8"/>
      <c r="P60" s="7"/>
      <c r="Q60" s="7"/>
      <c r="R60" s="7"/>
      <c r="S60" s="7"/>
    </row>
    <row r="61" spans="3:24" s="41" customFormat="1" ht="12" thickBot="1">
      <c r="C61" s="177"/>
      <c r="D61" s="834"/>
      <c r="E61" s="847"/>
      <c r="F61" s="834"/>
      <c r="G61" s="49"/>
      <c r="H61" s="333">
        <v>1100</v>
      </c>
      <c r="I61" s="10">
        <f>SUM(I7:I60)</f>
        <v>8388237.3442000011</v>
      </c>
      <c r="J61" s="10">
        <f>SUM(J7:J60)</f>
        <v>2816330.4356424999</v>
      </c>
      <c r="K61" s="10">
        <f>SUM(K7:K60)</f>
        <v>11204567.779842502</v>
      </c>
      <c r="L61" s="11"/>
      <c r="M61" s="10">
        <f t="shared" ref="M61:S61" si="21">SUM(M7:M60)</f>
        <v>1543435.6713328001</v>
      </c>
      <c r="N61" s="10">
        <f t="shared" si="21"/>
        <v>0</v>
      </c>
      <c r="O61" s="10">
        <f t="shared" si="21"/>
        <v>0</v>
      </c>
      <c r="P61" s="10">
        <f t="shared" si="21"/>
        <v>121629.44149090002</v>
      </c>
      <c r="Q61" s="10">
        <f t="shared" si="21"/>
        <v>967680.00000000012</v>
      </c>
      <c r="R61" s="10">
        <f t="shared" si="21"/>
        <v>66150.000000000015</v>
      </c>
      <c r="S61" s="10">
        <f t="shared" si="21"/>
        <v>117435.32281880004</v>
      </c>
    </row>
    <row r="62" spans="3:24" ht="12">
      <c r="C62" s="368" t="s">
        <v>143</v>
      </c>
      <c r="D62" s="835"/>
      <c r="E62" s="848"/>
      <c r="F62" s="835"/>
      <c r="G62" s="28"/>
      <c r="H62" s="35"/>
      <c r="I62" s="7"/>
      <c r="J62" s="7"/>
      <c r="K62" s="7"/>
      <c r="L62" s="7"/>
      <c r="M62" s="36"/>
      <c r="N62" s="36"/>
      <c r="O62" s="36"/>
      <c r="P62" s="36"/>
      <c r="Q62" s="36"/>
      <c r="R62" s="36"/>
      <c r="S62" s="36"/>
      <c r="X62" s="41"/>
    </row>
    <row r="63" spans="3:24">
      <c r="C63" s="37"/>
      <c r="D63" s="840">
        <f>'Payroll 19-20'!D63</f>
        <v>0</v>
      </c>
      <c r="E63" s="840">
        <f>'Payroll 19-20'!E63*(1+'Revenue Inputs'!O$27)</f>
        <v>0</v>
      </c>
      <c r="F63" s="828">
        <f>'Payroll 19-20'!F63*(1+$I$4)</f>
        <v>0</v>
      </c>
      <c r="G63" s="322">
        <f>'Payroll 19-20'!G63</f>
        <v>0</v>
      </c>
      <c r="H63" s="319">
        <f>'Payroll 19-20'!H63</f>
        <v>0</v>
      </c>
      <c r="I63" s="320">
        <f t="shared" ref="I63" si="22">F63*E63</f>
        <v>0</v>
      </c>
      <c r="J63" s="7">
        <f>SUM(M63:S63)</f>
        <v>0</v>
      </c>
      <c r="K63" s="7">
        <f>J63+I63</f>
        <v>0</v>
      </c>
      <c r="L63" s="7"/>
      <c r="M63" s="7">
        <f t="shared" ref="M63" si="23">I63*$M$5</f>
        <v>0</v>
      </c>
      <c r="N63" s="8" t="s">
        <v>75</v>
      </c>
      <c r="O63" s="8" t="str">
        <f>IF($M$5&gt;0,"N/A",$O$5*I63)</f>
        <v>N/A</v>
      </c>
      <c r="P63" s="7">
        <f>I63*$P$5</f>
        <v>0</v>
      </c>
      <c r="Q63" s="7">
        <f t="shared" ref="Q63" si="24">IF(H63="y", $Q$5*E63, 0)</f>
        <v>0</v>
      </c>
      <c r="R63" s="7">
        <f t="shared" ref="R63" si="25">IF($I63&gt;7000,7000*R$5,$I63*R$5)*E63</f>
        <v>0</v>
      </c>
      <c r="S63" s="7">
        <f t="shared" ref="S63" si="26">S$5*$I63</f>
        <v>0</v>
      </c>
      <c r="X63" s="41"/>
    </row>
    <row r="64" spans="3:24" ht="12" thickBot="1">
      <c r="C64" s="37"/>
      <c r="D64" s="835"/>
      <c r="E64" s="848"/>
      <c r="F64" s="835"/>
      <c r="G64" s="28"/>
      <c r="H64" s="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X64" s="41"/>
    </row>
    <row r="65" spans="3:19" s="41" customFormat="1" ht="12" thickBot="1">
      <c r="C65" s="177"/>
      <c r="D65" s="835"/>
      <c r="E65" s="848"/>
      <c r="F65" s="835"/>
      <c r="G65" s="49"/>
      <c r="H65" s="333">
        <v>1170</v>
      </c>
      <c r="I65" s="10">
        <f>SUM(I62:I64)</f>
        <v>0</v>
      </c>
      <c r="J65" s="10">
        <f>SUM(J62:J64)</f>
        <v>0</v>
      </c>
      <c r="K65" s="10">
        <f>SUM(K62:K64)</f>
        <v>0</v>
      </c>
      <c r="L65" s="11"/>
      <c r="M65" s="10">
        <f t="shared" ref="M65:S65" si="27">SUM(M62:M64)</f>
        <v>0</v>
      </c>
      <c r="N65" s="10">
        <f t="shared" si="27"/>
        <v>0</v>
      </c>
      <c r="O65" s="10">
        <f t="shared" si="27"/>
        <v>0</v>
      </c>
      <c r="P65" s="10">
        <f t="shared" si="27"/>
        <v>0</v>
      </c>
      <c r="Q65" s="10">
        <f t="shared" si="27"/>
        <v>0</v>
      </c>
      <c r="R65" s="10">
        <f t="shared" si="27"/>
        <v>0</v>
      </c>
      <c r="S65" s="10">
        <f t="shared" si="27"/>
        <v>0</v>
      </c>
    </row>
    <row r="66" spans="3:19" s="41" customFormat="1">
      <c r="C66" s="177"/>
      <c r="D66" s="834"/>
      <c r="E66" s="847"/>
      <c r="F66" s="834"/>
      <c r="G66" s="49"/>
      <c r="H66" s="33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3:19" ht="12">
      <c r="C67" s="368" t="s">
        <v>125</v>
      </c>
      <c r="D67" s="835"/>
      <c r="E67" s="848"/>
      <c r="F67" s="835"/>
      <c r="G67" s="28"/>
      <c r="H67" s="35"/>
      <c r="I67" s="7"/>
      <c r="J67" s="7"/>
      <c r="K67" s="7"/>
      <c r="L67" s="7"/>
      <c r="M67" s="36"/>
      <c r="N67" s="36"/>
      <c r="O67" s="36"/>
      <c r="P67" s="36"/>
      <c r="Q67" s="7">
        <f t="shared" ref="Q67:Q74" si="28">IF(H67="y", $Q$5*E67, 0)</f>
        <v>0</v>
      </c>
      <c r="R67" s="36"/>
      <c r="S67" s="36"/>
    </row>
    <row r="68" spans="3:19">
      <c r="C68" s="431"/>
      <c r="D68" s="840">
        <f>'Payroll 19-20'!D68</f>
        <v>0</v>
      </c>
      <c r="E68" s="840">
        <f>'Payroll 19-20'!E68*(1+'Revenue Inputs'!O$27)</f>
        <v>0</v>
      </c>
      <c r="F68" s="828">
        <f>'Payroll 19-20'!F68*(1+$I$4)</f>
        <v>0</v>
      </c>
      <c r="G68" s="322">
        <f>'Payroll 19-20'!G68</f>
        <v>12</v>
      </c>
      <c r="H68" s="319">
        <f>'Payroll 19-20'!H68</f>
        <v>0</v>
      </c>
      <c r="I68" s="320">
        <f>I61*'Revenue Inputs'!O30</f>
        <v>419411.86721000005</v>
      </c>
      <c r="J68" s="7">
        <f>SUM(M68:S68)</f>
        <v>89125.021782125012</v>
      </c>
      <c r="K68" s="7">
        <f>J68+I68</f>
        <v>508536.88899212505</v>
      </c>
      <c r="L68" s="7"/>
      <c r="M68" s="7">
        <f t="shared" ref="M68:M74" si="29">I68*$M$5</f>
        <v>77171.783566640006</v>
      </c>
      <c r="N68" s="8" t="s">
        <v>75</v>
      </c>
      <c r="O68" s="8" t="str">
        <f>IF($M$5&gt;0,"N/A",$O$5*I68)</f>
        <v>N/A</v>
      </c>
      <c r="P68" s="7">
        <f>I68*$P$5</f>
        <v>6081.4720745450013</v>
      </c>
      <c r="Q68" s="7">
        <f t="shared" si="28"/>
        <v>0</v>
      </c>
      <c r="R68" s="7">
        <f t="shared" ref="R68:R74" si="30">IF($I68&gt;7000,7000*R$5,$I68*R$5)*E68</f>
        <v>0</v>
      </c>
      <c r="S68" s="7">
        <f t="shared" ref="S68:S74" si="31">S$5*$I68</f>
        <v>5871.7661409400007</v>
      </c>
    </row>
    <row r="69" spans="3:19">
      <c r="C69" s="431"/>
      <c r="D69" s="840">
        <f>'Payroll 19-20'!D69</f>
        <v>0</v>
      </c>
      <c r="E69" s="840">
        <f>'Payroll 19-20'!E69*(1+'Revenue Inputs'!O$27)</f>
        <v>0</v>
      </c>
      <c r="F69" s="828">
        <f>'Payroll 19-20'!F69*(1+$I$4)</f>
        <v>0</v>
      </c>
      <c r="G69" s="322">
        <f>'Payroll 19-20'!G69</f>
        <v>0</v>
      </c>
      <c r="H69" s="319">
        <f>'Payroll 19-20'!H69</f>
        <v>0</v>
      </c>
      <c r="I69" s="320">
        <f>'Payroll 19-20'!I69*(1+$I$4)</f>
        <v>0</v>
      </c>
      <c r="J69" s="7">
        <f>SUM(M69:S69)</f>
        <v>0</v>
      </c>
      <c r="K69" s="7">
        <f>J69+I69</f>
        <v>0</v>
      </c>
      <c r="L69" s="7"/>
      <c r="M69" s="7">
        <f t="shared" si="29"/>
        <v>0</v>
      </c>
      <c r="N69" s="8" t="s">
        <v>75</v>
      </c>
      <c r="O69" s="8" t="str">
        <f>IF($M$5&gt;0,"N/A",$O$5*I69)</f>
        <v>N/A</v>
      </c>
      <c r="P69" s="7">
        <f>I69*$P$5</f>
        <v>0</v>
      </c>
      <c r="Q69" s="7">
        <f t="shared" si="28"/>
        <v>0</v>
      </c>
      <c r="R69" s="7">
        <f t="shared" si="30"/>
        <v>0</v>
      </c>
      <c r="S69" s="7">
        <f t="shared" si="31"/>
        <v>0</v>
      </c>
    </row>
    <row r="70" spans="3:19">
      <c r="C70" s="431"/>
      <c r="D70" s="840">
        <f>'Payroll 19-20'!D70</f>
        <v>0</v>
      </c>
      <c r="E70" s="840">
        <f>'Payroll 19-20'!E70*(1+'Revenue Inputs'!O$27)</f>
        <v>0</v>
      </c>
      <c r="F70" s="828">
        <f>'Payroll 19-20'!F70*(1+$I$4)</f>
        <v>0</v>
      </c>
      <c r="G70" s="322">
        <f>'Payroll 19-20'!G70</f>
        <v>0</v>
      </c>
      <c r="H70" s="319">
        <f>'Payroll 19-20'!H70</f>
        <v>0</v>
      </c>
      <c r="I70" s="320">
        <f>'Payroll 19-20'!I70*(1+$I$4)</f>
        <v>0</v>
      </c>
      <c r="J70" s="7">
        <f t="shared" ref="J70:J74" si="32">SUM(M70:S70)</f>
        <v>0</v>
      </c>
      <c r="K70" s="7">
        <f t="shared" ref="K70:K74" si="33">J70+I70</f>
        <v>0</v>
      </c>
      <c r="L70" s="7"/>
      <c r="M70" s="7">
        <f t="shared" si="29"/>
        <v>0</v>
      </c>
      <c r="N70" s="8" t="s">
        <v>75</v>
      </c>
      <c r="O70" s="8" t="str">
        <f t="shared" ref="O70:O74" si="34">IF($M$5&gt;0,"N/A",$O$5*I70)</f>
        <v>N/A</v>
      </c>
      <c r="P70" s="7">
        <f t="shared" ref="P70:P74" si="35">I70*$P$5</f>
        <v>0</v>
      </c>
      <c r="Q70" s="7">
        <f t="shared" si="28"/>
        <v>0</v>
      </c>
      <c r="R70" s="7">
        <f t="shared" si="30"/>
        <v>0</v>
      </c>
      <c r="S70" s="7">
        <f t="shared" si="31"/>
        <v>0</v>
      </c>
    </row>
    <row r="71" spans="3:19">
      <c r="C71" s="431"/>
      <c r="D71" s="840">
        <f>'Payroll 19-20'!D71</f>
        <v>0</v>
      </c>
      <c r="E71" s="840">
        <f>'Payroll 19-20'!E71*(1+'Revenue Inputs'!O$27)</f>
        <v>0</v>
      </c>
      <c r="F71" s="828">
        <f>'Payroll 19-20'!F71*(1+$I$4)</f>
        <v>0</v>
      </c>
      <c r="G71" s="322">
        <f>'Payroll 19-20'!G71</f>
        <v>0</v>
      </c>
      <c r="H71" s="319">
        <f>'Payroll 19-20'!H71</f>
        <v>0</v>
      </c>
      <c r="I71" s="320">
        <f>'Payroll 19-20'!I71*(1+$I$4)</f>
        <v>0</v>
      </c>
      <c r="J71" s="7">
        <f t="shared" si="32"/>
        <v>0</v>
      </c>
      <c r="K71" s="7">
        <f t="shared" si="33"/>
        <v>0</v>
      </c>
      <c r="L71" s="7"/>
      <c r="M71" s="7">
        <f t="shared" si="29"/>
        <v>0</v>
      </c>
      <c r="N71" s="8" t="s">
        <v>75</v>
      </c>
      <c r="O71" s="8" t="str">
        <f t="shared" si="34"/>
        <v>N/A</v>
      </c>
      <c r="P71" s="7">
        <f t="shared" si="35"/>
        <v>0</v>
      </c>
      <c r="Q71" s="7">
        <f t="shared" si="28"/>
        <v>0</v>
      </c>
      <c r="R71" s="7">
        <f t="shared" si="30"/>
        <v>0</v>
      </c>
      <c r="S71" s="7">
        <f t="shared" si="31"/>
        <v>0</v>
      </c>
    </row>
    <row r="72" spans="3:19">
      <c r="C72" s="431"/>
      <c r="D72" s="840">
        <f>'Payroll 19-20'!D72</f>
        <v>0</v>
      </c>
      <c r="E72" s="840">
        <f>'Payroll 19-20'!E72*(1+'Revenue Inputs'!O$27)</f>
        <v>0</v>
      </c>
      <c r="F72" s="828">
        <f>'Payroll 19-20'!F72*(1+$I$4)</f>
        <v>0</v>
      </c>
      <c r="G72" s="322">
        <f>'Payroll 19-20'!G72</f>
        <v>0</v>
      </c>
      <c r="H72" s="319">
        <f>'Payroll 19-20'!H72</f>
        <v>0</v>
      </c>
      <c r="I72" s="320">
        <f>'Payroll 19-20'!I72*(1+$I$4)</f>
        <v>0</v>
      </c>
      <c r="J72" s="7">
        <f t="shared" si="32"/>
        <v>0</v>
      </c>
      <c r="K72" s="7">
        <f t="shared" si="33"/>
        <v>0</v>
      </c>
      <c r="L72" s="7"/>
      <c r="M72" s="7">
        <f t="shared" si="29"/>
        <v>0</v>
      </c>
      <c r="N72" s="8" t="s">
        <v>75</v>
      </c>
      <c r="O72" s="8" t="str">
        <f t="shared" si="34"/>
        <v>N/A</v>
      </c>
      <c r="P72" s="7">
        <f t="shared" si="35"/>
        <v>0</v>
      </c>
      <c r="Q72" s="7">
        <f t="shared" si="28"/>
        <v>0</v>
      </c>
      <c r="R72" s="7">
        <f t="shared" si="30"/>
        <v>0</v>
      </c>
      <c r="S72" s="7">
        <f t="shared" si="31"/>
        <v>0</v>
      </c>
    </row>
    <row r="73" spans="3:19">
      <c r="C73" s="431"/>
      <c r="D73" s="840">
        <f>'Payroll 19-20'!D73</f>
        <v>0</v>
      </c>
      <c r="E73" s="840">
        <f>'Payroll 19-20'!E73*(1+'Revenue Inputs'!O$27)</f>
        <v>0</v>
      </c>
      <c r="F73" s="828">
        <f>'Payroll 19-20'!F73*(1+$I$4)</f>
        <v>0</v>
      </c>
      <c r="G73" s="322">
        <f>'Payroll 19-20'!G73</f>
        <v>0</v>
      </c>
      <c r="H73" s="319">
        <f>'Payroll 19-20'!H73</f>
        <v>0</v>
      </c>
      <c r="I73" s="320">
        <f>'Payroll 19-20'!I73*(1+$I$4)</f>
        <v>0</v>
      </c>
      <c r="J73" s="7">
        <f t="shared" si="32"/>
        <v>0</v>
      </c>
      <c r="K73" s="7">
        <f t="shared" si="33"/>
        <v>0</v>
      </c>
      <c r="L73" s="7"/>
      <c r="M73" s="7">
        <f t="shared" si="29"/>
        <v>0</v>
      </c>
      <c r="N73" s="8" t="s">
        <v>75</v>
      </c>
      <c r="O73" s="8" t="str">
        <f t="shared" si="34"/>
        <v>N/A</v>
      </c>
      <c r="P73" s="7">
        <f t="shared" si="35"/>
        <v>0</v>
      </c>
      <c r="Q73" s="7">
        <f t="shared" si="28"/>
        <v>0</v>
      </c>
      <c r="R73" s="7">
        <f t="shared" si="30"/>
        <v>0</v>
      </c>
      <c r="S73" s="7">
        <f t="shared" si="31"/>
        <v>0</v>
      </c>
    </row>
    <row r="74" spans="3:19">
      <c r="C74" s="431"/>
      <c r="D74" s="840">
        <f>'Payroll 19-20'!D74</f>
        <v>0</v>
      </c>
      <c r="E74" s="840">
        <f>'Payroll 19-20'!E74*(1+'Revenue Inputs'!O$27)</f>
        <v>0</v>
      </c>
      <c r="F74" s="828">
        <f>'Payroll 19-20'!F74*(1+$I$4)</f>
        <v>0</v>
      </c>
      <c r="G74" s="322">
        <f>'Payroll 19-20'!G74</f>
        <v>0</v>
      </c>
      <c r="H74" s="319">
        <f>'Payroll 19-20'!H74</f>
        <v>0</v>
      </c>
      <c r="I74" s="320">
        <f>'Payroll 19-20'!I74*(1+$I$4)</f>
        <v>0</v>
      </c>
      <c r="J74" s="7">
        <f t="shared" si="32"/>
        <v>0</v>
      </c>
      <c r="K74" s="7">
        <f t="shared" si="33"/>
        <v>0</v>
      </c>
      <c r="L74" s="7"/>
      <c r="M74" s="7">
        <f t="shared" si="29"/>
        <v>0</v>
      </c>
      <c r="N74" s="8" t="s">
        <v>75</v>
      </c>
      <c r="O74" s="8" t="str">
        <f t="shared" si="34"/>
        <v>N/A</v>
      </c>
      <c r="P74" s="7">
        <f t="shared" si="35"/>
        <v>0</v>
      </c>
      <c r="Q74" s="7">
        <f t="shared" si="28"/>
        <v>0</v>
      </c>
      <c r="R74" s="7">
        <f t="shared" si="30"/>
        <v>0</v>
      </c>
      <c r="S74" s="7">
        <f t="shared" si="31"/>
        <v>0</v>
      </c>
    </row>
    <row r="75" spans="3:19" ht="12" thickBot="1">
      <c r="C75" s="37"/>
      <c r="D75" s="849"/>
      <c r="E75" s="849"/>
      <c r="F75" s="835"/>
      <c r="G75" s="28"/>
      <c r="H75" s="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s="41" customFormat="1" ht="12" thickBot="1">
      <c r="C76" s="177"/>
      <c r="D76" s="834"/>
      <c r="E76" s="847"/>
      <c r="F76" s="834"/>
      <c r="G76" s="49"/>
      <c r="H76" s="333">
        <v>1175</v>
      </c>
      <c r="I76" s="10">
        <f>SUM(I67:I75)</f>
        <v>419411.86721000005</v>
      </c>
      <c r="J76" s="10">
        <f>SUM(J67:J75)</f>
        <v>89125.021782125012</v>
      </c>
      <c r="K76" s="10">
        <f>SUM(K67:K75)</f>
        <v>508536.88899212505</v>
      </c>
      <c r="L76" s="11"/>
      <c r="M76" s="10">
        <f t="shared" ref="M76:S76" si="36">SUM(M67:M75)</f>
        <v>77171.783566640006</v>
      </c>
      <c r="N76" s="10">
        <f t="shared" si="36"/>
        <v>0</v>
      </c>
      <c r="O76" s="10">
        <f t="shared" si="36"/>
        <v>0</v>
      </c>
      <c r="P76" s="10">
        <f t="shared" si="36"/>
        <v>6081.4720745450013</v>
      </c>
      <c r="Q76" s="10">
        <f t="shared" si="36"/>
        <v>0</v>
      </c>
      <c r="R76" s="10">
        <f t="shared" si="36"/>
        <v>0</v>
      </c>
      <c r="S76" s="10">
        <f t="shared" si="36"/>
        <v>5871.7661409400007</v>
      </c>
    </row>
    <row r="77" spans="3:19" ht="12">
      <c r="C77" s="366" t="s">
        <v>145</v>
      </c>
      <c r="D77" s="835"/>
      <c r="E77" s="848"/>
      <c r="F77" s="835"/>
      <c r="G77" s="28"/>
      <c r="H77" s="336"/>
      <c r="I77" s="7"/>
      <c r="J77" s="7"/>
      <c r="K77" s="7"/>
      <c r="L77" s="7"/>
      <c r="M77" s="12"/>
      <c r="N77" s="12"/>
      <c r="O77" s="12"/>
      <c r="P77" s="12"/>
      <c r="Q77" s="12"/>
      <c r="R77" s="12"/>
      <c r="S77" s="12"/>
    </row>
    <row r="78" spans="3:19" ht="12">
      <c r="C78" s="367"/>
      <c r="D78" s="840" t="str">
        <f>'Payroll 19-20'!D78</f>
        <v>Councelor</v>
      </c>
      <c r="E78" s="840">
        <f>'Payroll 19-20'!E78*(1+'Revenue Inputs'!O$27)</f>
        <v>0</v>
      </c>
      <c r="F78" s="828">
        <f>'Payroll 19-20'!F78*(1+$I$4)</f>
        <v>0</v>
      </c>
      <c r="G78" s="322">
        <f>'Payroll 19-20'!G78</f>
        <v>0</v>
      </c>
      <c r="H78" s="319">
        <f>'Payroll 19-20'!H78</f>
        <v>0</v>
      </c>
      <c r="I78" s="320">
        <f t="shared" ref="I78:I98" si="37">F78*E78</f>
        <v>0</v>
      </c>
      <c r="J78" s="7">
        <f t="shared" ref="J78:J98" si="38">SUM(M78:S78)</f>
        <v>0</v>
      </c>
      <c r="K78" s="7">
        <f t="shared" ref="K78:K93" si="39">SUM(I78:J78)</f>
        <v>0</v>
      </c>
      <c r="L78" s="7"/>
      <c r="M78" s="7">
        <f t="shared" ref="M78:M98" si="40">I78*$M$5</f>
        <v>0</v>
      </c>
      <c r="N78" s="8" t="s">
        <v>75</v>
      </c>
      <c r="O78" s="8" t="str">
        <f t="shared" ref="O78:O98" si="41">IF($M$5&gt;0,"N/A",$O$5*I78)</f>
        <v>N/A</v>
      </c>
      <c r="P78" s="7">
        <f t="shared" ref="P78:P98" si="42">I78*$P$5</f>
        <v>0</v>
      </c>
      <c r="Q78" s="7">
        <f t="shared" ref="Q78:Q98" si="43">IF(H78="y", $Q$5*E78, 0)</f>
        <v>0</v>
      </c>
      <c r="R78" s="7">
        <f t="shared" ref="R78:R98" si="44">IF($I78&gt;7000,7000*R$5,$I78*R$5)*E78</f>
        <v>0</v>
      </c>
      <c r="S78" s="7">
        <f t="shared" ref="S78:S98" si="45">S$5*$I78</f>
        <v>0</v>
      </c>
    </row>
    <row r="79" spans="3:19">
      <c r="C79" s="34"/>
      <c r="D79" s="840" t="str">
        <f>'Payroll 19-20'!D79</f>
        <v>Daniel P. Favela</v>
      </c>
      <c r="E79" s="840">
        <f>'Payroll 19-20'!E79*(1+'Revenue Inputs'!O$27)</f>
        <v>1</v>
      </c>
      <c r="F79" s="828">
        <f>'Payroll 19-20'!F79*(1+$I$4)</f>
        <v>59414.918400000002</v>
      </c>
      <c r="G79" s="322">
        <f>'Payroll 19-20'!G79</f>
        <v>12</v>
      </c>
      <c r="H79" s="319" t="str">
        <f>'Payroll 19-20'!H79</f>
        <v>y</v>
      </c>
      <c r="I79" s="320">
        <f t="shared" si="37"/>
        <v>59414.918400000002</v>
      </c>
      <c r="J79" s="7">
        <f>SUM(M79:S79)</f>
        <v>20675.670160000001</v>
      </c>
      <c r="K79" s="7">
        <f>SUM(I79:J79)</f>
        <v>80090.588560000004</v>
      </c>
      <c r="M79" s="7">
        <f>I79*$M$5</f>
        <v>10932.344985600001</v>
      </c>
      <c r="N79" s="8" t="s">
        <v>75</v>
      </c>
      <c r="O79" s="8" t="str">
        <f>IF($M$5&gt;0,"N/A",$O$5*I79)</f>
        <v>N/A</v>
      </c>
      <c r="P79" s="7">
        <f>I79*$P$5</f>
        <v>861.51631680000003</v>
      </c>
      <c r="Q79" s="7">
        <f t="shared" si="43"/>
        <v>7560.0000000000009</v>
      </c>
      <c r="R79" s="7">
        <f t="shared" si="44"/>
        <v>490.00000000000006</v>
      </c>
      <c r="S79" s="7">
        <f>S$5*$I79</f>
        <v>831.80885760000001</v>
      </c>
    </row>
    <row r="80" spans="3:19" ht="12">
      <c r="C80" s="367"/>
      <c r="D80" s="840" t="str">
        <f>'Payroll 19-20'!D80</f>
        <v>Psychologist</v>
      </c>
      <c r="E80" s="840">
        <f>'Payroll 19-20'!E80*(1+'Revenue Inputs'!O$27)</f>
        <v>0</v>
      </c>
      <c r="F80" s="828">
        <f>'Payroll 19-20'!F80*(1+$I$4)</f>
        <v>0</v>
      </c>
      <c r="G80" s="322">
        <f>'Payroll 19-20'!G80</f>
        <v>0</v>
      </c>
      <c r="H80" s="319">
        <f>'Payroll 19-20'!H80</f>
        <v>0</v>
      </c>
      <c r="I80" s="320">
        <f t="shared" si="37"/>
        <v>0</v>
      </c>
      <c r="J80" s="7">
        <f t="shared" ref="J80:J88" si="46">SUM(M80:S80)</f>
        <v>0</v>
      </c>
      <c r="K80" s="7">
        <f t="shared" ref="K80:K83" si="47">SUM(I80:J80)</f>
        <v>0</v>
      </c>
      <c r="L80" s="7"/>
      <c r="M80" s="7">
        <f t="shared" ref="M80:M88" si="48">I80*$M$5</f>
        <v>0</v>
      </c>
      <c r="N80" s="8" t="s">
        <v>75</v>
      </c>
      <c r="O80" s="8" t="str">
        <f t="shared" ref="O80:O88" si="49">IF($M$5&gt;0,"N/A",$O$5*I80)</f>
        <v>N/A</v>
      </c>
      <c r="P80" s="7">
        <f t="shared" ref="P80:P88" si="50">I80*$P$5</f>
        <v>0</v>
      </c>
      <c r="Q80" s="7">
        <f t="shared" si="43"/>
        <v>0</v>
      </c>
      <c r="R80" s="7">
        <f t="shared" si="44"/>
        <v>0</v>
      </c>
      <c r="S80" s="7">
        <f t="shared" si="45"/>
        <v>0</v>
      </c>
    </row>
    <row r="81" spans="3:19" ht="12">
      <c r="C81" s="367"/>
      <c r="D81" s="840" t="str">
        <f>'Payroll 19-20'!D81</f>
        <v>June R. Salazar</v>
      </c>
      <c r="E81" s="840">
        <f>'Payroll 19-20'!E81*(1+'Revenue Inputs'!O$27)</f>
        <v>1</v>
      </c>
      <c r="F81" s="828">
        <f>'Payroll 19-20'!F81*(1+$I$4)</f>
        <v>17193.405599999998</v>
      </c>
      <c r="G81" s="322">
        <f>'Payroll 19-20'!G81</f>
        <v>12</v>
      </c>
      <c r="H81" s="319" t="str">
        <f>'Payroll 19-20'!H81</f>
        <v>y</v>
      </c>
      <c r="I81" s="320">
        <f t="shared" si="37"/>
        <v>17193.405599999998</v>
      </c>
      <c r="J81" s="7">
        <f t="shared" si="46"/>
        <v>11703.598690000001</v>
      </c>
      <c r="K81" s="7">
        <f t="shared" si="47"/>
        <v>28897.004289999997</v>
      </c>
      <c r="L81" s="7"/>
      <c r="M81" s="7">
        <f t="shared" si="48"/>
        <v>3163.5866303999996</v>
      </c>
      <c r="N81" s="8" t="s">
        <v>75</v>
      </c>
      <c r="O81" s="8" t="str">
        <f t="shared" si="49"/>
        <v>N/A</v>
      </c>
      <c r="P81" s="7">
        <f t="shared" si="50"/>
        <v>249.30438119999999</v>
      </c>
      <c r="Q81" s="7">
        <f t="shared" si="43"/>
        <v>7560.0000000000009</v>
      </c>
      <c r="R81" s="7">
        <f t="shared" si="44"/>
        <v>490.00000000000006</v>
      </c>
      <c r="S81" s="7">
        <f t="shared" si="45"/>
        <v>240.70767839999999</v>
      </c>
    </row>
    <row r="82" spans="3:19" ht="12">
      <c r="C82" s="366"/>
      <c r="D82" s="840" t="str">
        <f>'Payroll 19-20'!D82</f>
        <v>Speech Specialist</v>
      </c>
      <c r="E82" s="840">
        <f>'Payroll 19-20'!E82*(1+'Revenue Inputs'!O$27)</f>
        <v>0</v>
      </c>
      <c r="F82" s="828">
        <f>'Payroll 19-20'!F82*(1+$I$4)</f>
        <v>0</v>
      </c>
      <c r="G82" s="322">
        <f>'Payroll 19-20'!G82</f>
        <v>0</v>
      </c>
      <c r="H82" s="319">
        <f>'Payroll 19-20'!H82</f>
        <v>0</v>
      </c>
      <c r="I82" s="320">
        <f t="shared" si="37"/>
        <v>0</v>
      </c>
      <c r="J82" s="7">
        <f t="shared" si="46"/>
        <v>0</v>
      </c>
      <c r="K82" s="7">
        <f t="shared" si="47"/>
        <v>0</v>
      </c>
      <c r="L82" s="7"/>
      <c r="M82" s="7">
        <f t="shared" si="48"/>
        <v>0</v>
      </c>
      <c r="N82" s="8" t="s">
        <v>75</v>
      </c>
      <c r="O82" s="8" t="str">
        <f t="shared" si="49"/>
        <v>N/A</v>
      </c>
      <c r="P82" s="7">
        <f t="shared" si="50"/>
        <v>0</v>
      </c>
      <c r="Q82" s="7">
        <f t="shared" si="43"/>
        <v>0</v>
      </c>
      <c r="R82" s="7">
        <f t="shared" si="44"/>
        <v>0</v>
      </c>
      <c r="S82" s="7">
        <f t="shared" si="45"/>
        <v>0</v>
      </c>
    </row>
    <row r="83" spans="3:19" ht="12">
      <c r="C83" s="366"/>
      <c r="D83" s="840" t="str">
        <f>'Payroll 19-20'!D83</f>
        <v>Erica L. Gibson</v>
      </c>
      <c r="E83" s="840">
        <f>'Payroll 19-20'!E83*(1+'Revenue Inputs'!O$27)</f>
        <v>1</v>
      </c>
      <c r="F83" s="828">
        <f>'Payroll 19-20'!F83*(1+$I$4)</f>
        <v>88210.742400000003</v>
      </c>
      <c r="G83" s="322">
        <f>'Payroll 19-20'!G83</f>
        <v>12</v>
      </c>
      <c r="H83" s="319" t="str">
        <f>'Payroll 19-20'!H83</f>
        <v>y</v>
      </c>
      <c r="I83" s="320">
        <f t="shared" si="37"/>
        <v>88210.742400000003</v>
      </c>
      <c r="J83" s="7">
        <f t="shared" si="46"/>
        <v>26794.782760000002</v>
      </c>
      <c r="K83" s="7">
        <f t="shared" si="47"/>
        <v>115005.52516</v>
      </c>
      <c r="L83" s="7"/>
      <c r="M83" s="7">
        <f t="shared" si="48"/>
        <v>16230.776601600001</v>
      </c>
      <c r="N83" s="8" t="s">
        <v>75</v>
      </c>
      <c r="O83" s="8" t="str">
        <f t="shared" si="49"/>
        <v>N/A</v>
      </c>
      <c r="P83" s="7">
        <f t="shared" si="50"/>
        <v>1279.0557648000001</v>
      </c>
      <c r="Q83" s="7">
        <f t="shared" si="43"/>
        <v>7560.0000000000009</v>
      </c>
      <c r="R83" s="7">
        <f t="shared" si="44"/>
        <v>490.00000000000006</v>
      </c>
      <c r="S83" s="7">
        <f t="shared" si="45"/>
        <v>1234.9503936000001</v>
      </c>
    </row>
    <row r="84" spans="3:19" ht="12">
      <c r="C84" s="366"/>
      <c r="D84" s="840">
        <f>'Payroll 19-20'!D84</f>
        <v>0</v>
      </c>
      <c r="E84" s="840">
        <f>'Payroll 19-20'!E84*(1+'Revenue Inputs'!O$27)</f>
        <v>0</v>
      </c>
      <c r="F84" s="828">
        <f>'Payroll 19-20'!F84*(1+$I$4)</f>
        <v>0</v>
      </c>
      <c r="G84" s="322">
        <f>'Payroll 19-20'!G84</f>
        <v>0</v>
      </c>
      <c r="H84" s="319">
        <f>'Payroll 19-20'!H84</f>
        <v>0</v>
      </c>
      <c r="I84" s="320">
        <f t="shared" si="37"/>
        <v>0</v>
      </c>
      <c r="J84" s="7">
        <f t="shared" si="46"/>
        <v>0</v>
      </c>
      <c r="K84" s="7">
        <f t="shared" ref="K84:K88" si="51">SUM(I84:J84)</f>
        <v>0</v>
      </c>
      <c r="L84" s="7"/>
      <c r="M84" s="7">
        <f t="shared" si="48"/>
        <v>0</v>
      </c>
      <c r="N84" s="8" t="s">
        <v>75</v>
      </c>
      <c r="O84" s="8" t="str">
        <f t="shared" si="49"/>
        <v>N/A</v>
      </c>
      <c r="P84" s="7">
        <f t="shared" si="50"/>
        <v>0</v>
      </c>
      <c r="Q84" s="7">
        <f t="shared" si="43"/>
        <v>0</v>
      </c>
      <c r="R84" s="7">
        <f t="shared" si="44"/>
        <v>0</v>
      </c>
      <c r="S84" s="7">
        <f t="shared" si="45"/>
        <v>0</v>
      </c>
    </row>
    <row r="85" spans="3:19" ht="12">
      <c r="C85" s="366"/>
      <c r="D85" s="840">
        <f>'Payroll 19-20'!D85</f>
        <v>0</v>
      </c>
      <c r="E85" s="840">
        <f>'Payroll 19-20'!E85*(1+'Revenue Inputs'!O$27)</f>
        <v>0</v>
      </c>
      <c r="F85" s="828">
        <f>'Payroll 19-20'!F85*(1+$I$4)</f>
        <v>0</v>
      </c>
      <c r="G85" s="322">
        <f>'Payroll 19-20'!G85</f>
        <v>0</v>
      </c>
      <c r="H85" s="319">
        <f>'Payroll 19-20'!H85</f>
        <v>0</v>
      </c>
      <c r="I85" s="320">
        <f t="shared" si="37"/>
        <v>0</v>
      </c>
      <c r="J85" s="7">
        <f t="shared" si="46"/>
        <v>0</v>
      </c>
      <c r="K85" s="7">
        <f t="shared" si="51"/>
        <v>0</v>
      </c>
      <c r="L85" s="7"/>
      <c r="M85" s="7">
        <f t="shared" si="48"/>
        <v>0</v>
      </c>
      <c r="N85" s="8" t="s">
        <v>75</v>
      </c>
      <c r="O85" s="8" t="str">
        <f t="shared" si="49"/>
        <v>N/A</v>
      </c>
      <c r="P85" s="7">
        <f t="shared" si="50"/>
        <v>0</v>
      </c>
      <c r="Q85" s="7">
        <f t="shared" si="43"/>
        <v>0</v>
      </c>
      <c r="R85" s="7">
        <f t="shared" si="44"/>
        <v>0</v>
      </c>
      <c r="S85" s="7">
        <f t="shared" si="45"/>
        <v>0</v>
      </c>
    </row>
    <row r="86" spans="3:19" ht="12">
      <c r="C86" s="366"/>
      <c r="D86" s="840">
        <f>'Payroll 19-20'!D86</f>
        <v>0</v>
      </c>
      <c r="E86" s="840">
        <f>'Payroll 19-20'!E86*(1+'Revenue Inputs'!O$27)</f>
        <v>0</v>
      </c>
      <c r="F86" s="828">
        <f>'Payroll 19-20'!F86*(1+$I$4)</f>
        <v>0</v>
      </c>
      <c r="G86" s="322">
        <f>'Payroll 19-20'!G86</f>
        <v>0</v>
      </c>
      <c r="H86" s="319">
        <f>'Payroll 19-20'!H86</f>
        <v>0</v>
      </c>
      <c r="I86" s="320">
        <f t="shared" si="37"/>
        <v>0</v>
      </c>
      <c r="J86" s="7">
        <f t="shared" si="46"/>
        <v>0</v>
      </c>
      <c r="K86" s="7">
        <f t="shared" si="51"/>
        <v>0</v>
      </c>
      <c r="L86" s="7"/>
      <c r="M86" s="7">
        <f t="shared" si="48"/>
        <v>0</v>
      </c>
      <c r="N86" s="8" t="s">
        <v>75</v>
      </c>
      <c r="O86" s="8" t="str">
        <f t="shared" si="49"/>
        <v>N/A</v>
      </c>
      <c r="P86" s="7">
        <f t="shared" si="50"/>
        <v>0</v>
      </c>
      <c r="Q86" s="7">
        <f t="shared" si="43"/>
        <v>0</v>
      </c>
      <c r="R86" s="7">
        <f t="shared" si="44"/>
        <v>0</v>
      </c>
      <c r="S86" s="7">
        <f t="shared" si="45"/>
        <v>0</v>
      </c>
    </row>
    <row r="87" spans="3:19" ht="12">
      <c r="C87" s="366"/>
      <c r="D87" s="840">
        <f>'Payroll 19-20'!D87</f>
        <v>0</v>
      </c>
      <c r="E87" s="840">
        <f>'Payroll 19-20'!E87*(1+'Revenue Inputs'!O$27)</f>
        <v>0</v>
      </c>
      <c r="F87" s="828">
        <f>'Payroll 19-20'!F87*(1+$I$4)</f>
        <v>0</v>
      </c>
      <c r="G87" s="322">
        <f>'Payroll 19-20'!G87</f>
        <v>0</v>
      </c>
      <c r="H87" s="319">
        <f>'Payroll 19-20'!H87</f>
        <v>0</v>
      </c>
      <c r="I87" s="320">
        <f t="shared" si="37"/>
        <v>0</v>
      </c>
      <c r="J87" s="7">
        <f t="shared" si="46"/>
        <v>0</v>
      </c>
      <c r="K87" s="7">
        <f t="shared" si="51"/>
        <v>0</v>
      </c>
      <c r="L87" s="7"/>
      <c r="M87" s="7">
        <f t="shared" si="48"/>
        <v>0</v>
      </c>
      <c r="N87" s="8" t="s">
        <v>75</v>
      </c>
      <c r="O87" s="8" t="str">
        <f t="shared" si="49"/>
        <v>N/A</v>
      </c>
      <c r="P87" s="7">
        <f t="shared" si="50"/>
        <v>0</v>
      </c>
      <c r="Q87" s="7">
        <f t="shared" si="43"/>
        <v>0</v>
      </c>
      <c r="R87" s="7">
        <f t="shared" si="44"/>
        <v>0</v>
      </c>
      <c r="S87" s="7">
        <f t="shared" si="45"/>
        <v>0</v>
      </c>
    </row>
    <row r="88" spans="3:19" ht="12">
      <c r="C88" s="366"/>
      <c r="D88" s="840">
        <f>'Payroll 19-20'!D88</f>
        <v>0</v>
      </c>
      <c r="E88" s="840">
        <f>'Payroll 19-20'!E88*(1+'Revenue Inputs'!O$27)</f>
        <v>0</v>
      </c>
      <c r="F88" s="828">
        <f>'Payroll 19-20'!F88*(1+$I$4)</f>
        <v>0</v>
      </c>
      <c r="G88" s="322">
        <f>'Payroll 19-20'!G88</f>
        <v>0</v>
      </c>
      <c r="H88" s="319">
        <f>'Payroll 19-20'!H88</f>
        <v>0</v>
      </c>
      <c r="I88" s="320">
        <f t="shared" si="37"/>
        <v>0</v>
      </c>
      <c r="J88" s="7">
        <f t="shared" si="46"/>
        <v>0</v>
      </c>
      <c r="K88" s="7">
        <f t="shared" si="51"/>
        <v>0</v>
      </c>
      <c r="L88" s="7"/>
      <c r="M88" s="7">
        <f t="shared" si="48"/>
        <v>0</v>
      </c>
      <c r="N88" s="8" t="s">
        <v>75</v>
      </c>
      <c r="O88" s="8" t="str">
        <f t="shared" si="49"/>
        <v>N/A</v>
      </c>
      <c r="P88" s="7">
        <f t="shared" si="50"/>
        <v>0</v>
      </c>
      <c r="Q88" s="7">
        <f t="shared" si="43"/>
        <v>0</v>
      </c>
      <c r="R88" s="7">
        <f t="shared" si="44"/>
        <v>0</v>
      </c>
      <c r="S88" s="7">
        <f t="shared" si="45"/>
        <v>0</v>
      </c>
    </row>
    <row r="89" spans="3:19">
      <c r="C89" s="34"/>
      <c r="D89" s="840">
        <f>'Payroll 19-20'!D89</f>
        <v>0</v>
      </c>
      <c r="E89" s="840">
        <f>'Payroll 19-20'!E89*(1+'Revenue Inputs'!O$27)</f>
        <v>0</v>
      </c>
      <c r="F89" s="828">
        <f>'Payroll 19-20'!F89*(1+$I$4)</f>
        <v>0</v>
      </c>
      <c r="G89" s="322">
        <f>'Payroll 19-20'!G89</f>
        <v>0</v>
      </c>
      <c r="H89" s="319">
        <f>'Payroll 19-20'!H89</f>
        <v>0</v>
      </c>
      <c r="I89" s="320">
        <f t="shared" si="37"/>
        <v>0</v>
      </c>
      <c r="J89" s="7">
        <f>SUM(M89:S89)</f>
        <v>0</v>
      </c>
      <c r="K89" s="7">
        <f>SUM(I89:J89)</f>
        <v>0</v>
      </c>
      <c r="M89" s="7">
        <f>I89*$M$5</f>
        <v>0</v>
      </c>
      <c r="N89" s="8" t="s">
        <v>75</v>
      </c>
      <c r="O89" s="8" t="str">
        <f>IF($M$5&gt;0,"N/A",$O$5*I89)</f>
        <v>N/A</v>
      </c>
      <c r="P89" s="7">
        <f>I89*$P$5</f>
        <v>0</v>
      </c>
      <c r="Q89" s="7">
        <f t="shared" si="43"/>
        <v>0</v>
      </c>
      <c r="R89" s="7">
        <f t="shared" si="44"/>
        <v>0</v>
      </c>
      <c r="S89" s="7">
        <f>S$5*$I89</f>
        <v>0</v>
      </c>
    </row>
    <row r="90" spans="3:19" ht="12">
      <c r="C90" s="367"/>
      <c r="D90" s="840">
        <f>'Payroll 19-20'!D90</f>
        <v>0</v>
      </c>
      <c r="E90" s="840">
        <f>'Payroll 19-20'!E90*(1+'Revenue Inputs'!O$27)</f>
        <v>0</v>
      </c>
      <c r="F90" s="828">
        <f>'Payroll 19-20'!F90*(1+$I$4)</f>
        <v>0</v>
      </c>
      <c r="G90" s="322">
        <f>'Payroll 19-20'!G90</f>
        <v>0</v>
      </c>
      <c r="H90" s="319">
        <f>'Payroll 19-20'!H90</f>
        <v>0</v>
      </c>
      <c r="I90" s="320">
        <f t="shared" si="37"/>
        <v>0</v>
      </c>
      <c r="J90" s="7">
        <f t="shared" si="38"/>
        <v>0</v>
      </c>
      <c r="K90" s="7">
        <f t="shared" si="39"/>
        <v>0</v>
      </c>
      <c r="L90" s="7"/>
      <c r="M90" s="7">
        <f t="shared" si="40"/>
        <v>0</v>
      </c>
      <c r="N90" s="8" t="s">
        <v>75</v>
      </c>
      <c r="O90" s="8" t="str">
        <f t="shared" si="41"/>
        <v>N/A</v>
      </c>
      <c r="P90" s="7">
        <f t="shared" si="42"/>
        <v>0</v>
      </c>
      <c r="Q90" s="7">
        <f t="shared" si="43"/>
        <v>0</v>
      </c>
      <c r="R90" s="7">
        <f t="shared" si="44"/>
        <v>0</v>
      </c>
      <c r="S90" s="7">
        <f t="shared" si="45"/>
        <v>0</v>
      </c>
    </row>
    <row r="91" spans="3:19" ht="12">
      <c r="C91" s="367"/>
      <c r="D91" s="840">
        <f>'Payroll 19-20'!D91</f>
        <v>0</v>
      </c>
      <c r="E91" s="840">
        <f>'Payroll 19-20'!E91*(1+'Revenue Inputs'!O$27)</f>
        <v>0</v>
      </c>
      <c r="F91" s="828">
        <f>'Payroll 19-20'!F91*(1+$I$4)</f>
        <v>0</v>
      </c>
      <c r="G91" s="322">
        <f>'Payroll 19-20'!G91</f>
        <v>0</v>
      </c>
      <c r="H91" s="319">
        <f>'Payroll 19-20'!H91</f>
        <v>0</v>
      </c>
      <c r="I91" s="320">
        <f t="shared" si="37"/>
        <v>0</v>
      </c>
      <c r="J91" s="7">
        <f t="shared" si="38"/>
        <v>0</v>
      </c>
      <c r="K91" s="7">
        <f t="shared" si="39"/>
        <v>0</v>
      </c>
      <c r="L91" s="7"/>
      <c r="M91" s="7">
        <f t="shared" si="40"/>
        <v>0</v>
      </c>
      <c r="N91" s="8" t="s">
        <v>75</v>
      </c>
      <c r="O91" s="8" t="str">
        <f t="shared" si="41"/>
        <v>N/A</v>
      </c>
      <c r="P91" s="7">
        <f t="shared" si="42"/>
        <v>0</v>
      </c>
      <c r="Q91" s="7">
        <f t="shared" si="43"/>
        <v>0</v>
      </c>
      <c r="R91" s="7">
        <f t="shared" si="44"/>
        <v>0</v>
      </c>
      <c r="S91" s="7">
        <f t="shared" si="45"/>
        <v>0</v>
      </c>
    </row>
    <row r="92" spans="3:19" ht="12">
      <c r="C92" s="366"/>
      <c r="D92" s="840">
        <f>'Payroll 19-20'!D92</f>
        <v>0</v>
      </c>
      <c r="E92" s="840">
        <f>'Payroll 19-20'!E92*(1+'Revenue Inputs'!O$27)</f>
        <v>0</v>
      </c>
      <c r="F92" s="828">
        <f>'Payroll 19-20'!F92*(1+$I$4)</f>
        <v>0</v>
      </c>
      <c r="G92" s="322">
        <f>'Payroll 19-20'!G92</f>
        <v>0</v>
      </c>
      <c r="H92" s="319">
        <f>'Payroll 19-20'!H92</f>
        <v>0</v>
      </c>
      <c r="I92" s="320">
        <f t="shared" si="37"/>
        <v>0</v>
      </c>
      <c r="J92" s="7">
        <f t="shared" si="38"/>
        <v>0</v>
      </c>
      <c r="K92" s="7">
        <f t="shared" si="39"/>
        <v>0</v>
      </c>
      <c r="L92" s="7"/>
      <c r="M92" s="7">
        <f t="shared" si="40"/>
        <v>0</v>
      </c>
      <c r="N92" s="8" t="s">
        <v>75</v>
      </c>
      <c r="O92" s="8" t="str">
        <f t="shared" si="41"/>
        <v>N/A</v>
      </c>
      <c r="P92" s="7">
        <f t="shared" si="42"/>
        <v>0</v>
      </c>
      <c r="Q92" s="7">
        <f t="shared" si="43"/>
        <v>0</v>
      </c>
      <c r="R92" s="7">
        <f t="shared" si="44"/>
        <v>0</v>
      </c>
      <c r="S92" s="7">
        <f t="shared" si="45"/>
        <v>0</v>
      </c>
    </row>
    <row r="93" spans="3:19" ht="12">
      <c r="C93" s="366"/>
      <c r="D93" s="840">
        <f>'Payroll 19-20'!D93</f>
        <v>0</v>
      </c>
      <c r="E93" s="840">
        <f>'Payroll 19-20'!E93*(1+'Revenue Inputs'!O$27)</f>
        <v>0</v>
      </c>
      <c r="F93" s="828">
        <f>'Payroll 19-20'!F93*(1+$I$4)</f>
        <v>0</v>
      </c>
      <c r="G93" s="322">
        <f>'Payroll 19-20'!G93</f>
        <v>0</v>
      </c>
      <c r="H93" s="319">
        <f>'Payroll 19-20'!H93</f>
        <v>0</v>
      </c>
      <c r="I93" s="320">
        <f t="shared" si="37"/>
        <v>0</v>
      </c>
      <c r="J93" s="7">
        <f t="shared" si="38"/>
        <v>0</v>
      </c>
      <c r="K93" s="7">
        <f t="shared" si="39"/>
        <v>0</v>
      </c>
      <c r="L93" s="7"/>
      <c r="M93" s="7">
        <f t="shared" si="40"/>
        <v>0</v>
      </c>
      <c r="N93" s="8" t="s">
        <v>75</v>
      </c>
      <c r="O93" s="8" t="str">
        <f t="shared" si="41"/>
        <v>N/A</v>
      </c>
      <c r="P93" s="7">
        <f t="shared" si="42"/>
        <v>0</v>
      </c>
      <c r="Q93" s="7">
        <f t="shared" si="43"/>
        <v>0</v>
      </c>
      <c r="R93" s="7">
        <f t="shared" si="44"/>
        <v>0</v>
      </c>
      <c r="S93" s="7">
        <f t="shared" si="45"/>
        <v>0</v>
      </c>
    </row>
    <row r="94" spans="3:19" ht="12">
      <c r="C94" s="366"/>
      <c r="D94" s="840">
        <f>'Payroll 19-20'!D94</f>
        <v>0</v>
      </c>
      <c r="E94" s="840">
        <f>'Payroll 19-20'!E94*(1+'Revenue Inputs'!O$27)</f>
        <v>0</v>
      </c>
      <c r="F94" s="828">
        <f>'Payroll 19-20'!F94*(1+$I$4)</f>
        <v>0</v>
      </c>
      <c r="G94" s="322">
        <f>'Payroll 19-20'!G94</f>
        <v>0</v>
      </c>
      <c r="H94" s="319">
        <f>'Payroll 19-20'!H94</f>
        <v>0</v>
      </c>
      <c r="I94" s="320">
        <f t="shared" si="37"/>
        <v>0</v>
      </c>
      <c r="J94" s="7">
        <f t="shared" si="38"/>
        <v>0</v>
      </c>
      <c r="K94" s="7">
        <f t="shared" ref="K94:K98" si="52">SUM(I94:J94)</f>
        <v>0</v>
      </c>
      <c r="L94" s="7"/>
      <c r="M94" s="7">
        <f t="shared" si="40"/>
        <v>0</v>
      </c>
      <c r="N94" s="8" t="s">
        <v>75</v>
      </c>
      <c r="O94" s="8" t="str">
        <f t="shared" si="41"/>
        <v>N/A</v>
      </c>
      <c r="P94" s="7">
        <f t="shared" si="42"/>
        <v>0</v>
      </c>
      <c r="Q94" s="7">
        <f t="shared" si="43"/>
        <v>0</v>
      </c>
      <c r="R94" s="7">
        <f t="shared" si="44"/>
        <v>0</v>
      </c>
      <c r="S94" s="7">
        <f t="shared" si="45"/>
        <v>0</v>
      </c>
    </row>
    <row r="95" spans="3:19" ht="12">
      <c r="C95" s="366"/>
      <c r="D95" s="840">
        <f>'Payroll 19-20'!D95</f>
        <v>0</v>
      </c>
      <c r="E95" s="840">
        <f>'Payroll 19-20'!E95*(1+'Revenue Inputs'!O$27)</f>
        <v>0</v>
      </c>
      <c r="F95" s="828">
        <f>'Payroll 19-20'!F95*(1+$I$4)</f>
        <v>0</v>
      </c>
      <c r="G95" s="322">
        <f>'Payroll 19-20'!G95</f>
        <v>0</v>
      </c>
      <c r="H95" s="319">
        <f>'Payroll 19-20'!H95</f>
        <v>0</v>
      </c>
      <c r="I95" s="320">
        <f t="shared" si="37"/>
        <v>0</v>
      </c>
      <c r="J95" s="7">
        <f t="shared" si="38"/>
        <v>0</v>
      </c>
      <c r="K95" s="7">
        <f t="shared" si="52"/>
        <v>0</v>
      </c>
      <c r="L95" s="7"/>
      <c r="M95" s="7">
        <f t="shared" si="40"/>
        <v>0</v>
      </c>
      <c r="N95" s="8" t="s">
        <v>75</v>
      </c>
      <c r="O95" s="8" t="str">
        <f t="shared" si="41"/>
        <v>N/A</v>
      </c>
      <c r="P95" s="7">
        <f t="shared" si="42"/>
        <v>0</v>
      </c>
      <c r="Q95" s="7">
        <f t="shared" si="43"/>
        <v>0</v>
      </c>
      <c r="R95" s="7">
        <f t="shared" si="44"/>
        <v>0</v>
      </c>
      <c r="S95" s="7">
        <f t="shared" si="45"/>
        <v>0</v>
      </c>
    </row>
    <row r="96" spans="3:19" ht="12">
      <c r="C96" s="366"/>
      <c r="D96" s="840">
        <f>'Payroll 19-20'!D96</f>
        <v>0</v>
      </c>
      <c r="E96" s="840">
        <f>'Payroll 19-20'!E96*(1+'Revenue Inputs'!O$27)</f>
        <v>0</v>
      </c>
      <c r="F96" s="828">
        <f>'Payroll 19-20'!F96*(1+$I$4)</f>
        <v>0</v>
      </c>
      <c r="G96" s="322">
        <f>'Payroll 19-20'!G96</f>
        <v>0</v>
      </c>
      <c r="H96" s="319">
        <f>'Payroll 19-20'!H96</f>
        <v>0</v>
      </c>
      <c r="I96" s="320">
        <f t="shared" si="37"/>
        <v>0</v>
      </c>
      <c r="J96" s="7">
        <f t="shared" si="38"/>
        <v>0</v>
      </c>
      <c r="K96" s="7">
        <f t="shared" si="52"/>
        <v>0</v>
      </c>
      <c r="L96" s="7"/>
      <c r="M96" s="7">
        <f t="shared" si="40"/>
        <v>0</v>
      </c>
      <c r="N96" s="8" t="s">
        <v>75</v>
      </c>
      <c r="O96" s="8" t="str">
        <f t="shared" si="41"/>
        <v>N/A</v>
      </c>
      <c r="P96" s="7">
        <f t="shared" si="42"/>
        <v>0</v>
      </c>
      <c r="Q96" s="7">
        <f t="shared" si="43"/>
        <v>0</v>
      </c>
      <c r="R96" s="7">
        <f t="shared" si="44"/>
        <v>0</v>
      </c>
      <c r="S96" s="7">
        <f t="shared" si="45"/>
        <v>0</v>
      </c>
    </row>
    <row r="97" spans="3:19" ht="12">
      <c r="C97" s="366"/>
      <c r="D97" s="840">
        <f>'Payroll 19-20'!D97</f>
        <v>0</v>
      </c>
      <c r="E97" s="840">
        <f>'Payroll 19-20'!E97*(1+'Revenue Inputs'!O$27)</f>
        <v>0</v>
      </c>
      <c r="F97" s="828">
        <f>'Payroll 19-20'!F97*(1+$I$4)</f>
        <v>0</v>
      </c>
      <c r="G97" s="322">
        <f>'Payroll 19-20'!G97</f>
        <v>0</v>
      </c>
      <c r="H97" s="319">
        <f>'Payroll 19-20'!H97</f>
        <v>0</v>
      </c>
      <c r="I97" s="320">
        <f t="shared" si="37"/>
        <v>0</v>
      </c>
      <c r="J97" s="7">
        <f t="shared" si="38"/>
        <v>0</v>
      </c>
      <c r="K97" s="7">
        <f t="shared" si="52"/>
        <v>0</v>
      </c>
      <c r="L97" s="7"/>
      <c r="M97" s="7">
        <f t="shared" si="40"/>
        <v>0</v>
      </c>
      <c r="N97" s="8" t="s">
        <v>75</v>
      </c>
      <c r="O97" s="8" t="str">
        <f t="shared" si="41"/>
        <v>N/A</v>
      </c>
      <c r="P97" s="7">
        <f t="shared" si="42"/>
        <v>0</v>
      </c>
      <c r="Q97" s="7">
        <f t="shared" si="43"/>
        <v>0</v>
      </c>
      <c r="R97" s="7">
        <f t="shared" si="44"/>
        <v>0</v>
      </c>
      <c r="S97" s="7">
        <f t="shared" si="45"/>
        <v>0</v>
      </c>
    </row>
    <row r="98" spans="3:19" ht="12">
      <c r="C98" s="366"/>
      <c r="D98" s="840">
        <f>'Payroll 19-20'!D98</f>
        <v>0</v>
      </c>
      <c r="E98" s="840">
        <f>'Payroll 19-20'!E98*(1+'Revenue Inputs'!O$27)</f>
        <v>0</v>
      </c>
      <c r="F98" s="828">
        <f>'Payroll 19-20'!F98*(1+$I$4)</f>
        <v>0</v>
      </c>
      <c r="G98" s="322">
        <f>'Payroll 19-20'!G98</f>
        <v>0</v>
      </c>
      <c r="H98" s="319">
        <f>'Payroll 19-20'!H98</f>
        <v>0</v>
      </c>
      <c r="I98" s="320">
        <f t="shared" si="37"/>
        <v>0</v>
      </c>
      <c r="J98" s="7">
        <f t="shared" si="38"/>
        <v>0</v>
      </c>
      <c r="K98" s="7">
        <f t="shared" si="52"/>
        <v>0</v>
      </c>
      <c r="L98" s="7"/>
      <c r="M98" s="7">
        <f t="shared" si="40"/>
        <v>0</v>
      </c>
      <c r="N98" s="8" t="s">
        <v>75</v>
      </c>
      <c r="O98" s="8" t="str">
        <f t="shared" si="41"/>
        <v>N/A</v>
      </c>
      <c r="P98" s="7">
        <f t="shared" si="42"/>
        <v>0</v>
      </c>
      <c r="Q98" s="7">
        <f t="shared" si="43"/>
        <v>0</v>
      </c>
      <c r="R98" s="7">
        <f t="shared" si="44"/>
        <v>0</v>
      </c>
      <c r="S98" s="7">
        <f t="shared" si="45"/>
        <v>0</v>
      </c>
    </row>
    <row r="99" spans="3:19" ht="13" thickBot="1">
      <c r="C99" s="368"/>
      <c r="D99" s="841"/>
      <c r="E99" s="841"/>
      <c r="F99" s="841"/>
      <c r="G99" s="28"/>
      <c r="H99" s="427"/>
      <c r="I99" s="337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3:19" s="41" customFormat="1" ht="13" thickBot="1">
      <c r="C100" s="368"/>
      <c r="D100" s="834"/>
      <c r="E100" s="847"/>
      <c r="F100" s="834"/>
      <c r="G100" s="49"/>
      <c r="H100" s="333">
        <v>1200</v>
      </c>
      <c r="I100" s="10">
        <f>SUM(I78:I99)</f>
        <v>164819.06640000001</v>
      </c>
      <c r="J100" s="10">
        <f>SUM(J78:J99)</f>
        <v>59174.051610000002</v>
      </c>
      <c r="K100" s="10">
        <f>SUM(K78:K99)</f>
        <v>223993.11801000001</v>
      </c>
      <c r="L100" s="11"/>
      <c r="M100" s="10">
        <f t="shared" ref="M100:S100" si="53">SUM(M78:M99)</f>
        <v>30326.7082176</v>
      </c>
      <c r="N100" s="10">
        <f t="shared" si="53"/>
        <v>0</v>
      </c>
      <c r="O100" s="10">
        <f t="shared" si="53"/>
        <v>0</v>
      </c>
      <c r="P100" s="10">
        <f t="shared" si="53"/>
        <v>2389.8764627999999</v>
      </c>
      <c r="Q100" s="10">
        <f t="shared" si="53"/>
        <v>22680.000000000004</v>
      </c>
      <c r="R100" s="10">
        <f t="shared" si="53"/>
        <v>1470.0000000000002</v>
      </c>
      <c r="S100" s="10">
        <f t="shared" si="53"/>
        <v>2307.4669296000002</v>
      </c>
    </row>
    <row r="101" spans="3:19" ht="12">
      <c r="C101" s="366" t="s">
        <v>18</v>
      </c>
      <c r="D101" s="835"/>
      <c r="E101" s="848"/>
      <c r="F101" s="835"/>
      <c r="G101" s="28"/>
      <c r="H101" s="35"/>
      <c r="I101" s="7"/>
      <c r="J101" s="7"/>
      <c r="K101" s="7"/>
      <c r="L101" s="7"/>
      <c r="M101" s="36"/>
      <c r="N101" s="36"/>
      <c r="O101" s="36"/>
      <c r="P101" s="36"/>
      <c r="Q101" s="36"/>
      <c r="R101" s="36"/>
      <c r="S101" s="36"/>
    </row>
    <row r="102" spans="3:19" ht="12">
      <c r="C102" s="366"/>
      <c r="D102" s="840" t="str">
        <f>'Payroll 19-20'!D102</f>
        <v>Chantelle Crespo</v>
      </c>
      <c r="E102" s="840">
        <f>'Payroll 19-20'!E102*(1+'Revenue Inputs'!O$27)</f>
        <v>1</v>
      </c>
      <c r="F102" s="828">
        <f>'Payroll 19-20'!F102*(1+$I$4)</f>
        <v>86700.081600000005</v>
      </c>
      <c r="G102" s="322">
        <f>'Payroll 19-20'!G102</f>
        <v>12</v>
      </c>
      <c r="H102" s="319" t="str">
        <f>'Payroll 19-20'!H102</f>
        <v>y</v>
      </c>
      <c r="I102" s="320">
        <f t="shared" ref="I102:I120" si="54">F102*E102</f>
        <v>86700.081600000005</v>
      </c>
      <c r="J102" s="7">
        <f t="shared" ref="J102:J120" si="55">SUM(M102:S102)</f>
        <v>26473.767340000002</v>
      </c>
      <c r="K102" s="7">
        <f t="shared" ref="K102:K120" si="56">SUM(I102:J102)</f>
        <v>113173.84894000001</v>
      </c>
      <c r="L102" s="7"/>
      <c r="M102" s="7">
        <f t="shared" ref="M102:M120" si="57">I102*$M$5</f>
        <v>15952.815014400001</v>
      </c>
      <c r="N102" s="8" t="s">
        <v>75</v>
      </c>
      <c r="O102" s="8" t="str">
        <f t="shared" ref="O102:O120" si="58">IF($M$5&gt;0,"N/A",$O$5*I102)</f>
        <v>N/A</v>
      </c>
      <c r="P102" s="7">
        <f t="shared" ref="P102:P120" si="59">I102*$P$5</f>
        <v>1257.1511832000001</v>
      </c>
      <c r="Q102" s="7">
        <f t="shared" ref="Q102:Q120" si="60">IF(H102="y", $Q$5*E102, 0)</f>
        <v>7560.0000000000009</v>
      </c>
      <c r="R102" s="7">
        <f t="shared" ref="R102:R120" si="61">IF($I102&gt;7000,7000*R$5,$I102*R$5)*E102</f>
        <v>490.00000000000006</v>
      </c>
      <c r="S102" s="7">
        <f t="shared" ref="S102:S120" si="62">S$5*$I102</f>
        <v>1213.8011424000001</v>
      </c>
    </row>
    <row r="103" spans="3:19" ht="12">
      <c r="C103" s="366"/>
      <c r="D103" s="840" t="str">
        <f>'Payroll 19-20'!D103</f>
        <v>Charlotte Hodgson</v>
      </c>
      <c r="E103" s="840">
        <f>'Payroll 19-20'!E103*(1+'Revenue Inputs'!O$27)</f>
        <v>1</v>
      </c>
      <c r="F103" s="828">
        <f>'Payroll 19-20'!F103*(1+$I$4)</f>
        <v>86700.081600000005</v>
      </c>
      <c r="G103" s="322">
        <f>'Payroll 19-20'!G103</f>
        <v>12</v>
      </c>
      <c r="H103" s="319" t="str">
        <f>'Payroll 19-20'!H103</f>
        <v>y</v>
      </c>
      <c r="I103" s="320">
        <f t="shared" si="54"/>
        <v>86700.081600000005</v>
      </c>
      <c r="J103" s="7">
        <f t="shared" ref="J103:J111" si="63">SUM(M103:S103)</f>
        <v>26473.767340000002</v>
      </c>
      <c r="K103" s="7">
        <f t="shared" ref="K103:K111" si="64">SUM(I103:J103)</f>
        <v>113173.84894000001</v>
      </c>
      <c r="L103" s="7"/>
      <c r="M103" s="7">
        <f t="shared" ref="M103:M111" si="65">I103*$M$5</f>
        <v>15952.815014400001</v>
      </c>
      <c r="N103" s="8" t="s">
        <v>75</v>
      </c>
      <c r="O103" s="8" t="str">
        <f t="shared" ref="O103:O111" si="66">IF($M$5&gt;0,"N/A",$O$5*I103)</f>
        <v>N/A</v>
      </c>
      <c r="P103" s="7">
        <f t="shared" ref="P103:P111" si="67">I103*$P$5</f>
        <v>1257.1511832000001</v>
      </c>
      <c r="Q103" s="7">
        <f t="shared" si="60"/>
        <v>7560.0000000000009</v>
      </c>
      <c r="R103" s="7">
        <f t="shared" si="61"/>
        <v>490.00000000000006</v>
      </c>
      <c r="S103" s="7">
        <f t="shared" si="62"/>
        <v>1213.8011424000001</v>
      </c>
    </row>
    <row r="104" spans="3:19" ht="12">
      <c r="C104" s="366"/>
      <c r="D104" s="840" t="str">
        <f>'Payroll 19-20'!D104</f>
        <v>Diane Beran</v>
      </c>
      <c r="E104" s="840">
        <f>'Payroll 19-20'!E104*(1+'Revenue Inputs'!O$27)</f>
        <v>1</v>
      </c>
      <c r="F104" s="828">
        <f>'Payroll 19-20'!F104*(1+$I$4)</f>
        <v>89760</v>
      </c>
      <c r="G104" s="322">
        <f>'Payroll 19-20'!G104</f>
        <v>12</v>
      </c>
      <c r="H104" s="319" t="str">
        <f>'Payroll 19-20'!H104</f>
        <v>y</v>
      </c>
      <c r="I104" s="320">
        <f t="shared" si="54"/>
        <v>89760</v>
      </c>
      <c r="J104" s="7">
        <f t="shared" si="63"/>
        <v>27124</v>
      </c>
      <c r="K104" s="7">
        <f t="shared" si="64"/>
        <v>116884</v>
      </c>
      <c r="L104" s="7"/>
      <c r="M104" s="7">
        <f t="shared" si="65"/>
        <v>16515.84</v>
      </c>
      <c r="N104" s="8" t="s">
        <v>75</v>
      </c>
      <c r="O104" s="8" t="str">
        <f t="shared" si="66"/>
        <v>N/A</v>
      </c>
      <c r="P104" s="7">
        <f t="shared" si="67"/>
        <v>1301.52</v>
      </c>
      <c r="Q104" s="7">
        <f t="shared" si="60"/>
        <v>7560.0000000000009</v>
      </c>
      <c r="R104" s="7">
        <f t="shared" si="61"/>
        <v>490.00000000000006</v>
      </c>
      <c r="S104" s="7">
        <f t="shared" si="62"/>
        <v>1256.6400000000001</v>
      </c>
    </row>
    <row r="105" spans="3:19" ht="12">
      <c r="C105" s="366"/>
      <c r="D105" s="840" t="str">
        <f>'Payroll 19-20'!D105</f>
        <v>Jenny Fazio</v>
      </c>
      <c r="E105" s="840">
        <f>'Payroll 19-20'!E105*(1+'Revenue Inputs'!O$27)</f>
        <v>1</v>
      </c>
      <c r="F105" s="828">
        <f>'Payroll 19-20'!F105*(1+$I$4)</f>
        <v>115258.98</v>
      </c>
      <c r="G105" s="322">
        <f>'Payroll 19-20'!G105</f>
        <v>12</v>
      </c>
      <c r="H105" s="319" t="str">
        <f>'Payroll 19-20'!H105</f>
        <v>y</v>
      </c>
      <c r="I105" s="320">
        <f t="shared" si="54"/>
        <v>115258.98</v>
      </c>
      <c r="J105" s="7">
        <f t="shared" si="63"/>
        <v>32542.533249999997</v>
      </c>
      <c r="K105" s="7">
        <f t="shared" si="64"/>
        <v>147801.51324999999</v>
      </c>
      <c r="L105" s="7"/>
      <c r="M105" s="7">
        <f t="shared" si="65"/>
        <v>21207.652319999997</v>
      </c>
      <c r="N105" s="8" t="s">
        <v>75</v>
      </c>
      <c r="O105" s="8" t="str">
        <f t="shared" si="66"/>
        <v>N/A</v>
      </c>
      <c r="P105" s="7">
        <f t="shared" si="67"/>
        <v>1671.25521</v>
      </c>
      <c r="Q105" s="7">
        <f t="shared" si="60"/>
        <v>7560.0000000000009</v>
      </c>
      <c r="R105" s="7">
        <f t="shared" si="61"/>
        <v>490.00000000000006</v>
      </c>
      <c r="S105" s="7">
        <f t="shared" si="62"/>
        <v>1613.62572</v>
      </c>
    </row>
    <row r="106" spans="3:19" ht="12">
      <c r="C106" s="368"/>
      <c r="D106" s="1027" t="str">
        <f>'Payroll 19-20'!D106</f>
        <v>Celia N. Ewing</v>
      </c>
      <c r="E106" s="1027">
        <f>'Payroll 19-20'!E106*(1+'Revenue Inputs'!O$27)</f>
        <v>1</v>
      </c>
      <c r="F106" s="1022">
        <v>58240</v>
      </c>
      <c r="G106" s="1023">
        <f>'Payroll 19-20'!G106</f>
        <v>12</v>
      </c>
      <c r="H106" s="1024" t="str">
        <f>'Payroll 19-20'!H106</f>
        <v>y</v>
      </c>
      <c r="I106" s="1025">
        <f t="shared" si="54"/>
        <v>58240</v>
      </c>
      <c r="J106" s="7">
        <f t="shared" si="63"/>
        <v>20426</v>
      </c>
      <c r="K106" s="7">
        <f t="shared" si="64"/>
        <v>78666</v>
      </c>
      <c r="L106" s="7"/>
      <c r="M106" s="7">
        <f t="shared" si="65"/>
        <v>10716.16</v>
      </c>
      <c r="N106" s="8" t="s">
        <v>75</v>
      </c>
      <c r="O106" s="8" t="str">
        <f t="shared" si="66"/>
        <v>N/A</v>
      </c>
      <c r="P106" s="7">
        <f t="shared" si="67"/>
        <v>844.48</v>
      </c>
      <c r="Q106" s="7">
        <f t="shared" si="60"/>
        <v>7560.0000000000009</v>
      </c>
      <c r="R106" s="7">
        <f t="shared" si="61"/>
        <v>490.00000000000006</v>
      </c>
      <c r="S106" s="7">
        <f t="shared" si="62"/>
        <v>815.36</v>
      </c>
    </row>
    <row r="107" spans="3:19" ht="12">
      <c r="C107" s="366"/>
      <c r="D107" s="840" t="str">
        <f>'Payroll 19-20'!D107</f>
        <v>Jessica L. Ronquillo</v>
      </c>
      <c r="E107" s="840">
        <f>'Payroll 19-20'!E107*(1+'Revenue Inputs'!O$27)</f>
        <v>1</v>
      </c>
      <c r="F107" s="828">
        <f>'Payroll 19-20'!F107*(1+$I$4)</f>
        <v>115258.98</v>
      </c>
      <c r="G107" s="322">
        <f>'Payroll 19-20'!G107</f>
        <v>12</v>
      </c>
      <c r="H107" s="319" t="str">
        <f>'Payroll 19-20'!H107</f>
        <v>y</v>
      </c>
      <c r="I107" s="320">
        <f t="shared" si="54"/>
        <v>115258.98</v>
      </c>
      <c r="J107" s="7">
        <f t="shared" si="63"/>
        <v>32542.533249999997</v>
      </c>
      <c r="K107" s="7">
        <f t="shared" si="64"/>
        <v>147801.51324999999</v>
      </c>
      <c r="L107" s="7"/>
      <c r="M107" s="7">
        <f t="shared" si="65"/>
        <v>21207.652319999997</v>
      </c>
      <c r="N107" s="8" t="s">
        <v>75</v>
      </c>
      <c r="O107" s="8" t="str">
        <f t="shared" si="66"/>
        <v>N/A</v>
      </c>
      <c r="P107" s="7">
        <f t="shared" si="67"/>
        <v>1671.25521</v>
      </c>
      <c r="Q107" s="7">
        <f t="shared" si="60"/>
        <v>7560.0000000000009</v>
      </c>
      <c r="R107" s="7">
        <f t="shared" si="61"/>
        <v>490.00000000000006</v>
      </c>
      <c r="S107" s="7">
        <f t="shared" si="62"/>
        <v>1613.62572</v>
      </c>
    </row>
    <row r="108" spans="3:19" ht="12">
      <c r="C108" s="366"/>
      <c r="D108" s="840" t="str">
        <f>'Payroll 19-20'!D108</f>
        <v>Rupinder Boyd</v>
      </c>
      <c r="E108" s="840">
        <f>'Payroll 19-20'!E108*(1+'Revenue Inputs'!O$27)</f>
        <v>1</v>
      </c>
      <c r="F108" s="828">
        <f>'Payroll 19-20'!F108*(1+$I$4)</f>
        <v>56100</v>
      </c>
      <c r="G108" s="322">
        <f>'Payroll 19-20'!G108</f>
        <v>12</v>
      </c>
      <c r="H108" s="319" t="str">
        <f>'Payroll 19-20'!H108</f>
        <v>y</v>
      </c>
      <c r="I108" s="320">
        <f t="shared" si="54"/>
        <v>56100</v>
      </c>
      <c r="J108" s="7">
        <f t="shared" si="63"/>
        <v>19971.250000000004</v>
      </c>
      <c r="K108" s="7">
        <f t="shared" si="64"/>
        <v>76071.25</v>
      </c>
      <c r="L108" s="7"/>
      <c r="M108" s="7">
        <f t="shared" si="65"/>
        <v>10322.4</v>
      </c>
      <c r="N108" s="8" t="s">
        <v>75</v>
      </c>
      <c r="O108" s="8" t="str">
        <f t="shared" si="66"/>
        <v>N/A</v>
      </c>
      <c r="P108" s="7">
        <f t="shared" si="67"/>
        <v>813.45</v>
      </c>
      <c r="Q108" s="7">
        <f t="shared" si="60"/>
        <v>7560.0000000000009</v>
      </c>
      <c r="R108" s="7">
        <f t="shared" si="61"/>
        <v>490.00000000000006</v>
      </c>
      <c r="S108" s="7">
        <f t="shared" si="62"/>
        <v>785.4</v>
      </c>
    </row>
    <row r="109" spans="3:19" ht="12">
      <c r="C109" s="366"/>
      <c r="D109" s="840" t="str">
        <f>'Payroll 19-20'!D109</f>
        <v>Ana Mejia</v>
      </c>
      <c r="E109" s="840">
        <f>'Payroll 19-20'!E109*(1+'Revenue Inputs'!O$27)</f>
        <v>1</v>
      </c>
      <c r="F109" s="828">
        <f>'Payroll 19-20'!F109*(1+$I$4)</f>
        <v>138514.98000000001</v>
      </c>
      <c r="G109" s="322">
        <f>'Payroll 19-20'!G109</f>
        <v>12</v>
      </c>
      <c r="H109" s="319" t="str">
        <f>'Payroll 19-20'!H109</f>
        <v>y</v>
      </c>
      <c r="I109" s="320">
        <f t="shared" si="54"/>
        <v>138514.98000000001</v>
      </c>
      <c r="J109" s="7">
        <f t="shared" si="63"/>
        <v>37484.433250000002</v>
      </c>
      <c r="K109" s="7">
        <f t="shared" si="64"/>
        <v>175999.41325000001</v>
      </c>
      <c r="L109" s="7"/>
      <c r="M109" s="7">
        <f t="shared" si="65"/>
        <v>25486.75632</v>
      </c>
      <c r="N109" s="8" t="s">
        <v>75</v>
      </c>
      <c r="O109" s="8" t="str">
        <f t="shared" si="66"/>
        <v>N/A</v>
      </c>
      <c r="P109" s="7">
        <f t="shared" si="67"/>
        <v>2008.4672100000003</v>
      </c>
      <c r="Q109" s="7">
        <f t="shared" si="60"/>
        <v>7560.0000000000009</v>
      </c>
      <c r="R109" s="7">
        <f t="shared" si="61"/>
        <v>490.00000000000006</v>
      </c>
      <c r="S109" s="7">
        <f t="shared" si="62"/>
        <v>1939.2097200000003</v>
      </c>
    </row>
    <row r="110" spans="3:19" ht="12">
      <c r="C110" s="366"/>
      <c r="D110" s="840" t="str">
        <f>'Payroll 19-20'!D110</f>
        <v>Kristy N. Philips</v>
      </c>
      <c r="E110" s="840">
        <f>'Payroll 19-20'!E110*(1+'Revenue Inputs'!O$27)</f>
        <v>1</v>
      </c>
      <c r="F110" s="828">
        <f>'Payroll 19-20'!F110*(1+$I$4)</f>
        <v>144634.98000000001</v>
      </c>
      <c r="G110" s="322">
        <f>'Payroll 19-20'!G110</f>
        <v>12</v>
      </c>
      <c r="H110" s="319" t="str">
        <f>'Payroll 19-20'!H110</f>
        <v>y</v>
      </c>
      <c r="I110" s="320">
        <f t="shared" si="54"/>
        <v>144634.98000000001</v>
      </c>
      <c r="J110" s="7">
        <f t="shared" si="63"/>
        <v>38784.933250000002</v>
      </c>
      <c r="K110" s="7">
        <f t="shared" si="64"/>
        <v>183419.91325000001</v>
      </c>
      <c r="L110" s="7"/>
      <c r="M110" s="7">
        <f t="shared" si="65"/>
        <v>26612.836320000002</v>
      </c>
      <c r="N110" s="8" t="s">
        <v>75</v>
      </c>
      <c r="O110" s="8" t="str">
        <f t="shared" si="66"/>
        <v>N/A</v>
      </c>
      <c r="P110" s="7">
        <f t="shared" si="67"/>
        <v>2097.20721</v>
      </c>
      <c r="Q110" s="7">
        <f t="shared" si="60"/>
        <v>7560.0000000000009</v>
      </c>
      <c r="R110" s="7">
        <f t="shared" si="61"/>
        <v>490.00000000000006</v>
      </c>
      <c r="S110" s="7">
        <f t="shared" si="62"/>
        <v>2024.8897200000001</v>
      </c>
    </row>
    <row r="111" spans="3:19" ht="12">
      <c r="C111" s="368"/>
      <c r="D111" s="1027" t="str">
        <f>'Payroll 19-20'!D111</f>
        <v>Deborah J. Cruthers</v>
      </c>
      <c r="E111" s="1027">
        <f>'Payroll 19-20'!E111*(1+'Revenue Inputs'!O$27)</f>
        <v>1</v>
      </c>
      <c r="F111" s="1022">
        <v>58240</v>
      </c>
      <c r="G111" s="1023">
        <f>'Payroll 19-20'!G111</f>
        <v>12</v>
      </c>
      <c r="H111" s="1024" t="str">
        <f>'Payroll 19-20'!H111</f>
        <v>y</v>
      </c>
      <c r="I111" s="1025">
        <f t="shared" si="54"/>
        <v>58240</v>
      </c>
      <c r="J111" s="7">
        <f t="shared" si="63"/>
        <v>20426</v>
      </c>
      <c r="K111" s="7">
        <f t="shared" si="64"/>
        <v>78666</v>
      </c>
      <c r="L111" s="7"/>
      <c r="M111" s="7">
        <f t="shared" si="65"/>
        <v>10716.16</v>
      </c>
      <c r="N111" s="8" t="s">
        <v>75</v>
      </c>
      <c r="O111" s="8" t="str">
        <f t="shared" si="66"/>
        <v>N/A</v>
      </c>
      <c r="P111" s="7">
        <f t="shared" si="67"/>
        <v>844.48</v>
      </c>
      <c r="Q111" s="7">
        <f t="shared" si="60"/>
        <v>7560.0000000000009</v>
      </c>
      <c r="R111" s="7">
        <f t="shared" si="61"/>
        <v>490.00000000000006</v>
      </c>
      <c r="S111" s="7">
        <f t="shared" si="62"/>
        <v>815.36</v>
      </c>
    </row>
    <row r="112" spans="3:19" ht="12">
      <c r="C112" s="366"/>
      <c r="D112" s="840" t="str">
        <f>'Payroll 19-20'!D112</f>
        <v>Amy Thompson</v>
      </c>
      <c r="E112" s="840">
        <f>'Payroll 19-20'!E112*(1+'Revenue Inputs'!O$27)</f>
        <v>1</v>
      </c>
      <c r="F112" s="828">
        <f>'Payroll 19-20'!F112*(1+$I$4)</f>
        <v>126480</v>
      </c>
      <c r="G112" s="322">
        <f>'Payroll 19-20'!G112</f>
        <v>12</v>
      </c>
      <c r="H112" s="319" t="str">
        <f>'Payroll 19-20'!H112</f>
        <v>y</v>
      </c>
      <c r="I112" s="320">
        <f t="shared" si="54"/>
        <v>126480</v>
      </c>
      <c r="J112" s="7">
        <f t="shared" si="55"/>
        <v>34927</v>
      </c>
      <c r="K112" s="7">
        <f t="shared" si="56"/>
        <v>161407</v>
      </c>
      <c r="L112" s="7"/>
      <c r="M112" s="7">
        <f t="shared" si="57"/>
        <v>23272.32</v>
      </c>
      <c r="N112" s="8" t="s">
        <v>75</v>
      </c>
      <c r="O112" s="8" t="str">
        <f t="shared" si="58"/>
        <v>N/A</v>
      </c>
      <c r="P112" s="7">
        <f t="shared" si="59"/>
        <v>1833.96</v>
      </c>
      <c r="Q112" s="7">
        <f t="shared" si="60"/>
        <v>7560.0000000000009</v>
      </c>
      <c r="R112" s="7">
        <f t="shared" si="61"/>
        <v>490.00000000000006</v>
      </c>
      <c r="S112" s="7">
        <f t="shared" si="62"/>
        <v>1770.72</v>
      </c>
    </row>
    <row r="113" spans="3:19" ht="12">
      <c r="C113" s="366"/>
      <c r="D113" s="840" t="str">
        <f>'Payroll 19-20'!D113</f>
        <v>Brook MacMillan</v>
      </c>
      <c r="E113" s="840">
        <f>'Payroll 19-20'!E113*(1+'Revenue Inputs'!O$27)</f>
        <v>1</v>
      </c>
      <c r="F113" s="828">
        <f>'Payroll 19-20'!F113*(1+$I$4)</f>
        <v>169524</v>
      </c>
      <c r="G113" s="322">
        <f>'Payroll 19-20'!G113</f>
        <v>12</v>
      </c>
      <c r="H113" s="319" t="str">
        <f>'Payroll 19-20'!H113</f>
        <v>y</v>
      </c>
      <c r="I113" s="320">
        <f t="shared" si="54"/>
        <v>169524</v>
      </c>
      <c r="J113" s="7">
        <f t="shared" si="55"/>
        <v>44073.850000000006</v>
      </c>
      <c r="K113" s="7">
        <f t="shared" si="56"/>
        <v>213597.85</v>
      </c>
      <c r="L113" s="7"/>
      <c r="M113" s="7">
        <f t="shared" si="57"/>
        <v>31192.416000000001</v>
      </c>
      <c r="N113" s="8" t="s">
        <v>75</v>
      </c>
      <c r="O113" s="8" t="str">
        <f t="shared" si="58"/>
        <v>N/A</v>
      </c>
      <c r="P113" s="7">
        <f t="shared" si="59"/>
        <v>2458.098</v>
      </c>
      <c r="Q113" s="7">
        <f t="shared" si="60"/>
        <v>7560.0000000000009</v>
      </c>
      <c r="R113" s="7">
        <f t="shared" si="61"/>
        <v>490.00000000000006</v>
      </c>
      <c r="S113" s="7">
        <f t="shared" si="62"/>
        <v>2373.3360000000002</v>
      </c>
    </row>
    <row r="114" spans="3:19" ht="12">
      <c r="C114" s="366"/>
      <c r="D114" s="840" t="str">
        <f>'Payroll 19-20'!D114</f>
        <v>Anna Lindahl</v>
      </c>
      <c r="E114" s="840">
        <f>'Payroll 19-20'!E114*(1+'Revenue Inputs'!O$27)</f>
        <v>1</v>
      </c>
      <c r="F114" s="828">
        <f>'Payroll 19-20'!F114*(1+$I$4)</f>
        <v>56100</v>
      </c>
      <c r="G114" s="322">
        <f>'Payroll 19-20'!G114</f>
        <v>12</v>
      </c>
      <c r="H114" s="319" t="str">
        <f>'Payroll 19-20'!H114</f>
        <v>y</v>
      </c>
      <c r="I114" s="320">
        <f t="shared" si="54"/>
        <v>56100</v>
      </c>
      <c r="J114" s="7">
        <f t="shared" si="55"/>
        <v>23408.250000000004</v>
      </c>
      <c r="K114" s="7">
        <f t="shared" si="56"/>
        <v>79508.25</v>
      </c>
      <c r="L114" s="7"/>
      <c r="M114" s="7">
        <f t="shared" si="57"/>
        <v>10322.4</v>
      </c>
      <c r="N114" s="8" t="s">
        <v>75</v>
      </c>
      <c r="O114" s="8" t="str">
        <f t="shared" si="58"/>
        <v>N/A</v>
      </c>
      <c r="P114" s="7">
        <f t="shared" si="59"/>
        <v>813.45</v>
      </c>
      <c r="Q114" s="7">
        <f t="shared" si="60"/>
        <v>7560.0000000000009</v>
      </c>
      <c r="R114" s="7">
        <f>IF($I114&lt;7000,7000*R$5,$I114*R$5)*E114</f>
        <v>3927.0000000000005</v>
      </c>
      <c r="S114" s="7">
        <f t="shared" si="62"/>
        <v>785.4</v>
      </c>
    </row>
    <row r="115" spans="3:19" ht="12">
      <c r="C115" s="368"/>
      <c r="D115" s="840" t="str">
        <f>'Payroll 19-20'!D115</f>
        <v>Steven R. James</v>
      </c>
      <c r="E115" s="840">
        <f>'Payroll 19-20'!E115*(1+'Revenue Inputs'!O$27)</f>
        <v>1</v>
      </c>
      <c r="F115" s="828">
        <f>'Payroll 19-20'!F115*(1+$I$4)</f>
        <v>73937.759999999995</v>
      </c>
      <c r="G115" s="322">
        <f>'Payroll 19-20'!G115</f>
        <v>12</v>
      </c>
      <c r="H115" s="319" t="str">
        <f>'Payroll 19-20'!H115</f>
        <v>y</v>
      </c>
      <c r="I115" s="320">
        <f t="shared" si="54"/>
        <v>73937.759999999995</v>
      </c>
      <c r="J115" s="7">
        <f t="shared" si="55"/>
        <v>23761.773999999998</v>
      </c>
      <c r="K115" s="7">
        <f t="shared" si="56"/>
        <v>97699.533999999985</v>
      </c>
      <c r="L115" s="7"/>
      <c r="M115" s="7">
        <f t="shared" si="57"/>
        <v>13604.547839999999</v>
      </c>
      <c r="N115" s="8" t="s">
        <v>75</v>
      </c>
      <c r="O115" s="8" t="str">
        <f t="shared" si="58"/>
        <v>N/A</v>
      </c>
      <c r="P115" s="7">
        <f t="shared" si="59"/>
        <v>1072.09752</v>
      </c>
      <c r="Q115" s="7">
        <f t="shared" si="60"/>
        <v>7560.0000000000009</v>
      </c>
      <c r="R115" s="7">
        <f t="shared" si="61"/>
        <v>490.00000000000006</v>
      </c>
      <c r="S115" s="7">
        <f t="shared" si="62"/>
        <v>1035.1286399999999</v>
      </c>
    </row>
    <row r="116" spans="3:19" ht="12">
      <c r="C116" s="366"/>
      <c r="D116" s="840">
        <f>'Payroll 19-20'!D116</f>
        <v>0</v>
      </c>
      <c r="E116" s="840">
        <f>'Payroll 19-20'!E116*(1+'Revenue Inputs'!O$27)</f>
        <v>0</v>
      </c>
      <c r="F116" s="828">
        <f>'Payroll 19-20'!F116*(1+$I$4)</f>
        <v>0</v>
      </c>
      <c r="G116" s="322">
        <f>'Payroll 19-20'!G116</f>
        <v>0</v>
      </c>
      <c r="H116" s="319">
        <f>'Payroll 19-20'!H116</f>
        <v>0</v>
      </c>
      <c r="I116" s="320">
        <f t="shared" si="54"/>
        <v>0</v>
      </c>
      <c r="J116" s="7">
        <f t="shared" si="55"/>
        <v>0</v>
      </c>
      <c r="K116" s="7">
        <f t="shared" si="56"/>
        <v>0</v>
      </c>
      <c r="L116" s="7"/>
      <c r="M116" s="7">
        <f t="shared" si="57"/>
        <v>0</v>
      </c>
      <c r="N116" s="8" t="s">
        <v>75</v>
      </c>
      <c r="O116" s="8" t="str">
        <f t="shared" si="58"/>
        <v>N/A</v>
      </c>
      <c r="P116" s="7">
        <f t="shared" si="59"/>
        <v>0</v>
      </c>
      <c r="Q116" s="7">
        <f t="shared" si="60"/>
        <v>0</v>
      </c>
      <c r="R116" s="7">
        <f t="shared" si="61"/>
        <v>0</v>
      </c>
      <c r="S116" s="7">
        <f t="shared" si="62"/>
        <v>0</v>
      </c>
    </row>
    <row r="117" spans="3:19" ht="12">
      <c r="C117" s="366"/>
      <c r="D117" s="840">
        <f>'Payroll 19-20'!D117</f>
        <v>0</v>
      </c>
      <c r="E117" s="840">
        <f>'Payroll 19-20'!E117*(1+'Revenue Inputs'!O$27)</f>
        <v>0</v>
      </c>
      <c r="F117" s="828">
        <f>'Payroll 19-20'!F117*(1+$I$4)</f>
        <v>0</v>
      </c>
      <c r="G117" s="322">
        <f>'Payroll 19-20'!G117</f>
        <v>0</v>
      </c>
      <c r="H117" s="319">
        <f>'Payroll 19-20'!H117</f>
        <v>0</v>
      </c>
      <c r="I117" s="320">
        <f t="shared" si="54"/>
        <v>0</v>
      </c>
      <c r="J117" s="7">
        <f t="shared" si="55"/>
        <v>0</v>
      </c>
      <c r="K117" s="7">
        <f t="shared" si="56"/>
        <v>0</v>
      </c>
      <c r="L117" s="7"/>
      <c r="M117" s="7">
        <f t="shared" si="57"/>
        <v>0</v>
      </c>
      <c r="N117" s="8" t="s">
        <v>75</v>
      </c>
      <c r="O117" s="8" t="str">
        <f t="shared" si="58"/>
        <v>N/A</v>
      </c>
      <c r="P117" s="7">
        <f t="shared" si="59"/>
        <v>0</v>
      </c>
      <c r="Q117" s="7">
        <f t="shared" si="60"/>
        <v>0</v>
      </c>
      <c r="R117" s="7">
        <f t="shared" si="61"/>
        <v>0</v>
      </c>
      <c r="S117" s="7">
        <f t="shared" si="62"/>
        <v>0</v>
      </c>
    </row>
    <row r="118" spans="3:19" ht="12">
      <c r="C118" s="366"/>
      <c r="D118" s="840">
        <f>'Payroll 19-20'!D118</f>
        <v>0</v>
      </c>
      <c r="E118" s="840">
        <f>'Payroll 19-20'!E118*(1+'Revenue Inputs'!O$27)</f>
        <v>0</v>
      </c>
      <c r="F118" s="828">
        <f>'Payroll 19-20'!F118*(1+$I$4)</f>
        <v>0</v>
      </c>
      <c r="G118" s="322">
        <f>'Payroll 19-20'!G118</f>
        <v>0</v>
      </c>
      <c r="H118" s="319">
        <f>'Payroll 19-20'!H118</f>
        <v>0</v>
      </c>
      <c r="I118" s="320">
        <f t="shared" si="54"/>
        <v>0</v>
      </c>
      <c r="J118" s="7">
        <f t="shared" si="55"/>
        <v>0</v>
      </c>
      <c r="K118" s="7">
        <f t="shared" si="56"/>
        <v>0</v>
      </c>
      <c r="L118" s="7"/>
      <c r="M118" s="7">
        <f t="shared" si="57"/>
        <v>0</v>
      </c>
      <c r="N118" s="8" t="s">
        <v>75</v>
      </c>
      <c r="O118" s="8" t="str">
        <f t="shared" si="58"/>
        <v>N/A</v>
      </c>
      <c r="P118" s="7">
        <f t="shared" si="59"/>
        <v>0</v>
      </c>
      <c r="Q118" s="7">
        <f t="shared" si="60"/>
        <v>0</v>
      </c>
      <c r="R118" s="7">
        <f t="shared" si="61"/>
        <v>0</v>
      </c>
      <c r="S118" s="7">
        <f t="shared" si="62"/>
        <v>0</v>
      </c>
    </row>
    <row r="119" spans="3:19" ht="12">
      <c r="C119" s="366"/>
      <c r="D119" s="840">
        <f>'Payroll 19-20'!D119</f>
        <v>0</v>
      </c>
      <c r="E119" s="840">
        <f>'Payroll 19-20'!E119*(1+'Revenue Inputs'!O$27)</f>
        <v>0</v>
      </c>
      <c r="F119" s="828">
        <f>'Payroll 19-20'!F119*(1+$I$4)</f>
        <v>0</v>
      </c>
      <c r="G119" s="322">
        <f>'Payroll 19-20'!G119</f>
        <v>0</v>
      </c>
      <c r="H119" s="319">
        <f>'Payroll 19-20'!H119</f>
        <v>0</v>
      </c>
      <c r="I119" s="320">
        <f t="shared" si="54"/>
        <v>0</v>
      </c>
      <c r="J119" s="7">
        <f t="shared" si="55"/>
        <v>0</v>
      </c>
      <c r="K119" s="7">
        <f t="shared" si="56"/>
        <v>0</v>
      </c>
      <c r="L119" s="7"/>
      <c r="M119" s="7">
        <f t="shared" si="57"/>
        <v>0</v>
      </c>
      <c r="N119" s="8" t="s">
        <v>75</v>
      </c>
      <c r="O119" s="8" t="str">
        <f t="shared" si="58"/>
        <v>N/A</v>
      </c>
      <c r="P119" s="7">
        <f t="shared" si="59"/>
        <v>0</v>
      </c>
      <c r="Q119" s="7">
        <f t="shared" si="60"/>
        <v>0</v>
      </c>
      <c r="R119" s="7">
        <f t="shared" si="61"/>
        <v>0</v>
      </c>
      <c r="S119" s="7">
        <f t="shared" si="62"/>
        <v>0</v>
      </c>
    </row>
    <row r="120" spans="3:19" ht="12">
      <c r="C120" s="368"/>
      <c r="D120" s="840">
        <f>'Payroll 19-20'!D120</f>
        <v>0</v>
      </c>
      <c r="E120" s="840">
        <f>'Payroll 19-20'!E120*(1+'Revenue Inputs'!O$27)</f>
        <v>0</v>
      </c>
      <c r="F120" s="828">
        <f>'Payroll 19-20'!F120*(1+$I$4)</f>
        <v>0</v>
      </c>
      <c r="G120" s="322">
        <f>'Payroll 19-20'!G120</f>
        <v>0</v>
      </c>
      <c r="H120" s="319">
        <f>'Payroll 19-20'!H120</f>
        <v>0</v>
      </c>
      <c r="I120" s="320">
        <f t="shared" si="54"/>
        <v>0</v>
      </c>
      <c r="J120" s="7">
        <f t="shared" si="55"/>
        <v>0</v>
      </c>
      <c r="K120" s="7">
        <f t="shared" si="56"/>
        <v>0</v>
      </c>
      <c r="L120" s="7"/>
      <c r="M120" s="7">
        <f t="shared" si="57"/>
        <v>0</v>
      </c>
      <c r="N120" s="8" t="s">
        <v>75</v>
      </c>
      <c r="O120" s="8" t="str">
        <f t="shared" si="58"/>
        <v>N/A</v>
      </c>
      <c r="P120" s="7">
        <f t="shared" si="59"/>
        <v>0</v>
      </c>
      <c r="Q120" s="7">
        <f t="shared" si="60"/>
        <v>0</v>
      </c>
      <c r="R120" s="7">
        <f t="shared" si="61"/>
        <v>0</v>
      </c>
      <c r="S120" s="7">
        <f t="shared" si="62"/>
        <v>0</v>
      </c>
    </row>
    <row r="121" spans="3:19" ht="13" thickBot="1">
      <c r="C121" s="368"/>
      <c r="D121" s="841"/>
      <c r="E121" s="841"/>
      <c r="F121" s="841"/>
      <c r="G121" s="28"/>
      <c r="H121" s="427"/>
      <c r="I121" s="337"/>
      <c r="J121" s="40"/>
      <c r="K121" s="40"/>
      <c r="L121" s="40"/>
      <c r="M121" s="40"/>
      <c r="N121" s="40"/>
      <c r="O121" s="40"/>
      <c r="P121" s="40"/>
      <c r="Q121" s="40"/>
      <c r="R121" s="40"/>
      <c r="S121" s="40"/>
    </row>
    <row r="122" spans="3:19" s="41" customFormat="1" ht="13" thickBot="1">
      <c r="C122" s="368"/>
      <c r="D122" s="834"/>
      <c r="E122" s="847"/>
      <c r="F122" s="834"/>
      <c r="G122" s="49"/>
      <c r="H122" s="333">
        <v>1300</v>
      </c>
      <c r="I122" s="10">
        <f>SUM(I102:I121)</f>
        <v>1375449.8432</v>
      </c>
      <c r="J122" s="10">
        <f>SUM(J102:J121)</f>
        <v>408420.09167999995</v>
      </c>
      <c r="K122" s="10">
        <f>SUM(K102:K121)</f>
        <v>1783869.9348800001</v>
      </c>
      <c r="L122" s="11"/>
      <c r="M122" s="10">
        <f t="shared" ref="M122:S122" si="68">SUM(M102:M121)</f>
        <v>253082.77114879998</v>
      </c>
      <c r="N122" s="10">
        <f t="shared" si="68"/>
        <v>0</v>
      </c>
      <c r="O122" s="10">
        <f t="shared" si="68"/>
        <v>0</v>
      </c>
      <c r="P122" s="10">
        <f t="shared" si="68"/>
        <v>19944.022726399999</v>
      </c>
      <c r="Q122" s="10">
        <f t="shared" si="68"/>
        <v>105840.00000000001</v>
      </c>
      <c r="R122" s="10">
        <f t="shared" si="68"/>
        <v>10297.000000000002</v>
      </c>
      <c r="S122" s="10">
        <f t="shared" si="68"/>
        <v>19256.297804800004</v>
      </c>
    </row>
    <row r="123" spans="3:19" ht="12">
      <c r="C123" s="366" t="s">
        <v>19</v>
      </c>
      <c r="D123" s="835"/>
      <c r="E123" s="848"/>
      <c r="F123" s="835"/>
      <c r="G123" s="28"/>
      <c r="H123" s="35"/>
      <c r="I123" s="7"/>
      <c r="J123" s="7"/>
      <c r="K123" s="7"/>
      <c r="L123" s="7"/>
      <c r="M123" s="36"/>
      <c r="N123" s="36"/>
      <c r="O123" s="36"/>
      <c r="P123" s="36"/>
      <c r="Q123" s="36"/>
      <c r="R123" s="36"/>
      <c r="S123" s="36"/>
    </row>
    <row r="124" spans="3:19" ht="12">
      <c r="C124" s="366"/>
      <c r="D124" s="840">
        <f>'Payroll 19-20'!D124</f>
        <v>0</v>
      </c>
      <c r="E124" s="840">
        <f>'Payroll 19-20'!E124*(1+'Revenue Inputs'!O$27)</f>
        <v>0</v>
      </c>
      <c r="F124" s="828">
        <f>'Payroll 19-20'!F124*(1+$I$4)</f>
        <v>0</v>
      </c>
      <c r="G124" s="322">
        <f>'Payroll 19-20'!G124</f>
        <v>0</v>
      </c>
      <c r="H124" s="319">
        <f>'Payroll 19-20'!H124</f>
        <v>0</v>
      </c>
      <c r="I124" s="320">
        <f t="shared" ref="I124:I142" si="69">F124*E124</f>
        <v>0</v>
      </c>
      <c r="J124" s="7">
        <f t="shared" ref="J124:J142" si="70">SUM(M124:S124)</f>
        <v>0</v>
      </c>
      <c r="K124" s="7">
        <f t="shared" ref="K124:K142" si="71">SUM(I124:J124)</f>
        <v>0</v>
      </c>
      <c r="L124" s="7"/>
      <c r="M124" s="7">
        <f t="shared" ref="M124:M142" si="72">I124*$M$5</f>
        <v>0</v>
      </c>
      <c r="N124" s="8" t="s">
        <v>75</v>
      </c>
      <c r="O124" s="8" t="str">
        <f t="shared" ref="O124:O142" si="73">IF($M$5&gt;0,"N/A",$O$5*I124)</f>
        <v>N/A</v>
      </c>
      <c r="P124" s="7">
        <f t="shared" ref="P124:P142" si="74">I124*$P$5</f>
        <v>0</v>
      </c>
      <c r="Q124" s="7">
        <f t="shared" ref="Q124:Q142" si="75">IF(H124="y", $Q$5*E124, 0)</f>
        <v>0</v>
      </c>
      <c r="R124" s="7">
        <f t="shared" ref="R124:R142" si="76">IF($I124&gt;7000,7000*R$5,$I124*R$5)*E124</f>
        <v>0</v>
      </c>
      <c r="S124" s="7">
        <f t="shared" ref="S124:S142" si="77">S$5*$I124</f>
        <v>0</v>
      </c>
    </row>
    <row r="125" spans="3:19" ht="12">
      <c r="C125" s="366"/>
      <c r="D125" s="840">
        <f>'Payroll 19-20'!D125</f>
        <v>0</v>
      </c>
      <c r="E125" s="840">
        <f>'Payroll 19-20'!E125*(1+'Revenue Inputs'!O$27)</f>
        <v>0</v>
      </c>
      <c r="F125" s="828">
        <f>'Payroll 19-20'!F125*(1+$I$4)</f>
        <v>0</v>
      </c>
      <c r="G125" s="322">
        <f>'Payroll 19-20'!G125</f>
        <v>0</v>
      </c>
      <c r="H125" s="319">
        <f>'Payroll 19-20'!H125</f>
        <v>0</v>
      </c>
      <c r="I125" s="320">
        <f t="shared" si="69"/>
        <v>0</v>
      </c>
      <c r="J125" s="7">
        <f t="shared" ref="J125:J133" si="78">SUM(M125:S125)</f>
        <v>0</v>
      </c>
      <c r="K125" s="7">
        <f t="shared" ref="K125:K133" si="79">SUM(I125:J125)</f>
        <v>0</v>
      </c>
      <c r="L125" s="7"/>
      <c r="M125" s="7">
        <f t="shared" ref="M125:M133" si="80">I125*$M$5</f>
        <v>0</v>
      </c>
      <c r="N125" s="8" t="s">
        <v>75</v>
      </c>
      <c r="O125" s="8" t="str">
        <f t="shared" ref="O125:O133" si="81">IF($M$5&gt;0,"N/A",$O$5*I125)</f>
        <v>N/A</v>
      </c>
      <c r="P125" s="7">
        <f t="shared" ref="P125:P133" si="82">I125*$P$5</f>
        <v>0</v>
      </c>
      <c r="Q125" s="7">
        <f t="shared" si="75"/>
        <v>0</v>
      </c>
      <c r="R125" s="7">
        <f t="shared" si="76"/>
        <v>0</v>
      </c>
      <c r="S125" s="7">
        <f t="shared" si="77"/>
        <v>0</v>
      </c>
    </row>
    <row r="126" spans="3:19" ht="12" customHeight="1">
      <c r="C126" s="366"/>
      <c r="D126" s="840">
        <f>'Payroll 19-20'!D126</f>
        <v>0</v>
      </c>
      <c r="E126" s="840">
        <f>'Payroll 19-20'!E126*(1+'Revenue Inputs'!O$27)</f>
        <v>0</v>
      </c>
      <c r="F126" s="828">
        <f>'Payroll 19-20'!F126*(1+$I$4)</f>
        <v>0</v>
      </c>
      <c r="G126" s="322">
        <f>'Payroll 19-20'!G126</f>
        <v>0</v>
      </c>
      <c r="H126" s="319">
        <f>'Payroll 19-20'!H126</f>
        <v>0</v>
      </c>
      <c r="I126" s="320">
        <f t="shared" si="69"/>
        <v>0</v>
      </c>
      <c r="J126" s="7">
        <f t="shared" si="78"/>
        <v>0</v>
      </c>
      <c r="K126" s="7">
        <f t="shared" si="79"/>
        <v>0</v>
      </c>
      <c r="L126" s="7"/>
      <c r="M126" s="7">
        <f t="shared" si="80"/>
        <v>0</v>
      </c>
      <c r="N126" s="8" t="s">
        <v>75</v>
      </c>
      <c r="O126" s="8" t="str">
        <f t="shared" si="81"/>
        <v>N/A</v>
      </c>
      <c r="P126" s="7">
        <f t="shared" si="82"/>
        <v>0</v>
      </c>
      <c r="Q126" s="7">
        <f t="shared" si="75"/>
        <v>0</v>
      </c>
      <c r="R126" s="7">
        <f t="shared" si="76"/>
        <v>0</v>
      </c>
      <c r="S126" s="7">
        <f t="shared" si="77"/>
        <v>0</v>
      </c>
    </row>
    <row r="127" spans="3:19" ht="10.25" customHeight="1">
      <c r="C127" s="366"/>
      <c r="D127" s="840">
        <f>'Payroll 19-20'!D127</f>
        <v>0</v>
      </c>
      <c r="E127" s="840">
        <f>'Payroll 19-20'!E127*(1+'Revenue Inputs'!O$27)</f>
        <v>0</v>
      </c>
      <c r="F127" s="828">
        <f>'Payroll 19-20'!F127*(1+$I$4)</f>
        <v>0</v>
      </c>
      <c r="G127" s="322">
        <f>'Payroll 19-20'!G127</f>
        <v>0</v>
      </c>
      <c r="H127" s="319">
        <f>'Payroll 19-20'!H127</f>
        <v>0</v>
      </c>
      <c r="I127" s="320">
        <f t="shared" si="69"/>
        <v>0</v>
      </c>
      <c r="J127" s="7">
        <f t="shared" si="78"/>
        <v>0</v>
      </c>
      <c r="K127" s="7">
        <f t="shared" si="79"/>
        <v>0</v>
      </c>
      <c r="L127" s="7"/>
      <c r="M127" s="7">
        <f t="shared" si="80"/>
        <v>0</v>
      </c>
      <c r="N127" s="8" t="s">
        <v>75</v>
      </c>
      <c r="O127" s="8" t="str">
        <f t="shared" si="81"/>
        <v>N/A</v>
      </c>
      <c r="P127" s="7">
        <f t="shared" si="82"/>
        <v>0</v>
      </c>
      <c r="Q127" s="7">
        <f t="shared" si="75"/>
        <v>0</v>
      </c>
      <c r="R127" s="7">
        <f t="shared" si="76"/>
        <v>0</v>
      </c>
      <c r="S127" s="7">
        <f t="shared" si="77"/>
        <v>0</v>
      </c>
    </row>
    <row r="128" spans="3:19" ht="12">
      <c r="C128" s="368"/>
      <c r="D128" s="840">
        <f>'Payroll 19-20'!D128</f>
        <v>0</v>
      </c>
      <c r="E128" s="840">
        <f>'Payroll 19-20'!E128*(1+'Revenue Inputs'!O$27)</f>
        <v>0</v>
      </c>
      <c r="F128" s="828">
        <f>'Payroll 19-20'!F128*(1+$I$4)</f>
        <v>0</v>
      </c>
      <c r="G128" s="322">
        <f>'Payroll 19-20'!G128</f>
        <v>0</v>
      </c>
      <c r="H128" s="319">
        <f>'Payroll 19-20'!H128</f>
        <v>0</v>
      </c>
      <c r="I128" s="320">
        <f t="shared" si="69"/>
        <v>0</v>
      </c>
      <c r="J128" s="7">
        <f t="shared" si="78"/>
        <v>0</v>
      </c>
      <c r="K128" s="7">
        <f t="shared" si="79"/>
        <v>0</v>
      </c>
      <c r="L128" s="7"/>
      <c r="M128" s="7">
        <f t="shared" si="80"/>
        <v>0</v>
      </c>
      <c r="N128" s="8" t="s">
        <v>75</v>
      </c>
      <c r="O128" s="8" t="str">
        <f t="shared" si="81"/>
        <v>N/A</v>
      </c>
      <c r="P128" s="7">
        <f t="shared" si="82"/>
        <v>0</v>
      </c>
      <c r="Q128" s="7">
        <f t="shared" si="75"/>
        <v>0</v>
      </c>
      <c r="R128" s="7">
        <f t="shared" si="76"/>
        <v>0</v>
      </c>
      <c r="S128" s="7">
        <f t="shared" si="77"/>
        <v>0</v>
      </c>
    </row>
    <row r="129" spans="3:19" ht="12">
      <c r="C129" s="366"/>
      <c r="D129" s="840">
        <f>'Payroll 19-20'!D129</f>
        <v>0</v>
      </c>
      <c r="E129" s="840">
        <f>'Payroll 19-20'!E129*(1+'Revenue Inputs'!O$27)</f>
        <v>0</v>
      </c>
      <c r="F129" s="828">
        <f>'Payroll 19-20'!F129*(1+$I$4)</f>
        <v>0</v>
      </c>
      <c r="G129" s="322">
        <f>'Payroll 19-20'!G129</f>
        <v>0</v>
      </c>
      <c r="H129" s="319">
        <f>'Payroll 19-20'!H129</f>
        <v>0</v>
      </c>
      <c r="I129" s="320">
        <f t="shared" si="69"/>
        <v>0</v>
      </c>
      <c r="J129" s="7">
        <f t="shared" si="78"/>
        <v>0</v>
      </c>
      <c r="K129" s="7">
        <f t="shared" si="79"/>
        <v>0</v>
      </c>
      <c r="L129" s="7"/>
      <c r="M129" s="7">
        <f t="shared" si="80"/>
        <v>0</v>
      </c>
      <c r="N129" s="8" t="s">
        <v>75</v>
      </c>
      <c r="O129" s="8" t="str">
        <f t="shared" si="81"/>
        <v>N/A</v>
      </c>
      <c r="P129" s="7">
        <f t="shared" si="82"/>
        <v>0</v>
      </c>
      <c r="Q129" s="7">
        <f t="shared" si="75"/>
        <v>0</v>
      </c>
      <c r="R129" s="7">
        <f t="shared" si="76"/>
        <v>0</v>
      </c>
      <c r="S129" s="7">
        <f t="shared" si="77"/>
        <v>0</v>
      </c>
    </row>
    <row r="130" spans="3:19" ht="12">
      <c r="C130" s="366"/>
      <c r="D130" s="840">
        <f>'Payroll 19-20'!D130</f>
        <v>0</v>
      </c>
      <c r="E130" s="840">
        <f>'Payroll 19-20'!E130*(1+'Revenue Inputs'!O$27)</f>
        <v>0</v>
      </c>
      <c r="F130" s="828">
        <f>'Payroll 19-20'!F130*(1+$I$4)</f>
        <v>0</v>
      </c>
      <c r="G130" s="322">
        <f>'Payroll 19-20'!G130</f>
        <v>0</v>
      </c>
      <c r="H130" s="319">
        <f>'Payroll 19-20'!H130</f>
        <v>0</v>
      </c>
      <c r="I130" s="320">
        <f t="shared" si="69"/>
        <v>0</v>
      </c>
      <c r="J130" s="7">
        <f t="shared" si="78"/>
        <v>0</v>
      </c>
      <c r="K130" s="7">
        <f t="shared" si="79"/>
        <v>0</v>
      </c>
      <c r="L130" s="7"/>
      <c r="M130" s="7">
        <f t="shared" si="80"/>
        <v>0</v>
      </c>
      <c r="N130" s="8" t="s">
        <v>75</v>
      </c>
      <c r="O130" s="8" t="str">
        <f t="shared" si="81"/>
        <v>N/A</v>
      </c>
      <c r="P130" s="7">
        <f t="shared" si="82"/>
        <v>0</v>
      </c>
      <c r="Q130" s="7">
        <f t="shared" si="75"/>
        <v>0</v>
      </c>
      <c r="R130" s="7">
        <f t="shared" si="76"/>
        <v>0</v>
      </c>
      <c r="S130" s="7">
        <f t="shared" si="77"/>
        <v>0</v>
      </c>
    </row>
    <row r="131" spans="3:19" ht="12">
      <c r="C131" s="366"/>
      <c r="D131" s="840">
        <f>'Payroll 19-20'!D131</f>
        <v>0</v>
      </c>
      <c r="E131" s="840">
        <f>'Payroll 19-20'!E131*(1+'Revenue Inputs'!O$27)</f>
        <v>0</v>
      </c>
      <c r="F131" s="828">
        <f>'Payroll 19-20'!F131*(1+$I$4)</f>
        <v>0</v>
      </c>
      <c r="G131" s="322">
        <f>'Payroll 19-20'!G131</f>
        <v>0</v>
      </c>
      <c r="H131" s="319">
        <f>'Payroll 19-20'!H131</f>
        <v>0</v>
      </c>
      <c r="I131" s="320">
        <f t="shared" si="69"/>
        <v>0</v>
      </c>
      <c r="J131" s="7">
        <f t="shared" si="78"/>
        <v>0</v>
      </c>
      <c r="K131" s="7">
        <f t="shared" si="79"/>
        <v>0</v>
      </c>
      <c r="L131" s="7"/>
      <c r="M131" s="7">
        <f t="shared" si="80"/>
        <v>0</v>
      </c>
      <c r="N131" s="8" t="s">
        <v>75</v>
      </c>
      <c r="O131" s="8" t="str">
        <f t="shared" si="81"/>
        <v>N/A</v>
      </c>
      <c r="P131" s="7">
        <f t="shared" si="82"/>
        <v>0</v>
      </c>
      <c r="Q131" s="7">
        <f t="shared" si="75"/>
        <v>0</v>
      </c>
      <c r="R131" s="7">
        <f t="shared" si="76"/>
        <v>0</v>
      </c>
      <c r="S131" s="7">
        <f t="shared" si="77"/>
        <v>0</v>
      </c>
    </row>
    <row r="132" spans="3:19" ht="12">
      <c r="C132" s="366"/>
      <c r="D132" s="840">
        <f>'Payroll 19-20'!D132</f>
        <v>0</v>
      </c>
      <c r="E132" s="840">
        <f>'Payroll 19-20'!E132*(1+'Revenue Inputs'!O$27)</f>
        <v>0</v>
      </c>
      <c r="F132" s="828">
        <f>'Payroll 19-20'!F132*(1+$I$4)</f>
        <v>0</v>
      </c>
      <c r="G132" s="322">
        <f>'Payroll 19-20'!G132</f>
        <v>0</v>
      </c>
      <c r="H132" s="319">
        <f>'Payroll 19-20'!H132</f>
        <v>0</v>
      </c>
      <c r="I132" s="320">
        <f t="shared" si="69"/>
        <v>0</v>
      </c>
      <c r="J132" s="7">
        <f t="shared" si="78"/>
        <v>0</v>
      </c>
      <c r="K132" s="7">
        <f t="shared" si="79"/>
        <v>0</v>
      </c>
      <c r="L132" s="7"/>
      <c r="M132" s="7">
        <f t="shared" si="80"/>
        <v>0</v>
      </c>
      <c r="N132" s="8" t="s">
        <v>75</v>
      </c>
      <c r="O132" s="8" t="str">
        <f t="shared" si="81"/>
        <v>N/A</v>
      </c>
      <c r="P132" s="7">
        <f t="shared" si="82"/>
        <v>0</v>
      </c>
      <c r="Q132" s="7">
        <f t="shared" si="75"/>
        <v>0</v>
      </c>
      <c r="R132" s="7">
        <f t="shared" si="76"/>
        <v>0</v>
      </c>
      <c r="S132" s="7">
        <f t="shared" si="77"/>
        <v>0</v>
      </c>
    </row>
    <row r="133" spans="3:19" ht="12">
      <c r="C133" s="368"/>
      <c r="D133" s="840">
        <f>'Payroll 19-20'!D133</f>
        <v>0</v>
      </c>
      <c r="E133" s="840">
        <f>'Payroll 19-20'!E133*(1+'Revenue Inputs'!O$27)</f>
        <v>0</v>
      </c>
      <c r="F133" s="828">
        <f>'Payroll 19-20'!F133*(1+$I$4)</f>
        <v>0</v>
      </c>
      <c r="G133" s="322">
        <f>'Payroll 19-20'!G133</f>
        <v>0</v>
      </c>
      <c r="H133" s="319">
        <f>'Payroll 19-20'!H133</f>
        <v>0</v>
      </c>
      <c r="I133" s="320">
        <f t="shared" si="69"/>
        <v>0</v>
      </c>
      <c r="J133" s="7">
        <f t="shared" si="78"/>
        <v>0</v>
      </c>
      <c r="K133" s="7">
        <f t="shared" si="79"/>
        <v>0</v>
      </c>
      <c r="L133" s="7"/>
      <c r="M133" s="7">
        <f t="shared" si="80"/>
        <v>0</v>
      </c>
      <c r="N133" s="8" t="s">
        <v>75</v>
      </c>
      <c r="O133" s="8" t="str">
        <f t="shared" si="81"/>
        <v>N/A</v>
      </c>
      <c r="P133" s="7">
        <f t="shared" si="82"/>
        <v>0</v>
      </c>
      <c r="Q133" s="7">
        <f t="shared" si="75"/>
        <v>0</v>
      </c>
      <c r="R133" s="7">
        <f t="shared" si="76"/>
        <v>0</v>
      </c>
      <c r="S133" s="7">
        <f t="shared" si="77"/>
        <v>0</v>
      </c>
    </row>
    <row r="134" spans="3:19" ht="12">
      <c r="C134" s="366"/>
      <c r="D134" s="840">
        <f>'Payroll 19-20'!D134</f>
        <v>0</v>
      </c>
      <c r="E134" s="840">
        <f>'Payroll 19-20'!E134*(1+'Revenue Inputs'!O$27)</f>
        <v>0</v>
      </c>
      <c r="F134" s="828">
        <f>'Payroll 19-20'!F134*(1+$I$4)</f>
        <v>0</v>
      </c>
      <c r="G134" s="322">
        <f>'Payroll 19-20'!G134</f>
        <v>0</v>
      </c>
      <c r="H134" s="319">
        <f>'Payroll 19-20'!H134</f>
        <v>0</v>
      </c>
      <c r="I134" s="320">
        <f t="shared" si="69"/>
        <v>0</v>
      </c>
      <c r="J134" s="7">
        <f t="shared" si="70"/>
        <v>0</v>
      </c>
      <c r="K134" s="7">
        <f t="shared" si="71"/>
        <v>0</v>
      </c>
      <c r="L134" s="7"/>
      <c r="M134" s="7">
        <f t="shared" si="72"/>
        <v>0</v>
      </c>
      <c r="N134" s="8" t="s">
        <v>75</v>
      </c>
      <c r="O134" s="8" t="str">
        <f t="shared" si="73"/>
        <v>N/A</v>
      </c>
      <c r="P134" s="7">
        <f t="shared" si="74"/>
        <v>0</v>
      </c>
      <c r="Q134" s="7">
        <f t="shared" si="75"/>
        <v>0</v>
      </c>
      <c r="R134" s="7">
        <f t="shared" si="76"/>
        <v>0</v>
      </c>
      <c r="S134" s="7">
        <f t="shared" si="77"/>
        <v>0</v>
      </c>
    </row>
    <row r="135" spans="3:19" ht="12" customHeight="1">
      <c r="C135" s="366"/>
      <c r="D135" s="840">
        <f>'Payroll 19-20'!D135</f>
        <v>0</v>
      </c>
      <c r="E135" s="840">
        <f>'Payroll 19-20'!E135*(1+'Revenue Inputs'!O$27)</f>
        <v>0</v>
      </c>
      <c r="F135" s="828">
        <f>'Payroll 19-20'!F135*(1+$I$4)</f>
        <v>0</v>
      </c>
      <c r="G135" s="322">
        <f>'Payroll 19-20'!G135</f>
        <v>0</v>
      </c>
      <c r="H135" s="319">
        <f>'Payroll 19-20'!H135</f>
        <v>0</v>
      </c>
      <c r="I135" s="320">
        <f t="shared" si="69"/>
        <v>0</v>
      </c>
      <c r="J135" s="7">
        <f t="shared" si="70"/>
        <v>0</v>
      </c>
      <c r="K135" s="7">
        <f t="shared" si="71"/>
        <v>0</v>
      </c>
      <c r="L135" s="7"/>
      <c r="M135" s="7">
        <f t="shared" si="72"/>
        <v>0</v>
      </c>
      <c r="N135" s="8" t="s">
        <v>75</v>
      </c>
      <c r="O135" s="8" t="str">
        <f t="shared" si="73"/>
        <v>N/A</v>
      </c>
      <c r="P135" s="7">
        <f t="shared" si="74"/>
        <v>0</v>
      </c>
      <c r="Q135" s="7">
        <f t="shared" si="75"/>
        <v>0</v>
      </c>
      <c r="R135" s="7">
        <f t="shared" si="76"/>
        <v>0</v>
      </c>
      <c r="S135" s="7">
        <f t="shared" si="77"/>
        <v>0</v>
      </c>
    </row>
    <row r="136" spans="3:19" ht="10.25" customHeight="1">
      <c r="C136" s="366"/>
      <c r="D136" s="840">
        <f>'Payroll 19-20'!D136</f>
        <v>0</v>
      </c>
      <c r="E136" s="840">
        <f>'Payroll 19-20'!E136*(1+'Revenue Inputs'!O$27)</f>
        <v>0</v>
      </c>
      <c r="F136" s="828">
        <f>'Payroll 19-20'!F136*(1+$I$4)</f>
        <v>0</v>
      </c>
      <c r="G136" s="322">
        <f>'Payroll 19-20'!G136</f>
        <v>0</v>
      </c>
      <c r="H136" s="319">
        <f>'Payroll 19-20'!H136</f>
        <v>0</v>
      </c>
      <c r="I136" s="320">
        <f t="shared" si="69"/>
        <v>0</v>
      </c>
      <c r="J136" s="7">
        <f t="shared" si="70"/>
        <v>0</v>
      </c>
      <c r="K136" s="7">
        <f t="shared" si="71"/>
        <v>0</v>
      </c>
      <c r="L136" s="7"/>
      <c r="M136" s="7">
        <f t="shared" si="72"/>
        <v>0</v>
      </c>
      <c r="N136" s="8" t="s">
        <v>75</v>
      </c>
      <c r="O136" s="8" t="str">
        <f t="shared" si="73"/>
        <v>N/A</v>
      </c>
      <c r="P136" s="7">
        <f t="shared" si="74"/>
        <v>0</v>
      </c>
      <c r="Q136" s="7">
        <f t="shared" si="75"/>
        <v>0</v>
      </c>
      <c r="R136" s="7">
        <f t="shared" si="76"/>
        <v>0</v>
      </c>
      <c r="S136" s="7">
        <f t="shared" si="77"/>
        <v>0</v>
      </c>
    </row>
    <row r="137" spans="3:19" ht="12">
      <c r="C137" s="368"/>
      <c r="D137" s="840">
        <f>'Payroll 19-20'!D137</f>
        <v>0</v>
      </c>
      <c r="E137" s="840">
        <f>'Payroll 19-20'!E137*(1+'Revenue Inputs'!O$27)</f>
        <v>0</v>
      </c>
      <c r="F137" s="828">
        <f>'Payroll 19-20'!F137*(1+$I$4)</f>
        <v>0</v>
      </c>
      <c r="G137" s="322">
        <f>'Payroll 19-20'!G137</f>
        <v>0</v>
      </c>
      <c r="H137" s="319">
        <f>'Payroll 19-20'!H137</f>
        <v>0</v>
      </c>
      <c r="I137" s="320">
        <f t="shared" si="69"/>
        <v>0</v>
      </c>
      <c r="J137" s="7">
        <f t="shared" si="70"/>
        <v>0</v>
      </c>
      <c r="K137" s="7">
        <f t="shared" si="71"/>
        <v>0</v>
      </c>
      <c r="L137" s="7"/>
      <c r="M137" s="7">
        <f t="shared" si="72"/>
        <v>0</v>
      </c>
      <c r="N137" s="8" t="s">
        <v>75</v>
      </c>
      <c r="O137" s="8" t="str">
        <f t="shared" si="73"/>
        <v>N/A</v>
      </c>
      <c r="P137" s="7">
        <f t="shared" si="74"/>
        <v>0</v>
      </c>
      <c r="Q137" s="7">
        <f t="shared" si="75"/>
        <v>0</v>
      </c>
      <c r="R137" s="7">
        <f t="shared" si="76"/>
        <v>0</v>
      </c>
      <c r="S137" s="7">
        <f t="shared" si="77"/>
        <v>0</v>
      </c>
    </row>
    <row r="138" spans="3:19" ht="12">
      <c r="C138" s="366"/>
      <c r="D138" s="840">
        <f>'Payroll 19-20'!D138</f>
        <v>0</v>
      </c>
      <c r="E138" s="840">
        <f>'Payroll 19-20'!E138*(1+'Revenue Inputs'!O$27)</f>
        <v>0</v>
      </c>
      <c r="F138" s="828">
        <f>'Payroll 19-20'!F138*(1+$I$4)</f>
        <v>0</v>
      </c>
      <c r="G138" s="322">
        <f>'Payroll 19-20'!G138</f>
        <v>0</v>
      </c>
      <c r="H138" s="319">
        <f>'Payroll 19-20'!H138</f>
        <v>0</v>
      </c>
      <c r="I138" s="320">
        <f t="shared" si="69"/>
        <v>0</v>
      </c>
      <c r="J138" s="7">
        <f t="shared" si="70"/>
        <v>0</v>
      </c>
      <c r="K138" s="7">
        <f t="shared" si="71"/>
        <v>0</v>
      </c>
      <c r="L138" s="7"/>
      <c r="M138" s="7">
        <f t="shared" si="72"/>
        <v>0</v>
      </c>
      <c r="N138" s="8" t="s">
        <v>75</v>
      </c>
      <c r="O138" s="8" t="str">
        <f t="shared" si="73"/>
        <v>N/A</v>
      </c>
      <c r="P138" s="7">
        <f t="shared" si="74"/>
        <v>0</v>
      </c>
      <c r="Q138" s="7">
        <f t="shared" si="75"/>
        <v>0</v>
      </c>
      <c r="R138" s="7">
        <f t="shared" si="76"/>
        <v>0</v>
      </c>
      <c r="S138" s="7">
        <f t="shared" si="77"/>
        <v>0</v>
      </c>
    </row>
    <row r="139" spans="3:19" ht="12">
      <c r="C139" s="366"/>
      <c r="D139" s="840">
        <f>'Payroll 19-20'!D139</f>
        <v>0</v>
      </c>
      <c r="E139" s="840">
        <f>'Payroll 19-20'!E139*(1+'Revenue Inputs'!O$27)</f>
        <v>0</v>
      </c>
      <c r="F139" s="828">
        <f>'Payroll 19-20'!F139*(1+$I$4)</f>
        <v>0</v>
      </c>
      <c r="G139" s="322">
        <f>'Payroll 19-20'!G139</f>
        <v>0</v>
      </c>
      <c r="H139" s="319">
        <f>'Payroll 19-20'!H139</f>
        <v>0</v>
      </c>
      <c r="I139" s="320">
        <f t="shared" si="69"/>
        <v>0</v>
      </c>
      <c r="J139" s="7">
        <f t="shared" si="70"/>
        <v>0</v>
      </c>
      <c r="K139" s="7">
        <f t="shared" si="71"/>
        <v>0</v>
      </c>
      <c r="L139" s="7"/>
      <c r="M139" s="7">
        <f t="shared" si="72"/>
        <v>0</v>
      </c>
      <c r="N139" s="8" t="s">
        <v>75</v>
      </c>
      <c r="O139" s="8" t="str">
        <f t="shared" si="73"/>
        <v>N/A</v>
      </c>
      <c r="P139" s="7">
        <f t="shared" si="74"/>
        <v>0</v>
      </c>
      <c r="Q139" s="7">
        <f t="shared" si="75"/>
        <v>0</v>
      </c>
      <c r="R139" s="7">
        <f t="shared" si="76"/>
        <v>0</v>
      </c>
      <c r="S139" s="7">
        <f t="shared" si="77"/>
        <v>0</v>
      </c>
    </row>
    <row r="140" spans="3:19" ht="12">
      <c r="C140" s="366"/>
      <c r="D140" s="840">
        <f>'Payroll 19-20'!D140</f>
        <v>0</v>
      </c>
      <c r="E140" s="840">
        <f>'Payroll 19-20'!E140*(1+'Revenue Inputs'!O$27)</f>
        <v>0</v>
      </c>
      <c r="F140" s="828">
        <f>'Payroll 19-20'!F140*(1+$I$4)</f>
        <v>0</v>
      </c>
      <c r="G140" s="322">
        <f>'Payroll 19-20'!G140</f>
        <v>0</v>
      </c>
      <c r="H140" s="319">
        <f>'Payroll 19-20'!H140</f>
        <v>0</v>
      </c>
      <c r="I140" s="320">
        <f t="shared" si="69"/>
        <v>0</v>
      </c>
      <c r="J140" s="7">
        <f t="shared" si="70"/>
        <v>0</v>
      </c>
      <c r="K140" s="7">
        <f t="shared" si="71"/>
        <v>0</v>
      </c>
      <c r="L140" s="7"/>
      <c r="M140" s="7">
        <f t="shared" si="72"/>
        <v>0</v>
      </c>
      <c r="N140" s="8" t="s">
        <v>75</v>
      </c>
      <c r="O140" s="8" t="str">
        <f t="shared" si="73"/>
        <v>N/A</v>
      </c>
      <c r="P140" s="7">
        <f t="shared" si="74"/>
        <v>0</v>
      </c>
      <c r="Q140" s="7">
        <f t="shared" si="75"/>
        <v>0</v>
      </c>
      <c r="R140" s="7">
        <f t="shared" si="76"/>
        <v>0</v>
      </c>
      <c r="S140" s="7">
        <f t="shared" si="77"/>
        <v>0</v>
      </c>
    </row>
    <row r="141" spans="3:19" ht="12">
      <c r="C141" s="366"/>
      <c r="D141" s="840">
        <f>'Payroll 19-20'!D141</f>
        <v>0</v>
      </c>
      <c r="E141" s="840">
        <f>'Payroll 19-20'!E141*(1+'Revenue Inputs'!O$27)</f>
        <v>0</v>
      </c>
      <c r="F141" s="828">
        <f>'Payroll 19-20'!F141*(1+$I$4)</f>
        <v>0</v>
      </c>
      <c r="G141" s="322">
        <f>'Payroll 19-20'!G141</f>
        <v>0</v>
      </c>
      <c r="H141" s="319">
        <f>'Payroll 19-20'!H141</f>
        <v>0</v>
      </c>
      <c r="I141" s="320">
        <f t="shared" si="69"/>
        <v>0</v>
      </c>
      <c r="J141" s="7">
        <f t="shared" si="70"/>
        <v>0</v>
      </c>
      <c r="K141" s="7">
        <f t="shared" si="71"/>
        <v>0</v>
      </c>
      <c r="L141" s="7"/>
      <c r="M141" s="7">
        <f t="shared" si="72"/>
        <v>0</v>
      </c>
      <c r="N141" s="8" t="s">
        <v>75</v>
      </c>
      <c r="O141" s="8" t="str">
        <f t="shared" si="73"/>
        <v>N/A</v>
      </c>
      <c r="P141" s="7">
        <f t="shared" si="74"/>
        <v>0</v>
      </c>
      <c r="Q141" s="7">
        <f t="shared" si="75"/>
        <v>0</v>
      </c>
      <c r="R141" s="7">
        <f t="shared" si="76"/>
        <v>0</v>
      </c>
      <c r="S141" s="7">
        <f t="shared" si="77"/>
        <v>0</v>
      </c>
    </row>
    <row r="142" spans="3:19" ht="12">
      <c r="C142" s="368"/>
      <c r="D142" s="840">
        <f>'Payroll 19-20'!D142</f>
        <v>0</v>
      </c>
      <c r="E142" s="840">
        <f>'Payroll 19-20'!E142*(1+'Revenue Inputs'!O$27)</f>
        <v>0</v>
      </c>
      <c r="F142" s="828">
        <f>'Payroll 19-20'!F142*(1+$I$4)</f>
        <v>0</v>
      </c>
      <c r="G142" s="322">
        <f>'Payroll 19-20'!G142</f>
        <v>0</v>
      </c>
      <c r="H142" s="319">
        <f>'Payroll 19-20'!H142</f>
        <v>0</v>
      </c>
      <c r="I142" s="320">
        <f t="shared" si="69"/>
        <v>0</v>
      </c>
      <c r="J142" s="7">
        <f t="shared" si="70"/>
        <v>0</v>
      </c>
      <c r="K142" s="7">
        <f t="shared" si="71"/>
        <v>0</v>
      </c>
      <c r="L142" s="7"/>
      <c r="M142" s="7">
        <f t="shared" si="72"/>
        <v>0</v>
      </c>
      <c r="N142" s="8" t="s">
        <v>75</v>
      </c>
      <c r="O142" s="8" t="str">
        <f t="shared" si="73"/>
        <v>N/A</v>
      </c>
      <c r="P142" s="7">
        <f t="shared" si="74"/>
        <v>0</v>
      </c>
      <c r="Q142" s="7">
        <f t="shared" si="75"/>
        <v>0</v>
      </c>
      <c r="R142" s="7">
        <f t="shared" si="76"/>
        <v>0</v>
      </c>
      <c r="S142" s="7">
        <f t="shared" si="77"/>
        <v>0</v>
      </c>
    </row>
    <row r="143" spans="3:19" ht="13" thickBot="1">
      <c r="C143" s="368"/>
      <c r="D143" s="841"/>
      <c r="E143" s="841"/>
      <c r="F143" s="841"/>
      <c r="G143" s="28"/>
      <c r="H143" s="427"/>
      <c r="I143" s="337"/>
      <c r="J143" s="40"/>
      <c r="K143" s="40"/>
      <c r="L143" s="40"/>
      <c r="M143" s="40"/>
      <c r="N143" s="40"/>
      <c r="O143" s="40"/>
      <c r="P143" s="40"/>
      <c r="Q143" s="40"/>
      <c r="R143" s="40"/>
      <c r="S143" s="40"/>
    </row>
    <row r="144" spans="3:19" s="41" customFormat="1" ht="13" thickBot="1">
      <c r="C144" s="368"/>
      <c r="D144" s="834"/>
      <c r="E144" s="847"/>
      <c r="F144" s="834"/>
      <c r="G144" s="49"/>
      <c r="H144" s="333">
        <v>1900</v>
      </c>
      <c r="I144" s="15">
        <f>SUM(I124:I143)</f>
        <v>0</v>
      </c>
      <c r="J144" s="15">
        <f>SUM(J124:J143)</f>
        <v>0</v>
      </c>
      <c r="K144" s="15">
        <f>SUM(K124:K143)</f>
        <v>0</v>
      </c>
      <c r="L144" s="16"/>
      <c r="M144" s="15">
        <f t="shared" ref="M144:S144" si="83">SUM(M124:M143)</f>
        <v>0</v>
      </c>
      <c r="N144" s="15">
        <f t="shared" si="83"/>
        <v>0</v>
      </c>
      <c r="O144" s="15">
        <f t="shared" si="83"/>
        <v>0</v>
      </c>
      <c r="P144" s="15">
        <f t="shared" si="83"/>
        <v>0</v>
      </c>
      <c r="Q144" s="15">
        <f t="shared" si="83"/>
        <v>0</v>
      </c>
      <c r="R144" s="15">
        <f t="shared" si="83"/>
        <v>0</v>
      </c>
      <c r="S144" s="15">
        <f t="shared" si="83"/>
        <v>0</v>
      </c>
    </row>
    <row r="145" spans="3:19" ht="12">
      <c r="C145" s="369" t="s">
        <v>20</v>
      </c>
      <c r="D145" s="835"/>
      <c r="E145" s="848"/>
      <c r="F145" s="835"/>
      <c r="G145" s="28"/>
      <c r="H145" s="35"/>
      <c r="I145" s="7"/>
      <c r="J145" s="7"/>
      <c r="K145" s="7"/>
      <c r="L145" s="7"/>
      <c r="M145" s="36"/>
      <c r="N145" s="36"/>
      <c r="O145" s="36"/>
      <c r="P145" s="36"/>
      <c r="Q145" s="36"/>
      <c r="R145" s="36"/>
      <c r="S145" s="36"/>
    </row>
    <row r="146" spans="3:19" ht="12">
      <c r="C146" s="369"/>
      <c r="D146" s="840" t="str">
        <f>'Payroll 19-20'!D146</f>
        <v>April M. Tilden</v>
      </c>
      <c r="E146" s="840">
        <f>'Payroll 19-20'!E146*(1+'Revenue Inputs'!O$27)</f>
        <v>1</v>
      </c>
      <c r="F146" s="828">
        <f>'Payroll 19-20'!F146*(1+$I$4)</f>
        <v>60024.592799999999</v>
      </c>
      <c r="G146" s="322">
        <f>'Payroll 19-20'!G146</f>
        <v>12</v>
      </c>
      <c r="H146" s="319" t="str">
        <f>'Payroll 19-20'!H146</f>
        <v>y</v>
      </c>
      <c r="I146" s="320">
        <f t="shared" ref="I146:I164" si="84">F146*E146</f>
        <v>60024.592799999999</v>
      </c>
      <c r="J146" s="7">
        <f t="shared" ref="J146:J164" si="85">SUM(M146:S146)</f>
        <v>13482.225648400001</v>
      </c>
      <c r="K146" s="7">
        <f t="shared" ref="K146:K164" si="86">SUM(I146:J146)</f>
        <v>73506.818448399994</v>
      </c>
      <c r="L146" s="7"/>
      <c r="M146" s="8" t="s">
        <v>75</v>
      </c>
      <c r="N146" s="7">
        <f t="shared" ref="N146:N164" si="87">I146*$N$5</f>
        <v>0</v>
      </c>
      <c r="O146" s="8">
        <f>I146*$O$5</f>
        <v>3721.5247535999997</v>
      </c>
      <c r="P146" s="7">
        <f t="shared" ref="P146:P164" si="88">I146*$P$5</f>
        <v>870.35659559999999</v>
      </c>
      <c r="Q146" s="7">
        <f t="shared" ref="Q146:Q164" si="89">IF(H146="y", $Q$5*E146, 0)</f>
        <v>7560.0000000000009</v>
      </c>
      <c r="R146" s="7">
        <f t="shared" ref="R146:R164" si="90">IF($I146&gt;7000,7000*R$5,$I146*R$5)*E146</f>
        <v>490.00000000000006</v>
      </c>
      <c r="S146" s="7">
        <f t="shared" ref="S146:S164" si="91">S$5*$I146</f>
        <v>840.34429920000002</v>
      </c>
    </row>
    <row r="147" spans="3:19" ht="12">
      <c r="C147" s="369"/>
      <c r="D147" s="1027" t="str">
        <f>'Payroll 19-20'!D147</f>
        <v>Christina D. McGuigan</v>
      </c>
      <c r="E147" s="1027">
        <f>'Payroll 19-20'!E147*(1+'Revenue Inputs'!O$27)</f>
        <v>1</v>
      </c>
      <c r="F147" s="1022">
        <v>58240</v>
      </c>
      <c r="G147" s="1023">
        <f>'Payroll 19-20'!G147</f>
        <v>12</v>
      </c>
      <c r="H147" s="1024" t="str">
        <f>'Payroll 19-20'!H147</f>
        <v>y</v>
      </c>
      <c r="I147" s="1025">
        <f t="shared" si="84"/>
        <v>58240</v>
      </c>
      <c r="J147" s="7">
        <f t="shared" ref="J147:J155" si="92">SUM(M147:S147)</f>
        <v>13320.720000000001</v>
      </c>
      <c r="K147" s="7">
        <f t="shared" ref="K147:K155" si="93">SUM(I147:J147)</f>
        <v>71560.72</v>
      </c>
      <c r="L147" s="7"/>
      <c r="M147" s="8" t="s">
        <v>75</v>
      </c>
      <c r="N147" s="7">
        <f t="shared" ref="N147:N155" si="94">I147*$N$5</f>
        <v>0</v>
      </c>
      <c r="O147" s="8">
        <f t="shared" ref="O147:O150" si="95">I147*$O$5</f>
        <v>3610.88</v>
      </c>
      <c r="P147" s="7">
        <f t="shared" ref="P147:P155" si="96">I147*$P$5</f>
        <v>844.48</v>
      </c>
      <c r="Q147" s="7">
        <f t="shared" si="89"/>
        <v>7560.0000000000009</v>
      </c>
      <c r="R147" s="7">
        <f t="shared" si="90"/>
        <v>490.00000000000006</v>
      </c>
      <c r="S147" s="7">
        <f t="shared" si="91"/>
        <v>815.36</v>
      </c>
    </row>
    <row r="148" spans="3:19" ht="12">
      <c r="C148" s="369"/>
      <c r="D148" s="1027" t="str">
        <f>'Payroll 19-20'!D148</f>
        <v>Hughes J. Cano</v>
      </c>
      <c r="E148" s="1027">
        <f>'Payroll 19-20'!E148*(1+'Revenue Inputs'!O$27)</f>
        <v>1</v>
      </c>
      <c r="F148" s="1022">
        <v>58240</v>
      </c>
      <c r="G148" s="1023">
        <f>'Payroll 19-20'!G148</f>
        <v>12</v>
      </c>
      <c r="H148" s="1024" t="str">
        <f>'Payroll 19-20'!H148</f>
        <v>y</v>
      </c>
      <c r="I148" s="1025">
        <f t="shared" si="84"/>
        <v>58240</v>
      </c>
      <c r="J148" s="7">
        <f t="shared" si="92"/>
        <v>13320.720000000001</v>
      </c>
      <c r="K148" s="7">
        <f t="shared" si="93"/>
        <v>71560.72</v>
      </c>
      <c r="L148" s="7"/>
      <c r="M148" s="8" t="s">
        <v>75</v>
      </c>
      <c r="N148" s="7">
        <f t="shared" si="94"/>
        <v>0</v>
      </c>
      <c r="O148" s="8">
        <f t="shared" si="95"/>
        <v>3610.88</v>
      </c>
      <c r="P148" s="7">
        <f t="shared" si="96"/>
        <v>844.48</v>
      </c>
      <c r="Q148" s="7">
        <f t="shared" si="89"/>
        <v>7560.0000000000009</v>
      </c>
      <c r="R148" s="7">
        <f t="shared" si="90"/>
        <v>490.00000000000006</v>
      </c>
      <c r="S148" s="7">
        <f>S$5*$I148</f>
        <v>815.36</v>
      </c>
    </row>
    <row r="149" spans="3:19" ht="12">
      <c r="C149" s="369"/>
      <c r="D149" s="1027" t="str">
        <f>'Payroll 19-20'!D149</f>
        <v>Jonathan J. Quijas</v>
      </c>
      <c r="E149" s="1027">
        <f>'Payroll 19-20'!E149*(1+'Revenue Inputs'!O$27)</f>
        <v>1</v>
      </c>
      <c r="F149" s="1022">
        <v>58240</v>
      </c>
      <c r="G149" s="1023">
        <f>'Payroll 19-20'!G149</f>
        <v>12</v>
      </c>
      <c r="H149" s="1024" t="str">
        <f>'Payroll 19-20'!H149</f>
        <v>y</v>
      </c>
      <c r="I149" s="1025">
        <f t="shared" si="84"/>
        <v>58240</v>
      </c>
      <c r="J149" s="7">
        <f t="shared" si="92"/>
        <v>13320.720000000001</v>
      </c>
      <c r="K149" s="7">
        <f t="shared" si="93"/>
        <v>71560.72</v>
      </c>
      <c r="L149" s="7"/>
      <c r="M149" s="8" t="s">
        <v>75</v>
      </c>
      <c r="N149" s="7">
        <f t="shared" si="94"/>
        <v>0</v>
      </c>
      <c r="O149" s="8">
        <f t="shared" si="95"/>
        <v>3610.88</v>
      </c>
      <c r="P149" s="7">
        <f t="shared" si="96"/>
        <v>844.48</v>
      </c>
      <c r="Q149" s="7">
        <f t="shared" si="89"/>
        <v>7560.0000000000009</v>
      </c>
      <c r="R149" s="7">
        <f t="shared" si="90"/>
        <v>490.00000000000006</v>
      </c>
      <c r="S149" s="7">
        <f>S$5*$I149</f>
        <v>815.36</v>
      </c>
    </row>
    <row r="150" spans="3:19" ht="12">
      <c r="C150" s="368"/>
      <c r="D150" s="840" t="str">
        <f>'Payroll 19-20'!D150</f>
        <v>Angela Churilla</v>
      </c>
      <c r="E150" s="840">
        <f>'Payroll 19-20'!E150*(1+'Revenue Inputs'!O$27)</f>
        <v>1</v>
      </c>
      <c r="F150" s="828">
        <f>'Payroll 19-20'!F150*(1+$I$4)</f>
        <v>38319.523200000003</v>
      </c>
      <c r="G150" s="322">
        <f>'Payroll 19-20'!G150</f>
        <v>12</v>
      </c>
      <c r="H150" s="319" t="str">
        <f>'Payroll 19-20'!H150</f>
        <v>y</v>
      </c>
      <c r="I150" s="320">
        <f t="shared" si="84"/>
        <v>38319.523200000003</v>
      </c>
      <c r="J150" s="7">
        <f t="shared" si="92"/>
        <v>11517.9168496</v>
      </c>
      <c r="K150" s="7">
        <f t="shared" si="93"/>
        <v>49837.440049600002</v>
      </c>
      <c r="L150" s="7"/>
      <c r="M150" s="8" t="s">
        <v>75</v>
      </c>
      <c r="N150" s="7">
        <f t="shared" si="94"/>
        <v>0</v>
      </c>
      <c r="O150" s="8">
        <f t="shared" si="95"/>
        <v>2375.8104384000003</v>
      </c>
      <c r="P150" s="7">
        <f t="shared" si="96"/>
        <v>555.63308640000002</v>
      </c>
      <c r="Q150" s="7">
        <f t="shared" si="89"/>
        <v>7560.0000000000009</v>
      </c>
      <c r="R150" s="7">
        <f t="shared" si="90"/>
        <v>490.00000000000006</v>
      </c>
      <c r="S150" s="7">
        <f t="shared" si="91"/>
        <v>536.4733248</v>
      </c>
    </row>
    <row r="151" spans="3:19" ht="12">
      <c r="C151" s="369"/>
      <c r="D151" s="1027" t="str">
        <f>'Payroll 19-20'!D151</f>
        <v>Melinda K. Radsliff</v>
      </c>
      <c r="E151" s="1027">
        <f>'Payroll 19-20'!E151*(1+'Revenue Inputs'!O$27)</f>
        <v>1</v>
      </c>
      <c r="F151" s="1022">
        <v>58240</v>
      </c>
      <c r="G151" s="1023">
        <f>'Payroll 19-20'!G151</f>
        <v>12</v>
      </c>
      <c r="H151" s="1024" t="str">
        <f>'Payroll 19-20'!H151</f>
        <v>y</v>
      </c>
      <c r="I151" s="1025">
        <f t="shared" si="84"/>
        <v>58240</v>
      </c>
      <c r="J151" s="7">
        <f t="shared" si="92"/>
        <v>13320.720000000001</v>
      </c>
      <c r="K151" s="7">
        <f t="shared" si="93"/>
        <v>71560.72</v>
      </c>
      <c r="L151" s="7"/>
      <c r="M151" s="8" t="s">
        <v>75</v>
      </c>
      <c r="N151" s="7">
        <f t="shared" si="94"/>
        <v>0</v>
      </c>
      <c r="O151" s="8">
        <f>I151*$O$5</f>
        <v>3610.88</v>
      </c>
      <c r="P151" s="7">
        <f t="shared" si="96"/>
        <v>844.48</v>
      </c>
      <c r="Q151" s="7">
        <f t="shared" si="89"/>
        <v>7560.0000000000009</v>
      </c>
      <c r="R151" s="7">
        <f t="shared" si="90"/>
        <v>490.00000000000006</v>
      </c>
      <c r="S151" s="7">
        <f t="shared" si="91"/>
        <v>815.36</v>
      </c>
    </row>
    <row r="152" spans="3:19" ht="12">
      <c r="C152" s="369"/>
      <c r="D152" s="840">
        <f>'Payroll 19-20'!D152</f>
        <v>0</v>
      </c>
      <c r="E152" s="840">
        <f>'Payroll 19-20'!E152*(1+'Revenue Inputs'!O$27)</f>
        <v>0</v>
      </c>
      <c r="F152" s="828">
        <f>'Payroll 19-20'!F152*(1+$I$4)</f>
        <v>0</v>
      </c>
      <c r="G152" s="322">
        <f>'Payroll 19-20'!G152</f>
        <v>0</v>
      </c>
      <c r="H152" s="319">
        <f>'Payroll 19-20'!H152</f>
        <v>0</v>
      </c>
      <c r="I152" s="320">
        <f t="shared" si="84"/>
        <v>0</v>
      </c>
      <c r="J152" s="7">
        <f t="shared" si="92"/>
        <v>0</v>
      </c>
      <c r="K152" s="7">
        <f t="shared" si="93"/>
        <v>0</v>
      </c>
      <c r="L152" s="7"/>
      <c r="M152" s="8" t="s">
        <v>75</v>
      </c>
      <c r="N152" s="7">
        <f t="shared" si="94"/>
        <v>0</v>
      </c>
      <c r="O152" s="8">
        <f t="shared" ref="O152:O155" si="97">I152*$O$5</f>
        <v>0</v>
      </c>
      <c r="P152" s="7">
        <f t="shared" si="96"/>
        <v>0</v>
      </c>
      <c r="Q152" s="7">
        <f t="shared" si="89"/>
        <v>0</v>
      </c>
      <c r="R152" s="7">
        <f t="shared" si="90"/>
        <v>0</v>
      </c>
      <c r="S152" s="7">
        <f t="shared" si="91"/>
        <v>0</v>
      </c>
    </row>
    <row r="153" spans="3:19" ht="12">
      <c r="C153" s="369"/>
      <c r="D153" s="840">
        <f>'Payroll 19-20'!D153</f>
        <v>0</v>
      </c>
      <c r="E153" s="840">
        <f>'Payroll 19-20'!E153*(1+'Revenue Inputs'!O$27)</f>
        <v>0</v>
      </c>
      <c r="F153" s="828">
        <f>'Payroll 19-20'!F153*(1+$I$4)</f>
        <v>0</v>
      </c>
      <c r="G153" s="322">
        <f>'Payroll 19-20'!G153</f>
        <v>0</v>
      </c>
      <c r="H153" s="319">
        <f>'Payroll 19-20'!H153</f>
        <v>0</v>
      </c>
      <c r="I153" s="320">
        <f t="shared" si="84"/>
        <v>0</v>
      </c>
      <c r="J153" s="7">
        <f t="shared" si="92"/>
        <v>0</v>
      </c>
      <c r="K153" s="7">
        <f t="shared" si="93"/>
        <v>0</v>
      </c>
      <c r="L153" s="7"/>
      <c r="M153" s="8" t="s">
        <v>75</v>
      </c>
      <c r="N153" s="7">
        <f t="shared" si="94"/>
        <v>0</v>
      </c>
      <c r="O153" s="8">
        <f t="shared" si="97"/>
        <v>0</v>
      </c>
      <c r="P153" s="7">
        <f t="shared" si="96"/>
        <v>0</v>
      </c>
      <c r="Q153" s="7">
        <f t="shared" si="89"/>
        <v>0</v>
      </c>
      <c r="R153" s="7">
        <f t="shared" si="90"/>
        <v>0</v>
      </c>
      <c r="S153" s="7">
        <f>S$5*$I153</f>
        <v>0</v>
      </c>
    </row>
    <row r="154" spans="3:19" ht="12">
      <c r="C154" s="369"/>
      <c r="D154" s="840">
        <f>'Payroll 19-20'!D154</f>
        <v>0</v>
      </c>
      <c r="E154" s="840">
        <f>'Payroll 19-20'!E154*(1+'Revenue Inputs'!O$27)</f>
        <v>0</v>
      </c>
      <c r="F154" s="828">
        <f>'Payroll 19-20'!F154*(1+$I$4)</f>
        <v>0</v>
      </c>
      <c r="G154" s="322">
        <f>'Payroll 19-20'!G154</f>
        <v>0</v>
      </c>
      <c r="H154" s="319">
        <f>'Payroll 19-20'!H154</f>
        <v>0</v>
      </c>
      <c r="I154" s="320">
        <f t="shared" si="84"/>
        <v>0</v>
      </c>
      <c r="J154" s="7">
        <f t="shared" si="92"/>
        <v>0</v>
      </c>
      <c r="K154" s="7">
        <f t="shared" si="93"/>
        <v>0</v>
      </c>
      <c r="L154" s="7"/>
      <c r="M154" s="8" t="s">
        <v>75</v>
      </c>
      <c r="N154" s="7">
        <f t="shared" si="94"/>
        <v>0</v>
      </c>
      <c r="O154" s="8">
        <f t="shared" si="97"/>
        <v>0</v>
      </c>
      <c r="P154" s="7">
        <f t="shared" si="96"/>
        <v>0</v>
      </c>
      <c r="Q154" s="7">
        <f t="shared" si="89"/>
        <v>0</v>
      </c>
      <c r="R154" s="7">
        <f t="shared" si="90"/>
        <v>0</v>
      </c>
      <c r="S154" s="7">
        <f>S$5*$I154</f>
        <v>0</v>
      </c>
    </row>
    <row r="155" spans="3:19" ht="12">
      <c r="C155" s="368"/>
      <c r="D155" s="840">
        <f>'Payroll 19-20'!D155</f>
        <v>0</v>
      </c>
      <c r="E155" s="840">
        <f>'Payroll 19-20'!E155*(1+'Revenue Inputs'!O$27)</f>
        <v>0</v>
      </c>
      <c r="F155" s="828">
        <f>'Payroll 19-20'!F155*(1+$I$4)</f>
        <v>0</v>
      </c>
      <c r="G155" s="322">
        <f>'Payroll 19-20'!G155</f>
        <v>0</v>
      </c>
      <c r="H155" s="319">
        <f>'Payroll 19-20'!H155</f>
        <v>0</v>
      </c>
      <c r="I155" s="320">
        <f t="shared" si="84"/>
        <v>0</v>
      </c>
      <c r="J155" s="7">
        <f t="shared" si="92"/>
        <v>0</v>
      </c>
      <c r="K155" s="7">
        <f t="shared" si="93"/>
        <v>0</v>
      </c>
      <c r="L155" s="7"/>
      <c r="M155" s="8" t="s">
        <v>75</v>
      </c>
      <c r="N155" s="7">
        <f t="shared" si="94"/>
        <v>0</v>
      </c>
      <c r="O155" s="8">
        <f t="shared" si="97"/>
        <v>0</v>
      </c>
      <c r="P155" s="7">
        <f t="shared" si="96"/>
        <v>0</v>
      </c>
      <c r="Q155" s="7">
        <f t="shared" si="89"/>
        <v>0</v>
      </c>
      <c r="R155" s="7">
        <f>IF($I155&lt;7000,7000*R$5,$I155*R$5)*E155</f>
        <v>0</v>
      </c>
      <c r="S155" s="7">
        <f t="shared" si="91"/>
        <v>0</v>
      </c>
    </row>
    <row r="156" spans="3:19" ht="12">
      <c r="C156" s="369"/>
      <c r="D156" s="840">
        <f>'Payroll 19-20'!D156</f>
        <v>0</v>
      </c>
      <c r="E156" s="840">
        <f>'Payroll 19-20'!E156*(1+'Revenue Inputs'!O$27)</f>
        <v>0</v>
      </c>
      <c r="F156" s="828">
        <f>'Payroll 19-20'!F156*(1+$I$4)</f>
        <v>0</v>
      </c>
      <c r="G156" s="322">
        <f>'Payroll 19-20'!G156</f>
        <v>0</v>
      </c>
      <c r="H156" s="319">
        <f>'Payroll 19-20'!H156</f>
        <v>0</v>
      </c>
      <c r="I156" s="320">
        <f t="shared" si="84"/>
        <v>0</v>
      </c>
      <c r="J156" s="7">
        <f t="shared" si="85"/>
        <v>0</v>
      </c>
      <c r="K156" s="7">
        <f t="shared" si="86"/>
        <v>0</v>
      </c>
      <c r="L156" s="7"/>
      <c r="M156" s="8" t="s">
        <v>75</v>
      </c>
      <c r="N156" s="7">
        <f t="shared" si="87"/>
        <v>0</v>
      </c>
      <c r="O156" s="8">
        <f t="shared" ref="O156:O159" si="98">I156*$O$5</f>
        <v>0</v>
      </c>
      <c r="P156" s="7">
        <f t="shared" si="88"/>
        <v>0</v>
      </c>
      <c r="Q156" s="7">
        <f t="shared" si="89"/>
        <v>0</v>
      </c>
      <c r="R156" s="7">
        <f t="shared" si="90"/>
        <v>0</v>
      </c>
      <c r="S156" s="7">
        <f t="shared" si="91"/>
        <v>0</v>
      </c>
    </row>
    <row r="157" spans="3:19" ht="12">
      <c r="C157" s="369"/>
      <c r="D157" s="840">
        <f>'Payroll 19-20'!D157</f>
        <v>0</v>
      </c>
      <c r="E157" s="840">
        <f>'Payroll 19-20'!E157*(1+'Revenue Inputs'!O$27)</f>
        <v>0</v>
      </c>
      <c r="F157" s="828">
        <f>'Payroll 19-20'!F157*(1+$I$4)</f>
        <v>0</v>
      </c>
      <c r="G157" s="322">
        <f>'Payroll 19-20'!G157</f>
        <v>0</v>
      </c>
      <c r="H157" s="319">
        <f>'Payroll 19-20'!H157</f>
        <v>0</v>
      </c>
      <c r="I157" s="320">
        <f t="shared" si="84"/>
        <v>0</v>
      </c>
      <c r="J157" s="7">
        <f t="shared" si="85"/>
        <v>0</v>
      </c>
      <c r="K157" s="7">
        <f t="shared" si="86"/>
        <v>0</v>
      </c>
      <c r="L157" s="7"/>
      <c r="M157" s="8" t="s">
        <v>75</v>
      </c>
      <c r="N157" s="7">
        <f t="shared" si="87"/>
        <v>0</v>
      </c>
      <c r="O157" s="8">
        <f t="shared" si="98"/>
        <v>0</v>
      </c>
      <c r="P157" s="7">
        <f t="shared" si="88"/>
        <v>0</v>
      </c>
      <c r="Q157" s="7">
        <f t="shared" si="89"/>
        <v>0</v>
      </c>
      <c r="R157" s="7">
        <f t="shared" si="90"/>
        <v>0</v>
      </c>
      <c r="S157" s="7">
        <f>S$5*$I157</f>
        <v>0</v>
      </c>
    </row>
    <row r="158" spans="3:19" ht="12">
      <c r="C158" s="369"/>
      <c r="D158" s="840">
        <f>'Payroll 19-20'!D158</f>
        <v>0</v>
      </c>
      <c r="E158" s="840">
        <f>'Payroll 19-20'!E158*(1+'Revenue Inputs'!O$27)</f>
        <v>0</v>
      </c>
      <c r="F158" s="828">
        <f>'Payroll 19-20'!F158*(1+$I$4)</f>
        <v>0</v>
      </c>
      <c r="G158" s="322">
        <f>'Payroll 19-20'!G158</f>
        <v>0</v>
      </c>
      <c r="H158" s="319">
        <f>'Payroll 19-20'!H158</f>
        <v>0</v>
      </c>
      <c r="I158" s="320">
        <f t="shared" si="84"/>
        <v>0</v>
      </c>
      <c r="J158" s="7">
        <f t="shared" si="85"/>
        <v>0</v>
      </c>
      <c r="K158" s="7">
        <f t="shared" si="86"/>
        <v>0</v>
      </c>
      <c r="L158" s="7"/>
      <c r="M158" s="8" t="s">
        <v>75</v>
      </c>
      <c r="N158" s="7">
        <f t="shared" si="87"/>
        <v>0</v>
      </c>
      <c r="O158" s="8">
        <f t="shared" si="98"/>
        <v>0</v>
      </c>
      <c r="P158" s="7">
        <f t="shared" si="88"/>
        <v>0</v>
      </c>
      <c r="Q158" s="7">
        <f t="shared" si="89"/>
        <v>0</v>
      </c>
      <c r="R158" s="7">
        <f t="shared" si="90"/>
        <v>0</v>
      </c>
      <c r="S158" s="7">
        <f>S$5*$I158</f>
        <v>0</v>
      </c>
    </row>
    <row r="159" spans="3:19" ht="12">
      <c r="C159" s="368"/>
      <c r="D159" s="840">
        <f>'Payroll 19-20'!D159</f>
        <v>0</v>
      </c>
      <c r="E159" s="840">
        <f>'Payroll 19-20'!E159*(1+'Revenue Inputs'!O$27)</f>
        <v>0</v>
      </c>
      <c r="F159" s="828">
        <f>'Payroll 19-20'!F159*(1+$I$4)</f>
        <v>0</v>
      </c>
      <c r="G159" s="322">
        <f>'Payroll 19-20'!G159</f>
        <v>0</v>
      </c>
      <c r="H159" s="319">
        <f>'Payroll 19-20'!H159</f>
        <v>0</v>
      </c>
      <c r="I159" s="320">
        <f t="shared" si="84"/>
        <v>0</v>
      </c>
      <c r="J159" s="7">
        <f t="shared" si="85"/>
        <v>0</v>
      </c>
      <c r="K159" s="7">
        <f t="shared" si="86"/>
        <v>0</v>
      </c>
      <c r="L159" s="7"/>
      <c r="M159" s="8" t="s">
        <v>75</v>
      </c>
      <c r="N159" s="7">
        <f t="shared" si="87"/>
        <v>0</v>
      </c>
      <c r="O159" s="8">
        <f t="shared" si="98"/>
        <v>0</v>
      </c>
      <c r="P159" s="7">
        <f t="shared" si="88"/>
        <v>0</v>
      </c>
      <c r="Q159" s="7">
        <f t="shared" si="89"/>
        <v>0</v>
      </c>
      <c r="R159" s="7">
        <f t="shared" si="90"/>
        <v>0</v>
      </c>
      <c r="S159" s="7">
        <f t="shared" si="91"/>
        <v>0</v>
      </c>
    </row>
    <row r="160" spans="3:19" ht="12">
      <c r="C160" s="369"/>
      <c r="D160" s="840">
        <f>'Payroll 19-20'!D160</f>
        <v>0</v>
      </c>
      <c r="E160" s="840">
        <f>'Payroll 19-20'!E160*(1+'Revenue Inputs'!O$27)</f>
        <v>0</v>
      </c>
      <c r="F160" s="828">
        <f>'Payroll 19-20'!F160*(1+$I$4)</f>
        <v>0</v>
      </c>
      <c r="G160" s="322">
        <f>'Payroll 19-20'!G160</f>
        <v>0</v>
      </c>
      <c r="H160" s="319">
        <f>'Payroll 19-20'!H160</f>
        <v>0</v>
      </c>
      <c r="I160" s="320">
        <f t="shared" si="84"/>
        <v>0</v>
      </c>
      <c r="J160" s="7">
        <f t="shared" si="85"/>
        <v>0</v>
      </c>
      <c r="K160" s="7">
        <f t="shared" si="86"/>
        <v>0</v>
      </c>
      <c r="L160" s="7"/>
      <c r="M160" s="8" t="s">
        <v>75</v>
      </c>
      <c r="N160" s="7">
        <f t="shared" si="87"/>
        <v>0</v>
      </c>
      <c r="O160" s="8">
        <f>I160*$O$5</f>
        <v>0</v>
      </c>
      <c r="P160" s="7">
        <f t="shared" si="88"/>
        <v>0</v>
      </c>
      <c r="Q160" s="7">
        <f t="shared" si="89"/>
        <v>0</v>
      </c>
      <c r="R160" s="7">
        <f t="shared" si="90"/>
        <v>0</v>
      </c>
      <c r="S160" s="7">
        <f t="shared" si="91"/>
        <v>0</v>
      </c>
    </row>
    <row r="161" spans="3:19" ht="12">
      <c r="C161" s="369"/>
      <c r="D161" s="840">
        <f>'Payroll 19-20'!D161</f>
        <v>0</v>
      </c>
      <c r="E161" s="840">
        <f>'Payroll 19-20'!E161*(1+'Revenue Inputs'!O$27)</f>
        <v>0</v>
      </c>
      <c r="F161" s="828">
        <f>'Payroll 19-20'!F161*(1+$I$4)</f>
        <v>0</v>
      </c>
      <c r="G161" s="322">
        <f>'Payroll 19-20'!G161</f>
        <v>0</v>
      </c>
      <c r="H161" s="319">
        <f>'Payroll 19-20'!H161</f>
        <v>0</v>
      </c>
      <c r="I161" s="320">
        <f t="shared" si="84"/>
        <v>0</v>
      </c>
      <c r="J161" s="7">
        <f t="shared" si="85"/>
        <v>0</v>
      </c>
      <c r="K161" s="7">
        <f t="shared" si="86"/>
        <v>0</v>
      </c>
      <c r="L161" s="7"/>
      <c r="M161" s="8" t="s">
        <v>75</v>
      </c>
      <c r="N161" s="7">
        <f t="shared" si="87"/>
        <v>0</v>
      </c>
      <c r="O161" s="8">
        <f t="shared" ref="O161:O164" si="99">I161*$O$5</f>
        <v>0</v>
      </c>
      <c r="P161" s="7">
        <f t="shared" si="88"/>
        <v>0</v>
      </c>
      <c r="Q161" s="7">
        <f t="shared" si="89"/>
        <v>0</v>
      </c>
      <c r="R161" s="7">
        <f t="shared" si="90"/>
        <v>0</v>
      </c>
      <c r="S161" s="7">
        <f t="shared" si="91"/>
        <v>0</v>
      </c>
    </row>
    <row r="162" spans="3:19" ht="12">
      <c r="C162" s="369"/>
      <c r="D162" s="840">
        <f>'Payroll 19-20'!D162</f>
        <v>0</v>
      </c>
      <c r="E162" s="840">
        <f>'Payroll 19-20'!E162*(1+'Revenue Inputs'!O$27)</f>
        <v>0</v>
      </c>
      <c r="F162" s="828">
        <f>'Payroll 19-20'!F162*(1+$I$4)</f>
        <v>0</v>
      </c>
      <c r="G162" s="322">
        <f>'Payroll 19-20'!G162</f>
        <v>0</v>
      </c>
      <c r="H162" s="319">
        <f>'Payroll 19-20'!H162</f>
        <v>0</v>
      </c>
      <c r="I162" s="320">
        <f t="shared" si="84"/>
        <v>0</v>
      </c>
      <c r="J162" s="7">
        <f t="shared" si="85"/>
        <v>0</v>
      </c>
      <c r="K162" s="7">
        <f t="shared" si="86"/>
        <v>0</v>
      </c>
      <c r="L162" s="7"/>
      <c r="M162" s="8" t="s">
        <v>75</v>
      </c>
      <c r="N162" s="7">
        <f t="shared" si="87"/>
        <v>0</v>
      </c>
      <c r="O162" s="8">
        <f t="shared" si="99"/>
        <v>0</v>
      </c>
      <c r="P162" s="7">
        <f t="shared" si="88"/>
        <v>0</v>
      </c>
      <c r="Q162" s="7">
        <f t="shared" si="89"/>
        <v>0</v>
      </c>
      <c r="R162" s="7">
        <f t="shared" si="90"/>
        <v>0</v>
      </c>
      <c r="S162" s="7">
        <f>S$5*$I162</f>
        <v>0</v>
      </c>
    </row>
    <row r="163" spans="3:19" ht="12">
      <c r="C163" s="369"/>
      <c r="D163" s="840">
        <f>'Payroll 19-20'!D163</f>
        <v>0</v>
      </c>
      <c r="E163" s="840">
        <f>'Payroll 19-20'!E163*(1+'Revenue Inputs'!O$27)</f>
        <v>0</v>
      </c>
      <c r="F163" s="828">
        <f>'Payroll 19-20'!F163*(1+$I$4)</f>
        <v>0</v>
      </c>
      <c r="G163" s="322">
        <f>'Payroll 19-20'!G163</f>
        <v>0</v>
      </c>
      <c r="H163" s="319">
        <f>'Payroll 19-20'!H163</f>
        <v>0</v>
      </c>
      <c r="I163" s="320">
        <f t="shared" si="84"/>
        <v>0</v>
      </c>
      <c r="J163" s="7">
        <f t="shared" si="85"/>
        <v>0</v>
      </c>
      <c r="K163" s="7">
        <f t="shared" si="86"/>
        <v>0</v>
      </c>
      <c r="L163" s="7"/>
      <c r="M163" s="8" t="s">
        <v>75</v>
      </c>
      <c r="N163" s="7">
        <f t="shared" si="87"/>
        <v>0</v>
      </c>
      <c r="O163" s="8">
        <f t="shared" si="99"/>
        <v>0</v>
      </c>
      <c r="P163" s="7">
        <f t="shared" si="88"/>
        <v>0</v>
      </c>
      <c r="Q163" s="7">
        <f t="shared" si="89"/>
        <v>0</v>
      </c>
      <c r="R163" s="7">
        <f t="shared" si="90"/>
        <v>0</v>
      </c>
      <c r="S163" s="7">
        <f>S$5*$I163</f>
        <v>0</v>
      </c>
    </row>
    <row r="164" spans="3:19" ht="12">
      <c r="C164" s="368"/>
      <c r="D164" s="840">
        <f>'Payroll 19-20'!D164</f>
        <v>0</v>
      </c>
      <c r="E164" s="840">
        <f>'Payroll 19-20'!E164*(1+'Revenue Inputs'!O$27)</f>
        <v>0</v>
      </c>
      <c r="F164" s="828">
        <f>'Payroll 19-20'!F164*(1+$I$4)</f>
        <v>0</v>
      </c>
      <c r="G164" s="322">
        <f>'Payroll 19-20'!G164</f>
        <v>0</v>
      </c>
      <c r="H164" s="319">
        <f>'Payroll 19-20'!H164</f>
        <v>0</v>
      </c>
      <c r="I164" s="320">
        <f t="shared" si="84"/>
        <v>0</v>
      </c>
      <c r="J164" s="7">
        <f t="shared" si="85"/>
        <v>0</v>
      </c>
      <c r="K164" s="7">
        <f t="shared" si="86"/>
        <v>0</v>
      </c>
      <c r="L164" s="7"/>
      <c r="M164" s="8" t="s">
        <v>75</v>
      </c>
      <c r="N164" s="7">
        <f t="shared" si="87"/>
        <v>0</v>
      </c>
      <c r="O164" s="8">
        <f t="shared" si="99"/>
        <v>0</v>
      </c>
      <c r="P164" s="7">
        <f t="shared" si="88"/>
        <v>0</v>
      </c>
      <c r="Q164" s="7">
        <f t="shared" si="89"/>
        <v>0</v>
      </c>
      <c r="R164" s="7">
        <f t="shared" si="90"/>
        <v>0</v>
      </c>
      <c r="S164" s="7">
        <f t="shared" si="91"/>
        <v>0</v>
      </c>
    </row>
    <row r="165" spans="3:19" ht="13" thickBot="1">
      <c r="C165" s="368"/>
      <c r="D165" s="841"/>
      <c r="E165" s="841"/>
      <c r="F165" s="841"/>
      <c r="G165" s="28"/>
      <c r="H165" s="427"/>
      <c r="I165" s="337"/>
      <c r="J165" s="40"/>
      <c r="K165" s="40"/>
      <c r="L165" s="40"/>
      <c r="M165" s="40"/>
      <c r="N165" s="40"/>
      <c r="O165" s="40"/>
      <c r="P165" s="40"/>
      <c r="Q165" s="40"/>
      <c r="R165" s="40"/>
      <c r="S165" s="40"/>
    </row>
    <row r="166" spans="3:19" s="41" customFormat="1" ht="13" thickBot="1">
      <c r="C166" s="368"/>
      <c r="D166" s="847"/>
      <c r="E166" s="847"/>
      <c r="F166" s="834"/>
      <c r="G166" s="49"/>
      <c r="H166" s="333">
        <v>2100</v>
      </c>
      <c r="I166" s="10">
        <f>SUM(I146:I165)</f>
        <v>331304.11599999998</v>
      </c>
      <c r="J166" s="10">
        <f>SUM(J146:J165)</f>
        <v>78283.022498000006</v>
      </c>
      <c r="K166" s="10">
        <f>SUM(K146:K165)</f>
        <v>409587.13849799999</v>
      </c>
      <c r="L166" s="11"/>
      <c r="M166" s="10">
        <f t="shared" ref="M166:S166" si="100">SUM(M146:M165)</f>
        <v>0</v>
      </c>
      <c r="N166" s="10">
        <f t="shared" si="100"/>
        <v>0</v>
      </c>
      <c r="O166" s="10">
        <f t="shared" si="100"/>
        <v>20540.855192000003</v>
      </c>
      <c r="P166" s="10">
        <f t="shared" si="100"/>
        <v>4803.9096820000004</v>
      </c>
      <c r="Q166" s="10">
        <f t="shared" si="100"/>
        <v>45360.000000000007</v>
      </c>
      <c r="R166" s="10">
        <f t="shared" si="100"/>
        <v>2940.0000000000005</v>
      </c>
      <c r="S166" s="10">
        <f t="shared" si="100"/>
        <v>4638.2576239999999</v>
      </c>
    </row>
    <row r="167" spans="3:19" ht="12" customHeight="1">
      <c r="C167" s="369" t="s">
        <v>21</v>
      </c>
      <c r="D167" s="848"/>
      <c r="E167" s="848"/>
      <c r="F167" s="835"/>
      <c r="G167" s="28"/>
      <c r="H167" s="35"/>
      <c r="I167" s="7"/>
      <c r="J167" s="7"/>
      <c r="K167" s="7"/>
      <c r="L167" s="7"/>
      <c r="M167" s="36"/>
      <c r="N167" s="36"/>
      <c r="O167" s="36"/>
      <c r="P167" s="36"/>
      <c r="Q167" s="36"/>
      <c r="R167" s="36"/>
      <c r="S167" s="36"/>
    </row>
    <row r="168" spans="3:19" ht="12">
      <c r="C168" s="369"/>
      <c r="D168" s="840">
        <f>'Payroll 19-20'!D168</f>
        <v>0</v>
      </c>
      <c r="E168" s="840">
        <f>'Payroll 19-20'!E168*(1+'Revenue Inputs'!O$27)</f>
        <v>0</v>
      </c>
      <c r="F168" s="828">
        <f>'Payroll 19-20'!F168*(1+$I$4)</f>
        <v>0</v>
      </c>
      <c r="G168" s="322">
        <f>'Payroll 19-20'!G168</f>
        <v>0</v>
      </c>
      <c r="H168" s="319">
        <f>'Payroll 19-20'!H168</f>
        <v>0</v>
      </c>
      <c r="I168" s="320">
        <f t="shared" ref="I168:I186" si="101">F168*E168</f>
        <v>0</v>
      </c>
      <c r="J168" s="7">
        <f t="shared" ref="J168:J186" si="102">SUM(M168:S168)</f>
        <v>0</v>
      </c>
      <c r="K168" s="7">
        <f t="shared" ref="K168:K186" si="103">SUM(I168:J168)</f>
        <v>0</v>
      </c>
      <c r="L168" s="7"/>
      <c r="M168" s="8" t="s">
        <v>75</v>
      </c>
      <c r="N168" s="7">
        <f t="shared" ref="N168:N186" si="104">I168*$N$5</f>
        <v>0</v>
      </c>
      <c r="O168" s="8">
        <f t="shared" ref="O168:O186" si="105">I168*$O$5</f>
        <v>0</v>
      </c>
      <c r="P168" s="7">
        <f t="shared" ref="P168:P186" si="106">I168*$P$5</f>
        <v>0</v>
      </c>
      <c r="Q168" s="7">
        <f t="shared" ref="Q168:Q186" si="107">IF(H168="y", $Q$5*E168, 0)</f>
        <v>0</v>
      </c>
      <c r="R168" s="7">
        <f t="shared" ref="R168:R186" si="108">IF($I168&gt;7000,7000*R$5,$I168*R$5)*E168</f>
        <v>0</v>
      </c>
      <c r="S168" s="7">
        <f t="shared" ref="S168:S186" si="109">S$5*$I168</f>
        <v>0</v>
      </c>
    </row>
    <row r="169" spans="3:19" ht="12">
      <c r="C169" s="369"/>
      <c r="D169" s="840">
        <f>'Payroll 19-20'!D169</f>
        <v>0</v>
      </c>
      <c r="E169" s="840">
        <f>'Payroll 19-20'!E169*(1+'Revenue Inputs'!O$27)</f>
        <v>0</v>
      </c>
      <c r="F169" s="828">
        <f>'Payroll 19-20'!F169*(1+$I$4)</f>
        <v>0</v>
      </c>
      <c r="G169" s="322">
        <f>'Payroll 19-20'!G169</f>
        <v>0</v>
      </c>
      <c r="H169" s="319">
        <f>'Payroll 19-20'!H169</f>
        <v>0</v>
      </c>
      <c r="I169" s="320">
        <f t="shared" si="101"/>
        <v>0</v>
      </c>
      <c r="J169" s="7">
        <f>SUM(M169:S169)</f>
        <v>0</v>
      </c>
      <c r="K169" s="7">
        <f>SUM(I169:J169)</f>
        <v>0</v>
      </c>
      <c r="L169" s="7"/>
      <c r="M169" s="8" t="s">
        <v>75</v>
      </c>
      <c r="N169" s="7">
        <f>I169*$N$5</f>
        <v>0</v>
      </c>
      <c r="O169" s="8">
        <f>I169*$O$5</f>
        <v>0</v>
      </c>
      <c r="P169" s="7">
        <f>I169*$P$5</f>
        <v>0</v>
      </c>
      <c r="Q169" s="7">
        <f t="shared" si="107"/>
        <v>0</v>
      </c>
      <c r="R169" s="7">
        <f t="shared" si="108"/>
        <v>0</v>
      </c>
      <c r="S169" s="7">
        <f>S$5*$I169</f>
        <v>0</v>
      </c>
    </row>
    <row r="170" spans="3:19" ht="12">
      <c r="C170" s="369"/>
      <c r="D170" s="840">
        <f>'Payroll 19-20'!D170</f>
        <v>0</v>
      </c>
      <c r="E170" s="840">
        <f>'Payroll 19-20'!E170*(1+'Revenue Inputs'!O$27)</f>
        <v>0</v>
      </c>
      <c r="F170" s="828">
        <f>'Payroll 19-20'!F170*(1+$I$4)</f>
        <v>0</v>
      </c>
      <c r="G170" s="322">
        <f>'Payroll 19-20'!G170</f>
        <v>0</v>
      </c>
      <c r="H170" s="319">
        <f>'Payroll 19-20'!H170</f>
        <v>0</v>
      </c>
      <c r="I170" s="320">
        <f t="shared" si="101"/>
        <v>0</v>
      </c>
      <c r="J170" s="7">
        <f t="shared" ref="J170:J177" si="110">SUM(M170:S170)</f>
        <v>0</v>
      </c>
      <c r="K170" s="7">
        <f t="shared" ref="K170:K177" si="111">SUM(I170:J170)</f>
        <v>0</v>
      </c>
      <c r="L170" s="7"/>
      <c r="M170" s="8" t="s">
        <v>75</v>
      </c>
      <c r="N170" s="7">
        <f t="shared" ref="N170:N177" si="112">I170*$N$5</f>
        <v>0</v>
      </c>
      <c r="O170" s="8">
        <f t="shared" ref="O170:O177" si="113">I170*$O$5</f>
        <v>0</v>
      </c>
      <c r="P170" s="7">
        <f t="shared" ref="P170:P177" si="114">I170*$P$5</f>
        <v>0</v>
      </c>
      <c r="Q170" s="7">
        <f t="shared" si="107"/>
        <v>0</v>
      </c>
      <c r="R170" s="7">
        <f t="shared" si="108"/>
        <v>0</v>
      </c>
      <c r="S170" s="7">
        <f t="shared" si="109"/>
        <v>0</v>
      </c>
    </row>
    <row r="171" spans="3:19" ht="12">
      <c r="C171" s="369"/>
      <c r="D171" s="840">
        <f>'Payroll 19-20'!D171</f>
        <v>0</v>
      </c>
      <c r="E171" s="840">
        <f>'Payroll 19-20'!E171*(1+'Revenue Inputs'!O$27)</f>
        <v>0</v>
      </c>
      <c r="F171" s="828">
        <f>'Payroll 19-20'!F171*(1+$I$4)</f>
        <v>0</v>
      </c>
      <c r="G171" s="322">
        <f>'Payroll 19-20'!G171</f>
        <v>0</v>
      </c>
      <c r="H171" s="319">
        <f>'Payroll 19-20'!H171</f>
        <v>0</v>
      </c>
      <c r="I171" s="320">
        <f t="shared" si="101"/>
        <v>0</v>
      </c>
      <c r="J171" s="7">
        <f t="shared" si="110"/>
        <v>0</v>
      </c>
      <c r="K171" s="7">
        <f t="shared" si="111"/>
        <v>0</v>
      </c>
      <c r="L171" s="7"/>
      <c r="M171" s="8" t="s">
        <v>75</v>
      </c>
      <c r="N171" s="7">
        <f t="shared" si="112"/>
        <v>0</v>
      </c>
      <c r="O171" s="8">
        <f t="shared" si="113"/>
        <v>0</v>
      </c>
      <c r="P171" s="7">
        <f t="shared" si="114"/>
        <v>0</v>
      </c>
      <c r="Q171" s="7">
        <f t="shared" si="107"/>
        <v>0</v>
      </c>
      <c r="R171" s="7">
        <f t="shared" si="108"/>
        <v>0</v>
      </c>
      <c r="S171" s="7">
        <f t="shared" si="109"/>
        <v>0</v>
      </c>
    </row>
    <row r="172" spans="3:19" ht="12">
      <c r="C172" s="368"/>
      <c r="D172" s="840">
        <f>'Payroll 19-20'!D172</f>
        <v>0</v>
      </c>
      <c r="E172" s="840">
        <f>'Payroll 19-20'!E172*(1+'Revenue Inputs'!O$27)</f>
        <v>0</v>
      </c>
      <c r="F172" s="828">
        <f>'Payroll 19-20'!F172*(1+$I$4)</f>
        <v>0</v>
      </c>
      <c r="G172" s="322">
        <f>'Payroll 19-20'!G172</f>
        <v>0</v>
      </c>
      <c r="H172" s="319">
        <f>'Payroll 19-20'!H172</f>
        <v>0</v>
      </c>
      <c r="I172" s="320">
        <f t="shared" si="101"/>
        <v>0</v>
      </c>
      <c r="J172" s="7">
        <f t="shared" si="110"/>
        <v>0</v>
      </c>
      <c r="K172" s="7">
        <f t="shared" si="111"/>
        <v>0</v>
      </c>
      <c r="L172" s="7"/>
      <c r="M172" s="8" t="s">
        <v>75</v>
      </c>
      <c r="N172" s="7">
        <f t="shared" si="112"/>
        <v>0</v>
      </c>
      <c r="O172" s="8">
        <f t="shared" si="113"/>
        <v>0</v>
      </c>
      <c r="P172" s="7">
        <f t="shared" si="114"/>
        <v>0</v>
      </c>
      <c r="Q172" s="7">
        <f t="shared" si="107"/>
        <v>0</v>
      </c>
      <c r="R172" s="7">
        <f t="shared" si="108"/>
        <v>0</v>
      </c>
      <c r="S172" s="7">
        <f t="shared" si="109"/>
        <v>0</v>
      </c>
    </row>
    <row r="173" spans="3:19" ht="12">
      <c r="C173" s="369"/>
      <c r="D173" s="840">
        <f>'Payroll 19-20'!D173</f>
        <v>0</v>
      </c>
      <c r="E173" s="840">
        <f>'Payroll 19-20'!E173*(1+'Revenue Inputs'!O$27)</f>
        <v>0</v>
      </c>
      <c r="F173" s="828">
        <f>'Payroll 19-20'!F173*(1+$I$4)</f>
        <v>0</v>
      </c>
      <c r="G173" s="322">
        <f>'Payroll 19-20'!G173</f>
        <v>0</v>
      </c>
      <c r="H173" s="319">
        <f>'Payroll 19-20'!H173</f>
        <v>0</v>
      </c>
      <c r="I173" s="320">
        <f t="shared" si="101"/>
        <v>0</v>
      </c>
      <c r="J173" s="7">
        <f t="shared" si="110"/>
        <v>0</v>
      </c>
      <c r="K173" s="7">
        <f t="shared" si="111"/>
        <v>0</v>
      </c>
      <c r="L173" s="7"/>
      <c r="M173" s="8" t="s">
        <v>75</v>
      </c>
      <c r="N173" s="7">
        <f t="shared" si="112"/>
        <v>0</v>
      </c>
      <c r="O173" s="8">
        <f t="shared" si="113"/>
        <v>0</v>
      </c>
      <c r="P173" s="7">
        <f t="shared" si="114"/>
        <v>0</v>
      </c>
      <c r="Q173" s="7">
        <f t="shared" si="107"/>
        <v>0</v>
      </c>
      <c r="R173" s="7">
        <f t="shared" si="108"/>
        <v>0</v>
      </c>
      <c r="S173" s="7">
        <f t="shared" si="109"/>
        <v>0</v>
      </c>
    </row>
    <row r="174" spans="3:19" ht="12">
      <c r="C174" s="369"/>
      <c r="D174" s="840">
        <f>'Payroll 19-20'!D174</f>
        <v>0</v>
      </c>
      <c r="E174" s="840">
        <f>'Payroll 19-20'!E174*(1+'Revenue Inputs'!O$27)</f>
        <v>0</v>
      </c>
      <c r="F174" s="828">
        <f>'Payroll 19-20'!F174*(1+$I$4)</f>
        <v>0</v>
      </c>
      <c r="G174" s="322">
        <f>'Payroll 19-20'!G174</f>
        <v>0</v>
      </c>
      <c r="H174" s="319">
        <f>'Payroll 19-20'!H174</f>
        <v>0</v>
      </c>
      <c r="I174" s="320">
        <f t="shared" si="101"/>
        <v>0</v>
      </c>
      <c r="J174" s="7">
        <f t="shared" si="110"/>
        <v>0</v>
      </c>
      <c r="K174" s="7">
        <f t="shared" si="111"/>
        <v>0</v>
      </c>
      <c r="L174" s="7"/>
      <c r="M174" s="8" t="s">
        <v>75</v>
      </c>
      <c r="N174" s="7">
        <f t="shared" si="112"/>
        <v>0</v>
      </c>
      <c r="O174" s="8">
        <f t="shared" si="113"/>
        <v>0</v>
      </c>
      <c r="P174" s="7">
        <f t="shared" si="114"/>
        <v>0</v>
      </c>
      <c r="Q174" s="7">
        <f t="shared" si="107"/>
        <v>0</v>
      </c>
      <c r="R174" s="7">
        <f t="shared" si="108"/>
        <v>0</v>
      </c>
      <c r="S174" s="7">
        <f t="shared" si="109"/>
        <v>0</v>
      </c>
    </row>
    <row r="175" spans="3:19" ht="12">
      <c r="C175" s="369"/>
      <c r="D175" s="840">
        <f>'Payroll 19-20'!D175</f>
        <v>0</v>
      </c>
      <c r="E175" s="840">
        <f>'Payroll 19-20'!E175*(1+'Revenue Inputs'!O$27)</f>
        <v>0</v>
      </c>
      <c r="F175" s="828">
        <f>'Payroll 19-20'!F175*(1+$I$4)</f>
        <v>0</v>
      </c>
      <c r="G175" s="322">
        <f>'Payroll 19-20'!G175</f>
        <v>0</v>
      </c>
      <c r="H175" s="319">
        <f>'Payroll 19-20'!H175</f>
        <v>0</v>
      </c>
      <c r="I175" s="320">
        <f t="shared" si="101"/>
        <v>0</v>
      </c>
      <c r="J175" s="7">
        <f t="shared" si="110"/>
        <v>0</v>
      </c>
      <c r="K175" s="7">
        <f t="shared" si="111"/>
        <v>0</v>
      </c>
      <c r="L175" s="7"/>
      <c r="M175" s="8" t="s">
        <v>75</v>
      </c>
      <c r="N175" s="7">
        <f t="shared" si="112"/>
        <v>0</v>
      </c>
      <c r="O175" s="8">
        <f t="shared" si="113"/>
        <v>0</v>
      </c>
      <c r="P175" s="7">
        <f t="shared" si="114"/>
        <v>0</v>
      </c>
      <c r="Q175" s="7">
        <f t="shared" si="107"/>
        <v>0</v>
      </c>
      <c r="R175" s="7">
        <f t="shared" si="108"/>
        <v>0</v>
      </c>
      <c r="S175" s="7">
        <f t="shared" si="109"/>
        <v>0</v>
      </c>
    </row>
    <row r="176" spans="3:19" ht="12">
      <c r="C176" s="369"/>
      <c r="D176" s="840">
        <f>'Payroll 19-20'!D176</f>
        <v>0</v>
      </c>
      <c r="E176" s="840">
        <f>'Payroll 19-20'!E176*(1+'Revenue Inputs'!O$27)</f>
        <v>0</v>
      </c>
      <c r="F176" s="828">
        <f>'Payroll 19-20'!F176*(1+$I$4)</f>
        <v>0</v>
      </c>
      <c r="G176" s="322">
        <f>'Payroll 19-20'!G176</f>
        <v>0</v>
      </c>
      <c r="H176" s="319">
        <f>'Payroll 19-20'!H176</f>
        <v>0</v>
      </c>
      <c r="I176" s="320">
        <f t="shared" si="101"/>
        <v>0</v>
      </c>
      <c r="J176" s="7">
        <f t="shared" si="110"/>
        <v>0</v>
      </c>
      <c r="K176" s="7">
        <f t="shared" si="111"/>
        <v>0</v>
      </c>
      <c r="L176" s="7"/>
      <c r="M176" s="8" t="s">
        <v>75</v>
      </c>
      <c r="N176" s="7">
        <f t="shared" si="112"/>
        <v>0</v>
      </c>
      <c r="O176" s="8">
        <f t="shared" si="113"/>
        <v>0</v>
      </c>
      <c r="P176" s="7">
        <f t="shared" si="114"/>
        <v>0</v>
      </c>
      <c r="Q176" s="7">
        <f t="shared" si="107"/>
        <v>0</v>
      </c>
      <c r="R176" s="7">
        <f t="shared" si="108"/>
        <v>0</v>
      </c>
      <c r="S176" s="7">
        <f t="shared" si="109"/>
        <v>0</v>
      </c>
    </row>
    <row r="177" spans="3:19" ht="12">
      <c r="C177" s="368"/>
      <c r="D177" s="840">
        <f>'Payroll 19-20'!D177</f>
        <v>0</v>
      </c>
      <c r="E177" s="840">
        <f>'Payroll 19-20'!E177*(1+'Revenue Inputs'!O$27)</f>
        <v>0</v>
      </c>
      <c r="F177" s="828">
        <f>'Payroll 19-20'!F177*(1+$I$4)</f>
        <v>0</v>
      </c>
      <c r="G177" s="322">
        <f>'Payroll 19-20'!G177</f>
        <v>0</v>
      </c>
      <c r="H177" s="319">
        <f>'Payroll 19-20'!H177</f>
        <v>0</v>
      </c>
      <c r="I177" s="320">
        <f t="shared" si="101"/>
        <v>0</v>
      </c>
      <c r="J177" s="7">
        <f t="shared" si="110"/>
        <v>0</v>
      </c>
      <c r="K177" s="7">
        <f t="shared" si="111"/>
        <v>0</v>
      </c>
      <c r="L177" s="7"/>
      <c r="M177" s="8" t="s">
        <v>75</v>
      </c>
      <c r="N177" s="7">
        <f t="shared" si="112"/>
        <v>0</v>
      </c>
      <c r="O177" s="8">
        <f t="shared" si="113"/>
        <v>0</v>
      </c>
      <c r="P177" s="7">
        <f t="shared" si="114"/>
        <v>0</v>
      </c>
      <c r="Q177" s="7">
        <f t="shared" si="107"/>
        <v>0</v>
      </c>
      <c r="R177" s="7">
        <f t="shared" si="108"/>
        <v>0</v>
      </c>
      <c r="S177" s="7">
        <f t="shared" si="109"/>
        <v>0</v>
      </c>
    </row>
    <row r="178" spans="3:19" ht="12">
      <c r="C178" s="369"/>
      <c r="D178" s="840">
        <f>'Payroll 19-20'!D178</f>
        <v>0</v>
      </c>
      <c r="E178" s="840">
        <f>'Payroll 19-20'!E178*(1+'Revenue Inputs'!O$27)</f>
        <v>0</v>
      </c>
      <c r="F178" s="828">
        <f>'Payroll 19-20'!F178*(1+$I$4)</f>
        <v>0</v>
      </c>
      <c r="G178" s="322">
        <f>'Payroll 19-20'!G178</f>
        <v>0</v>
      </c>
      <c r="H178" s="319">
        <f>'Payroll 19-20'!H178</f>
        <v>0</v>
      </c>
      <c r="I178" s="320">
        <f t="shared" si="101"/>
        <v>0</v>
      </c>
      <c r="J178" s="7">
        <f>SUM(M178:S178)</f>
        <v>0</v>
      </c>
      <c r="K178" s="7">
        <f>SUM(I178:J178)</f>
        <v>0</v>
      </c>
      <c r="L178" s="7"/>
      <c r="M178" s="8" t="s">
        <v>75</v>
      </c>
      <c r="N178" s="7">
        <f>I178*$N$5</f>
        <v>0</v>
      </c>
      <c r="O178" s="8">
        <f>I178*$O$5</f>
        <v>0</v>
      </c>
      <c r="P178" s="7">
        <f>I178*$P$5</f>
        <v>0</v>
      </c>
      <c r="Q178" s="7">
        <f t="shared" si="107"/>
        <v>0</v>
      </c>
      <c r="R178" s="7">
        <f t="shared" si="108"/>
        <v>0</v>
      </c>
      <c r="S178" s="7">
        <f>S$5*$I178</f>
        <v>0</v>
      </c>
    </row>
    <row r="179" spans="3:19" ht="12">
      <c r="C179" s="369"/>
      <c r="D179" s="840">
        <f>'Payroll 19-20'!D179</f>
        <v>0</v>
      </c>
      <c r="E179" s="840">
        <f>'Payroll 19-20'!E179*(1+'Revenue Inputs'!O$27)</f>
        <v>0</v>
      </c>
      <c r="F179" s="828">
        <f>'Payroll 19-20'!F179*(1+$I$4)</f>
        <v>0</v>
      </c>
      <c r="G179" s="322">
        <f>'Payroll 19-20'!G179</f>
        <v>0</v>
      </c>
      <c r="H179" s="319">
        <f>'Payroll 19-20'!H179</f>
        <v>0</v>
      </c>
      <c r="I179" s="320">
        <f t="shared" si="101"/>
        <v>0</v>
      </c>
      <c r="J179" s="7">
        <f t="shared" si="102"/>
        <v>0</v>
      </c>
      <c r="K179" s="7">
        <f t="shared" si="103"/>
        <v>0</v>
      </c>
      <c r="L179" s="7"/>
      <c r="M179" s="8" t="s">
        <v>75</v>
      </c>
      <c r="N179" s="7">
        <f t="shared" si="104"/>
        <v>0</v>
      </c>
      <c r="O179" s="8">
        <f t="shared" si="105"/>
        <v>0</v>
      </c>
      <c r="P179" s="7">
        <f t="shared" si="106"/>
        <v>0</v>
      </c>
      <c r="Q179" s="7">
        <f t="shared" si="107"/>
        <v>0</v>
      </c>
      <c r="R179" s="7">
        <f t="shared" si="108"/>
        <v>0</v>
      </c>
      <c r="S179" s="7">
        <f t="shared" si="109"/>
        <v>0</v>
      </c>
    </row>
    <row r="180" spans="3:19" ht="12">
      <c r="C180" s="369"/>
      <c r="D180" s="840">
        <f>'Payroll 19-20'!D180</f>
        <v>0</v>
      </c>
      <c r="E180" s="840">
        <f>'Payroll 19-20'!E180*(1+'Revenue Inputs'!O$27)</f>
        <v>0</v>
      </c>
      <c r="F180" s="828">
        <f>'Payroll 19-20'!F180*(1+$I$4)</f>
        <v>0</v>
      </c>
      <c r="G180" s="322">
        <f>'Payroll 19-20'!G180</f>
        <v>0</v>
      </c>
      <c r="H180" s="319">
        <f>'Payroll 19-20'!H180</f>
        <v>0</v>
      </c>
      <c r="I180" s="320">
        <f t="shared" si="101"/>
        <v>0</v>
      </c>
      <c r="J180" s="7">
        <f t="shared" si="102"/>
        <v>0</v>
      </c>
      <c r="K180" s="7">
        <f t="shared" si="103"/>
        <v>0</v>
      </c>
      <c r="L180" s="7"/>
      <c r="M180" s="8" t="s">
        <v>75</v>
      </c>
      <c r="N180" s="7">
        <f t="shared" si="104"/>
        <v>0</v>
      </c>
      <c r="O180" s="8">
        <f t="shared" si="105"/>
        <v>0</v>
      </c>
      <c r="P180" s="7">
        <f t="shared" si="106"/>
        <v>0</v>
      </c>
      <c r="Q180" s="7">
        <f t="shared" si="107"/>
        <v>0</v>
      </c>
      <c r="R180" s="7">
        <f t="shared" si="108"/>
        <v>0</v>
      </c>
      <c r="S180" s="7">
        <f t="shared" si="109"/>
        <v>0</v>
      </c>
    </row>
    <row r="181" spans="3:19" ht="12">
      <c r="C181" s="368"/>
      <c r="D181" s="840">
        <f>'Payroll 19-20'!D181</f>
        <v>0</v>
      </c>
      <c r="E181" s="840">
        <f>'Payroll 19-20'!E181*(1+'Revenue Inputs'!O$27)</f>
        <v>0</v>
      </c>
      <c r="F181" s="828">
        <f>'Payroll 19-20'!F181*(1+$I$4)</f>
        <v>0</v>
      </c>
      <c r="G181" s="322">
        <f>'Payroll 19-20'!G181</f>
        <v>0</v>
      </c>
      <c r="H181" s="319">
        <f>'Payroll 19-20'!H181</f>
        <v>0</v>
      </c>
      <c r="I181" s="320">
        <f t="shared" si="101"/>
        <v>0</v>
      </c>
      <c r="J181" s="7">
        <f t="shared" si="102"/>
        <v>0</v>
      </c>
      <c r="K181" s="7">
        <f t="shared" si="103"/>
        <v>0</v>
      </c>
      <c r="L181" s="7"/>
      <c r="M181" s="8" t="s">
        <v>75</v>
      </c>
      <c r="N181" s="7">
        <f t="shared" si="104"/>
        <v>0</v>
      </c>
      <c r="O181" s="8">
        <f t="shared" si="105"/>
        <v>0</v>
      </c>
      <c r="P181" s="7">
        <f t="shared" si="106"/>
        <v>0</v>
      </c>
      <c r="Q181" s="7">
        <f t="shared" si="107"/>
        <v>0</v>
      </c>
      <c r="R181" s="7">
        <f t="shared" si="108"/>
        <v>0</v>
      </c>
      <c r="S181" s="7">
        <f t="shared" si="109"/>
        <v>0</v>
      </c>
    </row>
    <row r="182" spans="3:19" ht="12">
      <c r="C182" s="369"/>
      <c r="D182" s="840">
        <f>'Payroll 19-20'!D182</f>
        <v>0</v>
      </c>
      <c r="E182" s="840">
        <f>'Payroll 19-20'!E182*(1+'Revenue Inputs'!O$27)</f>
        <v>0</v>
      </c>
      <c r="F182" s="828">
        <f>'Payroll 19-20'!F182*(1+$I$4)</f>
        <v>0</v>
      </c>
      <c r="G182" s="322">
        <f>'Payroll 19-20'!G182</f>
        <v>0</v>
      </c>
      <c r="H182" s="319">
        <f>'Payroll 19-20'!H182</f>
        <v>0</v>
      </c>
      <c r="I182" s="320">
        <f t="shared" si="101"/>
        <v>0</v>
      </c>
      <c r="J182" s="7">
        <f t="shared" si="102"/>
        <v>0</v>
      </c>
      <c r="K182" s="7">
        <f t="shared" si="103"/>
        <v>0</v>
      </c>
      <c r="L182" s="7"/>
      <c r="M182" s="8" t="s">
        <v>75</v>
      </c>
      <c r="N182" s="7">
        <f t="shared" si="104"/>
        <v>0</v>
      </c>
      <c r="O182" s="8">
        <f t="shared" si="105"/>
        <v>0</v>
      </c>
      <c r="P182" s="7">
        <f t="shared" si="106"/>
        <v>0</v>
      </c>
      <c r="Q182" s="7">
        <f t="shared" si="107"/>
        <v>0</v>
      </c>
      <c r="R182" s="7">
        <f t="shared" si="108"/>
        <v>0</v>
      </c>
      <c r="S182" s="7">
        <f t="shared" si="109"/>
        <v>0</v>
      </c>
    </row>
    <row r="183" spans="3:19" ht="12">
      <c r="C183" s="369"/>
      <c r="D183" s="840">
        <f>'Payroll 19-20'!D183</f>
        <v>0</v>
      </c>
      <c r="E183" s="840">
        <f>'Payroll 19-20'!E183*(1+'Revenue Inputs'!O$27)</f>
        <v>0</v>
      </c>
      <c r="F183" s="828">
        <f>'Payroll 19-20'!F183*(1+$I$4)</f>
        <v>0</v>
      </c>
      <c r="G183" s="322">
        <f>'Payroll 19-20'!G183</f>
        <v>0</v>
      </c>
      <c r="H183" s="319">
        <f>'Payroll 19-20'!H183</f>
        <v>0</v>
      </c>
      <c r="I183" s="320">
        <f t="shared" si="101"/>
        <v>0</v>
      </c>
      <c r="J183" s="7">
        <f t="shared" si="102"/>
        <v>0</v>
      </c>
      <c r="K183" s="7">
        <f t="shared" si="103"/>
        <v>0</v>
      </c>
      <c r="L183" s="7"/>
      <c r="M183" s="8" t="s">
        <v>75</v>
      </c>
      <c r="N183" s="7">
        <f t="shared" si="104"/>
        <v>0</v>
      </c>
      <c r="O183" s="8">
        <f t="shared" si="105"/>
        <v>0</v>
      </c>
      <c r="P183" s="7">
        <f t="shared" si="106"/>
        <v>0</v>
      </c>
      <c r="Q183" s="7">
        <f t="shared" si="107"/>
        <v>0</v>
      </c>
      <c r="R183" s="7">
        <f t="shared" si="108"/>
        <v>0</v>
      </c>
      <c r="S183" s="7">
        <f t="shared" si="109"/>
        <v>0</v>
      </c>
    </row>
    <row r="184" spans="3:19" ht="12">
      <c r="C184" s="369"/>
      <c r="D184" s="840">
        <f>'Payroll 19-20'!D184</f>
        <v>0</v>
      </c>
      <c r="E184" s="840">
        <f>'Payroll 19-20'!E184*(1+'Revenue Inputs'!O$27)</f>
        <v>0</v>
      </c>
      <c r="F184" s="828">
        <f>'Payroll 19-20'!F184*(1+$I$4)</f>
        <v>0</v>
      </c>
      <c r="G184" s="322">
        <f>'Payroll 19-20'!G184</f>
        <v>0</v>
      </c>
      <c r="H184" s="319">
        <f>'Payroll 19-20'!H184</f>
        <v>0</v>
      </c>
      <c r="I184" s="320">
        <f t="shared" si="101"/>
        <v>0</v>
      </c>
      <c r="J184" s="7">
        <f t="shared" si="102"/>
        <v>0</v>
      </c>
      <c r="K184" s="7">
        <f t="shared" si="103"/>
        <v>0</v>
      </c>
      <c r="L184" s="7"/>
      <c r="M184" s="8" t="s">
        <v>75</v>
      </c>
      <c r="N184" s="7">
        <f t="shared" si="104"/>
        <v>0</v>
      </c>
      <c r="O184" s="8">
        <f t="shared" si="105"/>
        <v>0</v>
      </c>
      <c r="P184" s="7">
        <f t="shared" si="106"/>
        <v>0</v>
      </c>
      <c r="Q184" s="7">
        <f t="shared" si="107"/>
        <v>0</v>
      </c>
      <c r="R184" s="7">
        <f t="shared" si="108"/>
        <v>0</v>
      </c>
      <c r="S184" s="7">
        <f t="shared" si="109"/>
        <v>0</v>
      </c>
    </row>
    <row r="185" spans="3:19" ht="12">
      <c r="C185" s="369"/>
      <c r="D185" s="840">
        <f>'Payroll 19-20'!D185</f>
        <v>0</v>
      </c>
      <c r="E185" s="840">
        <f>'Payroll 19-20'!E185*(1+'Revenue Inputs'!O$27)</f>
        <v>0</v>
      </c>
      <c r="F185" s="828">
        <f>'Payroll 19-20'!F185*(1+$I$4)</f>
        <v>0</v>
      </c>
      <c r="G185" s="322">
        <f>'Payroll 19-20'!G185</f>
        <v>0</v>
      </c>
      <c r="H185" s="319">
        <f>'Payroll 19-20'!H185</f>
        <v>0</v>
      </c>
      <c r="I185" s="320">
        <f t="shared" si="101"/>
        <v>0</v>
      </c>
      <c r="J185" s="7">
        <f t="shared" si="102"/>
        <v>0</v>
      </c>
      <c r="K185" s="7">
        <f t="shared" si="103"/>
        <v>0</v>
      </c>
      <c r="L185" s="7"/>
      <c r="M185" s="8" t="s">
        <v>75</v>
      </c>
      <c r="N185" s="7">
        <f t="shared" si="104"/>
        <v>0</v>
      </c>
      <c r="O185" s="8">
        <f t="shared" si="105"/>
        <v>0</v>
      </c>
      <c r="P185" s="7">
        <f t="shared" si="106"/>
        <v>0</v>
      </c>
      <c r="Q185" s="7">
        <f t="shared" si="107"/>
        <v>0</v>
      </c>
      <c r="R185" s="7">
        <f t="shared" si="108"/>
        <v>0</v>
      </c>
      <c r="S185" s="7">
        <f t="shared" si="109"/>
        <v>0</v>
      </c>
    </row>
    <row r="186" spans="3:19" ht="12">
      <c r="C186" s="368"/>
      <c r="D186" s="840">
        <f>'Payroll 19-20'!D186</f>
        <v>0</v>
      </c>
      <c r="E186" s="840">
        <f>'Payroll 19-20'!E186*(1+'Revenue Inputs'!O$27)</f>
        <v>0</v>
      </c>
      <c r="F186" s="828">
        <f>'Payroll 19-20'!F186*(1+$I$4)</f>
        <v>0</v>
      </c>
      <c r="G186" s="322">
        <f>'Payroll 19-20'!G186</f>
        <v>0</v>
      </c>
      <c r="H186" s="319">
        <f>'Payroll 19-20'!H186</f>
        <v>0</v>
      </c>
      <c r="I186" s="320">
        <f t="shared" si="101"/>
        <v>0</v>
      </c>
      <c r="J186" s="7">
        <f t="shared" si="102"/>
        <v>0</v>
      </c>
      <c r="K186" s="7">
        <f t="shared" si="103"/>
        <v>0</v>
      </c>
      <c r="L186" s="7"/>
      <c r="M186" s="8" t="s">
        <v>75</v>
      </c>
      <c r="N186" s="7">
        <f t="shared" si="104"/>
        <v>0</v>
      </c>
      <c r="O186" s="8">
        <f t="shared" si="105"/>
        <v>0</v>
      </c>
      <c r="P186" s="7">
        <f t="shared" si="106"/>
        <v>0</v>
      </c>
      <c r="Q186" s="7">
        <f t="shared" si="107"/>
        <v>0</v>
      </c>
      <c r="R186" s="7">
        <f t="shared" si="108"/>
        <v>0</v>
      </c>
      <c r="S186" s="7">
        <f t="shared" si="109"/>
        <v>0</v>
      </c>
    </row>
    <row r="187" spans="3:19" ht="13" thickBot="1">
      <c r="C187" s="368"/>
      <c r="D187" s="841"/>
      <c r="E187" s="841"/>
      <c r="F187" s="841"/>
      <c r="G187" s="28"/>
      <c r="H187" s="427"/>
      <c r="I187" s="337"/>
      <c r="J187" s="40"/>
      <c r="K187" s="40"/>
      <c r="L187" s="40"/>
      <c r="M187" s="40"/>
      <c r="N187" s="40"/>
      <c r="O187" s="40"/>
      <c r="P187" s="40"/>
      <c r="Q187" s="40"/>
      <c r="R187" s="40"/>
      <c r="S187" s="40"/>
    </row>
    <row r="188" spans="3:19" s="41" customFormat="1" ht="13" thickBot="1">
      <c r="C188" s="368"/>
      <c r="D188" s="834"/>
      <c r="E188" s="847"/>
      <c r="F188" s="834"/>
      <c r="G188" s="49"/>
      <c r="H188" s="17">
        <v>2200</v>
      </c>
      <c r="I188" s="10">
        <f>SUM(I168:I187)</f>
        <v>0</v>
      </c>
      <c r="J188" s="10">
        <f>SUM(J168:J187)</f>
        <v>0</v>
      </c>
      <c r="K188" s="10">
        <f>SUM(K168:K187)</f>
        <v>0</v>
      </c>
      <c r="L188" s="11"/>
      <c r="M188" s="10">
        <f t="shared" ref="M188:S188" si="115">SUM(M168:M187)</f>
        <v>0</v>
      </c>
      <c r="N188" s="10">
        <f t="shared" si="115"/>
        <v>0</v>
      </c>
      <c r="O188" s="10">
        <f t="shared" si="115"/>
        <v>0</v>
      </c>
      <c r="P188" s="10">
        <f t="shared" si="115"/>
        <v>0</v>
      </c>
      <c r="Q188" s="10">
        <f t="shared" si="115"/>
        <v>0</v>
      </c>
      <c r="R188" s="10">
        <f t="shared" si="115"/>
        <v>0</v>
      </c>
      <c r="S188" s="10">
        <f t="shared" si="115"/>
        <v>0</v>
      </c>
    </row>
    <row r="189" spans="3:19" ht="12">
      <c r="C189" s="369" t="s">
        <v>22</v>
      </c>
      <c r="D189" s="835"/>
      <c r="E189" s="848"/>
      <c r="F189" s="835"/>
      <c r="G189" s="28"/>
      <c r="H189" s="35"/>
      <c r="I189" s="7"/>
      <c r="J189" s="7"/>
      <c r="K189" s="7"/>
      <c r="L189" s="7"/>
      <c r="M189" s="36"/>
      <c r="N189" s="36"/>
      <c r="O189" s="36"/>
      <c r="P189" s="36"/>
      <c r="Q189" s="36"/>
      <c r="R189" s="36"/>
      <c r="S189" s="36"/>
    </row>
    <row r="190" spans="3:19" ht="12">
      <c r="C190" s="369"/>
      <c r="D190" s="840">
        <f>'Payroll 19-20'!D190</f>
        <v>0</v>
      </c>
      <c r="E190" s="840">
        <f>'Payroll 19-20'!E190*(1+'Revenue Inputs'!O$27)</f>
        <v>0</v>
      </c>
      <c r="F190" s="828">
        <f>'Payroll 19-20'!F190*(1+$I$4)</f>
        <v>0</v>
      </c>
      <c r="G190" s="322">
        <f>'Payroll 19-20'!G190</f>
        <v>0</v>
      </c>
      <c r="H190" s="319">
        <f>'Payroll 19-20'!H190</f>
        <v>0</v>
      </c>
      <c r="I190" s="320">
        <f t="shared" ref="I190:I198" si="116">F190*E190</f>
        <v>0</v>
      </c>
      <c r="J190" s="7">
        <f t="shared" ref="J190:J198" si="117">SUM(M190:S190)</f>
        <v>0</v>
      </c>
      <c r="K190" s="7">
        <f t="shared" ref="K190:K198" si="118">SUM(I190:J190)</f>
        <v>0</v>
      </c>
      <c r="L190" s="7"/>
      <c r="M190" s="8" t="s">
        <v>75</v>
      </c>
      <c r="N190" s="7">
        <f t="shared" ref="N190:N198" si="119">I190*$N$5</f>
        <v>0</v>
      </c>
      <c r="O190" s="8">
        <f t="shared" ref="O190:O198" si="120">I190*$O$5</f>
        <v>0</v>
      </c>
      <c r="P190" s="7">
        <f t="shared" ref="P190:P198" si="121">I190*$P$5</f>
        <v>0</v>
      </c>
      <c r="Q190" s="7">
        <f t="shared" ref="Q190:Q198" si="122">IF(H190="y", $Q$5*E190, 0)</f>
        <v>0</v>
      </c>
      <c r="R190" s="7">
        <f t="shared" ref="R190:R198" si="123">IF($I190&gt;7000,7000*R$5,$I190*R$5)*E190</f>
        <v>0</v>
      </c>
      <c r="S190" s="7">
        <f t="shared" ref="S190:S198" si="124">S$5*$I190</f>
        <v>0</v>
      </c>
    </row>
    <row r="191" spans="3:19" ht="12">
      <c r="C191" s="369"/>
      <c r="D191" s="840">
        <f>'Payroll 19-20'!D191</f>
        <v>0</v>
      </c>
      <c r="E191" s="840">
        <f>'Payroll 19-20'!E191*(1+'Revenue Inputs'!O$27)</f>
        <v>0</v>
      </c>
      <c r="F191" s="828">
        <f>'Payroll 19-20'!F191*(1+$I$4)</f>
        <v>0</v>
      </c>
      <c r="G191" s="322">
        <f>'Payroll 19-20'!G191</f>
        <v>0</v>
      </c>
      <c r="H191" s="319">
        <f>'Payroll 19-20'!H191</f>
        <v>0</v>
      </c>
      <c r="I191" s="320">
        <f t="shared" si="116"/>
        <v>0</v>
      </c>
      <c r="J191" s="7">
        <f t="shared" ref="J191:J194" si="125">SUM(M191:S191)</f>
        <v>0</v>
      </c>
      <c r="K191" s="7">
        <f t="shared" ref="K191:K194" si="126">SUM(I191:J191)</f>
        <v>0</v>
      </c>
      <c r="L191" s="7"/>
      <c r="M191" s="8" t="s">
        <v>75</v>
      </c>
      <c r="N191" s="7">
        <f t="shared" ref="N191:N194" si="127">I191*$N$5</f>
        <v>0</v>
      </c>
      <c r="O191" s="8">
        <f t="shared" ref="O191:O194" si="128">I191*$O$5</f>
        <v>0</v>
      </c>
      <c r="P191" s="7">
        <f t="shared" ref="P191:P194" si="129">I191*$P$5</f>
        <v>0</v>
      </c>
      <c r="Q191" s="7">
        <f t="shared" si="122"/>
        <v>0</v>
      </c>
      <c r="R191" s="7">
        <f t="shared" si="123"/>
        <v>0</v>
      </c>
      <c r="S191" s="7">
        <f t="shared" si="124"/>
        <v>0</v>
      </c>
    </row>
    <row r="192" spans="3:19" ht="12">
      <c r="C192" s="369"/>
      <c r="D192" s="840">
        <f>'Payroll 19-20'!D192</f>
        <v>0</v>
      </c>
      <c r="E192" s="840">
        <f>'Payroll 19-20'!E192*(1+'Revenue Inputs'!O$27)</f>
        <v>0</v>
      </c>
      <c r="F192" s="828">
        <f>'Payroll 19-20'!F192*(1+$I$4)</f>
        <v>0</v>
      </c>
      <c r="G192" s="322">
        <f>'Payroll 19-20'!G192</f>
        <v>0</v>
      </c>
      <c r="H192" s="319">
        <f>'Payroll 19-20'!H192</f>
        <v>0</v>
      </c>
      <c r="I192" s="320">
        <f t="shared" si="116"/>
        <v>0</v>
      </c>
      <c r="J192" s="7">
        <f t="shared" si="125"/>
        <v>0</v>
      </c>
      <c r="K192" s="7">
        <f t="shared" si="126"/>
        <v>0</v>
      </c>
      <c r="L192" s="7"/>
      <c r="M192" s="8" t="s">
        <v>75</v>
      </c>
      <c r="N192" s="7">
        <f t="shared" si="127"/>
        <v>0</v>
      </c>
      <c r="O192" s="8">
        <f t="shared" si="128"/>
        <v>0</v>
      </c>
      <c r="P192" s="7">
        <f t="shared" si="129"/>
        <v>0</v>
      </c>
      <c r="Q192" s="7">
        <f t="shared" si="122"/>
        <v>0</v>
      </c>
      <c r="R192" s="7">
        <f t="shared" si="123"/>
        <v>0</v>
      </c>
      <c r="S192" s="7">
        <f t="shared" si="124"/>
        <v>0</v>
      </c>
    </row>
    <row r="193" spans="3:19" ht="12">
      <c r="C193" s="369"/>
      <c r="D193" s="840">
        <f>'Payroll 19-20'!D193</f>
        <v>0</v>
      </c>
      <c r="E193" s="840">
        <f>'Payroll 19-20'!E193*(1+'Revenue Inputs'!O$27)</f>
        <v>0</v>
      </c>
      <c r="F193" s="828">
        <f>'Payroll 19-20'!F193*(1+$I$4)</f>
        <v>0</v>
      </c>
      <c r="G193" s="322">
        <f>'Payroll 19-20'!G193</f>
        <v>0</v>
      </c>
      <c r="H193" s="319">
        <f>'Payroll 19-20'!H193</f>
        <v>0</v>
      </c>
      <c r="I193" s="320">
        <f t="shared" si="116"/>
        <v>0</v>
      </c>
      <c r="J193" s="7">
        <f t="shared" si="125"/>
        <v>0</v>
      </c>
      <c r="K193" s="7">
        <f t="shared" si="126"/>
        <v>0</v>
      </c>
      <c r="L193" s="7"/>
      <c r="M193" s="8" t="s">
        <v>75</v>
      </c>
      <c r="N193" s="7">
        <f t="shared" si="127"/>
        <v>0</v>
      </c>
      <c r="O193" s="8">
        <f t="shared" si="128"/>
        <v>0</v>
      </c>
      <c r="P193" s="7">
        <f t="shared" si="129"/>
        <v>0</v>
      </c>
      <c r="Q193" s="7">
        <f t="shared" si="122"/>
        <v>0</v>
      </c>
      <c r="R193" s="7">
        <f t="shared" si="123"/>
        <v>0</v>
      </c>
      <c r="S193" s="7">
        <f t="shared" si="124"/>
        <v>0</v>
      </c>
    </row>
    <row r="194" spans="3:19" ht="12">
      <c r="C194" s="368"/>
      <c r="D194" s="840">
        <f>'Payroll 19-20'!D194</f>
        <v>0</v>
      </c>
      <c r="E194" s="840">
        <f>'Payroll 19-20'!E194*(1+'Revenue Inputs'!O$27)</f>
        <v>0</v>
      </c>
      <c r="F194" s="828">
        <f>'Payroll 19-20'!F194*(1+$I$4)</f>
        <v>0</v>
      </c>
      <c r="G194" s="322">
        <f>'Payroll 19-20'!G194</f>
        <v>0</v>
      </c>
      <c r="H194" s="319">
        <f>'Payroll 19-20'!H194</f>
        <v>0</v>
      </c>
      <c r="I194" s="320">
        <f t="shared" si="116"/>
        <v>0</v>
      </c>
      <c r="J194" s="7">
        <f t="shared" si="125"/>
        <v>0</v>
      </c>
      <c r="K194" s="7">
        <f t="shared" si="126"/>
        <v>0</v>
      </c>
      <c r="L194" s="7"/>
      <c r="M194" s="8" t="s">
        <v>75</v>
      </c>
      <c r="N194" s="7">
        <f t="shared" si="127"/>
        <v>0</v>
      </c>
      <c r="O194" s="8">
        <f t="shared" si="128"/>
        <v>0</v>
      </c>
      <c r="P194" s="7">
        <f t="shared" si="129"/>
        <v>0</v>
      </c>
      <c r="Q194" s="7">
        <f t="shared" si="122"/>
        <v>0</v>
      </c>
      <c r="R194" s="7">
        <f t="shared" si="123"/>
        <v>0</v>
      </c>
      <c r="S194" s="7">
        <f t="shared" si="124"/>
        <v>0</v>
      </c>
    </row>
    <row r="195" spans="3:19" ht="12">
      <c r="C195" s="369"/>
      <c r="D195" s="840">
        <f>'Payroll 19-20'!D195</f>
        <v>0</v>
      </c>
      <c r="E195" s="840">
        <f>'Payroll 19-20'!E195*(1+'Revenue Inputs'!O$27)</f>
        <v>0</v>
      </c>
      <c r="F195" s="828">
        <f>'Payroll 19-20'!F195*(1+$I$4)</f>
        <v>0</v>
      </c>
      <c r="G195" s="322">
        <f>'Payroll 19-20'!G195</f>
        <v>0</v>
      </c>
      <c r="H195" s="319">
        <f>'Payroll 19-20'!H195</f>
        <v>0</v>
      </c>
      <c r="I195" s="320">
        <f t="shared" si="116"/>
        <v>0</v>
      </c>
      <c r="J195" s="7">
        <f t="shared" si="117"/>
        <v>0</v>
      </c>
      <c r="K195" s="7">
        <f t="shared" si="118"/>
        <v>0</v>
      </c>
      <c r="L195" s="7"/>
      <c r="M195" s="8" t="s">
        <v>75</v>
      </c>
      <c r="N195" s="7">
        <f t="shared" si="119"/>
        <v>0</v>
      </c>
      <c r="O195" s="8">
        <f t="shared" si="120"/>
        <v>0</v>
      </c>
      <c r="P195" s="7">
        <f t="shared" si="121"/>
        <v>0</v>
      </c>
      <c r="Q195" s="7">
        <f t="shared" si="122"/>
        <v>0</v>
      </c>
      <c r="R195" s="7">
        <f t="shared" si="123"/>
        <v>0</v>
      </c>
      <c r="S195" s="7">
        <f t="shared" si="124"/>
        <v>0</v>
      </c>
    </row>
    <row r="196" spans="3:19" ht="12">
      <c r="C196" s="369"/>
      <c r="D196" s="840">
        <f>'Payroll 19-20'!D196</f>
        <v>0</v>
      </c>
      <c r="E196" s="840">
        <f>'Payroll 19-20'!E196*(1+'Revenue Inputs'!O$27)</f>
        <v>0</v>
      </c>
      <c r="F196" s="828">
        <f>'Payroll 19-20'!F196*(1+$I$4)</f>
        <v>0</v>
      </c>
      <c r="G196" s="322">
        <f>'Payroll 19-20'!G196</f>
        <v>0</v>
      </c>
      <c r="H196" s="319">
        <f>'Payroll 19-20'!H196</f>
        <v>0</v>
      </c>
      <c r="I196" s="320">
        <f t="shared" si="116"/>
        <v>0</v>
      </c>
      <c r="J196" s="7">
        <f t="shared" si="117"/>
        <v>0</v>
      </c>
      <c r="K196" s="7">
        <f t="shared" si="118"/>
        <v>0</v>
      </c>
      <c r="L196" s="7"/>
      <c r="M196" s="8" t="s">
        <v>75</v>
      </c>
      <c r="N196" s="7">
        <f t="shared" si="119"/>
        <v>0</v>
      </c>
      <c r="O196" s="8">
        <f t="shared" si="120"/>
        <v>0</v>
      </c>
      <c r="P196" s="7">
        <f t="shared" si="121"/>
        <v>0</v>
      </c>
      <c r="Q196" s="7">
        <f t="shared" si="122"/>
        <v>0</v>
      </c>
      <c r="R196" s="7">
        <f t="shared" si="123"/>
        <v>0</v>
      </c>
      <c r="S196" s="7">
        <f t="shared" si="124"/>
        <v>0</v>
      </c>
    </row>
    <row r="197" spans="3:19" ht="12">
      <c r="C197" s="369"/>
      <c r="D197" s="840">
        <f>'Payroll 19-20'!D197</f>
        <v>0</v>
      </c>
      <c r="E197" s="840">
        <f>'Payroll 19-20'!E197*(1+'Revenue Inputs'!O$27)</f>
        <v>0</v>
      </c>
      <c r="F197" s="828">
        <f>'Payroll 19-20'!F197*(1+$I$4)</f>
        <v>0</v>
      </c>
      <c r="G197" s="322">
        <f>'Payroll 19-20'!G197</f>
        <v>0</v>
      </c>
      <c r="H197" s="319">
        <f>'Payroll 19-20'!H197</f>
        <v>0</v>
      </c>
      <c r="I197" s="320">
        <f t="shared" si="116"/>
        <v>0</v>
      </c>
      <c r="J197" s="7">
        <f t="shared" si="117"/>
        <v>0</v>
      </c>
      <c r="K197" s="7">
        <f t="shared" si="118"/>
        <v>0</v>
      </c>
      <c r="L197" s="7"/>
      <c r="M197" s="8" t="s">
        <v>75</v>
      </c>
      <c r="N197" s="7">
        <f t="shared" si="119"/>
        <v>0</v>
      </c>
      <c r="O197" s="8">
        <f t="shared" si="120"/>
        <v>0</v>
      </c>
      <c r="P197" s="7">
        <f t="shared" si="121"/>
        <v>0</v>
      </c>
      <c r="Q197" s="7">
        <f t="shared" si="122"/>
        <v>0</v>
      </c>
      <c r="R197" s="7">
        <f t="shared" si="123"/>
        <v>0</v>
      </c>
      <c r="S197" s="7">
        <f t="shared" si="124"/>
        <v>0</v>
      </c>
    </row>
    <row r="198" spans="3:19" ht="12">
      <c r="C198" s="368"/>
      <c r="D198" s="840">
        <f>'Payroll 19-20'!D198</f>
        <v>0</v>
      </c>
      <c r="E198" s="840">
        <f>'Payroll 19-20'!E198*(1+'Revenue Inputs'!O$27)</f>
        <v>0</v>
      </c>
      <c r="F198" s="828">
        <f>'Payroll 19-20'!F198*(1+$I$4)</f>
        <v>0</v>
      </c>
      <c r="G198" s="322">
        <f>'Payroll 19-20'!G198</f>
        <v>0</v>
      </c>
      <c r="H198" s="319">
        <f>'Payroll 19-20'!H198</f>
        <v>0</v>
      </c>
      <c r="I198" s="320">
        <f t="shared" si="116"/>
        <v>0</v>
      </c>
      <c r="J198" s="7">
        <f t="shared" si="117"/>
        <v>0</v>
      </c>
      <c r="K198" s="7">
        <f t="shared" si="118"/>
        <v>0</v>
      </c>
      <c r="L198" s="7"/>
      <c r="M198" s="8" t="s">
        <v>75</v>
      </c>
      <c r="N198" s="7">
        <f t="shared" si="119"/>
        <v>0</v>
      </c>
      <c r="O198" s="8">
        <f t="shared" si="120"/>
        <v>0</v>
      </c>
      <c r="P198" s="7">
        <f t="shared" si="121"/>
        <v>0</v>
      </c>
      <c r="Q198" s="7">
        <f t="shared" si="122"/>
        <v>0</v>
      </c>
      <c r="R198" s="7">
        <f t="shared" si="123"/>
        <v>0</v>
      </c>
      <c r="S198" s="7">
        <f t="shared" si="124"/>
        <v>0</v>
      </c>
    </row>
    <row r="199" spans="3:19" ht="13" thickBot="1">
      <c r="C199" s="368"/>
      <c r="D199" s="841"/>
      <c r="E199" s="841"/>
      <c r="F199" s="841"/>
      <c r="G199" s="28"/>
      <c r="H199" s="427"/>
      <c r="I199" s="337"/>
      <c r="J199" s="40"/>
      <c r="K199" s="40"/>
      <c r="L199" s="40"/>
      <c r="M199" s="40"/>
      <c r="N199" s="40"/>
      <c r="O199" s="40"/>
      <c r="P199" s="40"/>
      <c r="Q199" s="40"/>
      <c r="R199" s="40"/>
      <c r="S199" s="40"/>
    </row>
    <row r="200" spans="3:19" s="41" customFormat="1" ht="13" thickBot="1">
      <c r="C200" s="368"/>
      <c r="D200" s="850"/>
      <c r="E200" s="850"/>
      <c r="F200" s="834"/>
      <c r="G200" s="49"/>
      <c r="H200" s="333">
        <v>2300</v>
      </c>
      <c r="I200" s="10">
        <f>SUM(I190:I199)</f>
        <v>0</v>
      </c>
      <c r="J200" s="10">
        <f>SUM(J190:J199)</f>
        <v>0</v>
      </c>
      <c r="K200" s="10">
        <f>SUM(K190:K199)</f>
        <v>0</v>
      </c>
      <c r="L200" s="11"/>
      <c r="M200" s="10">
        <f t="shared" ref="M200:S200" si="130">SUM(M190:M199)</f>
        <v>0</v>
      </c>
      <c r="N200" s="10">
        <f t="shared" si="130"/>
        <v>0</v>
      </c>
      <c r="O200" s="10">
        <f t="shared" si="130"/>
        <v>0</v>
      </c>
      <c r="P200" s="10">
        <f t="shared" si="130"/>
        <v>0</v>
      </c>
      <c r="Q200" s="10">
        <f t="shared" si="130"/>
        <v>0</v>
      </c>
      <c r="R200" s="10">
        <f t="shared" si="130"/>
        <v>0</v>
      </c>
      <c r="S200" s="10">
        <f t="shared" si="130"/>
        <v>0</v>
      </c>
    </row>
    <row r="201" spans="3:19" ht="12">
      <c r="C201" s="369" t="s">
        <v>23</v>
      </c>
      <c r="D201" s="851"/>
      <c r="E201" s="851"/>
      <c r="F201" s="835"/>
      <c r="G201" s="28"/>
      <c r="H201" s="35"/>
      <c r="I201" s="7"/>
      <c r="J201" s="7"/>
      <c r="K201" s="7"/>
      <c r="L201" s="7"/>
      <c r="M201" s="36"/>
      <c r="N201" s="36"/>
      <c r="O201" s="36"/>
      <c r="P201" s="36"/>
      <c r="Q201" s="36"/>
      <c r="R201" s="36"/>
      <c r="S201" s="36"/>
    </row>
    <row r="202" spans="3:19" ht="12">
      <c r="C202" s="369"/>
      <c r="D202" s="840" t="str">
        <f>'Payroll 19-20'!D202</f>
        <v>administrative assistant</v>
      </c>
      <c r="E202" s="840">
        <f>'Payroll 19-20'!E202*(1+'Revenue Inputs'!O$27)</f>
        <v>1</v>
      </c>
      <c r="F202" s="828">
        <f>'Payroll 19-20'!F202*(1+$I$4)</f>
        <v>62143.459199999998</v>
      </c>
      <c r="G202" s="322">
        <f>'Payroll 19-20'!G202</f>
        <v>12</v>
      </c>
      <c r="H202" s="319" t="str">
        <f>'Payroll 19-20'!H202</f>
        <v>y</v>
      </c>
      <c r="I202" s="320">
        <f t="shared" ref="I202:I212" si="131">F202*E202</f>
        <v>62143.459199999998</v>
      </c>
      <c r="J202" s="7">
        <f t="shared" ref="J202:J212" si="132">SUM(M202:S202)</f>
        <v>13673.9830576</v>
      </c>
      <c r="K202" s="7">
        <f t="shared" ref="K202:K212" si="133">SUM(I202:J202)</f>
        <v>75817.442257599992</v>
      </c>
      <c r="L202" s="7"/>
      <c r="M202" s="8" t="s">
        <v>75</v>
      </c>
      <c r="N202" s="7">
        <f t="shared" ref="N202:N208" si="134">I202*$N$5</f>
        <v>0</v>
      </c>
      <c r="O202" s="8">
        <f t="shared" ref="O202:O212" si="135">I202*$O$5</f>
        <v>3852.8944703999996</v>
      </c>
      <c r="P202" s="7">
        <f t="shared" ref="P202:P212" si="136">I202*$P$5</f>
        <v>901.08015839999996</v>
      </c>
      <c r="Q202" s="7">
        <f t="shared" ref="Q202:Q212" si="137">IF(H202="y", $Q$5*E202, 0)</f>
        <v>7560.0000000000009</v>
      </c>
      <c r="R202" s="7">
        <f t="shared" ref="R202:R212" si="138">IF($I202&gt;7000,7000*R$5,$I202*R$5)*E202</f>
        <v>490.00000000000006</v>
      </c>
      <c r="S202" s="7">
        <f t="shared" ref="S202:S212" si="139">S$5*$I202</f>
        <v>870.00842879999993</v>
      </c>
    </row>
    <row r="203" spans="3:19" ht="12">
      <c r="C203" s="369"/>
      <c r="D203" s="840" t="str">
        <f>'Payroll 19-20'!D203</f>
        <v>School Acct Assistant</v>
      </c>
      <c r="E203" s="840">
        <f>'Payroll 19-20'!E203*(1+'Revenue Inputs'!O$27)</f>
        <v>1</v>
      </c>
      <c r="F203" s="828">
        <f>'Payroll 19-20'!F203*(1+$I$4)</f>
        <v>40697.387999999999</v>
      </c>
      <c r="G203" s="322">
        <f>'Payroll 19-20'!G203</f>
        <v>12</v>
      </c>
      <c r="H203" s="319" t="str">
        <f>'Payroll 19-20'!H203</f>
        <v>y</v>
      </c>
      <c r="I203" s="320">
        <f t="shared" si="131"/>
        <v>40697.387999999999</v>
      </c>
      <c r="J203" s="7">
        <f t="shared" ref="J203:J207" si="140">SUM(M203:S203)</f>
        <v>11733.113614000002</v>
      </c>
      <c r="K203" s="7">
        <f t="shared" ref="K203:K207" si="141">SUM(I203:J203)</f>
        <v>52430.501614000001</v>
      </c>
      <c r="L203" s="7"/>
      <c r="M203" s="8" t="s">
        <v>75</v>
      </c>
      <c r="N203" s="7">
        <f t="shared" ref="N203" si="142">I203*$N$5</f>
        <v>0</v>
      </c>
      <c r="O203" s="8">
        <f t="shared" ref="O203:O207" si="143">I203*$O$5</f>
        <v>2523.2380560000001</v>
      </c>
      <c r="P203" s="7">
        <f t="shared" ref="P203:P207" si="144">I203*$P$5</f>
        <v>590.11212599999999</v>
      </c>
      <c r="Q203" s="7">
        <f t="shared" si="137"/>
        <v>7560.0000000000009</v>
      </c>
      <c r="R203" s="7">
        <f t="shared" si="138"/>
        <v>490.00000000000006</v>
      </c>
      <c r="S203" s="7">
        <f t="shared" si="139"/>
        <v>569.76343199999997</v>
      </c>
    </row>
    <row r="204" spans="3:19" ht="12">
      <c r="C204" s="369"/>
      <c r="D204" s="840">
        <f>'Payroll 19-20'!D204</f>
        <v>0</v>
      </c>
      <c r="E204" s="840">
        <f>'Payroll 19-20'!E204*(1+'Revenue Inputs'!O$27)</f>
        <v>0</v>
      </c>
      <c r="F204" s="828">
        <f>'Payroll 19-20'!F204*(1+$I$4)</f>
        <v>0</v>
      </c>
      <c r="G204" s="322">
        <f>'Payroll 19-20'!G204</f>
        <v>0</v>
      </c>
      <c r="H204" s="319">
        <f>'Payroll 19-20'!H204</f>
        <v>0</v>
      </c>
      <c r="I204" s="320">
        <f t="shared" si="131"/>
        <v>0</v>
      </c>
      <c r="J204" s="7">
        <f t="shared" si="140"/>
        <v>0</v>
      </c>
      <c r="K204" s="7">
        <f t="shared" si="141"/>
        <v>0</v>
      </c>
      <c r="L204" s="7"/>
      <c r="M204" s="8" t="s">
        <v>75</v>
      </c>
      <c r="N204" s="7">
        <f>I204*$N$5</f>
        <v>0</v>
      </c>
      <c r="O204" s="8">
        <f t="shared" si="143"/>
        <v>0</v>
      </c>
      <c r="P204" s="7">
        <f t="shared" si="144"/>
        <v>0</v>
      </c>
      <c r="Q204" s="7">
        <f t="shared" si="137"/>
        <v>0</v>
      </c>
      <c r="R204" s="7">
        <f t="shared" si="138"/>
        <v>0</v>
      </c>
      <c r="S204" s="7">
        <f t="shared" si="139"/>
        <v>0</v>
      </c>
    </row>
    <row r="205" spans="3:19" ht="12">
      <c r="C205" s="369"/>
      <c r="D205" s="840">
        <f>'Payroll 19-20'!D205</f>
        <v>0</v>
      </c>
      <c r="E205" s="840">
        <f>'Payroll 19-20'!E205*(1+'Revenue Inputs'!O$27)</f>
        <v>0</v>
      </c>
      <c r="F205" s="828">
        <f>'Payroll 19-20'!F205*(1+$I$4)</f>
        <v>0</v>
      </c>
      <c r="G205" s="322">
        <f>'Payroll 19-20'!G205</f>
        <v>0</v>
      </c>
      <c r="H205" s="319">
        <f>'Payroll 19-20'!H205</f>
        <v>0</v>
      </c>
      <c r="I205" s="320">
        <f t="shared" si="131"/>
        <v>0</v>
      </c>
      <c r="J205" s="7">
        <f t="shared" si="140"/>
        <v>0</v>
      </c>
      <c r="K205" s="7">
        <f t="shared" si="141"/>
        <v>0</v>
      </c>
      <c r="L205" s="7"/>
      <c r="M205" s="8" t="s">
        <v>75</v>
      </c>
      <c r="N205" s="7">
        <f>I205*$N$5</f>
        <v>0</v>
      </c>
      <c r="O205" s="8">
        <f t="shared" si="143"/>
        <v>0</v>
      </c>
      <c r="P205" s="7">
        <f t="shared" si="144"/>
        <v>0</v>
      </c>
      <c r="Q205" s="7">
        <f t="shared" si="137"/>
        <v>0</v>
      </c>
      <c r="R205" s="7">
        <f t="shared" si="138"/>
        <v>0</v>
      </c>
      <c r="S205" s="7">
        <f t="shared" si="139"/>
        <v>0</v>
      </c>
    </row>
    <row r="206" spans="3:19" ht="12">
      <c r="C206" s="368"/>
      <c r="D206" s="840">
        <f>'Payroll 19-20'!D206</f>
        <v>0</v>
      </c>
      <c r="E206" s="840">
        <f>'Payroll 19-20'!E206*(1+'Revenue Inputs'!O$27)</f>
        <v>0</v>
      </c>
      <c r="F206" s="828">
        <f>'Payroll 19-20'!F206*(1+$I$4)</f>
        <v>0</v>
      </c>
      <c r="G206" s="322">
        <f>'Payroll 19-20'!G206</f>
        <v>0</v>
      </c>
      <c r="H206" s="319">
        <f>'Payroll 19-20'!H206</f>
        <v>0</v>
      </c>
      <c r="I206" s="320">
        <f t="shared" si="131"/>
        <v>0</v>
      </c>
      <c r="J206" s="7">
        <f t="shared" si="140"/>
        <v>0</v>
      </c>
      <c r="K206" s="7">
        <f t="shared" si="141"/>
        <v>0</v>
      </c>
      <c r="L206" s="7"/>
      <c r="M206" s="8" t="s">
        <v>75</v>
      </c>
      <c r="N206" s="7">
        <f t="shared" ref="N206:N207" si="145">I206*$N$5</f>
        <v>0</v>
      </c>
      <c r="O206" s="8">
        <f t="shared" si="143"/>
        <v>0</v>
      </c>
      <c r="P206" s="7">
        <f t="shared" si="144"/>
        <v>0</v>
      </c>
      <c r="Q206" s="7">
        <f t="shared" si="137"/>
        <v>0</v>
      </c>
      <c r="R206" s="7">
        <f t="shared" si="138"/>
        <v>0</v>
      </c>
      <c r="S206" s="7">
        <f t="shared" si="139"/>
        <v>0</v>
      </c>
    </row>
    <row r="207" spans="3:19" ht="12">
      <c r="C207" s="369"/>
      <c r="D207" s="840">
        <f>'Payroll 19-20'!D207</f>
        <v>0</v>
      </c>
      <c r="E207" s="840">
        <f>'Payroll 19-20'!E207*(1+'Revenue Inputs'!O$27)</f>
        <v>0</v>
      </c>
      <c r="F207" s="828">
        <f>'Payroll 19-20'!F207*(1+$I$4)</f>
        <v>0</v>
      </c>
      <c r="G207" s="322">
        <f>'Payroll 19-20'!G207</f>
        <v>0</v>
      </c>
      <c r="H207" s="319">
        <f>'Payroll 19-20'!H207</f>
        <v>0</v>
      </c>
      <c r="I207" s="320">
        <f t="shared" si="131"/>
        <v>0</v>
      </c>
      <c r="J207" s="7">
        <f t="shared" si="140"/>
        <v>0</v>
      </c>
      <c r="K207" s="7">
        <f t="shared" si="141"/>
        <v>0</v>
      </c>
      <c r="L207" s="7"/>
      <c r="M207" s="8" t="s">
        <v>75</v>
      </c>
      <c r="N207" s="7">
        <f t="shared" si="145"/>
        <v>0</v>
      </c>
      <c r="O207" s="8">
        <f t="shared" si="143"/>
        <v>0</v>
      </c>
      <c r="P207" s="7">
        <f t="shared" si="144"/>
        <v>0</v>
      </c>
      <c r="Q207" s="7">
        <f t="shared" si="137"/>
        <v>0</v>
      </c>
      <c r="R207" s="7">
        <f t="shared" si="138"/>
        <v>0</v>
      </c>
      <c r="S207" s="7">
        <f t="shared" si="139"/>
        <v>0</v>
      </c>
    </row>
    <row r="208" spans="3:19" ht="12">
      <c r="C208" s="369"/>
      <c r="D208" s="840">
        <f>'Payroll 19-20'!D208</f>
        <v>0</v>
      </c>
      <c r="E208" s="840">
        <f>'Payroll 19-20'!E208*(1+'Revenue Inputs'!O$27)</f>
        <v>0</v>
      </c>
      <c r="F208" s="828">
        <f>'Payroll 19-20'!F208*(1+$I$4)</f>
        <v>0</v>
      </c>
      <c r="G208" s="322">
        <f>'Payroll 19-20'!G208</f>
        <v>0</v>
      </c>
      <c r="H208" s="319">
        <f>'Payroll 19-20'!H208</f>
        <v>0</v>
      </c>
      <c r="I208" s="320">
        <f t="shared" si="131"/>
        <v>0</v>
      </c>
      <c r="J208" s="7">
        <f t="shared" si="132"/>
        <v>0</v>
      </c>
      <c r="K208" s="7">
        <f t="shared" si="133"/>
        <v>0</v>
      </c>
      <c r="L208" s="7"/>
      <c r="M208" s="8" t="s">
        <v>75</v>
      </c>
      <c r="N208" s="7">
        <f t="shared" si="134"/>
        <v>0</v>
      </c>
      <c r="O208" s="8">
        <f t="shared" si="135"/>
        <v>0</v>
      </c>
      <c r="P208" s="7">
        <f t="shared" si="136"/>
        <v>0</v>
      </c>
      <c r="Q208" s="7">
        <f t="shared" si="137"/>
        <v>0</v>
      </c>
      <c r="R208" s="7">
        <f t="shared" si="138"/>
        <v>0</v>
      </c>
      <c r="S208" s="7">
        <f t="shared" si="139"/>
        <v>0</v>
      </c>
    </row>
    <row r="209" spans="3:19" ht="12">
      <c r="C209" s="369"/>
      <c r="D209" s="840">
        <f>'Payroll 19-20'!D209</f>
        <v>0</v>
      </c>
      <c r="E209" s="840">
        <f>'Payroll 19-20'!E209*(1+'Revenue Inputs'!O$27)</f>
        <v>0</v>
      </c>
      <c r="F209" s="828">
        <f>'Payroll 19-20'!F209*(1+$I$4)</f>
        <v>0</v>
      </c>
      <c r="G209" s="322">
        <f>'Payroll 19-20'!G209</f>
        <v>0</v>
      </c>
      <c r="H209" s="319">
        <f>'Payroll 19-20'!H209</f>
        <v>0</v>
      </c>
      <c r="I209" s="320">
        <f t="shared" si="131"/>
        <v>0</v>
      </c>
      <c r="J209" s="7">
        <f t="shared" si="132"/>
        <v>0</v>
      </c>
      <c r="K209" s="7">
        <f t="shared" si="133"/>
        <v>0</v>
      </c>
      <c r="L209" s="7"/>
      <c r="M209" s="8" t="s">
        <v>75</v>
      </c>
      <c r="N209" s="7">
        <f>I209*$N$5</f>
        <v>0</v>
      </c>
      <c r="O209" s="8">
        <f t="shared" si="135"/>
        <v>0</v>
      </c>
      <c r="P209" s="7">
        <f t="shared" si="136"/>
        <v>0</v>
      </c>
      <c r="Q209" s="7">
        <f t="shared" si="137"/>
        <v>0</v>
      </c>
      <c r="R209" s="7">
        <f t="shared" si="138"/>
        <v>0</v>
      </c>
      <c r="S209" s="7">
        <f t="shared" si="139"/>
        <v>0</v>
      </c>
    </row>
    <row r="210" spans="3:19" ht="12">
      <c r="C210" s="369"/>
      <c r="D210" s="840">
        <f>'Payroll 19-20'!D210</f>
        <v>0</v>
      </c>
      <c r="E210" s="840">
        <f>'Payroll 19-20'!E210*(1+'Revenue Inputs'!O$27)</f>
        <v>0</v>
      </c>
      <c r="F210" s="828">
        <f>'Payroll 19-20'!F210*(1+$I$4)</f>
        <v>0</v>
      </c>
      <c r="G210" s="322">
        <f>'Payroll 19-20'!G210</f>
        <v>0</v>
      </c>
      <c r="H210" s="319">
        <f>'Payroll 19-20'!H210</f>
        <v>0</v>
      </c>
      <c r="I210" s="320">
        <f t="shared" si="131"/>
        <v>0</v>
      </c>
      <c r="J210" s="7">
        <f t="shared" si="132"/>
        <v>0</v>
      </c>
      <c r="K210" s="7">
        <f t="shared" si="133"/>
        <v>0</v>
      </c>
      <c r="L210" s="7"/>
      <c r="M210" s="8" t="s">
        <v>75</v>
      </c>
      <c r="N210" s="7">
        <f>I210*$N$5</f>
        <v>0</v>
      </c>
      <c r="O210" s="8">
        <f t="shared" si="135"/>
        <v>0</v>
      </c>
      <c r="P210" s="7">
        <f t="shared" si="136"/>
        <v>0</v>
      </c>
      <c r="Q210" s="7">
        <f t="shared" si="137"/>
        <v>0</v>
      </c>
      <c r="R210" s="7">
        <f t="shared" si="138"/>
        <v>0</v>
      </c>
      <c r="S210" s="7">
        <f t="shared" si="139"/>
        <v>0</v>
      </c>
    </row>
    <row r="211" spans="3:19" ht="12">
      <c r="C211" s="368"/>
      <c r="D211" s="840">
        <f>'Payroll 19-20'!D211</f>
        <v>0</v>
      </c>
      <c r="E211" s="840">
        <f>'Payroll 19-20'!E211*(1+'Revenue Inputs'!O$27)</f>
        <v>0</v>
      </c>
      <c r="F211" s="828">
        <f>'Payroll 19-20'!F211*(1+$I$4)</f>
        <v>0</v>
      </c>
      <c r="G211" s="322">
        <f>'Payroll 19-20'!G211</f>
        <v>0</v>
      </c>
      <c r="H211" s="319">
        <f>'Payroll 19-20'!H211</f>
        <v>0</v>
      </c>
      <c r="I211" s="320">
        <f t="shared" si="131"/>
        <v>0</v>
      </c>
      <c r="J211" s="7">
        <f t="shared" si="132"/>
        <v>0</v>
      </c>
      <c r="K211" s="7">
        <f t="shared" si="133"/>
        <v>0</v>
      </c>
      <c r="L211" s="7"/>
      <c r="M211" s="8" t="s">
        <v>75</v>
      </c>
      <c r="N211" s="7">
        <f t="shared" ref="N211:N212" si="146">I211*$N$5</f>
        <v>0</v>
      </c>
      <c r="O211" s="8">
        <f t="shared" si="135"/>
        <v>0</v>
      </c>
      <c r="P211" s="7">
        <f t="shared" si="136"/>
        <v>0</v>
      </c>
      <c r="Q211" s="7">
        <f t="shared" si="137"/>
        <v>0</v>
      </c>
      <c r="R211" s="7">
        <f t="shared" si="138"/>
        <v>0</v>
      </c>
      <c r="S211" s="7">
        <f t="shared" si="139"/>
        <v>0</v>
      </c>
    </row>
    <row r="212" spans="3:19" ht="12">
      <c r="C212" s="369"/>
      <c r="D212" s="840">
        <f>'Payroll 19-20'!D212</f>
        <v>0</v>
      </c>
      <c r="E212" s="840">
        <f>'Payroll 19-20'!E212*(1+'Revenue Inputs'!O$27)</f>
        <v>0</v>
      </c>
      <c r="F212" s="828">
        <f>'Payroll 19-20'!F212*(1+$I$4)</f>
        <v>0</v>
      </c>
      <c r="G212" s="322">
        <f>'Payroll 19-20'!G212</f>
        <v>0</v>
      </c>
      <c r="H212" s="319">
        <f>'Payroll 19-20'!H212</f>
        <v>0</v>
      </c>
      <c r="I212" s="320">
        <f t="shared" si="131"/>
        <v>0</v>
      </c>
      <c r="J212" s="7">
        <f t="shared" si="132"/>
        <v>0</v>
      </c>
      <c r="K212" s="7">
        <f t="shared" si="133"/>
        <v>0</v>
      </c>
      <c r="L212" s="7"/>
      <c r="M212" s="8" t="s">
        <v>75</v>
      </c>
      <c r="N212" s="7">
        <f t="shared" si="146"/>
        <v>0</v>
      </c>
      <c r="O212" s="8">
        <f t="shared" si="135"/>
        <v>0</v>
      </c>
      <c r="P212" s="7">
        <f t="shared" si="136"/>
        <v>0</v>
      </c>
      <c r="Q212" s="7">
        <f t="shared" si="137"/>
        <v>0</v>
      </c>
      <c r="R212" s="7">
        <f t="shared" si="138"/>
        <v>0</v>
      </c>
      <c r="S212" s="7">
        <f t="shared" si="139"/>
        <v>0</v>
      </c>
    </row>
    <row r="213" spans="3:19" ht="12.5" customHeight="1" thickBot="1">
      <c r="C213" s="368"/>
      <c r="D213" s="841"/>
      <c r="E213" s="841"/>
      <c r="F213" s="841"/>
      <c r="G213" s="28"/>
      <c r="H213" s="427"/>
      <c r="I213" s="337"/>
      <c r="J213" s="40"/>
      <c r="K213" s="40"/>
      <c r="L213" s="40"/>
      <c r="M213" s="40"/>
      <c r="N213" s="40"/>
      <c r="O213" s="40"/>
      <c r="P213" s="7"/>
      <c r="Q213" s="7"/>
      <c r="R213" s="7"/>
      <c r="S213" s="7"/>
    </row>
    <row r="214" spans="3:19" s="41" customFormat="1" ht="13" thickBot="1">
      <c r="C214" s="368"/>
      <c r="D214" s="834"/>
      <c r="E214" s="847"/>
      <c r="F214" s="834"/>
      <c r="G214" s="49"/>
      <c r="H214" s="17">
        <v>2400</v>
      </c>
      <c r="I214" s="10">
        <f>SUM(I202:I213)</f>
        <v>102840.84719999999</v>
      </c>
      <c r="J214" s="10">
        <f>SUM(J202:J213)</f>
        <v>25407.096671600004</v>
      </c>
      <c r="K214" s="10">
        <f>SUM(K202:K213)</f>
        <v>128247.9438716</v>
      </c>
      <c r="L214" s="11"/>
      <c r="M214" s="10">
        <f t="shared" ref="M214:S214" si="147">SUM(M202:M213)</f>
        <v>0</v>
      </c>
      <c r="N214" s="10">
        <f t="shared" si="147"/>
        <v>0</v>
      </c>
      <c r="O214" s="10">
        <f t="shared" si="147"/>
        <v>6376.1325263999997</v>
      </c>
      <c r="P214" s="10">
        <f t="shared" si="147"/>
        <v>1491.1922844000001</v>
      </c>
      <c r="Q214" s="10">
        <f t="shared" si="147"/>
        <v>15120.000000000002</v>
      </c>
      <c r="R214" s="10">
        <f t="shared" si="147"/>
        <v>980.00000000000011</v>
      </c>
      <c r="S214" s="10">
        <f t="shared" si="147"/>
        <v>1439.7718608</v>
      </c>
    </row>
    <row r="215" spans="3:19" ht="12">
      <c r="C215" s="369" t="s">
        <v>24</v>
      </c>
      <c r="D215" s="835"/>
      <c r="E215" s="848"/>
      <c r="F215" s="835"/>
      <c r="G215" s="28"/>
      <c r="H215" s="35"/>
      <c r="I215" s="7"/>
      <c r="J215" s="7"/>
      <c r="K215" s="7"/>
      <c r="L215" s="7"/>
      <c r="M215" s="36"/>
      <c r="N215" s="36"/>
      <c r="O215" s="36"/>
      <c r="P215" s="36"/>
      <c r="Q215" s="36"/>
      <c r="R215" s="36"/>
      <c r="S215" s="36"/>
    </row>
    <row r="216" spans="3:19" ht="12">
      <c r="C216" s="369"/>
      <c r="D216" s="840" t="str">
        <f>'Payroll 19-20'!D216</f>
        <v>Admin Assistant</v>
      </c>
      <c r="E216" s="840">
        <f>'Payroll 19-20'!E216*(1+'Revenue Inputs'!O$27)</f>
        <v>1</v>
      </c>
      <c r="F216" s="828">
        <f>'Payroll 19-20'!F216*(1+$I$4)</f>
        <v>42748.4856</v>
      </c>
      <c r="G216" s="322">
        <f>'Payroll 19-20'!G216</f>
        <v>12</v>
      </c>
      <c r="H216" s="319" t="str">
        <f>'Payroll 19-20'!H216</f>
        <v>y</v>
      </c>
      <c r="I216" s="320">
        <f>'Payroll 19-20'!I216*(1+$I$4)</f>
        <v>42748.4856</v>
      </c>
      <c r="J216" s="7">
        <f t="shared" ref="J216:J227" si="148">SUM(M216:S216)</f>
        <v>11918.7379468</v>
      </c>
      <c r="K216" s="7">
        <f t="shared" ref="K216:K226" si="149">SUM(I216:J216)</f>
        <v>54667.2235468</v>
      </c>
      <c r="L216" s="7"/>
      <c r="M216" s="8" t="s">
        <v>75</v>
      </c>
      <c r="N216" s="7">
        <f t="shared" ref="N216:N227" si="150">I216*$N$5</f>
        <v>0</v>
      </c>
      <c r="O216" s="8">
        <f t="shared" ref="O216:O227" si="151">I216*$O$5</f>
        <v>2650.4061072</v>
      </c>
      <c r="P216" s="7">
        <f t="shared" ref="P216:P227" si="152">I216*$P$5</f>
        <v>619.85304120000001</v>
      </c>
      <c r="Q216" s="7">
        <f t="shared" ref="Q216:Q227" si="153">IF(H216="y", $Q$5*E216, 0)</f>
        <v>7560.0000000000009</v>
      </c>
      <c r="R216" s="7">
        <f t="shared" ref="R216:R227" si="154">IF($I216&gt;7000,7000*R$5,$I216*R$5)*E216</f>
        <v>490.00000000000006</v>
      </c>
      <c r="S216" s="7">
        <f t="shared" ref="S216:S227" si="155">S$5*$I216</f>
        <v>598.47879839999996</v>
      </c>
    </row>
    <row r="217" spans="3:19" ht="12">
      <c r="C217" s="369"/>
      <c r="D217" s="840">
        <f>'Payroll 19-20'!D217</f>
        <v>0</v>
      </c>
      <c r="E217" s="840">
        <f>'Payroll 19-20'!E217*(1+'Revenue Inputs'!O$27)</f>
        <v>0</v>
      </c>
      <c r="F217" s="828">
        <f>'Payroll 19-20'!F217*(1+$I$4)</f>
        <v>0</v>
      </c>
      <c r="G217" s="322">
        <f>'Payroll 19-20'!G217</f>
        <v>0</v>
      </c>
      <c r="H217" s="319">
        <f>'Payroll 19-20'!H217</f>
        <v>0</v>
      </c>
      <c r="I217" s="320">
        <f>'Payroll 19-20'!I217*(1+$I$4)</f>
        <v>0</v>
      </c>
      <c r="J217" s="7">
        <f t="shared" ref="J217:J224" si="156">SUM(M217:S217)</f>
        <v>0</v>
      </c>
      <c r="K217" s="7">
        <f t="shared" ref="K217:K223" si="157">SUM(I217:J217)</f>
        <v>0</v>
      </c>
      <c r="L217" s="7"/>
      <c r="M217" s="8" t="s">
        <v>75</v>
      </c>
      <c r="N217" s="7">
        <f t="shared" ref="N217:N224" si="158">I217*$N$5</f>
        <v>0</v>
      </c>
      <c r="O217" s="8">
        <f t="shared" ref="O217:O224" si="159">I217*$O$5</f>
        <v>0</v>
      </c>
      <c r="P217" s="7">
        <f t="shared" ref="P217:P224" si="160">I217*$P$5</f>
        <v>0</v>
      </c>
      <c r="Q217" s="7">
        <f t="shared" si="153"/>
        <v>0</v>
      </c>
      <c r="R217" s="7">
        <f t="shared" si="154"/>
        <v>0</v>
      </c>
      <c r="S217" s="7">
        <f t="shared" si="155"/>
        <v>0</v>
      </c>
    </row>
    <row r="218" spans="3:19" ht="12">
      <c r="C218" s="369"/>
      <c r="D218" s="840">
        <f>'Payroll 19-20'!D218</f>
        <v>0</v>
      </c>
      <c r="E218" s="840">
        <f>'Payroll 19-20'!E218*(1+'Revenue Inputs'!O$27)</f>
        <v>0</v>
      </c>
      <c r="F218" s="828">
        <f>'Payroll 19-20'!F218*(1+$I$4)</f>
        <v>0</v>
      </c>
      <c r="G218" s="322">
        <f>'Payroll 19-20'!G218</f>
        <v>0</v>
      </c>
      <c r="H218" s="319">
        <f>'Payroll 19-20'!H218</f>
        <v>0</v>
      </c>
      <c r="I218" s="320">
        <f>'Payroll 19-20'!I218*(1+$I$4)</f>
        <v>0</v>
      </c>
      <c r="J218" s="7">
        <f t="shared" ref="J218:J222" si="161">SUM(M218:S218)</f>
        <v>0</v>
      </c>
      <c r="K218" s="7">
        <f t="shared" ref="K218" si="162">SUM(I218:J218)</f>
        <v>0</v>
      </c>
      <c r="L218" s="7"/>
      <c r="M218" s="8" t="s">
        <v>75</v>
      </c>
      <c r="N218" s="7">
        <f t="shared" ref="N218:N222" si="163">I218*$N$5</f>
        <v>0</v>
      </c>
      <c r="O218" s="8">
        <f t="shared" ref="O218:O222" si="164">I218*$O$5</f>
        <v>0</v>
      </c>
      <c r="P218" s="7">
        <f t="shared" ref="P218:P222" si="165">I218*$P$5</f>
        <v>0</v>
      </c>
      <c r="Q218" s="7">
        <f t="shared" si="153"/>
        <v>0</v>
      </c>
      <c r="R218" s="7">
        <f t="shared" si="154"/>
        <v>0</v>
      </c>
      <c r="S218" s="7">
        <f t="shared" si="155"/>
        <v>0</v>
      </c>
    </row>
    <row r="219" spans="3:19" ht="12">
      <c r="C219" s="369"/>
      <c r="D219" s="840">
        <f>'Payroll 19-20'!D219</f>
        <v>0</v>
      </c>
      <c r="E219" s="840">
        <f>'Payroll 19-20'!E219*(1+'Revenue Inputs'!O$27)</f>
        <v>0</v>
      </c>
      <c r="F219" s="828">
        <f>'Payroll 19-20'!F219*(1+$I$4)</f>
        <v>0</v>
      </c>
      <c r="G219" s="322">
        <f>'Payroll 19-20'!G219</f>
        <v>0</v>
      </c>
      <c r="H219" s="319">
        <f>'Payroll 19-20'!H219</f>
        <v>0</v>
      </c>
      <c r="I219" s="320">
        <f>'Payroll 19-20'!I219*(1+$I$4)</f>
        <v>0</v>
      </c>
      <c r="J219" s="7">
        <f t="shared" si="161"/>
        <v>0</v>
      </c>
      <c r="K219" s="7">
        <f t="shared" ref="K219" si="166">SUM(I219:J219)</f>
        <v>0</v>
      </c>
      <c r="L219" s="7"/>
      <c r="M219" s="8" t="s">
        <v>75</v>
      </c>
      <c r="N219" s="7">
        <f t="shared" si="163"/>
        <v>0</v>
      </c>
      <c r="O219" s="8">
        <f t="shared" si="164"/>
        <v>0</v>
      </c>
      <c r="P219" s="7">
        <f t="shared" si="165"/>
        <v>0</v>
      </c>
      <c r="Q219" s="7">
        <f t="shared" si="153"/>
        <v>0</v>
      </c>
      <c r="R219" s="7">
        <f t="shared" si="154"/>
        <v>0</v>
      </c>
      <c r="S219" s="7">
        <f t="shared" si="155"/>
        <v>0</v>
      </c>
    </row>
    <row r="220" spans="3:19" ht="12">
      <c r="C220" s="369"/>
      <c r="D220" s="840">
        <f>'Payroll 19-20'!D220</f>
        <v>0</v>
      </c>
      <c r="E220" s="840">
        <f>'Payroll 19-20'!E220*(1+'Revenue Inputs'!O$27)</f>
        <v>0</v>
      </c>
      <c r="F220" s="828">
        <f>'Payroll 19-20'!F220*(1+$I$4)</f>
        <v>0</v>
      </c>
      <c r="G220" s="322">
        <f>'Payroll 19-20'!G220</f>
        <v>0</v>
      </c>
      <c r="H220" s="319">
        <f>'Payroll 19-20'!H220</f>
        <v>0</v>
      </c>
      <c r="I220" s="320">
        <f>'Payroll 19-20'!I220*(1+$I$4)</f>
        <v>0</v>
      </c>
      <c r="J220" s="7">
        <f t="shared" si="161"/>
        <v>0</v>
      </c>
      <c r="K220" s="7">
        <f t="shared" ref="K220:K221" si="167">SUM(I220:J220)</f>
        <v>0</v>
      </c>
      <c r="L220" s="7"/>
      <c r="M220" s="8" t="s">
        <v>75</v>
      </c>
      <c r="N220" s="7">
        <f t="shared" si="163"/>
        <v>0</v>
      </c>
      <c r="O220" s="8">
        <f t="shared" si="164"/>
        <v>0</v>
      </c>
      <c r="P220" s="7">
        <f t="shared" si="165"/>
        <v>0</v>
      </c>
      <c r="Q220" s="7">
        <f t="shared" si="153"/>
        <v>0</v>
      </c>
      <c r="R220" s="7">
        <f t="shared" si="154"/>
        <v>0</v>
      </c>
      <c r="S220" s="7">
        <f t="shared" si="155"/>
        <v>0</v>
      </c>
    </row>
    <row r="221" spans="3:19" ht="12">
      <c r="C221" s="369"/>
      <c r="D221" s="840">
        <f>'Payroll 19-20'!D221</f>
        <v>0</v>
      </c>
      <c r="E221" s="840">
        <f>'Payroll 19-20'!E221*(1+'Revenue Inputs'!O$27)</f>
        <v>0</v>
      </c>
      <c r="F221" s="828">
        <f>'Payroll 19-20'!F221*(1+$I$4)</f>
        <v>0</v>
      </c>
      <c r="G221" s="322">
        <f>'Payroll 19-20'!G221</f>
        <v>0</v>
      </c>
      <c r="H221" s="319">
        <f>'Payroll 19-20'!H221</f>
        <v>0</v>
      </c>
      <c r="I221" s="320">
        <f>'Payroll 19-20'!I221*(1+$I$4)</f>
        <v>0</v>
      </c>
      <c r="J221" s="7">
        <f t="shared" si="161"/>
        <v>0</v>
      </c>
      <c r="K221" s="7">
        <f t="shared" si="167"/>
        <v>0</v>
      </c>
      <c r="L221" s="7"/>
      <c r="M221" s="8" t="s">
        <v>75</v>
      </c>
      <c r="N221" s="7">
        <f t="shared" si="163"/>
        <v>0</v>
      </c>
      <c r="O221" s="8">
        <f t="shared" si="164"/>
        <v>0</v>
      </c>
      <c r="P221" s="7">
        <f t="shared" si="165"/>
        <v>0</v>
      </c>
      <c r="Q221" s="7">
        <f t="shared" si="153"/>
        <v>0</v>
      </c>
      <c r="R221" s="7">
        <f t="shared" si="154"/>
        <v>0</v>
      </c>
      <c r="S221" s="7">
        <f t="shared" si="155"/>
        <v>0</v>
      </c>
    </row>
    <row r="222" spans="3:19" ht="12">
      <c r="C222" s="369"/>
      <c r="D222" s="840">
        <f>'Payroll 19-20'!D222</f>
        <v>0</v>
      </c>
      <c r="E222" s="840">
        <f>'Payroll 19-20'!E222*(1+'Revenue Inputs'!O$27)</f>
        <v>0</v>
      </c>
      <c r="F222" s="828">
        <f>'Payroll 19-20'!F222*(1+$I$4)</f>
        <v>0</v>
      </c>
      <c r="G222" s="322">
        <f>'Payroll 19-20'!G222</f>
        <v>0</v>
      </c>
      <c r="H222" s="319">
        <f>'Payroll 19-20'!H222</f>
        <v>0</v>
      </c>
      <c r="I222" s="320">
        <f>'Payroll 19-20'!I222*(1+$I$4)</f>
        <v>0</v>
      </c>
      <c r="J222" s="7">
        <f t="shared" si="161"/>
        <v>0</v>
      </c>
      <c r="K222" s="7">
        <f t="shared" ref="K222" si="168">SUM(I222:J222)</f>
        <v>0</v>
      </c>
      <c r="L222" s="7"/>
      <c r="M222" s="8" t="s">
        <v>75</v>
      </c>
      <c r="N222" s="7">
        <f t="shared" si="163"/>
        <v>0</v>
      </c>
      <c r="O222" s="8">
        <f t="shared" si="164"/>
        <v>0</v>
      </c>
      <c r="P222" s="7">
        <f t="shared" si="165"/>
        <v>0</v>
      </c>
      <c r="Q222" s="7">
        <f t="shared" si="153"/>
        <v>0</v>
      </c>
      <c r="R222" s="7">
        <f t="shared" si="154"/>
        <v>0</v>
      </c>
      <c r="S222" s="7">
        <f t="shared" si="155"/>
        <v>0</v>
      </c>
    </row>
    <row r="223" spans="3:19" ht="12">
      <c r="C223" s="369"/>
      <c r="D223" s="840">
        <f>'Payroll 19-20'!D223</f>
        <v>0</v>
      </c>
      <c r="E223" s="840">
        <f>'Payroll 19-20'!E223*(1+'Revenue Inputs'!O$27)</f>
        <v>0</v>
      </c>
      <c r="F223" s="828">
        <f>'Payroll 19-20'!F223*(1+$I$4)</f>
        <v>0</v>
      </c>
      <c r="G223" s="322">
        <f>'Payroll 19-20'!G223</f>
        <v>0</v>
      </c>
      <c r="H223" s="319">
        <f>'Payroll 19-20'!H223</f>
        <v>0</v>
      </c>
      <c r="I223" s="320">
        <f>'Payroll 19-20'!I223*(1+$I$4)</f>
        <v>0</v>
      </c>
      <c r="J223" s="7">
        <f t="shared" si="156"/>
        <v>0</v>
      </c>
      <c r="K223" s="7">
        <f t="shared" si="157"/>
        <v>0</v>
      </c>
      <c r="L223" s="7"/>
      <c r="M223" s="8" t="s">
        <v>75</v>
      </c>
      <c r="N223" s="7">
        <f t="shared" si="158"/>
        <v>0</v>
      </c>
      <c r="O223" s="8">
        <f t="shared" si="159"/>
        <v>0</v>
      </c>
      <c r="P223" s="7">
        <f t="shared" si="160"/>
        <v>0</v>
      </c>
      <c r="Q223" s="7">
        <f t="shared" si="153"/>
        <v>0</v>
      </c>
      <c r="R223" s="7">
        <f t="shared" si="154"/>
        <v>0</v>
      </c>
      <c r="S223" s="7">
        <f t="shared" si="155"/>
        <v>0</v>
      </c>
    </row>
    <row r="224" spans="3:19" ht="12">
      <c r="C224" s="369"/>
      <c r="D224" s="840">
        <f>'Payroll 19-20'!D224</f>
        <v>0</v>
      </c>
      <c r="E224" s="840">
        <f>'Payroll 19-20'!E224*(1+'Revenue Inputs'!O$27)</f>
        <v>0</v>
      </c>
      <c r="F224" s="828">
        <f>'Payroll 19-20'!F224*(1+$I$4)</f>
        <v>0</v>
      </c>
      <c r="G224" s="322">
        <f>'Payroll 19-20'!G224</f>
        <v>0</v>
      </c>
      <c r="H224" s="319">
        <f>'Payroll 19-20'!H224</f>
        <v>0</v>
      </c>
      <c r="I224" s="320">
        <f>'Payroll 19-20'!I224*(1+$I$4)</f>
        <v>0</v>
      </c>
      <c r="J224" s="7">
        <f t="shared" si="156"/>
        <v>0</v>
      </c>
      <c r="K224" s="7">
        <f t="shared" ref="K224" si="169">SUM(I224:J224)</f>
        <v>0</v>
      </c>
      <c r="L224" s="7"/>
      <c r="M224" s="8" t="s">
        <v>75</v>
      </c>
      <c r="N224" s="7">
        <f t="shared" si="158"/>
        <v>0</v>
      </c>
      <c r="O224" s="8">
        <f t="shared" si="159"/>
        <v>0</v>
      </c>
      <c r="P224" s="7">
        <f t="shared" si="160"/>
        <v>0</v>
      </c>
      <c r="Q224" s="7">
        <f t="shared" si="153"/>
        <v>0</v>
      </c>
      <c r="R224" s="7">
        <f t="shared" si="154"/>
        <v>0</v>
      </c>
      <c r="S224" s="7">
        <f t="shared" si="155"/>
        <v>0</v>
      </c>
    </row>
    <row r="225" spans="3:19" ht="12">
      <c r="C225" s="369"/>
      <c r="D225" s="840">
        <f>'Payroll 19-20'!D225</f>
        <v>0</v>
      </c>
      <c r="E225" s="840">
        <f>'Payroll 19-20'!E225*(1+'Revenue Inputs'!O$27)</f>
        <v>0</v>
      </c>
      <c r="F225" s="828">
        <f>'Payroll 19-20'!F225*(1+$I$4)</f>
        <v>0</v>
      </c>
      <c r="G225" s="322">
        <f>'Payroll 19-20'!G225</f>
        <v>0</v>
      </c>
      <c r="H225" s="319">
        <f>'Payroll 19-20'!H225</f>
        <v>0</v>
      </c>
      <c r="I225" s="320">
        <f>'Payroll 19-20'!I225*(1+$I$4)</f>
        <v>0</v>
      </c>
      <c r="J225" s="7">
        <f t="shared" si="148"/>
        <v>0</v>
      </c>
      <c r="K225" s="7">
        <f t="shared" si="149"/>
        <v>0</v>
      </c>
      <c r="L225" s="7"/>
      <c r="M225" s="8" t="s">
        <v>75</v>
      </c>
      <c r="N225" s="7">
        <f t="shared" si="150"/>
        <v>0</v>
      </c>
      <c r="O225" s="8">
        <f t="shared" si="151"/>
        <v>0</v>
      </c>
      <c r="P225" s="7">
        <f t="shared" si="152"/>
        <v>0</v>
      </c>
      <c r="Q225" s="7">
        <f t="shared" si="153"/>
        <v>0</v>
      </c>
      <c r="R225" s="7">
        <f t="shared" si="154"/>
        <v>0</v>
      </c>
      <c r="S225" s="7">
        <f t="shared" si="155"/>
        <v>0</v>
      </c>
    </row>
    <row r="226" spans="3:19" ht="12">
      <c r="C226" s="369"/>
      <c r="D226" s="840">
        <f>'Payroll 19-20'!D226</f>
        <v>0</v>
      </c>
      <c r="E226" s="840">
        <f>'Payroll 19-20'!E226*(1+'Revenue Inputs'!O$27)</f>
        <v>0</v>
      </c>
      <c r="F226" s="828">
        <f>'Payroll 19-20'!F226*(1+$I$4)</f>
        <v>0</v>
      </c>
      <c r="G226" s="322">
        <f>'Payroll 19-20'!G226</f>
        <v>0</v>
      </c>
      <c r="H226" s="319">
        <f>'Payroll 19-20'!H226</f>
        <v>0</v>
      </c>
      <c r="I226" s="320">
        <f>'Payroll 19-20'!I226*(1+$I$4)</f>
        <v>0</v>
      </c>
      <c r="J226" s="7">
        <f t="shared" si="148"/>
        <v>0</v>
      </c>
      <c r="K226" s="7">
        <f t="shared" si="149"/>
        <v>0</v>
      </c>
      <c r="L226" s="7"/>
      <c r="M226" s="8" t="s">
        <v>75</v>
      </c>
      <c r="N226" s="7">
        <f t="shared" si="150"/>
        <v>0</v>
      </c>
      <c r="O226" s="8">
        <f t="shared" si="151"/>
        <v>0</v>
      </c>
      <c r="P226" s="7">
        <f t="shared" si="152"/>
        <v>0</v>
      </c>
      <c r="Q226" s="7">
        <f t="shared" si="153"/>
        <v>0</v>
      </c>
      <c r="R226" s="7">
        <f t="shared" si="154"/>
        <v>0</v>
      </c>
      <c r="S226" s="7">
        <f t="shared" si="155"/>
        <v>0</v>
      </c>
    </row>
    <row r="227" spans="3:19" ht="12">
      <c r="C227" s="369"/>
      <c r="D227" s="840">
        <f>'Payroll 19-20'!D227</f>
        <v>0</v>
      </c>
      <c r="E227" s="840">
        <f>'Payroll 19-20'!E227*(1+'Revenue Inputs'!O$27)</f>
        <v>0</v>
      </c>
      <c r="F227" s="828">
        <f>'Payroll 19-20'!F227*(1+$I$4)</f>
        <v>0</v>
      </c>
      <c r="G227" s="322">
        <f>'Payroll 19-20'!G227</f>
        <v>0</v>
      </c>
      <c r="H227" s="319">
        <f>'Payroll 19-20'!H227</f>
        <v>0</v>
      </c>
      <c r="I227" s="320">
        <f>'Payroll 19-20'!I227*(1+$I$4)</f>
        <v>0</v>
      </c>
      <c r="J227" s="7">
        <f t="shared" si="148"/>
        <v>0</v>
      </c>
      <c r="K227" s="7">
        <f t="shared" ref="K227" si="170">SUM(I227:J227)</f>
        <v>0</v>
      </c>
      <c r="L227" s="7"/>
      <c r="M227" s="8" t="s">
        <v>75</v>
      </c>
      <c r="N227" s="7">
        <f t="shared" si="150"/>
        <v>0</v>
      </c>
      <c r="O227" s="8">
        <f t="shared" si="151"/>
        <v>0</v>
      </c>
      <c r="P227" s="7">
        <f t="shared" si="152"/>
        <v>0</v>
      </c>
      <c r="Q227" s="7">
        <f t="shared" si="153"/>
        <v>0</v>
      </c>
      <c r="R227" s="7">
        <f t="shared" si="154"/>
        <v>0</v>
      </c>
      <c r="S227" s="7">
        <f t="shared" si="155"/>
        <v>0</v>
      </c>
    </row>
    <row r="228" spans="3:19" ht="12.5" customHeight="1" thickBot="1">
      <c r="C228" s="369"/>
      <c r="D228" s="841"/>
      <c r="E228" s="841"/>
      <c r="F228" s="841"/>
      <c r="G228" s="28"/>
      <c r="H228" s="427"/>
      <c r="I228" s="337"/>
      <c r="J228" s="40"/>
      <c r="K228" s="40"/>
      <c r="L228" s="40"/>
      <c r="M228" s="40"/>
      <c r="N228" s="40"/>
      <c r="O228" s="40"/>
      <c r="P228" s="7"/>
      <c r="Q228" s="7"/>
      <c r="R228" s="7"/>
      <c r="S228" s="7"/>
    </row>
    <row r="229" spans="3:19" s="41" customFormat="1" ht="13" thickBot="1">
      <c r="C229" s="369"/>
      <c r="D229" s="852"/>
      <c r="E229" s="852"/>
      <c r="F229" s="835"/>
      <c r="G229" s="28"/>
      <c r="H229" s="17">
        <v>2900</v>
      </c>
      <c r="I229" s="10">
        <f>SUM(I216:I228)</f>
        <v>42748.4856</v>
      </c>
      <c r="J229" s="10">
        <f>SUM(J216:J228)</f>
        <v>11918.7379468</v>
      </c>
      <c r="K229" s="10">
        <f>SUM(K216:K228)</f>
        <v>54667.2235468</v>
      </c>
      <c r="L229" s="11"/>
      <c r="M229" s="10">
        <f t="shared" ref="M229:S229" si="171">SUM(M216:M228)</f>
        <v>0</v>
      </c>
      <c r="N229" s="10">
        <f t="shared" si="171"/>
        <v>0</v>
      </c>
      <c r="O229" s="10">
        <f t="shared" si="171"/>
        <v>2650.4061072</v>
      </c>
      <c r="P229" s="10">
        <f t="shared" si="171"/>
        <v>619.85304120000001</v>
      </c>
      <c r="Q229" s="10">
        <f t="shared" si="171"/>
        <v>7560.0000000000009</v>
      </c>
      <c r="R229" s="10">
        <f t="shared" si="171"/>
        <v>490.00000000000006</v>
      </c>
      <c r="S229" s="10">
        <f t="shared" si="171"/>
        <v>598.47879839999996</v>
      </c>
    </row>
    <row r="230" spans="3:19" ht="12">
      <c r="C230" s="369"/>
      <c r="D230" s="852"/>
      <c r="E230" s="852"/>
      <c r="F230" s="841"/>
      <c r="G230" s="28"/>
      <c r="H230" s="427"/>
      <c r="I230" s="337"/>
      <c r="J230" s="7"/>
      <c r="K230" s="7"/>
      <c r="L230" s="7"/>
      <c r="M230" s="36"/>
      <c r="N230" s="36"/>
      <c r="O230" s="36"/>
      <c r="P230" s="36"/>
      <c r="Q230" s="36"/>
      <c r="R230" s="36"/>
      <c r="S230" s="36"/>
    </row>
    <row r="231" spans="3:19" s="42" customFormat="1" ht="13" thickBot="1">
      <c r="C231" s="370"/>
      <c r="D231" s="852"/>
      <c r="E231" s="852"/>
      <c r="F231" s="843"/>
      <c r="G231" s="50"/>
      <c r="H231" s="20"/>
      <c r="I231" s="21">
        <f>SUM(I61,I229,I188,I214,I200,I166,I144,I122,I76,I65,I100)</f>
        <v>10824811.569810003</v>
      </c>
      <c r="J231" s="21">
        <f>SUM(J61,J229,J188,J214,J200,J166,J144,J122,J76,J65,J100)</f>
        <v>3488658.4578310247</v>
      </c>
      <c r="K231" s="21">
        <f>SUM(K61,K229,K188,K214,K200,K166,K144,K122,K76,K65,K100)</f>
        <v>14313470.027641026</v>
      </c>
      <c r="L231" s="22"/>
      <c r="M231" s="21">
        <f t="shared" ref="M231:S231" si="172">SUM(M61,M229,M188,M214,M200,M166,M144,M122,M76,M65,M100)</f>
        <v>1904016.9342658399</v>
      </c>
      <c r="N231" s="21">
        <f t="shared" si="172"/>
        <v>0</v>
      </c>
      <c r="O231" s="21">
        <f t="shared" si="172"/>
        <v>29567.393825600004</v>
      </c>
      <c r="P231" s="21">
        <f t="shared" si="172"/>
        <v>156959.767762245</v>
      </c>
      <c r="Q231" s="21">
        <f t="shared" si="172"/>
        <v>1164240.0000000002</v>
      </c>
      <c r="R231" s="21">
        <f t="shared" si="172"/>
        <v>82327.000000000015</v>
      </c>
      <c r="S231" s="21">
        <f t="shared" si="172"/>
        <v>151547.36197734001</v>
      </c>
    </row>
    <row r="232" spans="3:19" ht="13" thickTop="1">
      <c r="C232" s="370"/>
      <c r="D232" s="36"/>
      <c r="E232" s="36"/>
      <c r="F232" s="36"/>
      <c r="G232" s="28"/>
      <c r="H232" s="7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3:19" ht="12">
      <c r="C233" s="369"/>
      <c r="D233" s="36"/>
      <c r="E233" s="36"/>
      <c r="F233" s="36"/>
      <c r="G233" s="28"/>
      <c r="I233" s="36">
        <f>+I231-I76</f>
        <v>10405399.702600002</v>
      </c>
      <c r="J233" s="36"/>
      <c r="K233" s="36"/>
      <c r="M233" s="36"/>
      <c r="N233" s="36"/>
      <c r="O233" s="36"/>
      <c r="P233" s="36"/>
      <c r="Q233" s="36"/>
      <c r="R233" s="7"/>
      <c r="S233" s="7"/>
    </row>
    <row r="234" spans="3:19" ht="12">
      <c r="C234" s="369"/>
      <c r="I234" s="844">
        <f>+I233-9943717.19</f>
        <v>461682.51260000281</v>
      </c>
    </row>
    <row r="235" spans="3:19" ht="12">
      <c r="C235" s="369"/>
    </row>
    <row r="236" spans="3:19" ht="12">
      <c r="C236" s="369"/>
    </row>
    <row r="237" spans="3:19" ht="12">
      <c r="C237" s="369"/>
    </row>
    <row r="238" spans="3:19" ht="12">
      <c r="C238" s="369"/>
    </row>
    <row r="239" spans="3:19" ht="12">
      <c r="C239" s="369"/>
    </row>
    <row r="240" spans="3:19" ht="12">
      <c r="C240" s="369"/>
    </row>
    <row r="241" spans="1:26" ht="12">
      <c r="C241" s="369"/>
    </row>
    <row r="242" spans="1:26" ht="12">
      <c r="C242" s="369"/>
    </row>
    <row r="244" spans="1:26" s="46" customFormat="1">
      <c r="A244" s="27"/>
      <c r="B244" s="27"/>
      <c r="C244" s="27"/>
      <c r="D244" s="844"/>
      <c r="E244" s="844"/>
      <c r="F244" s="844"/>
      <c r="G244" s="45"/>
      <c r="H244" s="45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s="46" customFormat="1">
      <c r="A245" s="27"/>
      <c r="B245" s="27"/>
      <c r="C245" s="27"/>
      <c r="D245" s="844"/>
      <c r="E245" s="844"/>
      <c r="F245" s="844"/>
      <c r="G245" s="45"/>
      <c r="H245" s="45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s="46" customFormat="1">
      <c r="A246" s="27"/>
      <c r="B246" s="27"/>
      <c r="C246" s="27"/>
      <c r="D246" s="844"/>
      <c r="E246" s="844"/>
      <c r="F246" s="844"/>
      <c r="G246" s="45"/>
      <c r="H246" s="45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s="46" customFormat="1">
      <c r="A247" s="27"/>
      <c r="B247" s="27"/>
      <c r="C247" s="27"/>
      <c r="D247" s="844"/>
      <c r="E247" s="844"/>
      <c r="F247" s="844"/>
      <c r="G247" s="45"/>
      <c r="H247" s="45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s="46" customFormat="1">
      <c r="A248" s="27"/>
      <c r="B248" s="27"/>
      <c r="C248" s="27"/>
      <c r="D248" s="844"/>
      <c r="E248" s="844"/>
      <c r="F248" s="844"/>
      <c r="G248" s="45"/>
      <c r="H248" s="45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s="46" customFormat="1">
      <c r="A249" s="27"/>
      <c r="B249" s="27"/>
      <c r="C249" s="27"/>
      <c r="D249" s="844"/>
      <c r="E249" s="844"/>
      <c r="F249" s="844"/>
      <c r="G249" s="45"/>
      <c r="H249" s="45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s="46" customFormat="1">
      <c r="A250" s="27"/>
      <c r="B250" s="27"/>
      <c r="C250" s="27"/>
      <c r="D250" s="844"/>
      <c r="E250" s="844"/>
      <c r="F250" s="844"/>
      <c r="G250" s="45"/>
      <c r="H250" s="45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s="46" customFormat="1">
      <c r="A251" s="27"/>
      <c r="B251" s="27"/>
      <c r="C251" s="27"/>
      <c r="D251" s="844"/>
      <c r="E251" s="844"/>
      <c r="F251" s="844"/>
      <c r="G251" s="45"/>
      <c r="H251" s="45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s="46" customFormat="1">
      <c r="A252" s="27"/>
      <c r="B252" s="27"/>
      <c r="C252" s="27"/>
      <c r="D252" s="844"/>
      <c r="E252" s="844"/>
      <c r="F252" s="844"/>
      <c r="G252" s="45"/>
      <c r="H252" s="45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s="46" customFormat="1">
      <c r="A253" s="27"/>
      <c r="B253" s="27"/>
      <c r="C253" s="27"/>
      <c r="D253" s="844"/>
      <c r="E253" s="844"/>
      <c r="F253" s="844"/>
      <c r="G253" s="45"/>
      <c r="H253" s="45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s="46" customFormat="1">
      <c r="A254" s="27"/>
      <c r="B254" s="27"/>
      <c r="C254" s="27"/>
      <c r="D254" s="844"/>
      <c r="E254" s="844"/>
      <c r="F254" s="844"/>
      <c r="G254" s="45"/>
      <c r="H254" s="45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s="46" customFormat="1">
      <c r="A255" s="27"/>
      <c r="B255" s="27"/>
      <c r="C255" s="27"/>
      <c r="D255" s="844"/>
      <c r="E255" s="844"/>
      <c r="F255" s="844"/>
      <c r="G255" s="45"/>
      <c r="H255" s="45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s="46" customFormat="1">
      <c r="A256" s="27"/>
      <c r="B256" s="27"/>
      <c r="C256" s="27"/>
      <c r="D256" s="844"/>
      <c r="E256" s="844"/>
      <c r="F256" s="844"/>
      <c r="G256" s="45"/>
      <c r="H256" s="45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</sheetData>
  <sheetProtection insertColumns="0" insertRows="0" deleteColumns="0" deleteRows="0"/>
  <printOptions horizontalCentered="1"/>
  <pageMargins left="0.25" right="0.25" top="0.25" bottom="0.25" header="0.3" footer="0.3"/>
  <pageSetup scale="7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8FD610"/>
  </sheetPr>
  <dimension ref="A1:Z256"/>
  <sheetViews>
    <sheetView zoomScaleNormal="100" zoomScaleSheetLayoutView="85" workbookViewId="0">
      <pane ySplit="5" topLeftCell="A6" activePane="bottomLeft" state="frozen"/>
      <selection activeCell="E233" sqref="E233"/>
      <selection pane="bottomLeft" activeCell="I7" sqref="I7"/>
    </sheetView>
  </sheetViews>
  <sheetFormatPr baseColWidth="10" defaultColWidth="8.83203125" defaultRowHeight="11"/>
  <cols>
    <col min="1" max="1" width="1.33203125" style="27" customWidth="1"/>
    <col min="2" max="2" width="3.6640625" style="27" customWidth="1"/>
    <col min="3" max="3" width="2.6640625" style="27" customWidth="1"/>
    <col min="4" max="5" width="14.33203125" style="844" customWidth="1"/>
    <col min="6" max="6" width="20.6640625" style="844" bestFit="1" customWidth="1"/>
    <col min="7" max="7" width="8" style="45" customWidth="1"/>
    <col min="8" max="8" width="7" style="45" customWidth="1"/>
    <col min="9" max="9" width="11" style="27" bestFit="1" customWidth="1"/>
    <col min="10" max="11" width="9.33203125" style="27" customWidth="1"/>
    <col min="12" max="12" width="4.6640625" style="27" customWidth="1"/>
    <col min="13" max="19" width="8.33203125" style="27" customWidth="1"/>
    <col min="20" max="16384" width="8.83203125" style="27"/>
  </cols>
  <sheetData>
    <row r="1" spans="1:19" s="1" customFormat="1" ht="20">
      <c r="B1" s="364" t="str">
        <f>'FY19-20'!A1</f>
        <v>Granite Mountain Charter School</v>
      </c>
      <c r="D1" s="830"/>
      <c r="E1" s="830"/>
      <c r="F1" s="830"/>
      <c r="G1" s="48"/>
      <c r="H1" s="426"/>
      <c r="N1" s="47"/>
      <c r="O1" s="47"/>
      <c r="P1" s="47"/>
      <c r="Q1" s="47"/>
      <c r="R1" s="47"/>
      <c r="S1" s="47"/>
    </row>
    <row r="2" spans="1:19" ht="14">
      <c r="B2" s="365" t="s">
        <v>342</v>
      </c>
      <c r="E2" s="831"/>
      <c r="F2" s="831"/>
      <c r="H2" s="28"/>
      <c r="I2" s="2"/>
      <c r="J2" s="2"/>
      <c r="K2" s="2"/>
      <c r="L2" s="2"/>
      <c r="P2" s="1018" t="s">
        <v>770</v>
      </c>
      <c r="Q2" s="1019">
        <v>0.08</v>
      </c>
    </row>
    <row r="3" spans="1:19" s="30" customFormat="1" ht="36">
      <c r="A3" s="29"/>
      <c r="B3" s="363" t="str">
        <f>'FY19-20'!A3</f>
        <v>Revised 08/06/20</v>
      </c>
      <c r="C3" s="1"/>
      <c r="D3" s="853"/>
      <c r="E3" s="845"/>
      <c r="F3" s="831"/>
      <c r="G3" s="32"/>
      <c r="H3" s="31"/>
      <c r="I3" s="3"/>
      <c r="J3" s="3"/>
      <c r="K3" s="3"/>
      <c r="L3" s="3"/>
      <c r="M3" s="4" t="s">
        <v>69</v>
      </c>
      <c r="N3" s="4" t="s">
        <v>70</v>
      </c>
      <c r="O3" s="32" t="s">
        <v>246</v>
      </c>
      <c r="P3" s="32" t="s">
        <v>240</v>
      </c>
      <c r="Q3" s="32" t="s">
        <v>235</v>
      </c>
      <c r="R3" s="32" t="s">
        <v>247</v>
      </c>
      <c r="S3" s="32" t="s">
        <v>266</v>
      </c>
    </row>
    <row r="4" spans="1:19" ht="15" customHeight="1">
      <c r="C4" s="6"/>
      <c r="D4" s="831"/>
      <c r="E4" s="831"/>
      <c r="F4" s="831"/>
      <c r="G4" s="28"/>
      <c r="H4" s="480" t="s">
        <v>407</v>
      </c>
      <c r="I4" s="479">
        <f>'Multi-Year'!L9</f>
        <v>0.02</v>
      </c>
      <c r="J4" s="478"/>
      <c r="M4" s="33">
        <v>3101</v>
      </c>
      <c r="N4" s="33">
        <v>3202</v>
      </c>
      <c r="O4" s="33">
        <v>3301</v>
      </c>
      <c r="P4" s="33">
        <v>3311</v>
      </c>
      <c r="Q4" s="33">
        <v>3401</v>
      </c>
      <c r="R4" s="33">
        <v>3501</v>
      </c>
      <c r="S4" s="33">
        <v>3601</v>
      </c>
    </row>
    <row r="5" spans="1:19" s="51" customFormat="1" ht="44.25" customHeight="1">
      <c r="D5" s="832" t="s">
        <v>71</v>
      </c>
      <c r="E5" s="832" t="s">
        <v>525</v>
      </c>
      <c r="F5" s="832" t="s">
        <v>526</v>
      </c>
      <c r="G5" s="358" t="s">
        <v>527</v>
      </c>
      <c r="H5" s="359" t="s">
        <v>72</v>
      </c>
      <c r="I5" s="360" t="s">
        <v>73</v>
      </c>
      <c r="J5" s="360" t="s">
        <v>3</v>
      </c>
      <c r="K5" s="360" t="s">
        <v>74</v>
      </c>
      <c r="L5" s="52"/>
      <c r="M5" s="361">
        <v>0.18099999999999999</v>
      </c>
      <c r="N5" s="361"/>
      <c r="O5" s="361">
        <v>6.2E-2</v>
      </c>
      <c r="P5" s="361">
        <v>1.4500000000000001E-2</v>
      </c>
      <c r="Q5" s="362">
        <f>'Payroll 20-21'!Q5*(1+'Payroll 21-22'!Q2)</f>
        <v>8164.8000000000011</v>
      </c>
      <c r="R5" s="361">
        <v>7.0000000000000007E-2</v>
      </c>
      <c r="S5" s="361">
        <v>1.4E-2</v>
      </c>
    </row>
    <row r="6" spans="1:19" ht="12">
      <c r="B6" s="51"/>
      <c r="C6" s="366" t="s">
        <v>17</v>
      </c>
      <c r="D6" s="831"/>
      <c r="E6" s="831"/>
      <c r="F6" s="831"/>
      <c r="G6" s="28"/>
      <c r="H6" s="28"/>
      <c r="I6" s="2"/>
      <c r="J6" s="2"/>
      <c r="K6" s="2"/>
      <c r="L6" s="2"/>
      <c r="O6" s="5"/>
      <c r="P6" s="5"/>
      <c r="Q6" s="5"/>
      <c r="R6" s="5"/>
      <c r="S6" s="5"/>
    </row>
    <row r="7" spans="1:19">
      <c r="B7" s="51"/>
      <c r="C7" s="34"/>
      <c r="D7" s="840" t="str">
        <f>'Payroll 19-20'!D7</f>
        <v>Coord-REgional</v>
      </c>
      <c r="E7" s="840">
        <f>'Payroll 20-21'!E7*(1+'Revenue Inputs'!P$27)</f>
        <v>1</v>
      </c>
      <c r="F7" s="828">
        <f>'Payroll 20-21'!F7*(1+$I$4)</f>
        <v>83231.916767999995</v>
      </c>
      <c r="G7" s="322">
        <f>'Payroll 20-21'!G7</f>
        <v>12</v>
      </c>
      <c r="H7" s="319" t="str">
        <f>'Payroll 20-21'!H7</f>
        <v>y</v>
      </c>
      <c r="I7" s="320">
        <f>F7*E7</f>
        <v>83231.916767999995</v>
      </c>
      <c r="J7" s="7">
        <f t="shared" ref="J7:J59" si="0">SUM(M7:S7)</f>
        <v>26091.886562896001</v>
      </c>
      <c r="K7" s="7">
        <f t="shared" ref="K7:K9" si="1">SUM(I7:J7)</f>
        <v>109323.803330896</v>
      </c>
      <c r="L7" s="352"/>
      <c r="M7" s="7">
        <f>I7*$M$5</f>
        <v>15064.976935007999</v>
      </c>
      <c r="N7" s="8" t="s">
        <v>75</v>
      </c>
      <c r="O7" s="8" t="str">
        <f>IF($M$5&gt;0,"N/A",$O$5*I7)</f>
        <v>N/A</v>
      </c>
      <c r="P7" s="7">
        <f t="shared" ref="P7:P59" si="2">I7*$P$5</f>
        <v>1206.8627931359999</v>
      </c>
      <c r="Q7" s="7">
        <f>IF(H7="y", $Q$5*E7, 0)</f>
        <v>8164.8000000000011</v>
      </c>
      <c r="R7" s="7">
        <f>IF($I7&gt;7000,7000*R$5,$I7*R$5)*E7</f>
        <v>490.00000000000006</v>
      </c>
      <c r="S7" s="7">
        <f>S$5*$I7</f>
        <v>1165.246834752</v>
      </c>
    </row>
    <row r="8" spans="1:19">
      <c r="B8" s="51"/>
      <c r="C8" s="34"/>
      <c r="D8" s="1027" t="str">
        <f>'Payroll 19-20'!D8</f>
        <v>Director</v>
      </c>
      <c r="E8" s="1027">
        <f>'Payroll 20-21'!E8*(1+'Revenue Inputs'!P$27)</f>
        <v>1</v>
      </c>
      <c r="F8" s="1022">
        <v>62400</v>
      </c>
      <c r="G8" s="1023">
        <f>'Payroll 20-21'!G8</f>
        <v>12</v>
      </c>
      <c r="H8" s="1024" t="str">
        <f>'Payroll 20-21'!H8</f>
        <v>y</v>
      </c>
      <c r="I8" s="1025">
        <f t="shared" ref="I8:I59" si="3">F8*E8</f>
        <v>62400</v>
      </c>
      <c r="J8" s="7">
        <f t="shared" si="0"/>
        <v>21727.599999999999</v>
      </c>
      <c r="K8" s="7">
        <f t="shared" si="1"/>
        <v>84127.6</v>
      </c>
      <c r="L8" s="352"/>
      <c r="M8" s="7">
        <f t="shared" ref="M8:M9" si="4">I8*$M$5</f>
        <v>11294.4</v>
      </c>
      <c r="N8" s="8" t="s">
        <v>75</v>
      </c>
      <c r="O8" s="8" t="str">
        <f t="shared" ref="O8:O59" si="5">IF($M$5&gt;0,"N/A",$O$5*I8)</f>
        <v>N/A</v>
      </c>
      <c r="P8" s="7">
        <f t="shared" si="2"/>
        <v>904.80000000000007</v>
      </c>
      <c r="Q8" s="7">
        <f t="shared" ref="Q8:Q59" si="6">IF(H8="y", $Q$5*E8, 0)</f>
        <v>8164.8000000000011</v>
      </c>
      <c r="R8" s="7">
        <f t="shared" ref="R8:R59" si="7">IF($I8&gt;7000,7000*R$5,$I8*R$5)*E8</f>
        <v>490.00000000000006</v>
      </c>
      <c r="S8" s="7">
        <f t="shared" ref="S8:S59" si="8">S$5*$I8</f>
        <v>873.6</v>
      </c>
    </row>
    <row r="9" spans="1:19">
      <c r="B9" s="51"/>
      <c r="C9" s="34"/>
      <c r="D9" s="1027" t="str">
        <f>'Payroll 19-20'!D9</f>
        <v>High School Teacher</v>
      </c>
      <c r="E9" s="1027">
        <f>'Payroll 20-21'!E9*(1+'Revenue Inputs'!P$27)</f>
        <v>2</v>
      </c>
      <c r="F9" s="1022">
        <v>62400</v>
      </c>
      <c r="G9" s="1023">
        <f>'Payroll 20-21'!G9</f>
        <v>12</v>
      </c>
      <c r="H9" s="1024" t="str">
        <f>'Payroll 20-21'!H9</f>
        <v>y</v>
      </c>
      <c r="I9" s="1025">
        <f t="shared" si="3"/>
        <v>124800</v>
      </c>
      <c r="J9" s="7">
        <f t="shared" si="0"/>
        <v>43455.199999999997</v>
      </c>
      <c r="K9" s="7">
        <f t="shared" si="1"/>
        <v>168255.2</v>
      </c>
      <c r="L9" s="352"/>
      <c r="M9" s="7">
        <f t="shared" si="4"/>
        <v>22588.799999999999</v>
      </c>
      <c r="N9" s="8" t="s">
        <v>75</v>
      </c>
      <c r="O9" s="8" t="str">
        <f t="shared" si="5"/>
        <v>N/A</v>
      </c>
      <c r="P9" s="7">
        <f t="shared" si="2"/>
        <v>1809.6000000000001</v>
      </c>
      <c r="Q9" s="7">
        <f t="shared" si="6"/>
        <v>16329.600000000002</v>
      </c>
      <c r="R9" s="7">
        <f t="shared" si="7"/>
        <v>980.00000000000011</v>
      </c>
      <c r="S9" s="7">
        <f t="shared" si="8"/>
        <v>1747.2</v>
      </c>
    </row>
    <row r="10" spans="1:19">
      <c r="B10" s="51"/>
      <c r="C10" s="34"/>
      <c r="D10" s="840" t="str">
        <f>'Payroll 19-20'!D10</f>
        <v>Home School Teacher</v>
      </c>
      <c r="E10" s="840">
        <f>'Payroll 20-21'!E10*(1+'Revenue Inputs'!P$27)</f>
        <v>3</v>
      </c>
      <c r="F10" s="828">
        <f>'Payroll 20-21'!F10*(1+$I$4)</f>
        <v>46148.627448000007</v>
      </c>
      <c r="G10" s="322">
        <f>'Payroll 20-21'!G10</f>
        <v>12</v>
      </c>
      <c r="H10" s="319" t="str">
        <f>'Payroll 20-21'!H10</f>
        <v>y</v>
      </c>
      <c r="I10" s="320">
        <f t="shared" si="3"/>
        <v>138445.88234400001</v>
      </c>
      <c r="J10" s="7">
        <f t="shared" si="0"/>
        <v>54968.812351068002</v>
      </c>
      <c r="K10" s="7">
        <f>SUM(I10:J10)</f>
        <v>193414.694695068</v>
      </c>
      <c r="L10" s="352"/>
      <c r="M10" s="7">
        <f>I10*$M$5</f>
        <v>25058.704704264001</v>
      </c>
      <c r="N10" s="8" t="s">
        <v>75</v>
      </c>
      <c r="O10" s="8" t="str">
        <f t="shared" si="5"/>
        <v>N/A</v>
      </c>
      <c r="P10" s="7">
        <f t="shared" si="2"/>
        <v>2007.4652939880002</v>
      </c>
      <c r="Q10" s="7">
        <f t="shared" si="6"/>
        <v>24494.400000000001</v>
      </c>
      <c r="R10" s="7">
        <f t="shared" si="7"/>
        <v>1470.0000000000002</v>
      </c>
      <c r="S10" s="7">
        <f t="shared" si="8"/>
        <v>1938.2423528160002</v>
      </c>
    </row>
    <row r="11" spans="1:19">
      <c r="B11" s="51"/>
      <c r="C11" s="34"/>
      <c r="D11" s="840" t="str">
        <f>'Payroll 19-20'!D11</f>
        <v>Regional Coordinator</v>
      </c>
      <c r="E11" s="840">
        <f>'Payroll 20-21'!E11*(1+'Revenue Inputs'!P$27)</f>
        <v>2</v>
      </c>
      <c r="F11" s="828">
        <f>'Payroll 20-21'!F11*(1+$I$4)</f>
        <v>83231.901161999995</v>
      </c>
      <c r="G11" s="322">
        <f>'Payroll 20-21'!G11</f>
        <v>12</v>
      </c>
      <c r="H11" s="319" t="str">
        <f>'Payroll 20-21'!H11</f>
        <v>y</v>
      </c>
      <c r="I11" s="320">
        <f t="shared" si="3"/>
        <v>166463.80232399999</v>
      </c>
      <c r="J11" s="7">
        <f t="shared" si="0"/>
        <v>52183.766586878002</v>
      </c>
      <c r="K11" s="7">
        <f t="shared" ref="K11:K12" si="9">SUM(I11:J11)</f>
        <v>218647.56891087798</v>
      </c>
      <c r="L11" s="352"/>
      <c r="M11" s="7">
        <f t="shared" ref="M11:M12" si="10">I11*$M$5</f>
        <v>30129.948220643997</v>
      </c>
      <c r="N11" s="8" t="s">
        <v>75</v>
      </c>
      <c r="O11" s="8" t="str">
        <f t="shared" si="5"/>
        <v>N/A</v>
      </c>
      <c r="P11" s="7">
        <f t="shared" si="2"/>
        <v>2413.7251336979998</v>
      </c>
      <c r="Q11" s="7">
        <f t="shared" si="6"/>
        <v>16329.600000000002</v>
      </c>
      <c r="R11" s="7">
        <f t="shared" si="7"/>
        <v>980.00000000000011</v>
      </c>
      <c r="S11" s="7">
        <f t="shared" si="8"/>
        <v>2330.4932325360001</v>
      </c>
    </row>
    <row r="12" spans="1:19">
      <c r="B12" s="51"/>
      <c r="C12" s="34"/>
      <c r="D12" s="840" t="str">
        <f>'Payroll 19-20'!D12</f>
        <v>SPED Teacher</v>
      </c>
      <c r="E12" s="840">
        <f>'Payroll 20-21'!E12*(1+'Revenue Inputs'!P$27)</f>
        <v>2</v>
      </c>
      <c r="F12" s="828">
        <f>'Payroll 20-21'!F12*(1+$I$4)</f>
        <v>66908.165615999998</v>
      </c>
      <c r="G12" s="322">
        <f>'Payroll 20-21'!G12</f>
        <v>12</v>
      </c>
      <c r="H12" s="319" t="str">
        <f>'Payroll 20-21'!H12</f>
        <v>y</v>
      </c>
      <c r="I12" s="320">
        <f t="shared" si="3"/>
        <v>133816.331232</v>
      </c>
      <c r="J12" s="7">
        <f t="shared" si="0"/>
        <v>45344.121393103997</v>
      </c>
      <c r="K12" s="7">
        <f t="shared" si="9"/>
        <v>179160.45262510399</v>
      </c>
      <c r="L12" s="352"/>
      <c r="M12" s="7">
        <f t="shared" si="10"/>
        <v>24220.755952992</v>
      </c>
      <c r="N12" s="8" t="s">
        <v>75</v>
      </c>
      <c r="O12" s="8" t="str">
        <f t="shared" si="5"/>
        <v>N/A</v>
      </c>
      <c r="P12" s="7">
        <f t="shared" si="2"/>
        <v>1940.336802864</v>
      </c>
      <c r="Q12" s="7">
        <f t="shared" si="6"/>
        <v>16329.600000000002</v>
      </c>
      <c r="R12" s="7">
        <f t="shared" si="7"/>
        <v>980.00000000000011</v>
      </c>
      <c r="S12" s="7">
        <f t="shared" si="8"/>
        <v>1873.4286372480001</v>
      </c>
    </row>
    <row r="13" spans="1:19">
      <c r="B13" s="51"/>
      <c r="C13" s="34"/>
      <c r="D13" s="840" t="str">
        <f>'Payroll 19-20'!D13</f>
        <v>Teacher</v>
      </c>
      <c r="E13" s="840">
        <f>'Payroll 20-21'!E13*(1+'Revenue Inputs'!P$27)</f>
        <v>36</v>
      </c>
      <c r="F13" s="828">
        <f>'Payroll 20-21'!F13*(1+$I$4)</f>
        <v>76343.761295999997</v>
      </c>
      <c r="G13" s="322">
        <f>'Payroll 20-21'!G13</f>
        <v>12</v>
      </c>
      <c r="H13" s="319" t="str">
        <f>'Payroll 20-21'!H13</f>
        <v>y</v>
      </c>
      <c r="I13" s="320">
        <f t="shared" si="3"/>
        <v>2748375.4066559998</v>
      </c>
      <c r="J13" s="7">
        <f t="shared" si="0"/>
        <v>887357.44769443199</v>
      </c>
      <c r="K13" s="7">
        <f>SUM(I13:J13)</f>
        <v>3635732.8543504318</v>
      </c>
      <c r="L13" s="352"/>
      <c r="M13" s="7">
        <f>I13*$M$5</f>
        <v>497455.94860473595</v>
      </c>
      <c r="N13" s="8" t="s">
        <v>75</v>
      </c>
      <c r="O13" s="8" t="str">
        <f t="shared" si="5"/>
        <v>N/A</v>
      </c>
      <c r="P13" s="7">
        <f t="shared" si="2"/>
        <v>39851.443396511997</v>
      </c>
      <c r="Q13" s="7">
        <f t="shared" si="6"/>
        <v>293932.80000000005</v>
      </c>
      <c r="R13" s="7">
        <f t="shared" si="7"/>
        <v>17640.000000000004</v>
      </c>
      <c r="S13" s="7">
        <f t="shared" si="8"/>
        <v>38477.255693184001</v>
      </c>
    </row>
    <row r="14" spans="1:19">
      <c r="B14" s="51"/>
      <c r="C14" s="34"/>
      <c r="D14" s="840" t="str">
        <f>'Payroll 19-20'!D14</f>
        <v>Teacher - SPED</v>
      </c>
      <c r="E14" s="840">
        <f>'Payroll 20-21'!E14*(1+'Revenue Inputs'!P$27)</f>
        <v>8</v>
      </c>
      <c r="F14" s="828">
        <f>'Payroll 20-21'!F14*(1+$I$4)</f>
        <v>73498.860324000008</v>
      </c>
      <c r="G14" s="322">
        <f>'Payroll 20-21'!G14</f>
        <v>12</v>
      </c>
      <c r="H14" s="319" t="str">
        <f>'Payroll 20-21'!H14</f>
        <v>y</v>
      </c>
      <c r="I14" s="320">
        <f t="shared" si="3"/>
        <v>587990.88259200007</v>
      </c>
      <c r="J14" s="7">
        <f>SUM(M14:S14)</f>
        <v>192422.48990302402</v>
      </c>
      <c r="K14" s="7">
        <f>SUM(I14:J14)</f>
        <v>780413.37249502412</v>
      </c>
      <c r="L14" s="352"/>
      <c r="M14" s="7">
        <f>I14*$M$5</f>
        <v>106426.34974915201</v>
      </c>
      <c r="N14" s="8" t="s">
        <v>75</v>
      </c>
      <c r="O14" s="8" t="str">
        <f t="shared" si="5"/>
        <v>N/A</v>
      </c>
      <c r="P14" s="7">
        <f>I14*$P$5</f>
        <v>8525.8677975840019</v>
      </c>
      <c r="Q14" s="7">
        <f t="shared" si="6"/>
        <v>65318.400000000009</v>
      </c>
      <c r="R14" s="7">
        <f t="shared" si="7"/>
        <v>3920.0000000000005</v>
      </c>
      <c r="S14" s="7">
        <f>S$5*$I14</f>
        <v>8231.8723562880004</v>
      </c>
    </row>
    <row r="15" spans="1:19">
      <c r="B15" s="51"/>
      <c r="C15" s="34"/>
      <c r="D15" s="840">
        <f>'Payroll 19-20'!D15</f>
        <v>0</v>
      </c>
      <c r="E15" s="840">
        <f>'Payroll 20-21'!E15*(1+'Revenue Inputs'!P$27)</f>
        <v>0</v>
      </c>
      <c r="F15" s="828">
        <f>'Payroll 20-21'!F15*(1+$I$4)</f>
        <v>0</v>
      </c>
      <c r="G15" s="322">
        <f>'Payroll 20-21'!G15</f>
        <v>0</v>
      </c>
      <c r="H15" s="319">
        <f>'Payroll 20-21'!H15</f>
        <v>0</v>
      </c>
      <c r="I15" s="320">
        <f t="shared" si="3"/>
        <v>0</v>
      </c>
      <c r="J15" s="7">
        <f t="shared" si="0"/>
        <v>0</v>
      </c>
      <c r="K15" s="7">
        <f>SUM(I15:J15)</f>
        <v>0</v>
      </c>
      <c r="L15" s="352"/>
      <c r="M15" s="7">
        <f>I15*$M$5</f>
        <v>0</v>
      </c>
      <c r="N15" s="8" t="s">
        <v>75</v>
      </c>
      <c r="O15" s="8" t="str">
        <f t="shared" si="5"/>
        <v>N/A</v>
      </c>
      <c r="P15" s="7">
        <f t="shared" si="2"/>
        <v>0</v>
      </c>
      <c r="Q15" s="7">
        <f t="shared" si="6"/>
        <v>0</v>
      </c>
      <c r="R15" s="7">
        <f t="shared" si="7"/>
        <v>0</v>
      </c>
      <c r="S15" s="7">
        <f t="shared" si="8"/>
        <v>0</v>
      </c>
    </row>
    <row r="16" spans="1:19">
      <c r="B16" s="51"/>
      <c r="C16" s="34"/>
      <c r="D16" s="840">
        <f>'Payroll 19-20'!D16</f>
        <v>0</v>
      </c>
      <c r="E16" s="840">
        <f>'Payroll 20-21'!E16*(1+'Revenue Inputs'!P$27)</f>
        <v>0</v>
      </c>
      <c r="F16" s="828">
        <f>'Payroll 20-21'!F16*(1+$I$4)</f>
        <v>0</v>
      </c>
      <c r="G16" s="322">
        <f>'Payroll 20-21'!G16</f>
        <v>0</v>
      </c>
      <c r="H16" s="319">
        <f>'Payroll 20-21'!H16</f>
        <v>0</v>
      </c>
      <c r="I16" s="320">
        <f t="shared" si="3"/>
        <v>0</v>
      </c>
      <c r="J16" s="7">
        <f t="shared" si="0"/>
        <v>0</v>
      </c>
      <c r="K16" s="7">
        <f t="shared" ref="K16:K17" si="11">SUM(I16:J16)</f>
        <v>0</v>
      </c>
      <c r="M16" s="7">
        <f t="shared" ref="M16:M59" si="12">I16*$M$5</f>
        <v>0</v>
      </c>
      <c r="N16" s="8" t="s">
        <v>75</v>
      </c>
      <c r="O16" s="8" t="str">
        <f t="shared" si="5"/>
        <v>N/A</v>
      </c>
      <c r="P16" s="7">
        <f t="shared" si="2"/>
        <v>0</v>
      </c>
      <c r="Q16" s="7">
        <f t="shared" si="6"/>
        <v>0</v>
      </c>
      <c r="R16" s="7">
        <f t="shared" si="7"/>
        <v>0</v>
      </c>
      <c r="S16" s="7">
        <f t="shared" si="8"/>
        <v>0</v>
      </c>
    </row>
    <row r="17" spans="2:19">
      <c r="B17" s="51"/>
      <c r="C17" s="34"/>
      <c r="D17" s="1027" t="str">
        <f>'Payroll 19-20'!D17</f>
        <v>Home School Teacher</v>
      </c>
      <c r="E17" s="1027">
        <f>'Payroll 20-21'!E17*(1+'Revenue Inputs'!P$27)</f>
        <v>2</v>
      </c>
      <c r="F17" s="1022">
        <v>62400</v>
      </c>
      <c r="G17" s="1023">
        <f>'Payroll 20-21'!G17</f>
        <v>12</v>
      </c>
      <c r="H17" s="1024" t="str">
        <f>'Payroll 20-21'!H17</f>
        <v>y</v>
      </c>
      <c r="I17" s="1025">
        <f t="shared" si="3"/>
        <v>124800</v>
      </c>
      <c r="J17" s="7">
        <f t="shared" si="0"/>
        <v>43455.199999999997</v>
      </c>
      <c r="K17" s="7">
        <f t="shared" si="11"/>
        <v>168255.2</v>
      </c>
      <c r="M17" s="7">
        <f t="shared" si="12"/>
        <v>22588.799999999999</v>
      </c>
      <c r="N17" s="8" t="s">
        <v>75</v>
      </c>
      <c r="O17" s="8" t="str">
        <f t="shared" si="5"/>
        <v>N/A</v>
      </c>
      <c r="P17" s="7">
        <f t="shared" si="2"/>
        <v>1809.6000000000001</v>
      </c>
      <c r="Q17" s="7">
        <f t="shared" si="6"/>
        <v>16329.600000000002</v>
      </c>
      <c r="R17" s="7">
        <f t="shared" si="7"/>
        <v>980.00000000000011</v>
      </c>
      <c r="S17" s="7">
        <f t="shared" si="8"/>
        <v>1747.2</v>
      </c>
    </row>
    <row r="18" spans="2:19">
      <c r="B18" s="51"/>
      <c r="C18" s="34"/>
      <c r="D18" s="1027" t="str">
        <f>'Payroll 19-20'!D18</f>
        <v>Home School Teacher</v>
      </c>
      <c r="E18" s="1027">
        <f>'Payroll 20-21'!E18*(1+'Revenue Inputs'!P$27)</f>
        <v>2</v>
      </c>
      <c r="F18" s="1022">
        <v>62400</v>
      </c>
      <c r="G18" s="1023">
        <f>'Payroll 20-21'!G18</f>
        <v>13</v>
      </c>
      <c r="H18" s="1024" t="str">
        <f>'Payroll 20-21'!H18</f>
        <v>y</v>
      </c>
      <c r="I18" s="1025">
        <f t="shared" si="3"/>
        <v>124800</v>
      </c>
      <c r="J18" s="7">
        <f t="shared" si="0"/>
        <v>43455.199999999997</v>
      </c>
      <c r="K18" s="7">
        <f>SUM(I18:J18)</f>
        <v>168255.2</v>
      </c>
      <c r="M18" s="7">
        <f>I18*$M$5</f>
        <v>22588.799999999999</v>
      </c>
      <c r="N18" s="8" t="s">
        <v>75</v>
      </c>
      <c r="O18" s="8" t="str">
        <f t="shared" si="5"/>
        <v>N/A</v>
      </c>
      <c r="P18" s="7">
        <f t="shared" si="2"/>
        <v>1809.6000000000001</v>
      </c>
      <c r="Q18" s="7">
        <f t="shared" si="6"/>
        <v>16329.600000000002</v>
      </c>
      <c r="R18" s="7">
        <f t="shared" si="7"/>
        <v>980.00000000000011</v>
      </c>
      <c r="S18" s="7">
        <f t="shared" si="8"/>
        <v>1747.2</v>
      </c>
    </row>
    <row r="19" spans="2:19">
      <c r="B19" s="51"/>
      <c r="C19" s="34"/>
      <c r="D19" s="1027" t="str">
        <f>'Payroll 19-20'!D19</f>
        <v>SPED Teacher</v>
      </c>
      <c r="E19" s="1027">
        <f>'Payroll 20-21'!E19*(1+'Revenue Inputs'!P$27)</f>
        <v>6</v>
      </c>
      <c r="F19" s="1022">
        <v>62400</v>
      </c>
      <c r="G19" s="1023">
        <f>'Payroll 20-21'!G19</f>
        <v>12</v>
      </c>
      <c r="H19" s="1024" t="str">
        <f>'Payroll 20-21'!H19</f>
        <v>y</v>
      </c>
      <c r="I19" s="1025">
        <f t="shared" si="3"/>
        <v>374400</v>
      </c>
      <c r="J19" s="7">
        <f t="shared" si="0"/>
        <v>130365.6</v>
      </c>
      <c r="K19" s="7">
        <f t="shared" ref="K19:K59" si="13">SUM(I19:J19)</f>
        <v>504765.6</v>
      </c>
      <c r="M19" s="7">
        <f t="shared" ref="M19" si="14">I19*$M$5</f>
        <v>67766.399999999994</v>
      </c>
      <c r="N19" s="8" t="s">
        <v>75</v>
      </c>
      <c r="O19" s="8" t="str">
        <f t="shared" si="5"/>
        <v>N/A</v>
      </c>
      <c r="P19" s="7">
        <f t="shared" si="2"/>
        <v>5428.8</v>
      </c>
      <c r="Q19" s="7">
        <f t="shared" si="6"/>
        <v>48988.800000000003</v>
      </c>
      <c r="R19" s="7">
        <f t="shared" si="7"/>
        <v>2940.0000000000005</v>
      </c>
      <c r="S19" s="7">
        <f t="shared" si="8"/>
        <v>5241.6000000000004</v>
      </c>
    </row>
    <row r="20" spans="2:19">
      <c r="B20" s="51"/>
      <c r="C20" s="34"/>
      <c r="D20" s="1027" t="str">
        <f>'Payroll 19-20'!D20</f>
        <v>Teacher - SPED</v>
      </c>
      <c r="E20" s="1027">
        <f>'Payroll 20-21'!E20*(1+'Revenue Inputs'!P$27)</f>
        <v>1</v>
      </c>
      <c r="F20" s="1022">
        <v>62400</v>
      </c>
      <c r="G20" s="1023">
        <f>'Payroll 20-21'!G20</f>
        <v>12</v>
      </c>
      <c r="H20" s="1024" t="str">
        <f>'Payroll 20-21'!H20</f>
        <v>y</v>
      </c>
      <c r="I20" s="1025">
        <f t="shared" si="3"/>
        <v>62400</v>
      </c>
      <c r="J20" s="7">
        <f t="shared" si="0"/>
        <v>21727.599999999999</v>
      </c>
      <c r="K20" s="7">
        <f t="shared" si="13"/>
        <v>84127.6</v>
      </c>
      <c r="M20" s="7">
        <f t="shared" si="12"/>
        <v>11294.4</v>
      </c>
      <c r="N20" s="8" t="s">
        <v>75</v>
      </c>
      <c r="O20" s="8" t="str">
        <f t="shared" si="5"/>
        <v>N/A</v>
      </c>
      <c r="P20" s="7">
        <f t="shared" si="2"/>
        <v>904.80000000000007</v>
      </c>
      <c r="Q20" s="7">
        <f t="shared" si="6"/>
        <v>8164.8000000000011</v>
      </c>
      <c r="R20" s="7">
        <f t="shared" si="7"/>
        <v>490.00000000000006</v>
      </c>
      <c r="S20" s="7">
        <f t="shared" si="8"/>
        <v>873.6</v>
      </c>
    </row>
    <row r="21" spans="2:19">
      <c r="B21" s="51"/>
      <c r="C21" s="34"/>
      <c r="D21" s="1027" t="str">
        <f>'Payroll 19-20'!D21</f>
        <v>Teacher</v>
      </c>
      <c r="E21" s="1027">
        <f>'Payroll 20-21'!E21*(1+'Revenue Inputs'!P$27)</f>
        <v>57</v>
      </c>
      <c r="F21" s="1022">
        <v>62400</v>
      </c>
      <c r="G21" s="1023">
        <f>'Payroll 20-21'!G21</f>
        <v>12</v>
      </c>
      <c r="H21" s="1024" t="str">
        <f>'Payroll 20-21'!H21</f>
        <v>y</v>
      </c>
      <c r="I21" s="1025">
        <f t="shared" si="3"/>
        <v>3556800</v>
      </c>
      <c r="J21" s="7">
        <f t="shared" si="0"/>
        <v>1238473.2</v>
      </c>
      <c r="K21" s="7">
        <f t="shared" si="13"/>
        <v>4795273.2</v>
      </c>
      <c r="M21" s="7">
        <f t="shared" si="12"/>
        <v>643780.79999999993</v>
      </c>
      <c r="N21" s="8" t="s">
        <v>75</v>
      </c>
      <c r="O21" s="8" t="str">
        <f t="shared" si="5"/>
        <v>N/A</v>
      </c>
      <c r="P21" s="7">
        <f t="shared" si="2"/>
        <v>51573.600000000006</v>
      </c>
      <c r="Q21" s="7">
        <f t="shared" si="6"/>
        <v>465393.60000000003</v>
      </c>
      <c r="R21" s="7">
        <f t="shared" si="7"/>
        <v>27930.000000000004</v>
      </c>
      <c r="S21" s="7">
        <f t="shared" si="8"/>
        <v>49795.200000000004</v>
      </c>
    </row>
    <row r="22" spans="2:19">
      <c r="B22" s="51"/>
      <c r="C22" s="34"/>
      <c r="D22" s="1027" t="str">
        <f>'Payroll 19-20'!D22</f>
        <v>Teacher</v>
      </c>
      <c r="E22" s="1027">
        <f>'Payroll 20-21'!E22*(1+'Revenue Inputs'!P$27)</f>
        <v>5</v>
      </c>
      <c r="F22" s="1022">
        <v>62400</v>
      </c>
      <c r="G22" s="1023">
        <f>'Payroll 20-21'!G22</f>
        <v>12</v>
      </c>
      <c r="H22" s="1024" t="str">
        <f>'Payroll 20-21'!H22</f>
        <v>y</v>
      </c>
      <c r="I22" s="1025">
        <f t="shared" si="3"/>
        <v>312000</v>
      </c>
      <c r="J22" s="7">
        <f t="shared" si="0"/>
        <v>108638</v>
      </c>
      <c r="K22" s="7">
        <f t="shared" si="13"/>
        <v>420638</v>
      </c>
      <c r="L22" s="7"/>
      <c r="M22" s="7">
        <f t="shared" si="12"/>
        <v>56472</v>
      </c>
      <c r="N22" s="8" t="s">
        <v>75</v>
      </c>
      <c r="O22" s="8" t="str">
        <f t="shared" si="5"/>
        <v>N/A</v>
      </c>
      <c r="P22" s="7">
        <f t="shared" si="2"/>
        <v>4524</v>
      </c>
      <c r="Q22" s="7">
        <f t="shared" si="6"/>
        <v>40824.000000000007</v>
      </c>
      <c r="R22" s="7">
        <f t="shared" si="7"/>
        <v>2450.0000000000005</v>
      </c>
      <c r="S22" s="7">
        <f t="shared" si="8"/>
        <v>4368</v>
      </c>
    </row>
    <row r="23" spans="2:19">
      <c r="B23" s="51"/>
      <c r="C23" s="34"/>
      <c r="D23" s="840">
        <f>'Payroll 19-20'!D23</f>
        <v>0</v>
      </c>
      <c r="E23" s="840">
        <f>'Payroll 20-21'!E23*(1+'Revenue Inputs'!P$27)</f>
        <v>0</v>
      </c>
      <c r="F23" s="828">
        <f>'Payroll 20-21'!F23*(1+$I$4)</f>
        <v>0</v>
      </c>
      <c r="G23" s="322">
        <f>'Payroll 20-21'!G23</f>
        <v>0</v>
      </c>
      <c r="H23" s="319">
        <f>'Payroll 20-21'!H23</f>
        <v>0</v>
      </c>
      <c r="I23" s="320">
        <f t="shared" si="3"/>
        <v>0</v>
      </c>
      <c r="J23" s="7">
        <f t="shared" si="0"/>
        <v>0</v>
      </c>
      <c r="K23" s="7">
        <f t="shared" si="13"/>
        <v>0</v>
      </c>
      <c r="M23" s="7">
        <f t="shared" si="12"/>
        <v>0</v>
      </c>
      <c r="N23" s="8" t="s">
        <v>75</v>
      </c>
      <c r="O23" s="8" t="str">
        <f t="shared" si="5"/>
        <v>N/A</v>
      </c>
      <c r="P23" s="7">
        <f t="shared" si="2"/>
        <v>0</v>
      </c>
      <c r="Q23" s="7">
        <f t="shared" si="6"/>
        <v>0</v>
      </c>
      <c r="R23" s="7">
        <f>IF($I23&lt;7000,7000*R$5,$I23*R$5)*E23</f>
        <v>0</v>
      </c>
      <c r="S23" s="7">
        <f t="shared" si="8"/>
        <v>0</v>
      </c>
    </row>
    <row r="24" spans="2:19">
      <c r="B24" s="51"/>
      <c r="C24" s="34"/>
      <c r="D24" s="840">
        <f>'Payroll 19-20'!D24</f>
        <v>0</v>
      </c>
      <c r="E24" s="840">
        <f>'Payroll 20-21'!E24*(1+'Revenue Inputs'!P$27)</f>
        <v>0</v>
      </c>
      <c r="F24" s="828">
        <f>'Payroll 20-21'!F24*(1+$I$4)</f>
        <v>0</v>
      </c>
      <c r="G24" s="322">
        <f>'Payroll 20-21'!G24</f>
        <v>0</v>
      </c>
      <c r="H24" s="319">
        <f>'Payroll 20-21'!H24</f>
        <v>0</v>
      </c>
      <c r="I24" s="320">
        <f t="shared" si="3"/>
        <v>0</v>
      </c>
      <c r="J24" s="7">
        <f t="shared" si="0"/>
        <v>0</v>
      </c>
      <c r="K24" s="7">
        <f t="shared" si="13"/>
        <v>0</v>
      </c>
      <c r="M24" s="7">
        <f t="shared" si="12"/>
        <v>0</v>
      </c>
      <c r="N24" s="8" t="s">
        <v>75</v>
      </c>
      <c r="O24" s="8" t="str">
        <f t="shared" si="5"/>
        <v>N/A</v>
      </c>
      <c r="P24" s="7">
        <f t="shared" si="2"/>
        <v>0</v>
      </c>
      <c r="Q24" s="7">
        <f t="shared" si="6"/>
        <v>0</v>
      </c>
      <c r="R24" s="7">
        <f t="shared" si="7"/>
        <v>0</v>
      </c>
      <c r="S24" s="7">
        <f t="shared" si="8"/>
        <v>0</v>
      </c>
    </row>
    <row r="25" spans="2:19">
      <c r="B25" s="51"/>
      <c r="C25" s="34"/>
      <c r="D25" s="840">
        <f>'Payroll 19-20'!D25</f>
        <v>0</v>
      </c>
      <c r="E25" s="840">
        <f>'Payroll 20-21'!E25*(1+'Revenue Inputs'!P$27)</f>
        <v>0</v>
      </c>
      <c r="F25" s="828">
        <f>'Payroll 20-21'!F25*(1+$I$4)</f>
        <v>0</v>
      </c>
      <c r="G25" s="322">
        <f>'Payroll 20-21'!G25</f>
        <v>0</v>
      </c>
      <c r="H25" s="319">
        <f>'Payroll 20-21'!H25</f>
        <v>0</v>
      </c>
      <c r="I25" s="320">
        <f t="shared" si="3"/>
        <v>0</v>
      </c>
      <c r="J25" s="7">
        <f t="shared" si="0"/>
        <v>0</v>
      </c>
      <c r="K25" s="7">
        <f t="shared" si="13"/>
        <v>0</v>
      </c>
      <c r="M25" s="7">
        <f t="shared" si="12"/>
        <v>0</v>
      </c>
      <c r="N25" s="8" t="s">
        <v>75</v>
      </c>
      <c r="O25" s="8" t="str">
        <f t="shared" si="5"/>
        <v>N/A</v>
      </c>
      <c r="P25" s="7">
        <f t="shared" si="2"/>
        <v>0</v>
      </c>
      <c r="Q25" s="7">
        <f t="shared" si="6"/>
        <v>0</v>
      </c>
      <c r="R25" s="7">
        <f t="shared" si="7"/>
        <v>0</v>
      </c>
      <c r="S25" s="7">
        <f t="shared" si="8"/>
        <v>0</v>
      </c>
    </row>
    <row r="26" spans="2:19">
      <c r="B26" s="51"/>
      <c r="C26" s="34"/>
      <c r="D26" s="840">
        <f>'Payroll 19-20'!D26</f>
        <v>0</v>
      </c>
      <c r="E26" s="840">
        <f>'Payroll 20-21'!E26*(1+'Revenue Inputs'!P$27)</f>
        <v>0</v>
      </c>
      <c r="F26" s="828">
        <f>'Payroll 20-21'!F26*(1+$I$4)</f>
        <v>0</v>
      </c>
      <c r="G26" s="322">
        <f>'Payroll 20-21'!G26</f>
        <v>0</v>
      </c>
      <c r="H26" s="319">
        <f>'Payroll 20-21'!H26</f>
        <v>0</v>
      </c>
      <c r="I26" s="320">
        <f t="shared" si="3"/>
        <v>0</v>
      </c>
      <c r="J26" s="7">
        <f t="shared" ref="J26:J42" si="15">SUM(M26:S26)</f>
        <v>0</v>
      </c>
      <c r="K26" s="7">
        <f t="shared" ref="K26:K42" si="16">SUM(I26:J26)</f>
        <v>0</v>
      </c>
      <c r="M26" s="7">
        <f t="shared" ref="M26:M42" si="17">I26*$M$5</f>
        <v>0</v>
      </c>
      <c r="N26" s="8" t="s">
        <v>75</v>
      </c>
      <c r="O26" s="8" t="str">
        <f t="shared" ref="O26:O42" si="18">IF($M$5&gt;0,"N/A",$O$5*I26)</f>
        <v>N/A</v>
      </c>
      <c r="P26" s="7">
        <f t="shared" ref="P26:P42" si="19">I26*$P$5</f>
        <v>0</v>
      </c>
      <c r="Q26" s="7">
        <f t="shared" si="6"/>
        <v>0</v>
      </c>
      <c r="R26" s="7">
        <f t="shared" si="7"/>
        <v>0</v>
      </c>
      <c r="S26" s="7">
        <f t="shared" si="8"/>
        <v>0</v>
      </c>
    </row>
    <row r="27" spans="2:19">
      <c r="C27" s="34"/>
      <c r="D27" s="840" t="str">
        <f>'Payroll 19-20'!D27</f>
        <v>Andrea Anderson</v>
      </c>
      <c r="E27" s="840">
        <f>'Payroll 20-21'!E27*(1+'Revenue Inputs'!P$27)</f>
        <v>1</v>
      </c>
      <c r="F27" s="828">
        <f>'Payroll 20-21'!F27*(1+$I$4)</f>
        <v>21390.624</v>
      </c>
      <c r="G27" s="322">
        <f>'Payroll 20-21'!G27</f>
        <v>12</v>
      </c>
      <c r="H27" s="319" t="str">
        <f>'Payroll 20-21'!H27</f>
        <v>n</v>
      </c>
      <c r="I27" s="320">
        <f t="shared" si="3"/>
        <v>21390.624</v>
      </c>
      <c r="J27" s="7">
        <f t="shared" si="15"/>
        <v>4971.3357279999991</v>
      </c>
      <c r="K27" s="7">
        <f t="shared" si="16"/>
        <v>26361.959727999998</v>
      </c>
      <c r="M27" s="7">
        <f t="shared" si="17"/>
        <v>3871.7029439999997</v>
      </c>
      <c r="N27" s="8" t="s">
        <v>75</v>
      </c>
      <c r="O27" s="8" t="str">
        <f t="shared" si="18"/>
        <v>N/A</v>
      </c>
      <c r="P27" s="7">
        <f t="shared" si="19"/>
        <v>310.16404800000004</v>
      </c>
      <c r="Q27" s="7">
        <f t="shared" si="6"/>
        <v>0</v>
      </c>
      <c r="R27" s="7">
        <f t="shared" si="7"/>
        <v>490.00000000000006</v>
      </c>
      <c r="S27" s="7">
        <f t="shared" si="8"/>
        <v>299.46873599999998</v>
      </c>
    </row>
    <row r="28" spans="2:19">
      <c r="C28" s="34"/>
      <c r="D28" s="840" t="str">
        <f>'Payroll 19-20'!D28</f>
        <v>Brianna Herrera</v>
      </c>
      <c r="E28" s="840">
        <f>'Payroll 20-21'!E28*(1+'Revenue Inputs'!P$27)</f>
        <v>1</v>
      </c>
      <c r="F28" s="828">
        <f>'Payroll 20-21'!F28*(1+$I$4)</f>
        <v>22691.124</v>
      </c>
      <c r="G28" s="322">
        <f>'Payroll 20-21'!G28</f>
        <v>12</v>
      </c>
      <c r="H28" s="319" t="str">
        <f>'Payroll 20-21'!H28</f>
        <v>n</v>
      </c>
      <c r="I28" s="320">
        <f t="shared" si="3"/>
        <v>22691.124</v>
      </c>
      <c r="J28" s="7">
        <f t="shared" si="15"/>
        <v>5243.7904779999999</v>
      </c>
      <c r="K28" s="7">
        <f t="shared" si="16"/>
        <v>27934.914477999999</v>
      </c>
      <c r="L28" s="7"/>
      <c r="M28" s="7">
        <f t="shared" si="17"/>
        <v>4107.0934440000001</v>
      </c>
      <c r="N28" s="8" t="s">
        <v>75</v>
      </c>
      <c r="O28" s="8" t="str">
        <f t="shared" si="18"/>
        <v>N/A</v>
      </c>
      <c r="P28" s="7">
        <f t="shared" si="19"/>
        <v>329.021298</v>
      </c>
      <c r="Q28" s="7">
        <f t="shared" si="6"/>
        <v>0</v>
      </c>
      <c r="R28" s="7">
        <f t="shared" si="7"/>
        <v>490.00000000000006</v>
      </c>
      <c r="S28" s="7">
        <f t="shared" si="8"/>
        <v>317.67573600000003</v>
      </c>
    </row>
    <row r="29" spans="2:19">
      <c r="C29" s="34"/>
      <c r="D29" s="840" t="str">
        <f>'Payroll 19-20'!D29</f>
        <v>Jessica Zeegers</v>
      </c>
      <c r="E29" s="840">
        <f>'Payroll 20-21'!E29*(1+'Revenue Inputs'!P$27)</f>
        <v>1</v>
      </c>
      <c r="F29" s="828">
        <f>'Payroll 20-21'!F29*(1+$I$4)</f>
        <v>26463.0942</v>
      </c>
      <c r="G29" s="322">
        <f>'Payroll 20-21'!G29</f>
        <v>12</v>
      </c>
      <c r="H29" s="319" t="str">
        <f>'Payroll 20-21'!H29</f>
        <v>n</v>
      </c>
      <c r="I29" s="320">
        <f t="shared" si="3"/>
        <v>26463.0942</v>
      </c>
      <c r="J29" s="7">
        <f t="shared" si="15"/>
        <v>6034.0182349000006</v>
      </c>
      <c r="K29" s="7">
        <f t="shared" si="16"/>
        <v>32497.112434900002</v>
      </c>
      <c r="M29" s="7">
        <f t="shared" si="17"/>
        <v>4789.8200502</v>
      </c>
      <c r="N29" s="8" t="s">
        <v>75</v>
      </c>
      <c r="O29" s="8" t="str">
        <f t="shared" si="18"/>
        <v>N/A</v>
      </c>
      <c r="P29" s="7">
        <f t="shared" si="19"/>
        <v>383.71486590000001</v>
      </c>
      <c r="Q29" s="7">
        <f t="shared" si="6"/>
        <v>0</v>
      </c>
      <c r="R29" s="7">
        <f t="shared" si="7"/>
        <v>490.00000000000006</v>
      </c>
      <c r="S29" s="7">
        <f t="shared" si="8"/>
        <v>370.48331880000001</v>
      </c>
    </row>
    <row r="30" spans="2:19">
      <c r="C30" s="34"/>
      <c r="D30" s="840" t="str">
        <f>'Payroll 19-20'!D30</f>
        <v>Rebecca Thomas</v>
      </c>
      <c r="E30" s="840">
        <f>'Payroll 20-21'!E30*(1+'Revenue Inputs'!P$27)</f>
        <v>1</v>
      </c>
      <c r="F30" s="828">
        <f>'Payroll 20-21'!F30*(1+$I$4)</f>
        <v>21390.624</v>
      </c>
      <c r="G30" s="322">
        <f>'Payroll 20-21'!G30</f>
        <v>12</v>
      </c>
      <c r="H30" s="319" t="str">
        <f>'Payroll 20-21'!H30</f>
        <v>n</v>
      </c>
      <c r="I30" s="320">
        <f t="shared" si="3"/>
        <v>21390.624</v>
      </c>
      <c r="J30" s="7">
        <f t="shared" si="15"/>
        <v>4971.3357279999991</v>
      </c>
      <c r="K30" s="7">
        <f t="shared" si="16"/>
        <v>26361.959727999998</v>
      </c>
      <c r="M30" s="7">
        <f t="shared" si="17"/>
        <v>3871.7029439999997</v>
      </c>
      <c r="N30" s="8" t="s">
        <v>75</v>
      </c>
      <c r="O30" s="8" t="str">
        <f t="shared" si="18"/>
        <v>N/A</v>
      </c>
      <c r="P30" s="7">
        <f t="shared" si="19"/>
        <v>310.16404800000004</v>
      </c>
      <c r="Q30" s="7">
        <f t="shared" si="6"/>
        <v>0</v>
      </c>
      <c r="R30" s="7">
        <f t="shared" si="7"/>
        <v>490.00000000000006</v>
      </c>
      <c r="S30" s="7">
        <f t="shared" si="8"/>
        <v>299.46873599999998</v>
      </c>
    </row>
    <row r="31" spans="2:19">
      <c r="C31" s="34"/>
      <c r="D31" s="840" t="str">
        <f>'Payroll 19-20'!D31</f>
        <v>Esperanza Gregeola</v>
      </c>
      <c r="E31" s="840">
        <f>'Payroll 20-21'!E31*(1+'Revenue Inputs'!P$27)</f>
        <v>1</v>
      </c>
      <c r="F31" s="828">
        <f>'Payroll 20-21'!F31*(1+$I$4)</f>
        <v>23341.374</v>
      </c>
      <c r="G31" s="322">
        <f>'Payroll 20-21'!G31</f>
        <v>12</v>
      </c>
      <c r="H31" s="319" t="str">
        <f>'Payroll 20-21'!H31</f>
        <v>n</v>
      </c>
      <c r="I31" s="320">
        <f t="shared" si="3"/>
        <v>23341.374</v>
      </c>
      <c r="J31" s="7">
        <f t="shared" si="15"/>
        <v>5380.0178530000003</v>
      </c>
      <c r="K31" s="7">
        <f t="shared" si="16"/>
        <v>28721.391853000001</v>
      </c>
      <c r="M31" s="7">
        <f t="shared" si="17"/>
        <v>4224.7886939999999</v>
      </c>
      <c r="N31" s="8" t="s">
        <v>75</v>
      </c>
      <c r="O31" s="8" t="str">
        <f t="shared" si="18"/>
        <v>N/A</v>
      </c>
      <c r="P31" s="7">
        <f t="shared" si="19"/>
        <v>338.44992300000001</v>
      </c>
      <c r="Q31" s="7">
        <f t="shared" si="6"/>
        <v>0</v>
      </c>
      <c r="R31" s="7">
        <f t="shared" si="7"/>
        <v>490.00000000000006</v>
      </c>
      <c r="S31" s="7">
        <f t="shared" si="8"/>
        <v>326.77923600000003</v>
      </c>
    </row>
    <row r="32" spans="2:19">
      <c r="C32" s="34"/>
      <c r="D32" s="840">
        <f>'Payroll 19-20'!D32</f>
        <v>0</v>
      </c>
      <c r="E32" s="840">
        <f>'Payroll 20-21'!E32*(1+'Revenue Inputs'!P$27)</f>
        <v>0</v>
      </c>
      <c r="F32" s="828">
        <f>'Payroll 20-21'!F32*(1+$I$4)</f>
        <v>0</v>
      </c>
      <c r="G32" s="322">
        <f>'Payroll 20-21'!G32</f>
        <v>0</v>
      </c>
      <c r="H32" s="319">
        <f>'Payroll 20-21'!H32</f>
        <v>0</v>
      </c>
      <c r="I32" s="320">
        <f t="shared" si="3"/>
        <v>0</v>
      </c>
      <c r="J32" s="7">
        <f t="shared" si="15"/>
        <v>0</v>
      </c>
      <c r="K32" s="7">
        <f t="shared" si="16"/>
        <v>0</v>
      </c>
      <c r="M32" s="7">
        <f t="shared" si="17"/>
        <v>0</v>
      </c>
      <c r="N32" s="8" t="s">
        <v>75</v>
      </c>
      <c r="O32" s="8" t="str">
        <f t="shared" si="18"/>
        <v>N/A</v>
      </c>
      <c r="P32" s="7">
        <f t="shared" si="19"/>
        <v>0</v>
      </c>
      <c r="Q32" s="7">
        <f t="shared" si="6"/>
        <v>0</v>
      </c>
      <c r="R32" s="7">
        <f t="shared" si="7"/>
        <v>0</v>
      </c>
      <c r="S32" s="7">
        <f t="shared" si="8"/>
        <v>0</v>
      </c>
    </row>
    <row r="33" spans="3:23">
      <c r="C33" s="34"/>
      <c r="D33" s="840" t="str">
        <f>'Payroll 19-20'!D33</f>
        <v>TBD</v>
      </c>
      <c r="E33" s="840">
        <f>'Payroll 20-21'!E33*(1+'Revenue Inputs'!P$27)</f>
        <v>1</v>
      </c>
      <c r="F33" s="828">
        <f>'Payroll 20-21'!F33*(1+$I$4)</f>
        <v>17879.274000000001</v>
      </c>
      <c r="G33" s="322">
        <f>'Payroll 20-21'!G33</f>
        <v>12</v>
      </c>
      <c r="H33" s="319" t="str">
        <f>'Payroll 20-21'!H33</f>
        <v>n</v>
      </c>
      <c r="I33" s="320">
        <f t="shared" si="3"/>
        <v>17879.274000000001</v>
      </c>
      <c r="J33" s="7">
        <f t="shared" si="15"/>
        <v>4235.7079030000004</v>
      </c>
      <c r="K33" s="7">
        <f t="shared" si="16"/>
        <v>22114.981903</v>
      </c>
      <c r="L33" s="7"/>
      <c r="M33" s="7">
        <f t="shared" si="17"/>
        <v>3236.1485940000002</v>
      </c>
      <c r="N33" s="8" t="s">
        <v>75</v>
      </c>
      <c r="O33" s="8" t="str">
        <f t="shared" si="18"/>
        <v>N/A</v>
      </c>
      <c r="P33" s="7">
        <f t="shared" si="19"/>
        <v>259.24947300000002</v>
      </c>
      <c r="Q33" s="7">
        <f t="shared" si="6"/>
        <v>0</v>
      </c>
      <c r="R33" s="7">
        <f t="shared" si="7"/>
        <v>490.00000000000006</v>
      </c>
      <c r="S33" s="7">
        <f t="shared" si="8"/>
        <v>250.30983600000002</v>
      </c>
    </row>
    <row r="34" spans="3:23">
      <c r="C34" s="34"/>
      <c r="D34" s="840" t="str">
        <f>'Payroll 19-20'!D34</f>
        <v>TBD</v>
      </c>
      <c r="E34" s="840">
        <f>'Payroll 20-21'!E34*(1+'Revenue Inputs'!P$27)</f>
        <v>1</v>
      </c>
      <c r="F34" s="828">
        <f>'Payroll 20-21'!F34*(1+$I$4)</f>
        <v>17879.274000000001</v>
      </c>
      <c r="G34" s="322">
        <f>'Payroll 20-21'!G34</f>
        <v>12</v>
      </c>
      <c r="H34" s="319" t="str">
        <f>'Payroll 20-21'!H34</f>
        <v>n</v>
      </c>
      <c r="I34" s="320">
        <f t="shared" si="3"/>
        <v>17879.274000000001</v>
      </c>
      <c r="J34" s="7">
        <f t="shared" si="15"/>
        <v>4235.7079030000004</v>
      </c>
      <c r="K34" s="7">
        <f t="shared" si="16"/>
        <v>22114.981903</v>
      </c>
      <c r="M34" s="7">
        <f t="shared" si="17"/>
        <v>3236.1485940000002</v>
      </c>
      <c r="N34" s="8" t="s">
        <v>75</v>
      </c>
      <c r="O34" s="8" t="str">
        <f t="shared" si="18"/>
        <v>N/A</v>
      </c>
      <c r="P34" s="7">
        <f t="shared" si="19"/>
        <v>259.24947300000002</v>
      </c>
      <c r="Q34" s="7">
        <f t="shared" si="6"/>
        <v>0</v>
      </c>
      <c r="R34" s="7">
        <f t="shared" si="7"/>
        <v>490.00000000000006</v>
      </c>
      <c r="S34" s="7">
        <f t="shared" si="8"/>
        <v>250.30983600000002</v>
      </c>
    </row>
    <row r="35" spans="3:23">
      <c r="C35" s="34"/>
      <c r="D35" s="840">
        <f>'Payroll 19-20'!D35</f>
        <v>0</v>
      </c>
      <c r="E35" s="840">
        <f>'Payroll 20-21'!E35*(1+'Revenue Inputs'!P$27)</f>
        <v>0</v>
      </c>
      <c r="F35" s="828">
        <f>'Payroll 20-21'!F35*(1+$I$4)</f>
        <v>0</v>
      </c>
      <c r="G35" s="322">
        <f>'Payroll 20-21'!G35</f>
        <v>0</v>
      </c>
      <c r="H35" s="319">
        <f>'Payroll 20-21'!H35</f>
        <v>0</v>
      </c>
      <c r="I35" s="320">
        <f t="shared" si="3"/>
        <v>0</v>
      </c>
      <c r="J35" s="7">
        <f t="shared" si="15"/>
        <v>0</v>
      </c>
      <c r="K35" s="7">
        <f t="shared" si="16"/>
        <v>0</v>
      </c>
      <c r="M35" s="7">
        <f t="shared" si="17"/>
        <v>0</v>
      </c>
      <c r="N35" s="8" t="s">
        <v>75</v>
      </c>
      <c r="O35" s="8" t="str">
        <f t="shared" si="18"/>
        <v>N/A</v>
      </c>
      <c r="P35" s="7">
        <f t="shared" si="19"/>
        <v>0</v>
      </c>
      <c r="Q35" s="7">
        <f t="shared" si="6"/>
        <v>0</v>
      </c>
      <c r="R35" s="7">
        <f t="shared" si="7"/>
        <v>0</v>
      </c>
      <c r="S35" s="7">
        <f t="shared" si="8"/>
        <v>0</v>
      </c>
    </row>
    <row r="36" spans="3:23">
      <c r="C36" s="34"/>
      <c r="D36" s="840">
        <f>'Payroll 19-20'!D36</f>
        <v>0</v>
      </c>
      <c r="E36" s="840">
        <f>'Payroll 20-21'!E36*(1+'Revenue Inputs'!P$27)</f>
        <v>0</v>
      </c>
      <c r="F36" s="828">
        <f>'Payroll 20-21'!F36*(1+$I$4)</f>
        <v>0</v>
      </c>
      <c r="G36" s="322">
        <f>'Payroll 20-21'!G36</f>
        <v>0</v>
      </c>
      <c r="H36" s="319">
        <f>'Payroll 20-21'!H36</f>
        <v>0</v>
      </c>
      <c r="I36" s="320">
        <f t="shared" si="3"/>
        <v>0</v>
      </c>
      <c r="J36" s="7">
        <f t="shared" si="15"/>
        <v>0</v>
      </c>
      <c r="K36" s="7">
        <f t="shared" si="16"/>
        <v>0</v>
      </c>
      <c r="M36" s="7">
        <f t="shared" si="17"/>
        <v>0</v>
      </c>
      <c r="N36" s="8" t="s">
        <v>75</v>
      </c>
      <c r="O36" s="8" t="str">
        <f t="shared" si="18"/>
        <v>N/A</v>
      </c>
      <c r="P36" s="7">
        <f t="shared" si="19"/>
        <v>0</v>
      </c>
      <c r="Q36" s="7">
        <f t="shared" si="6"/>
        <v>0</v>
      </c>
      <c r="R36" s="7">
        <f t="shared" si="7"/>
        <v>0</v>
      </c>
      <c r="S36" s="7">
        <f t="shared" si="8"/>
        <v>0</v>
      </c>
    </row>
    <row r="37" spans="3:23">
      <c r="C37" s="34"/>
      <c r="D37" s="840">
        <f>'Payroll 19-20'!D37</f>
        <v>0</v>
      </c>
      <c r="E37" s="840">
        <f>'Payroll 20-21'!E37*(1+'Revenue Inputs'!P$27)</f>
        <v>0</v>
      </c>
      <c r="F37" s="828">
        <f>'Payroll 20-21'!F37*(1+$I$4)</f>
        <v>0</v>
      </c>
      <c r="G37" s="322">
        <f>'Payroll 20-21'!G37</f>
        <v>0</v>
      </c>
      <c r="H37" s="319">
        <f>'Payroll 20-21'!H37</f>
        <v>0</v>
      </c>
      <c r="I37" s="320">
        <f t="shared" si="3"/>
        <v>0</v>
      </c>
      <c r="J37" s="7">
        <f t="shared" si="15"/>
        <v>0</v>
      </c>
      <c r="K37" s="7">
        <f t="shared" si="16"/>
        <v>0</v>
      </c>
      <c r="M37" s="7">
        <f t="shared" si="17"/>
        <v>0</v>
      </c>
      <c r="N37" s="8" t="s">
        <v>75</v>
      </c>
      <c r="O37" s="8" t="str">
        <f t="shared" si="18"/>
        <v>N/A</v>
      </c>
      <c r="P37" s="7">
        <f t="shared" si="19"/>
        <v>0</v>
      </c>
      <c r="Q37" s="7">
        <f t="shared" si="6"/>
        <v>0</v>
      </c>
      <c r="R37" s="7">
        <f t="shared" si="7"/>
        <v>0</v>
      </c>
      <c r="S37" s="7">
        <f t="shared" si="8"/>
        <v>0</v>
      </c>
    </row>
    <row r="38" spans="3:23">
      <c r="C38" s="34"/>
      <c r="D38" s="840">
        <f>'Payroll 19-20'!D38</f>
        <v>0</v>
      </c>
      <c r="E38" s="840">
        <f>'Payroll 20-21'!E38*(1+'Revenue Inputs'!P$27)</f>
        <v>0</v>
      </c>
      <c r="F38" s="828">
        <f>'Payroll 20-21'!F38*(1+$I$4)</f>
        <v>0</v>
      </c>
      <c r="G38" s="322">
        <f>'Payroll 20-21'!G38</f>
        <v>0</v>
      </c>
      <c r="H38" s="319">
        <f>'Payroll 20-21'!H38</f>
        <v>0</v>
      </c>
      <c r="I38" s="320">
        <f t="shared" si="3"/>
        <v>0</v>
      </c>
      <c r="J38" s="7">
        <f t="shared" si="15"/>
        <v>0</v>
      </c>
      <c r="K38" s="7">
        <f t="shared" si="16"/>
        <v>0</v>
      </c>
      <c r="M38" s="7">
        <f t="shared" si="17"/>
        <v>0</v>
      </c>
      <c r="N38" s="8" t="s">
        <v>75</v>
      </c>
      <c r="O38" s="8" t="str">
        <f t="shared" si="18"/>
        <v>N/A</v>
      </c>
      <c r="P38" s="7">
        <f t="shared" si="19"/>
        <v>0</v>
      </c>
      <c r="Q38" s="7">
        <f t="shared" si="6"/>
        <v>0</v>
      </c>
      <c r="R38" s="7">
        <f t="shared" si="7"/>
        <v>0</v>
      </c>
      <c r="S38" s="7">
        <f t="shared" si="8"/>
        <v>0</v>
      </c>
    </row>
    <row r="39" spans="3:23">
      <c r="C39" s="34"/>
      <c r="D39" s="840">
        <f>'Payroll 19-20'!D39</f>
        <v>0</v>
      </c>
      <c r="E39" s="840">
        <f>'Payroll 20-21'!E39*(1+'Revenue Inputs'!P$27)</f>
        <v>0</v>
      </c>
      <c r="F39" s="828">
        <f>'Payroll 20-21'!F39*(1+$I$4)</f>
        <v>0</v>
      </c>
      <c r="G39" s="322">
        <f>'Payroll 20-21'!G39</f>
        <v>0</v>
      </c>
      <c r="H39" s="319">
        <f>'Payroll 20-21'!H39</f>
        <v>0</v>
      </c>
      <c r="I39" s="320">
        <f t="shared" si="3"/>
        <v>0</v>
      </c>
      <c r="J39" s="7">
        <f t="shared" si="15"/>
        <v>0</v>
      </c>
      <c r="K39" s="7">
        <f t="shared" si="16"/>
        <v>0</v>
      </c>
      <c r="L39" s="7"/>
      <c r="M39" s="7">
        <f t="shared" si="17"/>
        <v>0</v>
      </c>
      <c r="N39" s="8" t="s">
        <v>75</v>
      </c>
      <c r="O39" s="8" t="str">
        <f t="shared" si="18"/>
        <v>N/A</v>
      </c>
      <c r="P39" s="7">
        <f t="shared" si="19"/>
        <v>0</v>
      </c>
      <c r="Q39" s="7">
        <f t="shared" si="6"/>
        <v>0</v>
      </c>
      <c r="R39" s="7">
        <f t="shared" si="7"/>
        <v>0</v>
      </c>
      <c r="S39" s="7">
        <f t="shared" si="8"/>
        <v>0</v>
      </c>
      <c r="W39" s="41"/>
    </row>
    <row r="40" spans="3:23">
      <c r="C40" s="34"/>
      <c r="D40" s="840">
        <f>'Payroll 19-20'!D40</f>
        <v>0</v>
      </c>
      <c r="E40" s="840">
        <f>'Payroll 20-21'!E40*(1+'Revenue Inputs'!P$27)</f>
        <v>0</v>
      </c>
      <c r="F40" s="828">
        <f>'Payroll 20-21'!F40*(1+$I$4)</f>
        <v>0</v>
      </c>
      <c r="G40" s="322">
        <f>'Payroll 20-21'!G40</f>
        <v>0</v>
      </c>
      <c r="H40" s="319">
        <f>'Payroll 20-21'!H40</f>
        <v>0</v>
      </c>
      <c r="I40" s="320">
        <f t="shared" si="3"/>
        <v>0</v>
      </c>
      <c r="J40" s="7">
        <f t="shared" si="15"/>
        <v>0</v>
      </c>
      <c r="K40" s="7">
        <f t="shared" si="16"/>
        <v>0</v>
      </c>
      <c r="M40" s="7">
        <f t="shared" si="17"/>
        <v>0</v>
      </c>
      <c r="N40" s="8" t="s">
        <v>75</v>
      </c>
      <c r="O40" s="8" t="str">
        <f t="shared" si="18"/>
        <v>N/A</v>
      </c>
      <c r="P40" s="7">
        <f t="shared" si="19"/>
        <v>0</v>
      </c>
      <c r="Q40" s="7">
        <f t="shared" si="6"/>
        <v>0</v>
      </c>
      <c r="R40" s="7">
        <f t="shared" si="7"/>
        <v>0</v>
      </c>
      <c r="S40" s="7">
        <f t="shared" si="8"/>
        <v>0</v>
      </c>
    </row>
    <row r="41" spans="3:23">
      <c r="C41" s="34"/>
      <c r="D41" s="840">
        <f>'Payroll 19-20'!D41</f>
        <v>0</v>
      </c>
      <c r="E41" s="840">
        <f>'Payroll 20-21'!E41*(1+'Revenue Inputs'!P$27)</f>
        <v>0</v>
      </c>
      <c r="F41" s="828">
        <f>'Payroll 20-21'!F41*(1+$I$4)</f>
        <v>0</v>
      </c>
      <c r="G41" s="322">
        <f>'Payroll 20-21'!G41</f>
        <v>0</v>
      </c>
      <c r="H41" s="319">
        <f>'Payroll 20-21'!H41</f>
        <v>0</v>
      </c>
      <c r="I41" s="320">
        <f t="shared" si="3"/>
        <v>0</v>
      </c>
      <c r="J41" s="7">
        <f t="shared" si="15"/>
        <v>0</v>
      </c>
      <c r="K41" s="7">
        <f t="shared" si="16"/>
        <v>0</v>
      </c>
      <c r="M41" s="7">
        <f t="shared" si="17"/>
        <v>0</v>
      </c>
      <c r="N41" s="8" t="s">
        <v>75</v>
      </c>
      <c r="O41" s="8" t="str">
        <f t="shared" si="18"/>
        <v>N/A</v>
      </c>
      <c r="P41" s="7">
        <f t="shared" si="19"/>
        <v>0</v>
      </c>
      <c r="Q41" s="7">
        <f t="shared" si="6"/>
        <v>0</v>
      </c>
      <c r="R41" s="7">
        <f t="shared" si="7"/>
        <v>0</v>
      </c>
      <c r="S41" s="7">
        <f t="shared" si="8"/>
        <v>0</v>
      </c>
    </row>
    <row r="42" spans="3:23">
      <c r="C42" s="34"/>
      <c r="D42" s="840">
        <f>'Payroll 19-20'!D42</f>
        <v>0</v>
      </c>
      <c r="E42" s="840">
        <f>'Payroll 20-21'!E42*(1+'Revenue Inputs'!P$27)</f>
        <v>0</v>
      </c>
      <c r="F42" s="828">
        <f>'Payroll 20-21'!F42*(1+$I$4)</f>
        <v>0</v>
      </c>
      <c r="G42" s="322">
        <f>'Payroll 20-21'!G42</f>
        <v>0</v>
      </c>
      <c r="H42" s="319">
        <f>'Payroll 20-21'!H42</f>
        <v>0</v>
      </c>
      <c r="I42" s="320">
        <f t="shared" si="3"/>
        <v>0</v>
      </c>
      <c r="J42" s="7">
        <f t="shared" si="15"/>
        <v>0</v>
      </c>
      <c r="K42" s="7">
        <f t="shared" si="16"/>
        <v>0</v>
      </c>
      <c r="M42" s="7">
        <f t="shared" si="17"/>
        <v>0</v>
      </c>
      <c r="N42" s="8" t="s">
        <v>75</v>
      </c>
      <c r="O42" s="8" t="str">
        <f t="shared" si="18"/>
        <v>N/A</v>
      </c>
      <c r="P42" s="7">
        <f t="shared" si="19"/>
        <v>0</v>
      </c>
      <c r="Q42" s="7">
        <f t="shared" si="6"/>
        <v>0</v>
      </c>
      <c r="R42" s="7">
        <f t="shared" si="7"/>
        <v>0</v>
      </c>
      <c r="S42" s="7">
        <f t="shared" si="8"/>
        <v>0</v>
      </c>
    </row>
    <row r="43" spans="3:23">
      <c r="C43" s="34"/>
      <c r="D43" s="840">
        <f>'Payroll 19-20'!D43</f>
        <v>0</v>
      </c>
      <c r="E43" s="840">
        <f>'Payroll 20-21'!E43*(1+'Revenue Inputs'!P$27)</f>
        <v>0</v>
      </c>
      <c r="F43" s="828">
        <f>'Payroll 20-21'!F43*(1+$I$4)</f>
        <v>0</v>
      </c>
      <c r="G43" s="322">
        <f>'Payroll 20-21'!G43</f>
        <v>0</v>
      </c>
      <c r="H43" s="319">
        <f>'Payroll 20-21'!H43</f>
        <v>0</v>
      </c>
      <c r="I43" s="320">
        <f t="shared" si="3"/>
        <v>0</v>
      </c>
      <c r="J43" s="7">
        <f t="shared" si="0"/>
        <v>0</v>
      </c>
      <c r="K43" s="7">
        <f t="shared" si="13"/>
        <v>0</v>
      </c>
      <c r="M43" s="7">
        <f t="shared" si="12"/>
        <v>0</v>
      </c>
      <c r="N43" s="8" t="s">
        <v>75</v>
      </c>
      <c r="O43" s="8" t="str">
        <f t="shared" si="5"/>
        <v>N/A</v>
      </c>
      <c r="P43" s="7">
        <f t="shared" si="2"/>
        <v>0</v>
      </c>
      <c r="Q43" s="7">
        <f t="shared" si="6"/>
        <v>0</v>
      </c>
      <c r="R43" s="7">
        <f t="shared" si="7"/>
        <v>0</v>
      </c>
      <c r="S43" s="7">
        <f t="shared" si="8"/>
        <v>0</v>
      </c>
    </row>
    <row r="44" spans="3:23">
      <c r="C44" s="34"/>
      <c r="D44" s="840">
        <f>'Payroll 19-20'!D44</f>
        <v>0</v>
      </c>
      <c r="E44" s="840">
        <f>'Payroll 20-21'!E44*(1+'Revenue Inputs'!P$27)</f>
        <v>0</v>
      </c>
      <c r="F44" s="828">
        <f>'Payroll 20-21'!F44*(1+$I$4)</f>
        <v>0</v>
      </c>
      <c r="G44" s="322">
        <f>'Payroll 20-21'!G44</f>
        <v>0</v>
      </c>
      <c r="H44" s="319">
        <f>'Payroll 20-21'!H44</f>
        <v>0</v>
      </c>
      <c r="I44" s="320">
        <f t="shared" si="3"/>
        <v>0</v>
      </c>
      <c r="J44" s="7">
        <f t="shared" si="0"/>
        <v>0</v>
      </c>
      <c r="K44" s="7">
        <f t="shared" si="13"/>
        <v>0</v>
      </c>
      <c r="M44" s="7">
        <f t="shared" si="12"/>
        <v>0</v>
      </c>
      <c r="N44" s="8" t="s">
        <v>75</v>
      </c>
      <c r="O44" s="8" t="str">
        <f t="shared" si="5"/>
        <v>N/A</v>
      </c>
      <c r="P44" s="7">
        <f t="shared" si="2"/>
        <v>0</v>
      </c>
      <c r="Q44" s="7">
        <f t="shared" si="6"/>
        <v>0</v>
      </c>
      <c r="R44" s="7">
        <f t="shared" si="7"/>
        <v>0</v>
      </c>
      <c r="S44" s="7">
        <f t="shared" si="8"/>
        <v>0</v>
      </c>
    </row>
    <row r="45" spans="3:23">
      <c r="C45" s="34"/>
      <c r="D45" s="840">
        <f>'Payroll 19-20'!D45</f>
        <v>0</v>
      </c>
      <c r="E45" s="840">
        <f>'Payroll 20-21'!E45*(1+'Revenue Inputs'!P$27)</f>
        <v>0</v>
      </c>
      <c r="F45" s="828">
        <f>'Payroll 20-21'!F45*(1+$I$4)</f>
        <v>0</v>
      </c>
      <c r="G45" s="322">
        <f>'Payroll 20-21'!G45</f>
        <v>0</v>
      </c>
      <c r="H45" s="319">
        <f>'Payroll 20-21'!H45</f>
        <v>0</v>
      </c>
      <c r="I45" s="320">
        <f t="shared" si="3"/>
        <v>0</v>
      </c>
      <c r="J45" s="7">
        <f t="shared" si="0"/>
        <v>0</v>
      </c>
      <c r="K45" s="7">
        <f t="shared" si="13"/>
        <v>0</v>
      </c>
      <c r="L45" s="7"/>
      <c r="M45" s="7">
        <f t="shared" si="12"/>
        <v>0</v>
      </c>
      <c r="N45" s="8" t="s">
        <v>75</v>
      </c>
      <c r="O45" s="8" t="str">
        <f t="shared" si="5"/>
        <v>N/A</v>
      </c>
      <c r="P45" s="7">
        <f t="shared" si="2"/>
        <v>0</v>
      </c>
      <c r="Q45" s="7">
        <f t="shared" si="6"/>
        <v>0</v>
      </c>
      <c r="R45" s="7">
        <f t="shared" si="7"/>
        <v>0</v>
      </c>
      <c r="S45" s="7">
        <f t="shared" si="8"/>
        <v>0</v>
      </c>
    </row>
    <row r="46" spans="3:23">
      <c r="C46" s="34"/>
      <c r="D46" s="840">
        <f>'Payroll 19-20'!D46</f>
        <v>0</v>
      </c>
      <c r="E46" s="840">
        <f>'Payroll 20-21'!E46*(1+'Revenue Inputs'!P$27)</f>
        <v>0</v>
      </c>
      <c r="F46" s="828">
        <f>'Payroll 20-21'!F46*(1+$I$4)</f>
        <v>0</v>
      </c>
      <c r="G46" s="322">
        <f>'Payroll 20-21'!G46</f>
        <v>0</v>
      </c>
      <c r="H46" s="319">
        <f>'Payroll 20-21'!H46</f>
        <v>0</v>
      </c>
      <c r="I46" s="320">
        <f t="shared" si="3"/>
        <v>0</v>
      </c>
      <c r="J46" s="7">
        <f t="shared" si="0"/>
        <v>0</v>
      </c>
      <c r="K46" s="7">
        <f t="shared" si="13"/>
        <v>0</v>
      </c>
      <c r="M46" s="7">
        <f t="shared" si="12"/>
        <v>0</v>
      </c>
      <c r="N46" s="8" t="s">
        <v>75</v>
      </c>
      <c r="O46" s="8" t="str">
        <f t="shared" si="5"/>
        <v>N/A</v>
      </c>
      <c r="P46" s="7">
        <f t="shared" si="2"/>
        <v>0</v>
      </c>
      <c r="Q46" s="7">
        <f t="shared" si="6"/>
        <v>0</v>
      </c>
      <c r="R46" s="7">
        <f t="shared" si="7"/>
        <v>0</v>
      </c>
      <c r="S46" s="7">
        <f t="shared" si="8"/>
        <v>0</v>
      </c>
    </row>
    <row r="47" spans="3:23">
      <c r="C47" s="34"/>
      <c r="D47" s="840">
        <f>'Payroll 19-20'!D47</f>
        <v>0</v>
      </c>
      <c r="E47" s="840">
        <f>'Payroll 20-21'!E47*(1+'Revenue Inputs'!P$27)</f>
        <v>0</v>
      </c>
      <c r="F47" s="828">
        <f>'Payroll 20-21'!F47*(1+$I$4)</f>
        <v>0</v>
      </c>
      <c r="G47" s="322">
        <f>'Payroll 20-21'!G47</f>
        <v>0</v>
      </c>
      <c r="H47" s="319">
        <f>'Payroll 20-21'!H47</f>
        <v>0</v>
      </c>
      <c r="I47" s="320">
        <f t="shared" si="3"/>
        <v>0</v>
      </c>
      <c r="J47" s="7">
        <f t="shared" si="0"/>
        <v>0</v>
      </c>
      <c r="K47" s="7">
        <f t="shared" si="13"/>
        <v>0</v>
      </c>
      <c r="M47" s="7">
        <f t="shared" si="12"/>
        <v>0</v>
      </c>
      <c r="N47" s="8" t="s">
        <v>75</v>
      </c>
      <c r="O47" s="8" t="str">
        <f t="shared" si="5"/>
        <v>N/A</v>
      </c>
      <c r="P47" s="7">
        <f t="shared" si="2"/>
        <v>0</v>
      </c>
      <c r="Q47" s="7">
        <f t="shared" si="6"/>
        <v>0</v>
      </c>
      <c r="R47" s="7">
        <f t="shared" si="7"/>
        <v>0</v>
      </c>
      <c r="S47" s="7">
        <f t="shared" si="8"/>
        <v>0</v>
      </c>
    </row>
    <row r="48" spans="3:23">
      <c r="C48" s="34"/>
      <c r="D48" s="840">
        <f>'Payroll 19-20'!D48</f>
        <v>0</v>
      </c>
      <c r="E48" s="840">
        <f>'Payroll 20-21'!E48*(1+'Revenue Inputs'!P$27)</f>
        <v>0</v>
      </c>
      <c r="F48" s="828">
        <f>'Payroll 20-21'!F48*(1+$I$4)</f>
        <v>0</v>
      </c>
      <c r="G48" s="322">
        <f>'Payroll 20-21'!G48</f>
        <v>0</v>
      </c>
      <c r="H48" s="319">
        <f>'Payroll 20-21'!H48</f>
        <v>0</v>
      </c>
      <c r="I48" s="320">
        <f t="shared" si="3"/>
        <v>0</v>
      </c>
      <c r="J48" s="7">
        <f t="shared" si="0"/>
        <v>0</v>
      </c>
      <c r="K48" s="7">
        <f t="shared" si="13"/>
        <v>0</v>
      </c>
      <c r="M48" s="7">
        <f t="shared" si="12"/>
        <v>0</v>
      </c>
      <c r="N48" s="8" t="s">
        <v>75</v>
      </c>
      <c r="O48" s="8" t="str">
        <f t="shared" si="5"/>
        <v>N/A</v>
      </c>
      <c r="P48" s="7">
        <f t="shared" si="2"/>
        <v>0</v>
      </c>
      <c r="Q48" s="7">
        <f t="shared" si="6"/>
        <v>0</v>
      </c>
      <c r="R48" s="7">
        <f t="shared" si="7"/>
        <v>0</v>
      </c>
      <c r="S48" s="7">
        <f t="shared" si="8"/>
        <v>0</v>
      </c>
    </row>
    <row r="49" spans="3:24">
      <c r="C49" s="34"/>
      <c r="D49" s="840">
        <f>'Payroll 19-20'!D49</f>
        <v>0</v>
      </c>
      <c r="E49" s="840">
        <f>'Payroll 20-21'!E49*(1+'Revenue Inputs'!P$27)</f>
        <v>0</v>
      </c>
      <c r="F49" s="828">
        <f>'Payroll 20-21'!F49*(1+$I$4)</f>
        <v>0</v>
      </c>
      <c r="G49" s="322">
        <f>'Payroll 20-21'!G49</f>
        <v>0</v>
      </c>
      <c r="H49" s="319">
        <f>'Payroll 20-21'!H49</f>
        <v>0</v>
      </c>
      <c r="I49" s="320">
        <f t="shared" si="3"/>
        <v>0</v>
      </c>
      <c r="J49" s="7">
        <f t="shared" si="0"/>
        <v>0</v>
      </c>
      <c r="K49" s="7">
        <f t="shared" si="13"/>
        <v>0</v>
      </c>
      <c r="M49" s="7">
        <f t="shared" si="12"/>
        <v>0</v>
      </c>
      <c r="N49" s="8" t="s">
        <v>75</v>
      </c>
      <c r="O49" s="8" t="str">
        <f t="shared" si="5"/>
        <v>N/A</v>
      </c>
      <c r="P49" s="7">
        <f t="shared" si="2"/>
        <v>0</v>
      </c>
      <c r="Q49" s="7">
        <f t="shared" si="6"/>
        <v>0</v>
      </c>
      <c r="R49" s="7">
        <f t="shared" si="7"/>
        <v>0</v>
      </c>
      <c r="S49" s="7">
        <f t="shared" si="8"/>
        <v>0</v>
      </c>
    </row>
    <row r="50" spans="3:24">
      <c r="C50" s="34"/>
      <c r="D50" s="840">
        <f>'Payroll 19-20'!D50</f>
        <v>0</v>
      </c>
      <c r="E50" s="840">
        <f>'Payroll 20-21'!E50*(1+'Revenue Inputs'!P$27)</f>
        <v>0</v>
      </c>
      <c r="F50" s="828">
        <f>'Payroll 20-21'!F50*(1+$I$4)</f>
        <v>0</v>
      </c>
      <c r="G50" s="322">
        <f>'Payroll 20-21'!G50</f>
        <v>0</v>
      </c>
      <c r="H50" s="319">
        <f>'Payroll 20-21'!H50</f>
        <v>0</v>
      </c>
      <c r="I50" s="320">
        <f t="shared" si="3"/>
        <v>0</v>
      </c>
      <c r="J50" s="7">
        <f t="shared" si="0"/>
        <v>0</v>
      </c>
      <c r="K50" s="7">
        <f t="shared" si="13"/>
        <v>0</v>
      </c>
      <c r="L50" s="7"/>
      <c r="M50" s="7">
        <f t="shared" si="12"/>
        <v>0</v>
      </c>
      <c r="N50" s="8" t="s">
        <v>75</v>
      </c>
      <c r="O50" s="8" t="str">
        <f t="shared" si="5"/>
        <v>N/A</v>
      </c>
      <c r="P50" s="7">
        <f t="shared" si="2"/>
        <v>0</v>
      </c>
      <c r="Q50" s="7">
        <f t="shared" si="6"/>
        <v>0</v>
      </c>
      <c r="R50" s="7">
        <f t="shared" si="7"/>
        <v>0</v>
      </c>
      <c r="S50" s="7">
        <f t="shared" si="8"/>
        <v>0</v>
      </c>
    </row>
    <row r="51" spans="3:24">
      <c r="C51" s="34"/>
      <c r="D51" s="840">
        <f>'Payroll 19-20'!D51</f>
        <v>0</v>
      </c>
      <c r="E51" s="840">
        <f>'Payroll 20-21'!E51*(1+'Revenue Inputs'!P$27)</f>
        <v>0</v>
      </c>
      <c r="F51" s="828">
        <f>'Payroll 20-21'!F51*(1+$I$4)</f>
        <v>0</v>
      </c>
      <c r="G51" s="322">
        <f>'Payroll 20-21'!G51</f>
        <v>0</v>
      </c>
      <c r="H51" s="319">
        <f>'Payroll 20-21'!H51</f>
        <v>0</v>
      </c>
      <c r="I51" s="320">
        <f t="shared" si="3"/>
        <v>0</v>
      </c>
      <c r="J51" s="7">
        <f t="shared" si="0"/>
        <v>0</v>
      </c>
      <c r="K51" s="7">
        <f t="shared" si="13"/>
        <v>0</v>
      </c>
      <c r="M51" s="7">
        <f t="shared" si="12"/>
        <v>0</v>
      </c>
      <c r="N51" s="8" t="s">
        <v>75</v>
      </c>
      <c r="O51" s="8" t="str">
        <f t="shared" si="5"/>
        <v>N/A</v>
      </c>
      <c r="P51" s="7">
        <f t="shared" si="2"/>
        <v>0</v>
      </c>
      <c r="Q51" s="7">
        <f t="shared" si="6"/>
        <v>0</v>
      </c>
      <c r="R51" s="7">
        <f t="shared" si="7"/>
        <v>0</v>
      </c>
      <c r="S51" s="7">
        <f t="shared" si="8"/>
        <v>0</v>
      </c>
    </row>
    <row r="52" spans="3:24">
      <c r="C52" s="34"/>
      <c r="D52" s="840">
        <f>'Payroll 19-20'!D52</f>
        <v>0</v>
      </c>
      <c r="E52" s="840">
        <f>'Payroll 20-21'!E52*(1+'Revenue Inputs'!P$27)</f>
        <v>0</v>
      </c>
      <c r="F52" s="828">
        <f>'Payroll 20-21'!F52*(1+$I$4)</f>
        <v>0</v>
      </c>
      <c r="G52" s="322">
        <f>'Payroll 20-21'!G52</f>
        <v>0</v>
      </c>
      <c r="H52" s="319">
        <f>'Payroll 20-21'!H52</f>
        <v>0</v>
      </c>
      <c r="I52" s="320">
        <f t="shared" si="3"/>
        <v>0</v>
      </c>
      <c r="J52" s="7">
        <f t="shared" si="0"/>
        <v>0</v>
      </c>
      <c r="K52" s="7">
        <f t="shared" si="13"/>
        <v>0</v>
      </c>
      <c r="M52" s="7">
        <f t="shared" si="12"/>
        <v>0</v>
      </c>
      <c r="N52" s="8" t="s">
        <v>75</v>
      </c>
      <c r="O52" s="8" t="str">
        <f t="shared" si="5"/>
        <v>N/A</v>
      </c>
      <c r="P52" s="7">
        <f t="shared" si="2"/>
        <v>0</v>
      </c>
      <c r="Q52" s="7">
        <f t="shared" si="6"/>
        <v>0</v>
      </c>
      <c r="R52" s="7">
        <f t="shared" si="7"/>
        <v>0</v>
      </c>
      <c r="S52" s="7">
        <f t="shared" si="8"/>
        <v>0</v>
      </c>
    </row>
    <row r="53" spans="3:24">
      <c r="C53" s="34"/>
      <c r="D53" s="840">
        <f>'Payroll 19-20'!D53</f>
        <v>0</v>
      </c>
      <c r="E53" s="840">
        <f>'Payroll 20-21'!E53*(1+'Revenue Inputs'!P$27)</f>
        <v>0</v>
      </c>
      <c r="F53" s="828">
        <f>'Payroll 20-21'!F53*(1+$I$4)</f>
        <v>0</v>
      </c>
      <c r="G53" s="322">
        <f>'Payroll 20-21'!G53</f>
        <v>0</v>
      </c>
      <c r="H53" s="319">
        <f>'Payroll 20-21'!H53</f>
        <v>0</v>
      </c>
      <c r="I53" s="320">
        <f t="shared" si="3"/>
        <v>0</v>
      </c>
      <c r="J53" s="7">
        <f t="shared" si="0"/>
        <v>0</v>
      </c>
      <c r="K53" s="7">
        <f t="shared" si="13"/>
        <v>0</v>
      </c>
      <c r="M53" s="7">
        <f t="shared" si="12"/>
        <v>0</v>
      </c>
      <c r="N53" s="8" t="s">
        <v>75</v>
      </c>
      <c r="O53" s="8" t="str">
        <f t="shared" si="5"/>
        <v>N/A</v>
      </c>
      <c r="P53" s="7">
        <f t="shared" si="2"/>
        <v>0</v>
      </c>
      <c r="Q53" s="7">
        <f t="shared" si="6"/>
        <v>0</v>
      </c>
      <c r="R53" s="7">
        <f t="shared" si="7"/>
        <v>0</v>
      </c>
      <c r="S53" s="7">
        <f t="shared" si="8"/>
        <v>0</v>
      </c>
    </row>
    <row r="54" spans="3:24">
      <c r="C54" s="34"/>
      <c r="D54" s="840">
        <f>'Payroll 19-20'!D54</f>
        <v>0</v>
      </c>
      <c r="E54" s="840">
        <f>'Payroll 20-21'!E54*(1+'Revenue Inputs'!P$27)</f>
        <v>0</v>
      </c>
      <c r="F54" s="828">
        <f>'Payroll 20-21'!F54*(1+$I$4)</f>
        <v>0</v>
      </c>
      <c r="G54" s="322">
        <f>'Payroll 20-21'!G54</f>
        <v>0</v>
      </c>
      <c r="H54" s="319">
        <f>'Payroll 20-21'!H54</f>
        <v>0</v>
      </c>
      <c r="I54" s="320">
        <f t="shared" si="3"/>
        <v>0</v>
      </c>
      <c r="J54" s="7">
        <f t="shared" si="0"/>
        <v>0</v>
      </c>
      <c r="K54" s="7">
        <f t="shared" si="13"/>
        <v>0</v>
      </c>
      <c r="M54" s="7">
        <f t="shared" si="12"/>
        <v>0</v>
      </c>
      <c r="N54" s="8" t="s">
        <v>75</v>
      </c>
      <c r="O54" s="8" t="str">
        <f t="shared" si="5"/>
        <v>N/A</v>
      </c>
      <c r="P54" s="7">
        <f t="shared" si="2"/>
        <v>0</v>
      </c>
      <c r="Q54" s="7">
        <f t="shared" si="6"/>
        <v>0</v>
      </c>
      <c r="R54" s="7">
        <f t="shared" si="7"/>
        <v>0</v>
      </c>
      <c r="S54" s="7">
        <f t="shared" si="8"/>
        <v>0</v>
      </c>
    </row>
    <row r="55" spans="3:24">
      <c r="C55" s="34"/>
      <c r="D55" s="840">
        <f>'Payroll 19-20'!D55</f>
        <v>0</v>
      </c>
      <c r="E55" s="840">
        <f>'Payroll 20-21'!E55*(1+'Revenue Inputs'!P$27)</f>
        <v>0</v>
      </c>
      <c r="F55" s="828">
        <f>'Payroll 20-21'!F55*(1+$I$4)</f>
        <v>0</v>
      </c>
      <c r="G55" s="322">
        <f>'Payroll 20-21'!G55</f>
        <v>0</v>
      </c>
      <c r="H55" s="319">
        <f>'Payroll 20-21'!H55</f>
        <v>0</v>
      </c>
      <c r="I55" s="320">
        <f t="shared" si="3"/>
        <v>0</v>
      </c>
      <c r="J55" s="7">
        <f t="shared" si="0"/>
        <v>0</v>
      </c>
      <c r="K55" s="7">
        <f t="shared" si="13"/>
        <v>0</v>
      </c>
      <c r="M55" s="7">
        <f t="shared" si="12"/>
        <v>0</v>
      </c>
      <c r="N55" s="8" t="s">
        <v>75</v>
      </c>
      <c r="O55" s="8" t="str">
        <f t="shared" si="5"/>
        <v>N/A</v>
      </c>
      <c r="P55" s="7">
        <f t="shared" si="2"/>
        <v>0</v>
      </c>
      <c r="Q55" s="7">
        <f t="shared" si="6"/>
        <v>0</v>
      </c>
      <c r="R55" s="7">
        <f t="shared" si="7"/>
        <v>0</v>
      </c>
      <c r="S55" s="7">
        <f t="shared" si="8"/>
        <v>0</v>
      </c>
    </row>
    <row r="56" spans="3:24">
      <c r="C56" s="34"/>
      <c r="D56" s="840">
        <f>'Payroll 19-20'!D56</f>
        <v>0</v>
      </c>
      <c r="E56" s="840">
        <f>'Payroll 20-21'!E56*(1+'Revenue Inputs'!P$27)</f>
        <v>0</v>
      </c>
      <c r="F56" s="828">
        <f>'Payroll 20-21'!F56*(1+$I$4)</f>
        <v>0</v>
      </c>
      <c r="G56" s="322">
        <f>'Payroll 20-21'!G56</f>
        <v>0</v>
      </c>
      <c r="H56" s="319">
        <f>'Payroll 20-21'!H56</f>
        <v>0</v>
      </c>
      <c r="I56" s="320">
        <f t="shared" si="3"/>
        <v>0</v>
      </c>
      <c r="J56" s="7">
        <f t="shared" si="0"/>
        <v>0</v>
      </c>
      <c r="K56" s="7">
        <f t="shared" si="13"/>
        <v>0</v>
      </c>
      <c r="L56" s="7"/>
      <c r="M56" s="7">
        <f t="shared" si="12"/>
        <v>0</v>
      </c>
      <c r="N56" s="8" t="s">
        <v>75</v>
      </c>
      <c r="O56" s="8" t="str">
        <f t="shared" si="5"/>
        <v>N/A</v>
      </c>
      <c r="P56" s="7">
        <f t="shared" si="2"/>
        <v>0</v>
      </c>
      <c r="Q56" s="7">
        <f t="shared" si="6"/>
        <v>0</v>
      </c>
      <c r="R56" s="7">
        <f t="shared" si="7"/>
        <v>0</v>
      </c>
      <c r="S56" s="7">
        <f t="shared" si="8"/>
        <v>0</v>
      </c>
      <c r="W56" s="41"/>
    </row>
    <row r="57" spans="3:24">
      <c r="C57" s="34"/>
      <c r="D57" s="840">
        <f>'Payroll 19-20'!D57</f>
        <v>0</v>
      </c>
      <c r="E57" s="840">
        <f>'Payroll 20-21'!E57*(1+'Revenue Inputs'!P$27)</f>
        <v>0</v>
      </c>
      <c r="F57" s="828">
        <f>'Payroll 20-21'!F57*(1+$I$4)</f>
        <v>0</v>
      </c>
      <c r="G57" s="322">
        <f>'Payroll 20-21'!G57</f>
        <v>0</v>
      </c>
      <c r="H57" s="319">
        <f>'Payroll 20-21'!H57</f>
        <v>0</v>
      </c>
      <c r="I57" s="320">
        <f t="shared" si="3"/>
        <v>0</v>
      </c>
      <c r="J57" s="7">
        <f t="shared" si="0"/>
        <v>0</v>
      </c>
      <c r="K57" s="7">
        <f t="shared" si="13"/>
        <v>0</v>
      </c>
      <c r="M57" s="7">
        <f t="shared" si="12"/>
        <v>0</v>
      </c>
      <c r="N57" s="8" t="s">
        <v>75</v>
      </c>
      <c r="O57" s="8" t="str">
        <f t="shared" si="5"/>
        <v>N/A</v>
      </c>
      <c r="P57" s="7">
        <f t="shared" si="2"/>
        <v>0</v>
      </c>
      <c r="Q57" s="7">
        <f t="shared" si="6"/>
        <v>0</v>
      </c>
      <c r="R57" s="7">
        <f t="shared" si="7"/>
        <v>0</v>
      </c>
      <c r="S57" s="7">
        <f t="shared" si="8"/>
        <v>0</v>
      </c>
    </row>
    <row r="58" spans="3:24">
      <c r="C58" s="34"/>
      <c r="D58" s="840">
        <f>'Payroll 19-20'!D58</f>
        <v>0</v>
      </c>
      <c r="E58" s="840">
        <f>'Payroll 20-21'!E58*(1+'Revenue Inputs'!P$27)</f>
        <v>0</v>
      </c>
      <c r="F58" s="828">
        <f>'Payroll 20-21'!F58*(1+$I$4)</f>
        <v>0</v>
      </c>
      <c r="G58" s="322">
        <f>'Payroll 20-21'!G58</f>
        <v>0</v>
      </c>
      <c r="H58" s="319">
        <f>'Payroll 20-21'!H58</f>
        <v>0</v>
      </c>
      <c r="I58" s="320">
        <f t="shared" si="3"/>
        <v>0</v>
      </c>
      <c r="J58" s="7">
        <f t="shared" si="0"/>
        <v>0</v>
      </c>
      <c r="K58" s="7">
        <f t="shared" si="13"/>
        <v>0</v>
      </c>
      <c r="M58" s="7">
        <f t="shared" si="12"/>
        <v>0</v>
      </c>
      <c r="N58" s="8" t="s">
        <v>75</v>
      </c>
      <c r="O58" s="8" t="str">
        <f t="shared" si="5"/>
        <v>N/A</v>
      </c>
      <c r="P58" s="7">
        <f t="shared" si="2"/>
        <v>0</v>
      </c>
      <c r="Q58" s="7">
        <f t="shared" si="6"/>
        <v>0</v>
      </c>
      <c r="R58" s="7">
        <f t="shared" si="7"/>
        <v>0</v>
      </c>
      <c r="S58" s="7">
        <f t="shared" si="8"/>
        <v>0</v>
      </c>
    </row>
    <row r="59" spans="3:24">
      <c r="C59" s="34"/>
      <c r="D59" s="840">
        <f>'Payroll 19-20'!D59</f>
        <v>0</v>
      </c>
      <c r="E59" s="840">
        <f>'Payroll 20-21'!E59*(1+'Revenue Inputs'!P$27)</f>
        <v>0</v>
      </c>
      <c r="F59" s="828">
        <f>'Payroll 20-21'!F59*(1+$I$4)</f>
        <v>0</v>
      </c>
      <c r="G59" s="322">
        <f>'Payroll 20-21'!G59</f>
        <v>0</v>
      </c>
      <c r="H59" s="319">
        <f>'Payroll 20-21'!H59</f>
        <v>0</v>
      </c>
      <c r="I59" s="320">
        <f t="shared" si="3"/>
        <v>0</v>
      </c>
      <c r="J59" s="7">
        <f t="shared" si="0"/>
        <v>0</v>
      </c>
      <c r="K59" s="7">
        <f t="shared" si="13"/>
        <v>0</v>
      </c>
      <c r="M59" s="7">
        <f t="shared" si="12"/>
        <v>0</v>
      </c>
      <c r="N59" s="8" t="s">
        <v>75</v>
      </c>
      <c r="O59" s="8" t="str">
        <f t="shared" si="5"/>
        <v>N/A</v>
      </c>
      <c r="P59" s="7">
        <f t="shared" si="2"/>
        <v>0</v>
      </c>
      <c r="Q59" s="7">
        <f t="shared" si="6"/>
        <v>0</v>
      </c>
      <c r="R59" s="7">
        <f t="shared" si="7"/>
        <v>0</v>
      </c>
      <c r="S59" s="7">
        <f t="shared" si="8"/>
        <v>0</v>
      </c>
    </row>
    <row r="60" spans="3:24" ht="12" thickBot="1">
      <c r="C60" s="34"/>
      <c r="D60" s="833"/>
      <c r="E60" s="846"/>
      <c r="F60" s="833"/>
      <c r="G60" s="28"/>
      <c r="H60" s="8"/>
      <c r="I60" s="5"/>
      <c r="J60" s="7"/>
      <c r="K60" s="7"/>
      <c r="M60" s="7"/>
      <c r="N60" s="8"/>
      <c r="O60" s="8"/>
      <c r="P60" s="7"/>
      <c r="Q60" s="7"/>
      <c r="R60" s="7"/>
      <c r="S60" s="7"/>
    </row>
    <row r="61" spans="3:24" s="41" customFormat="1" ht="12" thickBot="1">
      <c r="C61" s="177"/>
      <c r="D61" s="834"/>
      <c r="E61" s="847"/>
      <c r="F61" s="834"/>
      <c r="G61" s="49"/>
      <c r="H61" s="333">
        <v>1100</v>
      </c>
      <c r="I61" s="10">
        <f>SUM(I7:I60)</f>
        <v>8751759.6101159994</v>
      </c>
      <c r="J61" s="10">
        <f>SUM(J7:J60)</f>
        <v>2944738.0383193023</v>
      </c>
      <c r="K61" s="10">
        <f>SUM(K7:K60)</f>
        <v>11696497.648435302</v>
      </c>
      <c r="L61" s="11"/>
      <c r="M61" s="10">
        <f t="shared" ref="M61:S61" si="20">SUM(M7:M60)</f>
        <v>1584068.4894309959</v>
      </c>
      <c r="N61" s="10">
        <f t="shared" si="20"/>
        <v>0</v>
      </c>
      <c r="O61" s="10">
        <f t="shared" si="20"/>
        <v>0</v>
      </c>
      <c r="P61" s="10">
        <f t="shared" si="20"/>
        <v>126900.51434668202</v>
      </c>
      <c r="Q61" s="10">
        <f t="shared" si="20"/>
        <v>1045094.4000000001</v>
      </c>
      <c r="R61" s="10">
        <f t="shared" si="20"/>
        <v>66150.000000000015</v>
      </c>
      <c r="S61" s="10">
        <f t="shared" si="20"/>
        <v>122524.63454162401</v>
      </c>
    </row>
    <row r="62" spans="3:24" ht="12">
      <c r="C62" s="368" t="s">
        <v>143</v>
      </c>
      <c r="D62" s="835"/>
      <c r="E62" s="848"/>
      <c r="F62" s="835"/>
      <c r="G62" s="28"/>
      <c r="H62" s="35"/>
      <c r="I62" s="7"/>
      <c r="J62" s="7"/>
      <c r="K62" s="7"/>
      <c r="L62" s="7"/>
      <c r="M62" s="36"/>
      <c r="N62" s="36"/>
      <c r="O62" s="36"/>
      <c r="P62" s="36"/>
      <c r="Q62" s="36"/>
      <c r="R62" s="36"/>
      <c r="S62" s="36"/>
      <c r="X62" s="41"/>
    </row>
    <row r="63" spans="3:24">
      <c r="C63" s="37"/>
      <c r="D63" s="840">
        <f>'Payroll 19-20'!D63</f>
        <v>0</v>
      </c>
      <c r="E63" s="840">
        <f>'Payroll 20-21'!E63*(1+'Revenue Inputs'!P$27)</f>
        <v>0</v>
      </c>
      <c r="F63" s="828">
        <f>'Payroll 20-21'!F63*(1+$I$4)</f>
        <v>0</v>
      </c>
      <c r="G63" s="322">
        <f>'Payroll 20-21'!G63</f>
        <v>0</v>
      </c>
      <c r="H63" s="319">
        <f>'Payroll 20-21'!H63</f>
        <v>0</v>
      </c>
      <c r="I63" s="320">
        <f t="shared" ref="I63" si="21">F63*E63</f>
        <v>0</v>
      </c>
      <c r="J63" s="7">
        <f>SUM(M63:S63)</f>
        <v>0</v>
      </c>
      <c r="K63" s="7">
        <f>J63+I63</f>
        <v>0</v>
      </c>
      <c r="L63" s="7"/>
      <c r="M63" s="7">
        <f t="shared" ref="M63" si="22">I63*$M$5</f>
        <v>0</v>
      </c>
      <c r="N63" s="8" t="s">
        <v>75</v>
      </c>
      <c r="O63" s="8" t="str">
        <f>IF($M$5&gt;0,"N/A",$O$5*I63)</f>
        <v>N/A</v>
      </c>
      <c r="P63" s="7">
        <f>I63*$P$5</f>
        <v>0</v>
      </c>
      <c r="Q63" s="7">
        <f t="shared" ref="Q63" si="23">IF(H63="y", $Q$5*E63, 0)</f>
        <v>0</v>
      </c>
      <c r="R63" s="7">
        <f t="shared" ref="R63" si="24">IF($I63&gt;7000,7000*R$5,$I63*R$5)*E63</f>
        <v>0</v>
      </c>
      <c r="S63" s="7">
        <f t="shared" ref="S63" si="25">S$5*$I63</f>
        <v>0</v>
      </c>
    </row>
    <row r="64" spans="3:24" ht="12" thickBot="1">
      <c r="C64" s="37"/>
      <c r="D64" s="835"/>
      <c r="E64" s="848"/>
      <c r="F64" s="835"/>
      <c r="G64" s="28"/>
      <c r="H64" s="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s="41" customFormat="1" ht="12" thickBot="1">
      <c r="C65" s="177"/>
      <c r="D65" s="835"/>
      <c r="E65" s="848"/>
      <c r="F65" s="835"/>
      <c r="G65" s="49"/>
      <c r="H65" s="333">
        <v>1170</v>
      </c>
      <c r="I65" s="10">
        <f>SUM(I62:I64)</f>
        <v>0</v>
      </c>
      <c r="J65" s="10">
        <f>SUM(J62:J64)</f>
        <v>0</v>
      </c>
      <c r="K65" s="10">
        <f>SUM(K62:K64)</f>
        <v>0</v>
      </c>
      <c r="L65" s="11"/>
      <c r="M65" s="10">
        <f t="shared" ref="M65:S65" si="26">SUM(M62:M64)</f>
        <v>0</v>
      </c>
      <c r="N65" s="10">
        <f t="shared" si="26"/>
        <v>0</v>
      </c>
      <c r="O65" s="10">
        <f t="shared" si="26"/>
        <v>0</v>
      </c>
      <c r="P65" s="10">
        <f t="shared" si="26"/>
        <v>0</v>
      </c>
      <c r="Q65" s="10">
        <f t="shared" si="26"/>
        <v>0</v>
      </c>
      <c r="R65" s="10">
        <f t="shared" si="26"/>
        <v>0</v>
      </c>
      <c r="S65" s="10">
        <f t="shared" si="26"/>
        <v>0</v>
      </c>
    </row>
    <row r="66" spans="3:19" s="41" customFormat="1">
      <c r="C66" s="177"/>
      <c r="D66" s="834"/>
      <c r="E66" s="847"/>
      <c r="F66" s="834"/>
      <c r="G66" s="49"/>
      <c r="H66" s="33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3:19" ht="12">
      <c r="C67" s="368" t="s">
        <v>125</v>
      </c>
      <c r="D67" s="835"/>
      <c r="E67" s="848"/>
      <c r="F67" s="835"/>
      <c r="G67" s="28"/>
      <c r="H67" s="35"/>
      <c r="I67" s="7"/>
      <c r="J67" s="7"/>
      <c r="K67" s="7"/>
      <c r="L67" s="7"/>
      <c r="M67" s="36"/>
      <c r="N67" s="36"/>
      <c r="O67" s="36"/>
      <c r="P67" s="36"/>
      <c r="Q67" s="7">
        <f t="shared" ref="Q67:Q74" si="27">IF(H67="y", $Q$5*E67, 0)</f>
        <v>0</v>
      </c>
      <c r="R67" s="36"/>
      <c r="S67" s="36"/>
    </row>
    <row r="68" spans="3:19">
      <c r="C68" s="431"/>
      <c r="D68" s="840">
        <f>'Payroll 19-20'!D68</f>
        <v>0</v>
      </c>
      <c r="E68" s="840">
        <f>'Payroll 20-21'!E68*(1+'Revenue Inputs'!P$27)</f>
        <v>0</v>
      </c>
      <c r="F68" s="828">
        <f>'Payroll 20-21'!F68*(1+$I$4)</f>
        <v>0</v>
      </c>
      <c r="G68" s="322">
        <f>'Payroll 20-21'!G68</f>
        <v>12</v>
      </c>
      <c r="H68" s="319">
        <f>'Payroll 20-21'!H68</f>
        <v>0</v>
      </c>
      <c r="I68" s="829">
        <f>I61*'Revenue Inputs'!P30</f>
        <v>437587.98050579999</v>
      </c>
      <c r="J68" s="7">
        <f>SUM(M68:S68)</f>
        <v>91674.681915965091</v>
      </c>
      <c r="K68" s="7">
        <f>J68+I68</f>
        <v>529262.66242176504</v>
      </c>
      <c r="L68" s="7"/>
      <c r="M68" s="7">
        <f t="shared" ref="M68:M74" si="28">I68*$M$5</f>
        <v>79203.424471549792</v>
      </c>
      <c r="N68" s="8" t="s">
        <v>75</v>
      </c>
      <c r="O68" s="8" t="str">
        <f>IF($M$5&gt;0,"N/A",$O$5*I68)</f>
        <v>N/A</v>
      </c>
      <c r="P68" s="7">
        <f>I68*$P$5</f>
        <v>6345.0257173341006</v>
      </c>
      <c r="Q68" s="7">
        <f t="shared" si="27"/>
        <v>0</v>
      </c>
      <c r="R68" s="7">
        <f t="shared" ref="R68:R74" si="29">IF($I68&gt;7000,7000*R$5,$I68*R$5)*E68</f>
        <v>0</v>
      </c>
      <c r="S68" s="7">
        <f t="shared" ref="S68:S74" si="30">S$5*$I68</f>
        <v>6126.2317270812</v>
      </c>
    </row>
    <row r="69" spans="3:19">
      <c r="C69" s="431"/>
      <c r="D69" s="840">
        <f>'Payroll 19-20'!D69</f>
        <v>0</v>
      </c>
      <c r="E69" s="840">
        <f>'Payroll 20-21'!E69*(1+'Revenue Inputs'!P$27)</f>
        <v>0</v>
      </c>
      <c r="F69" s="828">
        <f>'Payroll 20-21'!F69*(1+$I$4)</f>
        <v>0</v>
      </c>
      <c r="G69" s="322">
        <f>'Payroll 20-21'!G69</f>
        <v>0</v>
      </c>
      <c r="H69" s="319">
        <f>'Payroll 20-21'!H69</f>
        <v>0</v>
      </c>
      <c r="I69" s="320">
        <f>'Payroll 20-21'!I69*(1+$I$4)</f>
        <v>0</v>
      </c>
      <c r="J69" s="7">
        <f>SUM(M69:S69)</f>
        <v>0</v>
      </c>
      <c r="K69" s="7">
        <f>J69+I69</f>
        <v>0</v>
      </c>
      <c r="L69" s="7"/>
      <c r="M69" s="7">
        <f t="shared" si="28"/>
        <v>0</v>
      </c>
      <c r="N69" s="8" t="s">
        <v>75</v>
      </c>
      <c r="O69" s="8" t="str">
        <f>IF($M$5&gt;0,"N/A",$O$5*I69)</f>
        <v>N/A</v>
      </c>
      <c r="P69" s="7">
        <f>I69*$P$5</f>
        <v>0</v>
      </c>
      <c r="Q69" s="7">
        <f t="shared" si="27"/>
        <v>0</v>
      </c>
      <c r="R69" s="7">
        <f t="shared" si="29"/>
        <v>0</v>
      </c>
      <c r="S69" s="7">
        <f t="shared" si="30"/>
        <v>0</v>
      </c>
    </row>
    <row r="70" spans="3:19">
      <c r="C70" s="431"/>
      <c r="D70" s="840">
        <f>'Payroll 19-20'!D70</f>
        <v>0</v>
      </c>
      <c r="E70" s="840">
        <f>'Payroll 20-21'!E70*(1+'Revenue Inputs'!P$27)</f>
        <v>0</v>
      </c>
      <c r="F70" s="828">
        <f>'Payroll 20-21'!F70*(1+$I$4)</f>
        <v>0</v>
      </c>
      <c r="G70" s="322">
        <f>'Payroll 20-21'!G70</f>
        <v>0</v>
      </c>
      <c r="H70" s="319">
        <f>'Payroll 20-21'!H70</f>
        <v>0</v>
      </c>
      <c r="I70" s="320">
        <f>'Payroll 20-21'!I70*(1+$I$4)</f>
        <v>0</v>
      </c>
      <c r="J70" s="7">
        <f t="shared" ref="J70:J74" si="31">SUM(M70:S70)</f>
        <v>0</v>
      </c>
      <c r="K70" s="7">
        <f t="shared" ref="K70:K74" si="32">J70+I70</f>
        <v>0</v>
      </c>
      <c r="L70" s="7"/>
      <c r="M70" s="7">
        <f t="shared" si="28"/>
        <v>0</v>
      </c>
      <c r="N70" s="8" t="s">
        <v>75</v>
      </c>
      <c r="O70" s="8" t="str">
        <f t="shared" ref="O70:O74" si="33">IF($M$5&gt;0,"N/A",$O$5*I70)</f>
        <v>N/A</v>
      </c>
      <c r="P70" s="7">
        <f t="shared" ref="P70:P74" si="34">I70*$P$5</f>
        <v>0</v>
      </c>
      <c r="Q70" s="7">
        <f t="shared" si="27"/>
        <v>0</v>
      </c>
      <c r="R70" s="7">
        <f t="shared" si="29"/>
        <v>0</v>
      </c>
      <c r="S70" s="7">
        <f t="shared" si="30"/>
        <v>0</v>
      </c>
    </row>
    <row r="71" spans="3:19">
      <c r="C71" s="431"/>
      <c r="D71" s="840">
        <f>'Payroll 19-20'!D71</f>
        <v>0</v>
      </c>
      <c r="E71" s="840">
        <f>'Payroll 20-21'!E71*(1+'Revenue Inputs'!P$27)</f>
        <v>0</v>
      </c>
      <c r="F71" s="828">
        <f>'Payroll 20-21'!F71*(1+$I$4)</f>
        <v>0</v>
      </c>
      <c r="G71" s="322">
        <f>'Payroll 20-21'!G71</f>
        <v>0</v>
      </c>
      <c r="H71" s="319">
        <f>'Payroll 20-21'!H71</f>
        <v>0</v>
      </c>
      <c r="I71" s="320">
        <f>'Payroll 20-21'!I71*(1+$I$4)</f>
        <v>0</v>
      </c>
      <c r="J71" s="7">
        <f t="shared" si="31"/>
        <v>0</v>
      </c>
      <c r="K71" s="7">
        <f t="shared" si="32"/>
        <v>0</v>
      </c>
      <c r="L71" s="7"/>
      <c r="M71" s="7">
        <f t="shared" si="28"/>
        <v>0</v>
      </c>
      <c r="N71" s="8" t="s">
        <v>75</v>
      </c>
      <c r="O71" s="8" t="str">
        <f t="shared" si="33"/>
        <v>N/A</v>
      </c>
      <c r="P71" s="7">
        <f t="shared" si="34"/>
        <v>0</v>
      </c>
      <c r="Q71" s="7">
        <f t="shared" si="27"/>
        <v>0</v>
      </c>
      <c r="R71" s="7">
        <f t="shared" si="29"/>
        <v>0</v>
      </c>
      <c r="S71" s="7">
        <f t="shared" si="30"/>
        <v>0</v>
      </c>
    </row>
    <row r="72" spans="3:19">
      <c r="C72" s="431"/>
      <c r="D72" s="840">
        <f>'Payroll 19-20'!D72</f>
        <v>0</v>
      </c>
      <c r="E72" s="840">
        <f>'Payroll 20-21'!E72*(1+'Revenue Inputs'!P$27)</f>
        <v>0</v>
      </c>
      <c r="F72" s="828">
        <f>'Payroll 20-21'!F72*(1+$I$4)</f>
        <v>0</v>
      </c>
      <c r="G72" s="322">
        <f>'Payroll 20-21'!G72</f>
        <v>0</v>
      </c>
      <c r="H72" s="319">
        <f>'Payroll 20-21'!H72</f>
        <v>0</v>
      </c>
      <c r="I72" s="320">
        <f>'Payroll 20-21'!I72*(1+$I$4)</f>
        <v>0</v>
      </c>
      <c r="J72" s="7">
        <f t="shared" si="31"/>
        <v>0</v>
      </c>
      <c r="K72" s="7">
        <f t="shared" si="32"/>
        <v>0</v>
      </c>
      <c r="L72" s="7"/>
      <c r="M72" s="7">
        <f t="shared" si="28"/>
        <v>0</v>
      </c>
      <c r="N72" s="8" t="s">
        <v>75</v>
      </c>
      <c r="O72" s="8" t="str">
        <f t="shared" si="33"/>
        <v>N/A</v>
      </c>
      <c r="P72" s="7">
        <f t="shared" si="34"/>
        <v>0</v>
      </c>
      <c r="Q72" s="7">
        <f t="shared" si="27"/>
        <v>0</v>
      </c>
      <c r="R72" s="7">
        <f t="shared" si="29"/>
        <v>0</v>
      </c>
      <c r="S72" s="7">
        <f t="shared" si="30"/>
        <v>0</v>
      </c>
    </row>
    <row r="73" spans="3:19">
      <c r="C73" s="431"/>
      <c r="D73" s="840">
        <f>'Payroll 19-20'!D73</f>
        <v>0</v>
      </c>
      <c r="E73" s="840">
        <f>'Payroll 20-21'!E73*(1+'Revenue Inputs'!P$27)</f>
        <v>0</v>
      </c>
      <c r="F73" s="828">
        <f>'Payroll 20-21'!F73*(1+$I$4)</f>
        <v>0</v>
      </c>
      <c r="G73" s="322">
        <f>'Payroll 20-21'!G73</f>
        <v>0</v>
      </c>
      <c r="H73" s="319">
        <f>'Payroll 20-21'!H73</f>
        <v>0</v>
      </c>
      <c r="I73" s="320">
        <f>'Payroll 20-21'!I73*(1+$I$4)</f>
        <v>0</v>
      </c>
      <c r="J73" s="7">
        <f t="shared" si="31"/>
        <v>0</v>
      </c>
      <c r="K73" s="7">
        <f t="shared" si="32"/>
        <v>0</v>
      </c>
      <c r="L73" s="7"/>
      <c r="M73" s="7">
        <f t="shared" si="28"/>
        <v>0</v>
      </c>
      <c r="N73" s="8" t="s">
        <v>75</v>
      </c>
      <c r="O73" s="8" t="str">
        <f t="shared" si="33"/>
        <v>N/A</v>
      </c>
      <c r="P73" s="7">
        <f t="shared" si="34"/>
        <v>0</v>
      </c>
      <c r="Q73" s="7">
        <f t="shared" si="27"/>
        <v>0</v>
      </c>
      <c r="R73" s="7">
        <f t="shared" si="29"/>
        <v>0</v>
      </c>
      <c r="S73" s="7">
        <f t="shared" si="30"/>
        <v>0</v>
      </c>
    </row>
    <row r="74" spans="3:19">
      <c r="C74" s="431"/>
      <c r="D74" s="840">
        <f>'Payroll 19-20'!D74</f>
        <v>0</v>
      </c>
      <c r="E74" s="840">
        <f>'Payroll 20-21'!E74*(1+'Revenue Inputs'!P$27)</f>
        <v>0</v>
      </c>
      <c r="F74" s="828">
        <f>'Payroll 20-21'!F74*(1+$I$4)</f>
        <v>0</v>
      </c>
      <c r="G74" s="322">
        <f>'Payroll 20-21'!G74</f>
        <v>0</v>
      </c>
      <c r="H74" s="319">
        <f>'Payroll 20-21'!H74</f>
        <v>0</v>
      </c>
      <c r="I74" s="320">
        <f>'Payroll 20-21'!I74*(1+$I$4)</f>
        <v>0</v>
      </c>
      <c r="J74" s="7">
        <f t="shared" si="31"/>
        <v>0</v>
      </c>
      <c r="K74" s="7">
        <f t="shared" si="32"/>
        <v>0</v>
      </c>
      <c r="L74" s="7"/>
      <c r="M74" s="7">
        <f t="shared" si="28"/>
        <v>0</v>
      </c>
      <c r="N74" s="8" t="s">
        <v>75</v>
      </c>
      <c r="O74" s="8" t="str">
        <f t="shared" si="33"/>
        <v>N/A</v>
      </c>
      <c r="P74" s="7">
        <f t="shared" si="34"/>
        <v>0</v>
      </c>
      <c r="Q74" s="7">
        <f t="shared" si="27"/>
        <v>0</v>
      </c>
      <c r="R74" s="7">
        <f t="shared" si="29"/>
        <v>0</v>
      </c>
      <c r="S74" s="7">
        <f t="shared" si="30"/>
        <v>0</v>
      </c>
    </row>
    <row r="75" spans="3:19" ht="12" thickBot="1">
      <c r="C75" s="37"/>
      <c r="D75" s="849"/>
      <c r="E75" s="849"/>
      <c r="F75" s="835"/>
      <c r="G75" s="28"/>
      <c r="H75" s="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s="41" customFormat="1" ht="12" thickBot="1">
      <c r="C76" s="177"/>
      <c r="D76" s="834"/>
      <c r="E76" s="847"/>
      <c r="F76" s="834"/>
      <c r="G76" s="49"/>
      <c r="H76" s="333">
        <v>1175</v>
      </c>
      <c r="I76" s="10">
        <f>SUM(I67:I75)</f>
        <v>437587.98050579999</v>
      </c>
      <c r="J76" s="10">
        <f>SUM(J67:J75)</f>
        <v>91674.681915965091</v>
      </c>
      <c r="K76" s="10">
        <f>SUM(K67:K75)</f>
        <v>529262.66242176504</v>
      </c>
      <c r="L76" s="11"/>
      <c r="M76" s="10">
        <f t="shared" ref="M76:S76" si="35">SUM(M67:M75)</f>
        <v>79203.424471549792</v>
      </c>
      <c r="N76" s="10">
        <f t="shared" si="35"/>
        <v>0</v>
      </c>
      <c r="O76" s="10">
        <f t="shared" si="35"/>
        <v>0</v>
      </c>
      <c r="P76" s="10">
        <f t="shared" si="35"/>
        <v>6345.0257173341006</v>
      </c>
      <c r="Q76" s="10">
        <f t="shared" si="35"/>
        <v>0</v>
      </c>
      <c r="R76" s="10">
        <f t="shared" si="35"/>
        <v>0</v>
      </c>
      <c r="S76" s="10">
        <f t="shared" si="35"/>
        <v>6126.2317270812</v>
      </c>
    </row>
    <row r="77" spans="3:19" ht="12">
      <c r="C77" s="366" t="s">
        <v>145</v>
      </c>
      <c r="D77" s="835"/>
      <c r="E77" s="848"/>
      <c r="F77" s="835"/>
      <c r="G77" s="28"/>
      <c r="H77" s="336"/>
      <c r="I77" s="7"/>
      <c r="J77" s="7"/>
      <c r="K77" s="7"/>
      <c r="L77" s="7"/>
      <c r="M77" s="12"/>
      <c r="N77" s="12"/>
      <c r="O77" s="12"/>
      <c r="P77" s="12"/>
      <c r="Q77" s="12"/>
      <c r="R77" s="12"/>
      <c r="S77" s="12"/>
    </row>
    <row r="78" spans="3:19" ht="12">
      <c r="C78" s="367"/>
      <c r="D78" s="1027" t="str">
        <f>'Payroll 19-20'!D78</f>
        <v>Councelor</v>
      </c>
      <c r="E78" s="1027">
        <f>'Payroll 20-21'!E78*(1+'Revenue Inputs'!P$27)</f>
        <v>0</v>
      </c>
      <c r="F78" s="1022">
        <v>62400</v>
      </c>
      <c r="G78" s="1023">
        <f>'Payroll 20-21'!G78</f>
        <v>0</v>
      </c>
      <c r="H78" s="1024">
        <f>'Payroll 20-21'!H78</f>
        <v>0</v>
      </c>
      <c r="I78" s="1025">
        <f t="shared" ref="I78:I98" si="36">F78*E78</f>
        <v>0</v>
      </c>
      <c r="J78" s="7">
        <f t="shared" ref="J78:J98" si="37">SUM(M78:S78)</f>
        <v>0</v>
      </c>
      <c r="K78" s="7">
        <f t="shared" ref="K78:K94" si="38">SUM(I78:J78)</f>
        <v>0</v>
      </c>
      <c r="L78" s="7"/>
      <c r="M78" s="7">
        <f t="shared" ref="M78:M98" si="39">I78*$M$5</f>
        <v>0</v>
      </c>
      <c r="N78" s="8" t="s">
        <v>75</v>
      </c>
      <c r="O78" s="8" t="str">
        <f t="shared" ref="O78:O98" si="40">IF($M$5&gt;0,"N/A",$O$5*I78)</f>
        <v>N/A</v>
      </c>
      <c r="P78" s="7">
        <f t="shared" ref="P78:P98" si="41">I78*$P$5</f>
        <v>0</v>
      </c>
      <c r="Q78" s="7">
        <f t="shared" ref="Q78:Q98" si="42">IF(H78="y", $Q$5*E78, 0)</f>
        <v>0</v>
      </c>
      <c r="R78" s="7">
        <f t="shared" ref="R78:R98" si="43">IF($I78&gt;7000,7000*R$5,$I78*R$5)*E78</f>
        <v>0</v>
      </c>
      <c r="S78" s="7">
        <f t="shared" ref="S78:S98" si="44">S$5*$I78</f>
        <v>0</v>
      </c>
    </row>
    <row r="79" spans="3:19" ht="12">
      <c r="C79" s="366"/>
      <c r="D79" s="840" t="str">
        <f>'Payroll 19-20'!D79</f>
        <v>Daniel P. Favela</v>
      </c>
      <c r="E79" s="840">
        <f>'Payroll 20-21'!E79*(1+'Revenue Inputs'!P$27)</f>
        <v>1</v>
      </c>
      <c r="F79" s="828">
        <f>'Payroll 20-21'!F79*(1+$I$4)</f>
        <v>60603.216768000006</v>
      </c>
      <c r="G79" s="322">
        <f>'Payroll 20-21'!G79</f>
        <v>12</v>
      </c>
      <c r="H79" s="319" t="str">
        <f>'Payroll 20-21'!H79</f>
        <v>y</v>
      </c>
      <c r="I79" s="320">
        <f t="shared" si="36"/>
        <v>60603.216768000006</v>
      </c>
      <c r="J79" s="7">
        <f>SUM(M79:S79)</f>
        <v>21351.173912896</v>
      </c>
      <c r="K79" s="7">
        <f>SUM(I79:J79)</f>
        <v>81954.390680896002</v>
      </c>
      <c r="L79" s="7"/>
      <c r="M79" s="7">
        <f>I79*$M$5</f>
        <v>10969.182235008</v>
      </c>
      <c r="N79" s="8" t="s">
        <v>75</v>
      </c>
      <c r="O79" s="8" t="str">
        <f>IF($M$5&gt;0,"N/A",$O$5*I79)</f>
        <v>N/A</v>
      </c>
      <c r="P79" s="7">
        <f>I79*$P$5</f>
        <v>878.7466431360001</v>
      </c>
      <c r="Q79" s="7">
        <f t="shared" si="42"/>
        <v>8164.8000000000011</v>
      </c>
      <c r="R79" s="7">
        <f t="shared" si="43"/>
        <v>490.00000000000006</v>
      </c>
      <c r="S79" s="7">
        <f>S$5*$I79</f>
        <v>848.44503475200008</v>
      </c>
    </row>
    <row r="80" spans="3:19">
      <c r="C80" s="34"/>
      <c r="D80" s="840" t="str">
        <f>'Payroll 19-20'!D80</f>
        <v>Psychologist</v>
      </c>
      <c r="E80" s="840">
        <f>'Payroll 20-21'!E80*(1+'Revenue Inputs'!P$27)</f>
        <v>0</v>
      </c>
      <c r="F80" s="828">
        <f>'Payroll 20-21'!F80*(1+$I$4)</f>
        <v>0</v>
      </c>
      <c r="G80" s="322">
        <f>'Payroll 20-21'!G80</f>
        <v>0</v>
      </c>
      <c r="H80" s="319">
        <f>'Payroll 20-21'!H80</f>
        <v>0</v>
      </c>
      <c r="I80" s="320">
        <f t="shared" si="36"/>
        <v>0</v>
      </c>
      <c r="J80" s="7">
        <f>SUM(M80:S80)</f>
        <v>0</v>
      </c>
      <c r="K80" s="7">
        <f>SUM(I80:J80)</f>
        <v>0</v>
      </c>
      <c r="M80" s="7">
        <f>I80*$M$5</f>
        <v>0</v>
      </c>
      <c r="N80" s="8" t="s">
        <v>75</v>
      </c>
      <c r="O80" s="8" t="str">
        <f>IF($M$5&gt;0,"N/A",$O$5*I80)</f>
        <v>N/A</v>
      </c>
      <c r="P80" s="7">
        <f>I80*$P$5</f>
        <v>0</v>
      </c>
      <c r="Q80" s="7">
        <f t="shared" si="42"/>
        <v>0</v>
      </c>
      <c r="R80" s="7">
        <f t="shared" si="43"/>
        <v>0</v>
      </c>
      <c r="S80" s="7">
        <f>S$5*$I80</f>
        <v>0</v>
      </c>
    </row>
    <row r="81" spans="3:19" ht="12">
      <c r="C81" s="366"/>
      <c r="D81" s="840" t="str">
        <f>'Payroll 19-20'!D81</f>
        <v>June R. Salazar</v>
      </c>
      <c r="E81" s="840">
        <f>'Payroll 20-21'!E81*(1+'Revenue Inputs'!P$27)</f>
        <v>1</v>
      </c>
      <c r="F81" s="828">
        <f>'Payroll 20-21'!F81*(1+$I$4)</f>
        <v>17537.273711999998</v>
      </c>
      <c r="G81" s="322">
        <f>'Payroll 20-21'!G81</f>
        <v>12</v>
      </c>
      <c r="H81" s="319" t="str">
        <f>'Payroll 20-21'!H81</f>
        <v>y</v>
      </c>
      <c r="I81" s="320">
        <f t="shared" si="36"/>
        <v>17537.273711999998</v>
      </c>
      <c r="J81" s="7">
        <f>SUM(M81:S81)</f>
        <v>12328.858842664002</v>
      </c>
      <c r="K81" s="7">
        <f>SUM(I81:J81)</f>
        <v>29866.132554664</v>
      </c>
      <c r="L81" s="7"/>
      <c r="M81" s="7">
        <f>I81*$M$5</f>
        <v>3174.2465418719994</v>
      </c>
      <c r="N81" s="8" t="s">
        <v>75</v>
      </c>
      <c r="O81" s="8" t="str">
        <f>IF($M$5&gt;0,"N/A",$O$5*I81)</f>
        <v>N/A</v>
      </c>
      <c r="P81" s="7">
        <f>I81*$P$5</f>
        <v>254.29046882399999</v>
      </c>
      <c r="Q81" s="7">
        <f t="shared" si="42"/>
        <v>8164.8000000000011</v>
      </c>
      <c r="R81" s="7">
        <f t="shared" si="43"/>
        <v>490.00000000000006</v>
      </c>
      <c r="S81" s="7">
        <f>S$5*$I81</f>
        <v>245.52183196799999</v>
      </c>
    </row>
    <row r="82" spans="3:19" ht="12">
      <c r="C82" s="367"/>
      <c r="D82" s="840" t="str">
        <f>'Payroll 19-20'!D82</f>
        <v>Speech Specialist</v>
      </c>
      <c r="E82" s="840">
        <f>'Payroll 20-21'!E82*(1+'Revenue Inputs'!P$27)</f>
        <v>0</v>
      </c>
      <c r="F82" s="828">
        <f>'Payroll 20-21'!F82*(1+$I$4)</f>
        <v>0</v>
      </c>
      <c r="G82" s="322">
        <f>'Payroll 20-21'!G82</f>
        <v>0</v>
      </c>
      <c r="H82" s="319">
        <f>'Payroll 20-21'!H82</f>
        <v>0</v>
      </c>
      <c r="I82" s="320">
        <f t="shared" si="36"/>
        <v>0</v>
      </c>
      <c r="J82" s="7">
        <f t="shared" ref="J82:J88" si="45">SUM(M82:S82)</f>
        <v>0</v>
      </c>
      <c r="K82" s="7">
        <f t="shared" ref="K82:K84" si="46">SUM(I82:J82)</f>
        <v>0</v>
      </c>
      <c r="L82" s="7"/>
      <c r="M82" s="7">
        <f t="shared" ref="M82:M88" si="47">I82*$M$5</f>
        <v>0</v>
      </c>
      <c r="N82" s="8" t="s">
        <v>75</v>
      </c>
      <c r="O82" s="8" t="str">
        <f t="shared" ref="O82:O88" si="48">IF($M$5&gt;0,"N/A",$O$5*I82)</f>
        <v>N/A</v>
      </c>
      <c r="P82" s="7">
        <f t="shared" ref="P82:P88" si="49">I82*$P$5</f>
        <v>0</v>
      </c>
      <c r="Q82" s="7">
        <f t="shared" si="42"/>
        <v>0</v>
      </c>
      <c r="R82" s="7">
        <f t="shared" si="43"/>
        <v>0</v>
      </c>
      <c r="S82" s="7">
        <f t="shared" si="44"/>
        <v>0</v>
      </c>
    </row>
    <row r="83" spans="3:19" ht="12">
      <c r="C83" s="367"/>
      <c r="D83" s="840" t="str">
        <f>'Payroll 19-20'!D83</f>
        <v>Erica L. Gibson</v>
      </c>
      <c r="E83" s="840">
        <f>'Payroll 20-21'!E83*(1+'Revenue Inputs'!P$27)</f>
        <v>1</v>
      </c>
      <c r="F83" s="828">
        <f>'Payroll 20-21'!F83*(1+$I$4)</f>
        <v>89974.957248000006</v>
      </c>
      <c r="G83" s="322">
        <f>'Payroll 20-21'!G83</f>
        <v>12</v>
      </c>
      <c r="H83" s="319" t="str">
        <f>'Payroll 20-21'!H83</f>
        <v>y</v>
      </c>
      <c r="I83" s="320">
        <f t="shared" si="36"/>
        <v>89974.957248000006</v>
      </c>
      <c r="J83" s="7">
        <f t="shared" si="45"/>
        <v>27504.553543456001</v>
      </c>
      <c r="K83" s="7">
        <f t="shared" si="46"/>
        <v>117479.51079145601</v>
      </c>
      <c r="L83" s="7"/>
      <c r="M83" s="7">
        <f t="shared" si="47"/>
        <v>16285.467261888001</v>
      </c>
      <c r="N83" s="8" t="s">
        <v>75</v>
      </c>
      <c r="O83" s="8" t="str">
        <f t="shared" si="48"/>
        <v>N/A</v>
      </c>
      <c r="P83" s="7">
        <f t="shared" si="49"/>
        <v>1304.6368800960001</v>
      </c>
      <c r="Q83" s="7">
        <f t="shared" si="42"/>
        <v>8164.8000000000011</v>
      </c>
      <c r="R83" s="7">
        <f t="shared" si="43"/>
        <v>490.00000000000006</v>
      </c>
      <c r="S83" s="7">
        <f t="shared" si="44"/>
        <v>1259.6494014720001</v>
      </c>
    </row>
    <row r="84" spans="3:19" ht="12">
      <c r="C84" s="366"/>
      <c r="D84" s="840">
        <f>'Payroll 19-20'!D84</f>
        <v>0</v>
      </c>
      <c r="E84" s="840">
        <f>'Payroll 20-21'!E84*(1+'Revenue Inputs'!P$27)</f>
        <v>0</v>
      </c>
      <c r="F84" s="828">
        <f>'Payroll 20-21'!F84*(1+$I$4)</f>
        <v>0</v>
      </c>
      <c r="G84" s="322">
        <f>'Payroll 20-21'!G84</f>
        <v>0</v>
      </c>
      <c r="H84" s="319">
        <f>'Payroll 20-21'!H84</f>
        <v>0</v>
      </c>
      <c r="I84" s="320">
        <f t="shared" si="36"/>
        <v>0</v>
      </c>
      <c r="J84" s="7">
        <f t="shared" si="45"/>
        <v>0</v>
      </c>
      <c r="K84" s="7">
        <f t="shared" si="46"/>
        <v>0</v>
      </c>
      <c r="L84" s="7"/>
      <c r="M84" s="7">
        <f t="shared" si="47"/>
        <v>0</v>
      </c>
      <c r="N84" s="8" t="s">
        <v>75</v>
      </c>
      <c r="O84" s="8" t="str">
        <f t="shared" si="48"/>
        <v>N/A</v>
      </c>
      <c r="P84" s="7">
        <f t="shared" si="49"/>
        <v>0</v>
      </c>
      <c r="Q84" s="7">
        <f t="shared" si="42"/>
        <v>0</v>
      </c>
      <c r="R84" s="7">
        <f t="shared" si="43"/>
        <v>0</v>
      </c>
      <c r="S84" s="7">
        <f t="shared" si="44"/>
        <v>0</v>
      </c>
    </row>
    <row r="85" spans="3:19" ht="12">
      <c r="C85" s="366"/>
      <c r="D85" s="840">
        <f>'Payroll 19-20'!D85</f>
        <v>0</v>
      </c>
      <c r="E85" s="840">
        <f>'Payroll 20-21'!E85*(1+'Revenue Inputs'!P$27)</f>
        <v>0</v>
      </c>
      <c r="F85" s="828">
        <f>'Payroll 20-21'!F85*(1+$I$4)</f>
        <v>0</v>
      </c>
      <c r="G85" s="322">
        <f>'Payroll 20-21'!G85</f>
        <v>0</v>
      </c>
      <c r="H85" s="319">
        <f>'Payroll 20-21'!H85</f>
        <v>0</v>
      </c>
      <c r="I85" s="320">
        <f t="shared" si="36"/>
        <v>0</v>
      </c>
      <c r="J85" s="7">
        <f t="shared" si="45"/>
        <v>0</v>
      </c>
      <c r="K85" s="7">
        <f t="shared" ref="K85:K88" si="50">SUM(I85:J85)</f>
        <v>0</v>
      </c>
      <c r="L85" s="7"/>
      <c r="M85" s="7">
        <f t="shared" si="47"/>
        <v>0</v>
      </c>
      <c r="N85" s="8" t="s">
        <v>75</v>
      </c>
      <c r="O85" s="8" t="str">
        <f t="shared" si="48"/>
        <v>N/A</v>
      </c>
      <c r="P85" s="7">
        <f t="shared" si="49"/>
        <v>0</v>
      </c>
      <c r="Q85" s="7">
        <f t="shared" si="42"/>
        <v>0</v>
      </c>
      <c r="R85" s="7">
        <f t="shared" si="43"/>
        <v>0</v>
      </c>
      <c r="S85" s="7">
        <f t="shared" si="44"/>
        <v>0</v>
      </c>
    </row>
    <row r="86" spans="3:19" ht="12">
      <c r="C86" s="366"/>
      <c r="D86" s="840">
        <f>'Payroll 19-20'!D86</f>
        <v>0</v>
      </c>
      <c r="E86" s="840">
        <f>'Payroll 20-21'!E86*(1+'Revenue Inputs'!P$27)</f>
        <v>0</v>
      </c>
      <c r="F86" s="828">
        <f>'Payroll 20-21'!F86*(1+$I$4)</f>
        <v>0</v>
      </c>
      <c r="G86" s="322">
        <f>'Payroll 20-21'!G86</f>
        <v>0</v>
      </c>
      <c r="H86" s="319">
        <f>'Payroll 20-21'!H86</f>
        <v>0</v>
      </c>
      <c r="I86" s="320">
        <f t="shared" si="36"/>
        <v>0</v>
      </c>
      <c r="J86" s="7">
        <f t="shared" si="45"/>
        <v>0</v>
      </c>
      <c r="K86" s="7">
        <f t="shared" si="50"/>
        <v>0</v>
      </c>
      <c r="L86" s="7"/>
      <c r="M86" s="7">
        <f t="shared" si="47"/>
        <v>0</v>
      </c>
      <c r="N86" s="8" t="s">
        <v>75</v>
      </c>
      <c r="O86" s="8" t="str">
        <f t="shared" si="48"/>
        <v>N/A</v>
      </c>
      <c r="P86" s="7">
        <f t="shared" si="49"/>
        <v>0</v>
      </c>
      <c r="Q86" s="7">
        <f t="shared" si="42"/>
        <v>0</v>
      </c>
      <c r="R86" s="7">
        <f t="shared" si="43"/>
        <v>0</v>
      </c>
      <c r="S86" s="7">
        <f t="shared" si="44"/>
        <v>0</v>
      </c>
    </row>
    <row r="87" spans="3:19" ht="12">
      <c r="C87" s="366"/>
      <c r="D87" s="840">
        <f>'Payroll 19-20'!D87</f>
        <v>0</v>
      </c>
      <c r="E87" s="840">
        <f>'Payroll 20-21'!E87*(1+'Revenue Inputs'!P$27)</f>
        <v>0</v>
      </c>
      <c r="F87" s="828">
        <f>'Payroll 20-21'!F87*(1+$I$4)</f>
        <v>0</v>
      </c>
      <c r="G87" s="322">
        <f>'Payroll 20-21'!G87</f>
        <v>0</v>
      </c>
      <c r="H87" s="319">
        <f>'Payroll 20-21'!H87</f>
        <v>0</v>
      </c>
      <c r="I87" s="320">
        <f t="shared" si="36"/>
        <v>0</v>
      </c>
      <c r="J87" s="7">
        <f t="shared" si="45"/>
        <v>0</v>
      </c>
      <c r="K87" s="7">
        <f t="shared" si="50"/>
        <v>0</v>
      </c>
      <c r="L87" s="7"/>
      <c r="M87" s="7">
        <f t="shared" si="47"/>
        <v>0</v>
      </c>
      <c r="N87" s="8" t="s">
        <v>75</v>
      </c>
      <c r="O87" s="8" t="str">
        <f t="shared" si="48"/>
        <v>N/A</v>
      </c>
      <c r="P87" s="7">
        <f t="shared" si="49"/>
        <v>0</v>
      </c>
      <c r="Q87" s="7">
        <f t="shared" si="42"/>
        <v>0</v>
      </c>
      <c r="R87" s="7">
        <f t="shared" si="43"/>
        <v>0</v>
      </c>
      <c r="S87" s="7">
        <f t="shared" si="44"/>
        <v>0</v>
      </c>
    </row>
    <row r="88" spans="3:19" ht="12">
      <c r="C88" s="366"/>
      <c r="D88" s="840">
        <f>'Payroll 19-20'!D88</f>
        <v>0</v>
      </c>
      <c r="E88" s="840">
        <f>'Payroll 20-21'!E88*(1+'Revenue Inputs'!P$27)</f>
        <v>0</v>
      </c>
      <c r="F88" s="828">
        <f>'Payroll 20-21'!F88*(1+$I$4)</f>
        <v>0</v>
      </c>
      <c r="G88" s="322">
        <f>'Payroll 20-21'!G88</f>
        <v>0</v>
      </c>
      <c r="H88" s="319">
        <f>'Payroll 20-21'!H88</f>
        <v>0</v>
      </c>
      <c r="I88" s="320">
        <f t="shared" si="36"/>
        <v>0</v>
      </c>
      <c r="J88" s="7">
        <f t="shared" si="45"/>
        <v>0</v>
      </c>
      <c r="K88" s="7">
        <f t="shared" si="50"/>
        <v>0</v>
      </c>
      <c r="L88" s="7"/>
      <c r="M88" s="7">
        <f t="shared" si="47"/>
        <v>0</v>
      </c>
      <c r="N88" s="8" t="s">
        <v>75</v>
      </c>
      <c r="O88" s="8" t="str">
        <f t="shared" si="48"/>
        <v>N/A</v>
      </c>
      <c r="P88" s="7">
        <f t="shared" si="49"/>
        <v>0</v>
      </c>
      <c r="Q88" s="7">
        <f t="shared" si="42"/>
        <v>0</v>
      </c>
      <c r="R88" s="7">
        <f t="shared" si="43"/>
        <v>0</v>
      </c>
      <c r="S88" s="7">
        <f t="shared" si="44"/>
        <v>0</v>
      </c>
    </row>
    <row r="89" spans="3:19" ht="12">
      <c r="C89" s="366"/>
      <c r="D89" s="840">
        <f>'Payroll 19-20'!D89</f>
        <v>0</v>
      </c>
      <c r="E89" s="840">
        <f>'Payroll 20-21'!E89*(1+'Revenue Inputs'!P$27)</f>
        <v>0</v>
      </c>
      <c r="F89" s="828">
        <f>'Payroll 20-21'!F89*(1+$I$4)</f>
        <v>0</v>
      </c>
      <c r="G89" s="322">
        <f>'Payroll 20-21'!G89</f>
        <v>0</v>
      </c>
      <c r="H89" s="319">
        <f>'Payroll 20-21'!H89</f>
        <v>0</v>
      </c>
      <c r="I89" s="320">
        <f t="shared" si="36"/>
        <v>0</v>
      </c>
      <c r="J89" s="7">
        <f>SUM(M89:S89)</f>
        <v>0</v>
      </c>
      <c r="K89" s="7">
        <f>SUM(I89:J89)</f>
        <v>0</v>
      </c>
      <c r="L89" s="7"/>
      <c r="M89" s="7">
        <f>I89*$M$5</f>
        <v>0</v>
      </c>
      <c r="N89" s="8" t="s">
        <v>75</v>
      </c>
      <c r="O89" s="8" t="str">
        <f>IF($M$5&gt;0,"N/A",$O$5*I89)</f>
        <v>N/A</v>
      </c>
      <c r="P89" s="7">
        <f>I89*$P$5</f>
        <v>0</v>
      </c>
      <c r="Q89" s="7">
        <f t="shared" si="42"/>
        <v>0</v>
      </c>
      <c r="R89" s="7">
        <f t="shared" si="43"/>
        <v>0</v>
      </c>
      <c r="S89" s="7">
        <f>S$5*$I89</f>
        <v>0</v>
      </c>
    </row>
    <row r="90" spans="3:19">
      <c r="C90" s="34"/>
      <c r="D90" s="840">
        <f>'Payroll 19-20'!D90</f>
        <v>0</v>
      </c>
      <c r="E90" s="840">
        <f>'Payroll 20-21'!E90*(1+'Revenue Inputs'!P$27)</f>
        <v>0</v>
      </c>
      <c r="F90" s="828">
        <f>'Payroll 20-21'!F90*(1+$I$4)</f>
        <v>0</v>
      </c>
      <c r="G90" s="322">
        <f>'Payroll 20-21'!G90</f>
        <v>0</v>
      </c>
      <c r="H90" s="319">
        <f>'Payroll 20-21'!H90</f>
        <v>0</v>
      </c>
      <c r="I90" s="320">
        <f t="shared" si="36"/>
        <v>0</v>
      </c>
      <c r="J90" s="7">
        <f>SUM(M90:S90)</f>
        <v>0</v>
      </c>
      <c r="K90" s="7">
        <f>SUM(I90:J90)</f>
        <v>0</v>
      </c>
      <c r="M90" s="7">
        <f>I90*$M$5</f>
        <v>0</v>
      </c>
      <c r="N90" s="8" t="s">
        <v>75</v>
      </c>
      <c r="O90" s="8" t="str">
        <f>IF($M$5&gt;0,"N/A",$O$5*I90)</f>
        <v>N/A</v>
      </c>
      <c r="P90" s="7">
        <f>I90*$P$5</f>
        <v>0</v>
      </c>
      <c r="Q90" s="7">
        <f t="shared" si="42"/>
        <v>0</v>
      </c>
      <c r="R90" s="7">
        <f t="shared" si="43"/>
        <v>0</v>
      </c>
      <c r="S90" s="7">
        <f>S$5*$I90</f>
        <v>0</v>
      </c>
    </row>
    <row r="91" spans="3:19" ht="12">
      <c r="C91" s="366"/>
      <c r="D91" s="840">
        <f>'Payroll 19-20'!D91</f>
        <v>0</v>
      </c>
      <c r="E91" s="840">
        <f>'Payroll 20-21'!E91*(1+'Revenue Inputs'!P$27)</f>
        <v>0</v>
      </c>
      <c r="F91" s="828">
        <f>'Payroll 20-21'!F91*(1+$I$4)</f>
        <v>0</v>
      </c>
      <c r="G91" s="322">
        <f>'Payroll 20-21'!G91</f>
        <v>0</v>
      </c>
      <c r="H91" s="319">
        <f>'Payroll 20-21'!H91</f>
        <v>0</v>
      </c>
      <c r="I91" s="320">
        <f t="shared" si="36"/>
        <v>0</v>
      </c>
      <c r="J91" s="7">
        <f>SUM(M91:S91)</f>
        <v>0</v>
      </c>
      <c r="K91" s="7">
        <f>SUM(I91:J91)</f>
        <v>0</v>
      </c>
      <c r="L91" s="7"/>
      <c r="M91" s="7">
        <f>I91*$M$5</f>
        <v>0</v>
      </c>
      <c r="N91" s="8" t="s">
        <v>75</v>
      </c>
      <c r="O91" s="8" t="str">
        <f>IF($M$5&gt;0,"N/A",$O$5*I91)</f>
        <v>N/A</v>
      </c>
      <c r="P91" s="7">
        <f>I91*$P$5</f>
        <v>0</v>
      </c>
      <c r="Q91" s="7">
        <f t="shared" si="42"/>
        <v>0</v>
      </c>
      <c r="R91" s="7">
        <f t="shared" si="43"/>
        <v>0</v>
      </c>
      <c r="S91" s="7">
        <f>S$5*$I91</f>
        <v>0</v>
      </c>
    </row>
    <row r="92" spans="3:19" ht="12">
      <c r="C92" s="367"/>
      <c r="D92" s="840">
        <f>'Payroll 19-20'!D92</f>
        <v>0</v>
      </c>
      <c r="E92" s="840">
        <f>'Payroll 20-21'!E92*(1+'Revenue Inputs'!P$27)</f>
        <v>0</v>
      </c>
      <c r="F92" s="828">
        <f>'Payroll 20-21'!F92*(1+$I$4)</f>
        <v>0</v>
      </c>
      <c r="G92" s="322">
        <f>'Payroll 20-21'!G92</f>
        <v>0</v>
      </c>
      <c r="H92" s="319">
        <f>'Payroll 20-21'!H92</f>
        <v>0</v>
      </c>
      <c r="I92" s="320">
        <f t="shared" si="36"/>
        <v>0</v>
      </c>
      <c r="J92" s="7">
        <f t="shared" si="37"/>
        <v>0</v>
      </c>
      <c r="K92" s="7">
        <f t="shared" si="38"/>
        <v>0</v>
      </c>
      <c r="L92" s="7"/>
      <c r="M92" s="7">
        <f t="shared" si="39"/>
        <v>0</v>
      </c>
      <c r="N92" s="8" t="s">
        <v>75</v>
      </c>
      <c r="O92" s="8" t="str">
        <f t="shared" si="40"/>
        <v>N/A</v>
      </c>
      <c r="P92" s="7">
        <f t="shared" si="41"/>
        <v>0</v>
      </c>
      <c r="Q92" s="7">
        <f t="shared" si="42"/>
        <v>0</v>
      </c>
      <c r="R92" s="7">
        <f t="shared" si="43"/>
        <v>0</v>
      </c>
      <c r="S92" s="7">
        <f t="shared" si="44"/>
        <v>0</v>
      </c>
    </row>
    <row r="93" spans="3:19" ht="12">
      <c r="C93" s="367"/>
      <c r="D93" s="840">
        <f>'Payroll 19-20'!D93</f>
        <v>0</v>
      </c>
      <c r="E93" s="840">
        <f>'Payroll 20-21'!E93*(1+'Revenue Inputs'!P$27)</f>
        <v>0</v>
      </c>
      <c r="F93" s="828">
        <f>'Payroll 20-21'!F93*(1+$I$4)</f>
        <v>0</v>
      </c>
      <c r="G93" s="322">
        <f>'Payroll 20-21'!G93</f>
        <v>0</v>
      </c>
      <c r="H93" s="319">
        <f>'Payroll 20-21'!H93</f>
        <v>0</v>
      </c>
      <c r="I93" s="320">
        <f t="shared" si="36"/>
        <v>0</v>
      </c>
      <c r="J93" s="7">
        <f t="shared" si="37"/>
        <v>0</v>
      </c>
      <c r="K93" s="7">
        <f t="shared" si="38"/>
        <v>0</v>
      </c>
      <c r="L93" s="7"/>
      <c r="M93" s="7">
        <f t="shared" si="39"/>
        <v>0</v>
      </c>
      <c r="N93" s="8" t="s">
        <v>75</v>
      </c>
      <c r="O93" s="8" t="str">
        <f t="shared" si="40"/>
        <v>N/A</v>
      </c>
      <c r="P93" s="7">
        <f t="shared" si="41"/>
        <v>0</v>
      </c>
      <c r="Q93" s="7">
        <f t="shared" si="42"/>
        <v>0</v>
      </c>
      <c r="R93" s="7">
        <f t="shared" si="43"/>
        <v>0</v>
      </c>
      <c r="S93" s="7">
        <f t="shared" si="44"/>
        <v>0</v>
      </c>
    </row>
    <row r="94" spans="3:19" ht="12">
      <c r="C94" s="366"/>
      <c r="D94" s="840">
        <f>'Payroll 19-20'!D94</f>
        <v>0</v>
      </c>
      <c r="E94" s="840">
        <f>'Payroll 20-21'!E94*(1+'Revenue Inputs'!P$27)</f>
        <v>0</v>
      </c>
      <c r="F94" s="828">
        <f>'Payroll 20-21'!F94*(1+$I$4)</f>
        <v>0</v>
      </c>
      <c r="G94" s="322">
        <f>'Payroll 20-21'!G94</f>
        <v>0</v>
      </c>
      <c r="H94" s="319">
        <f>'Payroll 20-21'!H94</f>
        <v>0</v>
      </c>
      <c r="I94" s="320">
        <f t="shared" si="36"/>
        <v>0</v>
      </c>
      <c r="J94" s="7">
        <f t="shared" si="37"/>
        <v>0</v>
      </c>
      <c r="K94" s="7">
        <f t="shared" si="38"/>
        <v>0</v>
      </c>
      <c r="L94" s="7"/>
      <c r="M94" s="7">
        <f t="shared" si="39"/>
        <v>0</v>
      </c>
      <c r="N94" s="8" t="s">
        <v>75</v>
      </c>
      <c r="O94" s="8" t="str">
        <f t="shared" si="40"/>
        <v>N/A</v>
      </c>
      <c r="P94" s="7">
        <f t="shared" si="41"/>
        <v>0</v>
      </c>
      <c r="Q94" s="7">
        <f t="shared" si="42"/>
        <v>0</v>
      </c>
      <c r="R94" s="7">
        <f t="shared" si="43"/>
        <v>0</v>
      </c>
      <c r="S94" s="7">
        <f t="shared" si="44"/>
        <v>0</v>
      </c>
    </row>
    <row r="95" spans="3:19" ht="12">
      <c r="C95" s="366"/>
      <c r="D95" s="840">
        <f>'Payroll 19-20'!D95</f>
        <v>0</v>
      </c>
      <c r="E95" s="840">
        <f>'Payroll 20-21'!E95*(1+'Revenue Inputs'!P$27)</f>
        <v>0</v>
      </c>
      <c r="F95" s="828">
        <f>'Payroll 20-21'!F95*(1+$I$4)</f>
        <v>0</v>
      </c>
      <c r="G95" s="322">
        <f>'Payroll 20-21'!G95</f>
        <v>0</v>
      </c>
      <c r="H95" s="319">
        <f>'Payroll 20-21'!H95</f>
        <v>0</v>
      </c>
      <c r="I95" s="320">
        <f t="shared" si="36"/>
        <v>0</v>
      </c>
      <c r="J95" s="7">
        <f t="shared" si="37"/>
        <v>0</v>
      </c>
      <c r="K95" s="7">
        <f t="shared" ref="K95:K98" si="51">SUM(I95:J95)</f>
        <v>0</v>
      </c>
      <c r="L95" s="7"/>
      <c r="M95" s="7">
        <f t="shared" si="39"/>
        <v>0</v>
      </c>
      <c r="N95" s="8" t="s">
        <v>75</v>
      </c>
      <c r="O95" s="8" t="str">
        <f t="shared" si="40"/>
        <v>N/A</v>
      </c>
      <c r="P95" s="7">
        <f t="shared" si="41"/>
        <v>0</v>
      </c>
      <c r="Q95" s="7">
        <f t="shared" si="42"/>
        <v>0</v>
      </c>
      <c r="R95" s="7">
        <f t="shared" si="43"/>
        <v>0</v>
      </c>
      <c r="S95" s="7">
        <f t="shared" si="44"/>
        <v>0</v>
      </c>
    </row>
    <row r="96" spans="3:19" ht="12">
      <c r="C96" s="366"/>
      <c r="D96" s="840">
        <f>'Payroll 19-20'!D96</f>
        <v>0</v>
      </c>
      <c r="E96" s="840">
        <f>'Payroll 20-21'!E96*(1+'Revenue Inputs'!P$27)</f>
        <v>0</v>
      </c>
      <c r="F96" s="828">
        <f>'Payroll 20-21'!F96*(1+$I$4)</f>
        <v>0</v>
      </c>
      <c r="G96" s="322">
        <f>'Payroll 20-21'!G96</f>
        <v>0</v>
      </c>
      <c r="H96" s="319">
        <f>'Payroll 20-21'!H96</f>
        <v>0</v>
      </c>
      <c r="I96" s="320">
        <f t="shared" si="36"/>
        <v>0</v>
      </c>
      <c r="J96" s="7">
        <f t="shared" si="37"/>
        <v>0</v>
      </c>
      <c r="K96" s="7">
        <f t="shared" si="51"/>
        <v>0</v>
      </c>
      <c r="L96" s="7"/>
      <c r="M96" s="7">
        <f t="shared" si="39"/>
        <v>0</v>
      </c>
      <c r="N96" s="8" t="s">
        <v>75</v>
      </c>
      <c r="O96" s="8" t="str">
        <f t="shared" si="40"/>
        <v>N/A</v>
      </c>
      <c r="P96" s="7">
        <f t="shared" si="41"/>
        <v>0</v>
      </c>
      <c r="Q96" s="7">
        <f t="shared" si="42"/>
        <v>0</v>
      </c>
      <c r="R96" s="7">
        <f t="shared" si="43"/>
        <v>0</v>
      </c>
      <c r="S96" s="7">
        <f t="shared" si="44"/>
        <v>0</v>
      </c>
    </row>
    <row r="97" spans="3:19" ht="12">
      <c r="C97" s="366"/>
      <c r="D97" s="840">
        <f>'Payroll 19-20'!D97</f>
        <v>0</v>
      </c>
      <c r="E97" s="840">
        <f>'Payroll 20-21'!E97*(1+'Revenue Inputs'!P$27)</f>
        <v>0</v>
      </c>
      <c r="F97" s="828">
        <f>'Payroll 20-21'!F97*(1+$I$4)</f>
        <v>0</v>
      </c>
      <c r="G97" s="322">
        <f>'Payroll 20-21'!G97</f>
        <v>0</v>
      </c>
      <c r="H97" s="319">
        <f>'Payroll 20-21'!H97</f>
        <v>0</v>
      </c>
      <c r="I97" s="320">
        <f t="shared" si="36"/>
        <v>0</v>
      </c>
      <c r="J97" s="7">
        <f t="shared" si="37"/>
        <v>0</v>
      </c>
      <c r="K97" s="7">
        <f t="shared" si="51"/>
        <v>0</v>
      </c>
      <c r="L97" s="7"/>
      <c r="M97" s="7">
        <f t="shared" si="39"/>
        <v>0</v>
      </c>
      <c r="N97" s="8" t="s">
        <v>75</v>
      </c>
      <c r="O97" s="8" t="str">
        <f t="shared" si="40"/>
        <v>N/A</v>
      </c>
      <c r="P97" s="7">
        <f t="shared" si="41"/>
        <v>0</v>
      </c>
      <c r="Q97" s="7">
        <f t="shared" si="42"/>
        <v>0</v>
      </c>
      <c r="R97" s="7">
        <f t="shared" si="43"/>
        <v>0</v>
      </c>
      <c r="S97" s="7">
        <f t="shared" si="44"/>
        <v>0</v>
      </c>
    </row>
    <row r="98" spans="3:19" ht="12">
      <c r="C98" s="366"/>
      <c r="D98" s="840">
        <f>'Payroll 19-20'!D98</f>
        <v>0</v>
      </c>
      <c r="E98" s="840">
        <f>'Payroll 20-21'!E98*(1+'Revenue Inputs'!P$27)</f>
        <v>0</v>
      </c>
      <c r="F98" s="828">
        <f>'Payroll 20-21'!F98*(1+$I$4)</f>
        <v>0</v>
      </c>
      <c r="G98" s="322">
        <f>'Payroll 20-21'!G98</f>
        <v>0</v>
      </c>
      <c r="H98" s="319">
        <f>'Payroll 20-21'!H98</f>
        <v>0</v>
      </c>
      <c r="I98" s="320">
        <f t="shared" si="36"/>
        <v>0</v>
      </c>
      <c r="J98" s="7">
        <f t="shared" si="37"/>
        <v>0</v>
      </c>
      <c r="K98" s="7">
        <f t="shared" si="51"/>
        <v>0</v>
      </c>
      <c r="L98" s="7"/>
      <c r="M98" s="7">
        <f t="shared" si="39"/>
        <v>0</v>
      </c>
      <c r="N98" s="8" t="s">
        <v>75</v>
      </c>
      <c r="O98" s="8" t="str">
        <f t="shared" si="40"/>
        <v>N/A</v>
      </c>
      <c r="P98" s="7">
        <f t="shared" si="41"/>
        <v>0</v>
      </c>
      <c r="Q98" s="7">
        <f t="shared" si="42"/>
        <v>0</v>
      </c>
      <c r="R98" s="7">
        <f t="shared" si="43"/>
        <v>0</v>
      </c>
      <c r="S98" s="7">
        <f t="shared" si="44"/>
        <v>0</v>
      </c>
    </row>
    <row r="99" spans="3:19" ht="13" thickBot="1">
      <c r="C99" s="368"/>
      <c r="D99" s="841"/>
      <c r="E99" s="841"/>
      <c r="F99" s="841"/>
      <c r="G99" s="28"/>
      <c r="H99" s="427"/>
      <c r="I99" s="337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3:19" s="41" customFormat="1" ht="13" thickBot="1">
      <c r="C100" s="368"/>
      <c r="D100" s="834"/>
      <c r="E100" s="847"/>
      <c r="F100" s="834"/>
      <c r="G100" s="49"/>
      <c r="H100" s="333">
        <v>1200</v>
      </c>
      <c r="I100" s="10">
        <f>SUM(I78:I99)</f>
        <v>168115.447728</v>
      </c>
      <c r="J100" s="10">
        <f>SUM(J78:J99)</f>
        <v>61184.586299016002</v>
      </c>
      <c r="K100" s="10">
        <f>SUM(K78:K99)</f>
        <v>229300.03402701602</v>
      </c>
      <c r="L100" s="11"/>
      <c r="M100" s="10">
        <f t="shared" ref="M100:S100" si="52">SUM(M78:M99)</f>
        <v>30428.896038767998</v>
      </c>
      <c r="N100" s="10">
        <f t="shared" si="52"/>
        <v>0</v>
      </c>
      <c r="O100" s="10">
        <f t="shared" si="52"/>
        <v>0</v>
      </c>
      <c r="P100" s="10">
        <f t="shared" si="52"/>
        <v>2437.6739920560003</v>
      </c>
      <c r="Q100" s="10">
        <f t="shared" si="52"/>
        <v>24494.400000000001</v>
      </c>
      <c r="R100" s="10">
        <f t="shared" si="52"/>
        <v>1470.0000000000002</v>
      </c>
      <c r="S100" s="10">
        <f t="shared" si="52"/>
        <v>2353.6162681920005</v>
      </c>
    </row>
    <row r="101" spans="3:19" ht="12">
      <c r="C101" s="366" t="s">
        <v>18</v>
      </c>
      <c r="D101" s="835"/>
      <c r="E101" s="848"/>
      <c r="F101" s="835"/>
      <c r="G101" s="28"/>
      <c r="H101" s="35"/>
      <c r="I101" s="7"/>
      <c r="J101" s="7"/>
      <c r="K101" s="7"/>
      <c r="L101" s="7"/>
      <c r="M101" s="36"/>
      <c r="N101" s="36"/>
      <c r="O101" s="36"/>
      <c r="P101" s="36"/>
      <c r="Q101" s="36"/>
      <c r="R101" s="36"/>
      <c r="S101" s="36"/>
    </row>
    <row r="102" spans="3:19" ht="12">
      <c r="C102" s="366"/>
      <c r="D102" s="840" t="str">
        <f>'Payroll 19-20'!D102</f>
        <v>Chantelle Crespo</v>
      </c>
      <c r="E102" s="840">
        <f>'Payroll 20-21'!E102*(1+'Revenue Inputs'!P$27)</f>
        <v>1</v>
      </c>
      <c r="F102" s="828">
        <f>'Payroll 20-21'!F102*(1+$I$4)</f>
        <v>88434.083232000005</v>
      </c>
      <c r="G102" s="322">
        <f>'Payroll 20-21'!G102</f>
        <v>12</v>
      </c>
      <c r="H102" s="319" t="str">
        <f>'Payroll 20-21'!H102</f>
        <v>y</v>
      </c>
      <c r="I102" s="320">
        <f t="shared" ref="I102:I120" si="53">F102*E102</f>
        <v>88434.083232000005</v>
      </c>
      <c r="J102" s="7">
        <f t="shared" ref="J102:J120" si="54">SUM(M102:S102)</f>
        <v>27181.740437103999</v>
      </c>
      <c r="K102" s="7">
        <f t="shared" ref="K102:K120" si="55">SUM(I102:J102)</f>
        <v>115615.82366910401</v>
      </c>
      <c r="L102" s="7"/>
      <c r="M102" s="7">
        <f t="shared" ref="M102:M120" si="56">I102*$M$5</f>
        <v>16006.569064992</v>
      </c>
      <c r="N102" s="8" t="s">
        <v>75</v>
      </c>
      <c r="O102" s="8" t="str">
        <f t="shared" ref="O102:O120" si="57">IF($M$5&gt;0,"N/A",$O$5*I102)</f>
        <v>N/A</v>
      </c>
      <c r="P102" s="7">
        <f t="shared" ref="P102:P120" si="58">I102*$P$5</f>
        <v>1282.2942068640002</v>
      </c>
      <c r="Q102" s="7">
        <f t="shared" ref="Q102:Q120" si="59">IF(H102="y", $Q$5*E102, 0)</f>
        <v>8164.8000000000011</v>
      </c>
      <c r="R102" s="7">
        <f t="shared" ref="R102:R120" si="60">IF($I102&gt;7000,7000*R$5,$I102*R$5)*E102</f>
        <v>490.00000000000006</v>
      </c>
      <c r="S102" s="7">
        <f t="shared" ref="S102:S120" si="61">S$5*$I102</f>
        <v>1238.077165248</v>
      </c>
    </row>
    <row r="103" spans="3:19" ht="12">
      <c r="C103" s="366"/>
      <c r="D103" s="840" t="str">
        <f>'Payroll 19-20'!D103</f>
        <v>Charlotte Hodgson</v>
      </c>
      <c r="E103" s="840">
        <f>'Payroll 20-21'!E103*(1+'Revenue Inputs'!P$27)</f>
        <v>1</v>
      </c>
      <c r="F103" s="828">
        <f>'Payroll 20-21'!F103*(1+$I$4)</f>
        <v>88434.083232000005</v>
      </c>
      <c r="G103" s="322">
        <f>'Payroll 20-21'!G103</f>
        <v>12</v>
      </c>
      <c r="H103" s="319" t="str">
        <f>'Payroll 20-21'!H103</f>
        <v>y</v>
      </c>
      <c r="I103" s="320">
        <f t="shared" si="53"/>
        <v>88434.083232000005</v>
      </c>
      <c r="J103" s="7">
        <f t="shared" ref="J103:J111" si="62">SUM(M103:S103)</f>
        <v>27181.740437103999</v>
      </c>
      <c r="K103" s="7">
        <f t="shared" ref="K103:K111" si="63">SUM(I103:J103)</f>
        <v>115615.82366910401</v>
      </c>
      <c r="L103" s="7"/>
      <c r="M103" s="7">
        <f t="shared" ref="M103:M111" si="64">I103*$M$5</f>
        <v>16006.569064992</v>
      </c>
      <c r="N103" s="8" t="s">
        <v>75</v>
      </c>
      <c r="O103" s="8" t="str">
        <f t="shared" ref="O103:O111" si="65">IF($M$5&gt;0,"N/A",$O$5*I103)</f>
        <v>N/A</v>
      </c>
      <c r="P103" s="7">
        <f t="shared" ref="P103:P111" si="66">I103*$P$5</f>
        <v>1282.2942068640002</v>
      </c>
      <c r="Q103" s="7">
        <f t="shared" si="59"/>
        <v>8164.8000000000011</v>
      </c>
      <c r="R103" s="7">
        <f t="shared" si="60"/>
        <v>490.00000000000006</v>
      </c>
      <c r="S103" s="7">
        <f t="shared" si="61"/>
        <v>1238.077165248</v>
      </c>
    </row>
    <row r="104" spans="3:19" ht="12">
      <c r="C104" s="366"/>
      <c r="D104" s="840" t="str">
        <f>'Payroll 19-20'!D104</f>
        <v>Diane Beran</v>
      </c>
      <c r="E104" s="840">
        <f>'Payroll 20-21'!E104*(1+'Revenue Inputs'!P$27)</f>
        <v>1</v>
      </c>
      <c r="F104" s="828">
        <f>'Payroll 20-21'!F104*(1+$I$4)</f>
        <v>91555.199999999997</v>
      </c>
      <c r="G104" s="322">
        <f>'Payroll 20-21'!G104</f>
        <v>12</v>
      </c>
      <c r="H104" s="319" t="str">
        <f>'Payroll 20-21'!H104</f>
        <v>y</v>
      </c>
      <c r="I104" s="320">
        <f t="shared" si="53"/>
        <v>91555.199999999997</v>
      </c>
      <c r="J104" s="7">
        <f t="shared" si="62"/>
        <v>27835.614399999999</v>
      </c>
      <c r="K104" s="7">
        <f t="shared" si="63"/>
        <v>119390.8144</v>
      </c>
      <c r="L104" s="7"/>
      <c r="M104" s="7">
        <f t="shared" si="64"/>
        <v>16571.4912</v>
      </c>
      <c r="N104" s="8" t="s">
        <v>75</v>
      </c>
      <c r="O104" s="8" t="str">
        <f t="shared" si="65"/>
        <v>N/A</v>
      </c>
      <c r="P104" s="7">
        <f t="shared" si="66"/>
        <v>1327.5504000000001</v>
      </c>
      <c r="Q104" s="7">
        <f t="shared" si="59"/>
        <v>8164.8000000000011</v>
      </c>
      <c r="R104" s="7">
        <f t="shared" si="60"/>
        <v>490.00000000000006</v>
      </c>
      <c r="S104" s="7">
        <f t="shared" si="61"/>
        <v>1281.7728</v>
      </c>
    </row>
    <row r="105" spans="3:19" ht="12">
      <c r="C105" s="366"/>
      <c r="D105" s="840" t="str">
        <f>'Payroll 19-20'!D105</f>
        <v>Jenny Fazio</v>
      </c>
      <c r="E105" s="840">
        <f>'Payroll 20-21'!E105*(1+'Revenue Inputs'!P$27)</f>
        <v>1</v>
      </c>
      <c r="F105" s="828">
        <f>'Payroll 20-21'!F105*(1+$I$4)</f>
        <v>117564.1596</v>
      </c>
      <c r="G105" s="322">
        <f>'Payroll 20-21'!G105</f>
        <v>12</v>
      </c>
      <c r="H105" s="319" t="str">
        <f>'Payroll 20-21'!H105</f>
        <v>y</v>
      </c>
      <c r="I105" s="320">
        <f t="shared" si="53"/>
        <v>117564.1596</v>
      </c>
      <c r="J105" s="7">
        <f t="shared" si="62"/>
        <v>33284.491436200005</v>
      </c>
      <c r="K105" s="7">
        <f t="shared" si="63"/>
        <v>150848.6510362</v>
      </c>
      <c r="L105" s="7"/>
      <c r="M105" s="7">
        <f t="shared" si="64"/>
        <v>21279.1128876</v>
      </c>
      <c r="N105" s="8" t="s">
        <v>75</v>
      </c>
      <c r="O105" s="8" t="str">
        <f t="shared" si="65"/>
        <v>N/A</v>
      </c>
      <c r="P105" s="7">
        <f t="shared" si="66"/>
        <v>1704.6803142000001</v>
      </c>
      <c r="Q105" s="7">
        <f t="shared" si="59"/>
        <v>8164.8000000000011</v>
      </c>
      <c r="R105" s="7">
        <f t="shared" si="60"/>
        <v>490.00000000000006</v>
      </c>
      <c r="S105" s="7">
        <f t="shared" si="61"/>
        <v>1645.8982344000001</v>
      </c>
    </row>
    <row r="106" spans="3:19" ht="12">
      <c r="C106" s="368"/>
      <c r="D106" s="1027" t="str">
        <f>'Payroll 19-20'!D106</f>
        <v>Celia N. Ewing</v>
      </c>
      <c r="E106" s="1027">
        <f>'Payroll 20-21'!E106*(1+'Revenue Inputs'!P$27)</f>
        <v>1</v>
      </c>
      <c r="F106" s="1022">
        <v>62400</v>
      </c>
      <c r="G106" s="1023">
        <f>'Payroll 20-21'!G106</f>
        <v>12</v>
      </c>
      <c r="H106" s="1024" t="str">
        <f>'Payroll 20-21'!H106</f>
        <v>y</v>
      </c>
      <c r="I106" s="1025">
        <f t="shared" si="53"/>
        <v>62400</v>
      </c>
      <c r="J106" s="7">
        <f t="shared" si="62"/>
        <v>21727.599999999999</v>
      </c>
      <c r="K106" s="7">
        <f t="shared" si="63"/>
        <v>84127.6</v>
      </c>
      <c r="L106" s="7"/>
      <c r="M106" s="7">
        <f t="shared" si="64"/>
        <v>11294.4</v>
      </c>
      <c r="N106" s="8" t="s">
        <v>75</v>
      </c>
      <c r="O106" s="8" t="str">
        <f t="shared" si="65"/>
        <v>N/A</v>
      </c>
      <c r="P106" s="7">
        <f t="shared" si="66"/>
        <v>904.80000000000007</v>
      </c>
      <c r="Q106" s="7">
        <f t="shared" si="59"/>
        <v>8164.8000000000011</v>
      </c>
      <c r="R106" s="7">
        <f t="shared" si="60"/>
        <v>490.00000000000006</v>
      </c>
      <c r="S106" s="7">
        <f t="shared" si="61"/>
        <v>873.6</v>
      </c>
    </row>
    <row r="107" spans="3:19" ht="12">
      <c r="C107" s="366"/>
      <c r="D107" s="840" t="str">
        <f>'Payroll 19-20'!D107</f>
        <v>Jessica L. Ronquillo</v>
      </c>
      <c r="E107" s="840">
        <f>'Payroll 20-21'!E107*(1+'Revenue Inputs'!P$27)</f>
        <v>1</v>
      </c>
      <c r="F107" s="828">
        <f>'Payroll 20-21'!F107*(1+$I$4)</f>
        <v>117564.1596</v>
      </c>
      <c r="G107" s="322">
        <f>'Payroll 20-21'!G107</f>
        <v>12</v>
      </c>
      <c r="H107" s="319" t="str">
        <f>'Payroll 20-21'!H107</f>
        <v>y</v>
      </c>
      <c r="I107" s="320">
        <f t="shared" si="53"/>
        <v>117564.1596</v>
      </c>
      <c r="J107" s="7">
        <f t="shared" si="62"/>
        <v>33284.491436200005</v>
      </c>
      <c r="K107" s="7">
        <f t="shared" si="63"/>
        <v>150848.6510362</v>
      </c>
      <c r="L107" s="7"/>
      <c r="M107" s="7">
        <f t="shared" si="64"/>
        <v>21279.1128876</v>
      </c>
      <c r="N107" s="8" t="s">
        <v>75</v>
      </c>
      <c r="O107" s="8" t="str">
        <f t="shared" si="65"/>
        <v>N/A</v>
      </c>
      <c r="P107" s="7">
        <f t="shared" si="66"/>
        <v>1704.6803142000001</v>
      </c>
      <c r="Q107" s="7">
        <f t="shared" si="59"/>
        <v>8164.8000000000011</v>
      </c>
      <c r="R107" s="7">
        <f t="shared" si="60"/>
        <v>490.00000000000006</v>
      </c>
      <c r="S107" s="7">
        <f t="shared" si="61"/>
        <v>1645.8982344000001</v>
      </c>
    </row>
    <row r="108" spans="3:19" ht="12">
      <c r="C108" s="366"/>
      <c r="D108" s="840" t="str">
        <f>'Payroll 19-20'!D108</f>
        <v>Rupinder Boyd</v>
      </c>
      <c r="E108" s="840">
        <f>'Payroll 20-21'!E108*(1+'Revenue Inputs'!P$27)</f>
        <v>1</v>
      </c>
      <c r="F108" s="828">
        <f>'Payroll 20-21'!F108*(1+$I$4)</f>
        <v>57222</v>
      </c>
      <c r="G108" s="322">
        <f>'Payroll 20-21'!G108</f>
        <v>12</v>
      </c>
      <c r="H108" s="319" t="str">
        <f>'Payroll 20-21'!H108</f>
        <v>y</v>
      </c>
      <c r="I108" s="320">
        <f t="shared" si="53"/>
        <v>57222</v>
      </c>
      <c r="J108" s="7">
        <f t="shared" si="62"/>
        <v>20642.809000000001</v>
      </c>
      <c r="K108" s="7">
        <f t="shared" si="63"/>
        <v>77864.809000000008</v>
      </c>
      <c r="L108" s="7"/>
      <c r="M108" s="7">
        <f t="shared" si="64"/>
        <v>10357.181999999999</v>
      </c>
      <c r="N108" s="8" t="s">
        <v>75</v>
      </c>
      <c r="O108" s="8" t="str">
        <f t="shared" si="65"/>
        <v>N/A</v>
      </c>
      <c r="P108" s="7">
        <f t="shared" si="66"/>
        <v>829.71900000000005</v>
      </c>
      <c r="Q108" s="7">
        <f t="shared" si="59"/>
        <v>8164.8000000000011</v>
      </c>
      <c r="R108" s="7">
        <f t="shared" si="60"/>
        <v>490.00000000000006</v>
      </c>
      <c r="S108" s="7">
        <f t="shared" si="61"/>
        <v>801.10800000000006</v>
      </c>
    </row>
    <row r="109" spans="3:19" ht="12">
      <c r="C109" s="366"/>
      <c r="D109" s="840" t="str">
        <f>'Payroll 19-20'!D109</f>
        <v>Ana Mejia</v>
      </c>
      <c r="E109" s="840">
        <f>'Payroll 20-21'!E109*(1+'Revenue Inputs'!P$27)</f>
        <v>1</v>
      </c>
      <c r="F109" s="828">
        <f>'Payroll 20-21'!F109*(1+$I$4)</f>
        <v>141285.27960000001</v>
      </c>
      <c r="G109" s="322">
        <f>'Payroll 20-21'!G109</f>
        <v>12</v>
      </c>
      <c r="H109" s="319" t="str">
        <f>'Payroll 20-21'!H109</f>
        <v>y</v>
      </c>
      <c r="I109" s="320">
        <f t="shared" si="53"/>
        <v>141285.27960000001</v>
      </c>
      <c r="J109" s="7">
        <f t="shared" si="62"/>
        <v>38254.066076200004</v>
      </c>
      <c r="K109" s="7">
        <f t="shared" si="63"/>
        <v>179539.3456762</v>
      </c>
      <c r="L109" s="7"/>
      <c r="M109" s="7">
        <f t="shared" si="64"/>
        <v>25572.635607600001</v>
      </c>
      <c r="N109" s="8" t="s">
        <v>75</v>
      </c>
      <c r="O109" s="8" t="str">
        <f t="shared" si="65"/>
        <v>N/A</v>
      </c>
      <c r="P109" s="7">
        <f t="shared" si="66"/>
        <v>2048.6365542000003</v>
      </c>
      <c r="Q109" s="7">
        <f t="shared" si="59"/>
        <v>8164.8000000000011</v>
      </c>
      <c r="R109" s="7">
        <f t="shared" si="60"/>
        <v>490.00000000000006</v>
      </c>
      <c r="S109" s="7">
        <f t="shared" si="61"/>
        <v>1977.9939144000002</v>
      </c>
    </row>
    <row r="110" spans="3:19" ht="12">
      <c r="C110" s="366"/>
      <c r="D110" s="840" t="str">
        <f>'Payroll 19-20'!D110</f>
        <v>Kristy N. Philips</v>
      </c>
      <c r="E110" s="840">
        <f>'Payroll 20-21'!E110*(1+'Revenue Inputs'!P$27)</f>
        <v>1</v>
      </c>
      <c r="F110" s="828">
        <f>'Payroll 20-21'!F110*(1+$I$4)</f>
        <v>147527.6796</v>
      </c>
      <c r="G110" s="322">
        <f>'Payroll 20-21'!G110</f>
        <v>12</v>
      </c>
      <c r="H110" s="319" t="str">
        <f>'Payroll 20-21'!H110</f>
        <v>y</v>
      </c>
      <c r="I110" s="320">
        <f t="shared" si="53"/>
        <v>147527.6796</v>
      </c>
      <c r="J110" s="7">
        <f t="shared" si="62"/>
        <v>39561.848876199998</v>
      </c>
      <c r="K110" s="7">
        <f t="shared" si="63"/>
        <v>187089.52847620001</v>
      </c>
      <c r="L110" s="7"/>
      <c r="M110" s="7">
        <f t="shared" si="64"/>
        <v>26702.510007599998</v>
      </c>
      <c r="N110" s="8" t="s">
        <v>75</v>
      </c>
      <c r="O110" s="8" t="str">
        <f t="shared" si="65"/>
        <v>N/A</v>
      </c>
      <c r="P110" s="7">
        <f t="shared" si="66"/>
        <v>2139.1513542000002</v>
      </c>
      <c r="Q110" s="7">
        <f t="shared" si="59"/>
        <v>8164.8000000000011</v>
      </c>
      <c r="R110" s="7">
        <f t="shared" si="60"/>
        <v>490.00000000000006</v>
      </c>
      <c r="S110" s="7">
        <f t="shared" si="61"/>
        <v>2065.3875143999999</v>
      </c>
    </row>
    <row r="111" spans="3:19" ht="12">
      <c r="C111" s="368"/>
      <c r="D111" s="1027" t="str">
        <f>'Payroll 19-20'!D111</f>
        <v>Deborah J. Cruthers</v>
      </c>
      <c r="E111" s="1027">
        <f>'Payroll 20-21'!E111*(1+'Revenue Inputs'!P$27)</f>
        <v>1</v>
      </c>
      <c r="F111" s="1022">
        <v>62400</v>
      </c>
      <c r="G111" s="1023">
        <f>'Payroll 20-21'!G111</f>
        <v>12</v>
      </c>
      <c r="H111" s="1024" t="str">
        <f>'Payroll 20-21'!H111</f>
        <v>y</v>
      </c>
      <c r="I111" s="1025">
        <f t="shared" si="53"/>
        <v>62400</v>
      </c>
      <c r="J111" s="7">
        <f t="shared" si="62"/>
        <v>21727.599999999999</v>
      </c>
      <c r="K111" s="7">
        <f t="shared" si="63"/>
        <v>84127.6</v>
      </c>
      <c r="L111" s="7"/>
      <c r="M111" s="7">
        <f t="shared" si="64"/>
        <v>11294.4</v>
      </c>
      <c r="N111" s="8" t="s">
        <v>75</v>
      </c>
      <c r="O111" s="8" t="str">
        <f t="shared" si="65"/>
        <v>N/A</v>
      </c>
      <c r="P111" s="7">
        <f t="shared" si="66"/>
        <v>904.80000000000007</v>
      </c>
      <c r="Q111" s="7">
        <f t="shared" si="59"/>
        <v>8164.8000000000011</v>
      </c>
      <c r="R111" s="7">
        <f t="shared" si="60"/>
        <v>490.00000000000006</v>
      </c>
      <c r="S111" s="7">
        <f t="shared" si="61"/>
        <v>873.6</v>
      </c>
    </row>
    <row r="112" spans="3:19" ht="12">
      <c r="C112" s="366"/>
      <c r="D112" s="840" t="str">
        <f>'Payroll 19-20'!D112</f>
        <v>Amy Thompson</v>
      </c>
      <c r="E112" s="840">
        <f>'Payroll 20-21'!E112*(1+'Revenue Inputs'!P$27)</f>
        <v>1</v>
      </c>
      <c r="F112" s="828">
        <f>'Payroll 20-21'!F112*(1+$I$4)</f>
        <v>129009.60000000001</v>
      </c>
      <c r="G112" s="322">
        <f>'Payroll 20-21'!G112</f>
        <v>12</v>
      </c>
      <c r="H112" s="319" t="str">
        <f>'Payroll 20-21'!H112</f>
        <v>y</v>
      </c>
      <c r="I112" s="320">
        <f t="shared" si="53"/>
        <v>129009.60000000001</v>
      </c>
      <c r="J112" s="7">
        <f t="shared" si="54"/>
        <v>35682.311200000004</v>
      </c>
      <c r="K112" s="7">
        <f t="shared" si="55"/>
        <v>164691.9112</v>
      </c>
      <c r="L112" s="7"/>
      <c r="M112" s="7">
        <f t="shared" si="56"/>
        <v>23350.7376</v>
      </c>
      <c r="N112" s="8" t="s">
        <v>75</v>
      </c>
      <c r="O112" s="8" t="str">
        <f t="shared" si="57"/>
        <v>N/A</v>
      </c>
      <c r="P112" s="7">
        <f t="shared" si="58"/>
        <v>1870.6392000000001</v>
      </c>
      <c r="Q112" s="7">
        <f t="shared" si="59"/>
        <v>8164.8000000000011</v>
      </c>
      <c r="R112" s="7">
        <f t="shared" si="60"/>
        <v>490.00000000000006</v>
      </c>
      <c r="S112" s="7">
        <f t="shared" si="61"/>
        <v>1806.1344000000001</v>
      </c>
    </row>
    <row r="113" spans="3:19" ht="12">
      <c r="C113" s="366"/>
      <c r="D113" s="840" t="str">
        <f>'Payroll 19-20'!D113</f>
        <v>Brook MacMillan</v>
      </c>
      <c r="E113" s="840">
        <f>'Payroll 20-21'!E113*(1+'Revenue Inputs'!P$27)</f>
        <v>1</v>
      </c>
      <c r="F113" s="828">
        <f>'Payroll 20-21'!F113*(1+$I$4)</f>
        <v>172914.48</v>
      </c>
      <c r="G113" s="322">
        <f>'Payroll 20-21'!G113</f>
        <v>12</v>
      </c>
      <c r="H113" s="319" t="str">
        <f>'Payroll 20-21'!H113</f>
        <v>y</v>
      </c>
      <c r="I113" s="320">
        <f t="shared" si="53"/>
        <v>172914.48</v>
      </c>
      <c r="J113" s="7">
        <f t="shared" si="54"/>
        <v>44880.383560000002</v>
      </c>
      <c r="K113" s="7">
        <f t="shared" si="55"/>
        <v>217794.86356000003</v>
      </c>
      <c r="L113" s="7"/>
      <c r="M113" s="7">
        <f t="shared" si="56"/>
        <v>31297.52088</v>
      </c>
      <c r="N113" s="8" t="s">
        <v>75</v>
      </c>
      <c r="O113" s="8" t="str">
        <f t="shared" si="57"/>
        <v>N/A</v>
      </c>
      <c r="P113" s="7">
        <f t="shared" si="58"/>
        <v>2507.2599600000003</v>
      </c>
      <c r="Q113" s="7">
        <f t="shared" si="59"/>
        <v>8164.8000000000011</v>
      </c>
      <c r="R113" s="7">
        <f t="shared" si="60"/>
        <v>490.00000000000006</v>
      </c>
      <c r="S113" s="7">
        <f t="shared" si="61"/>
        <v>2420.8027200000001</v>
      </c>
    </row>
    <row r="114" spans="3:19" ht="12">
      <c r="C114" s="366"/>
      <c r="D114" s="840" t="str">
        <f>'Payroll 19-20'!D114</f>
        <v>Anna Lindahl</v>
      </c>
      <c r="E114" s="840">
        <f>'Payroll 20-21'!E114*(1+'Revenue Inputs'!P$27)</f>
        <v>1</v>
      </c>
      <c r="F114" s="828">
        <f>'Payroll 20-21'!F114*(1+$I$4)</f>
        <v>57222</v>
      </c>
      <c r="G114" s="322">
        <f>'Payroll 20-21'!G114</f>
        <v>12</v>
      </c>
      <c r="H114" s="319" t="str">
        <f>'Payroll 20-21'!H114</f>
        <v>y</v>
      </c>
      <c r="I114" s="320">
        <f t="shared" si="53"/>
        <v>57222</v>
      </c>
      <c r="J114" s="7">
        <f t="shared" si="54"/>
        <v>24158.349000000002</v>
      </c>
      <c r="K114" s="7">
        <f t="shared" si="55"/>
        <v>81380.349000000002</v>
      </c>
      <c r="L114" s="7"/>
      <c r="M114" s="7">
        <f t="shared" si="56"/>
        <v>10357.181999999999</v>
      </c>
      <c r="N114" s="8" t="s">
        <v>75</v>
      </c>
      <c r="O114" s="8" t="str">
        <f t="shared" si="57"/>
        <v>N/A</v>
      </c>
      <c r="P114" s="7">
        <f t="shared" si="58"/>
        <v>829.71900000000005</v>
      </c>
      <c r="Q114" s="7">
        <f t="shared" si="59"/>
        <v>8164.8000000000011</v>
      </c>
      <c r="R114" s="7">
        <f>IF($I114&lt;7000,7000*R$5,$I114*R$5)*E114</f>
        <v>4005.5400000000004</v>
      </c>
      <c r="S114" s="7">
        <f t="shared" si="61"/>
        <v>801.10800000000006</v>
      </c>
    </row>
    <row r="115" spans="3:19" ht="12">
      <c r="C115" s="368"/>
      <c r="D115" s="840" t="str">
        <f>'Payroll 19-20'!D115</f>
        <v>Steven R. James</v>
      </c>
      <c r="E115" s="840">
        <f>'Payroll 20-21'!E115*(1+'Revenue Inputs'!P$27)</f>
        <v>1</v>
      </c>
      <c r="F115" s="828">
        <f>'Payroll 20-21'!F115*(1+$I$4)</f>
        <v>75416.515199999994</v>
      </c>
      <c r="G115" s="322">
        <f>'Payroll 20-21'!G115</f>
        <v>12</v>
      </c>
      <c r="H115" s="319" t="str">
        <f>'Payroll 20-21'!H115</f>
        <v>y</v>
      </c>
      <c r="I115" s="320">
        <f t="shared" si="53"/>
        <v>75416.515199999994</v>
      </c>
      <c r="J115" s="7">
        <f t="shared" si="54"/>
        <v>24454.559934399997</v>
      </c>
      <c r="K115" s="7">
        <f t="shared" si="55"/>
        <v>99871.075134399987</v>
      </c>
      <c r="L115" s="7"/>
      <c r="M115" s="7">
        <f t="shared" si="56"/>
        <v>13650.389251199998</v>
      </c>
      <c r="N115" s="8" t="s">
        <v>75</v>
      </c>
      <c r="O115" s="8" t="str">
        <f t="shared" si="57"/>
        <v>N/A</v>
      </c>
      <c r="P115" s="7">
        <f t="shared" si="58"/>
        <v>1093.5394704</v>
      </c>
      <c r="Q115" s="7">
        <f t="shared" si="59"/>
        <v>8164.8000000000011</v>
      </c>
      <c r="R115" s="7">
        <f t="shared" si="60"/>
        <v>490.00000000000006</v>
      </c>
      <c r="S115" s="7">
        <f t="shared" si="61"/>
        <v>1055.8312128</v>
      </c>
    </row>
    <row r="116" spans="3:19" ht="12">
      <c r="C116" s="366"/>
      <c r="D116" s="840">
        <f>'Payroll 19-20'!D116</f>
        <v>0</v>
      </c>
      <c r="E116" s="840">
        <f>'Payroll 20-21'!E116*(1+'Revenue Inputs'!P$27)</f>
        <v>0</v>
      </c>
      <c r="F116" s="828">
        <f>'Payroll 20-21'!F116*(1+$I$4)</f>
        <v>0</v>
      </c>
      <c r="G116" s="322">
        <f>'Payroll 20-21'!G116</f>
        <v>0</v>
      </c>
      <c r="H116" s="319">
        <f>'Payroll 20-21'!H116</f>
        <v>0</v>
      </c>
      <c r="I116" s="320">
        <f t="shared" si="53"/>
        <v>0</v>
      </c>
      <c r="J116" s="7">
        <f t="shared" si="54"/>
        <v>0</v>
      </c>
      <c r="K116" s="7">
        <f t="shared" si="55"/>
        <v>0</v>
      </c>
      <c r="L116" s="7"/>
      <c r="M116" s="7">
        <f t="shared" si="56"/>
        <v>0</v>
      </c>
      <c r="N116" s="8" t="s">
        <v>75</v>
      </c>
      <c r="O116" s="8" t="str">
        <f t="shared" si="57"/>
        <v>N/A</v>
      </c>
      <c r="P116" s="7">
        <f t="shared" si="58"/>
        <v>0</v>
      </c>
      <c r="Q116" s="7">
        <f t="shared" si="59"/>
        <v>0</v>
      </c>
      <c r="R116" s="7">
        <f t="shared" si="60"/>
        <v>0</v>
      </c>
      <c r="S116" s="7">
        <f t="shared" si="61"/>
        <v>0</v>
      </c>
    </row>
    <row r="117" spans="3:19" ht="12">
      <c r="C117" s="366"/>
      <c r="D117" s="840">
        <f>'Payroll 19-20'!D117</f>
        <v>0</v>
      </c>
      <c r="E117" s="840">
        <f>'Payroll 20-21'!E117*(1+'Revenue Inputs'!P$27)</f>
        <v>0</v>
      </c>
      <c r="F117" s="828">
        <f>'Payroll 20-21'!F117*(1+$I$4)</f>
        <v>0</v>
      </c>
      <c r="G117" s="322">
        <f>'Payroll 20-21'!G117</f>
        <v>0</v>
      </c>
      <c r="H117" s="319">
        <f>'Payroll 20-21'!H117</f>
        <v>0</v>
      </c>
      <c r="I117" s="320">
        <f t="shared" si="53"/>
        <v>0</v>
      </c>
      <c r="J117" s="7">
        <f t="shared" si="54"/>
        <v>0</v>
      </c>
      <c r="K117" s="7">
        <f t="shared" si="55"/>
        <v>0</v>
      </c>
      <c r="L117" s="7"/>
      <c r="M117" s="7">
        <f t="shared" si="56"/>
        <v>0</v>
      </c>
      <c r="N117" s="8" t="s">
        <v>75</v>
      </c>
      <c r="O117" s="8" t="str">
        <f t="shared" si="57"/>
        <v>N/A</v>
      </c>
      <c r="P117" s="7">
        <f t="shared" si="58"/>
        <v>0</v>
      </c>
      <c r="Q117" s="7">
        <f t="shared" si="59"/>
        <v>0</v>
      </c>
      <c r="R117" s="7">
        <f t="shared" si="60"/>
        <v>0</v>
      </c>
      <c r="S117" s="7">
        <f t="shared" si="61"/>
        <v>0</v>
      </c>
    </row>
    <row r="118" spans="3:19" ht="12">
      <c r="C118" s="366"/>
      <c r="D118" s="840">
        <f>'Payroll 19-20'!D118</f>
        <v>0</v>
      </c>
      <c r="E118" s="840">
        <f>'Payroll 20-21'!E118*(1+'Revenue Inputs'!P$27)</f>
        <v>0</v>
      </c>
      <c r="F118" s="828">
        <f>'Payroll 20-21'!F118*(1+$I$4)</f>
        <v>0</v>
      </c>
      <c r="G118" s="322">
        <f>'Payroll 20-21'!G118</f>
        <v>0</v>
      </c>
      <c r="H118" s="319">
        <f>'Payroll 20-21'!H118</f>
        <v>0</v>
      </c>
      <c r="I118" s="320">
        <f t="shared" si="53"/>
        <v>0</v>
      </c>
      <c r="J118" s="7">
        <f t="shared" si="54"/>
        <v>0</v>
      </c>
      <c r="K118" s="7">
        <f t="shared" si="55"/>
        <v>0</v>
      </c>
      <c r="L118" s="7"/>
      <c r="M118" s="7">
        <f t="shared" si="56"/>
        <v>0</v>
      </c>
      <c r="N118" s="8" t="s">
        <v>75</v>
      </c>
      <c r="O118" s="8" t="str">
        <f t="shared" si="57"/>
        <v>N/A</v>
      </c>
      <c r="P118" s="7">
        <f t="shared" si="58"/>
        <v>0</v>
      </c>
      <c r="Q118" s="7">
        <f t="shared" si="59"/>
        <v>0</v>
      </c>
      <c r="R118" s="7">
        <f t="shared" si="60"/>
        <v>0</v>
      </c>
      <c r="S118" s="7">
        <f t="shared" si="61"/>
        <v>0</v>
      </c>
    </row>
    <row r="119" spans="3:19" ht="12">
      <c r="C119" s="366"/>
      <c r="D119" s="840">
        <f>'Payroll 19-20'!D119</f>
        <v>0</v>
      </c>
      <c r="E119" s="840">
        <f>'Payroll 20-21'!E119*(1+'Revenue Inputs'!P$27)</f>
        <v>0</v>
      </c>
      <c r="F119" s="828">
        <f>'Payroll 20-21'!F119*(1+$I$4)</f>
        <v>0</v>
      </c>
      <c r="G119" s="322">
        <f>'Payroll 20-21'!G119</f>
        <v>0</v>
      </c>
      <c r="H119" s="319">
        <f>'Payroll 20-21'!H119</f>
        <v>0</v>
      </c>
      <c r="I119" s="320">
        <f t="shared" si="53"/>
        <v>0</v>
      </c>
      <c r="J119" s="7">
        <f t="shared" si="54"/>
        <v>0</v>
      </c>
      <c r="K119" s="7">
        <f t="shared" si="55"/>
        <v>0</v>
      </c>
      <c r="L119" s="7"/>
      <c r="M119" s="7">
        <f t="shared" si="56"/>
        <v>0</v>
      </c>
      <c r="N119" s="8" t="s">
        <v>75</v>
      </c>
      <c r="O119" s="8" t="str">
        <f t="shared" si="57"/>
        <v>N/A</v>
      </c>
      <c r="P119" s="7">
        <f t="shared" si="58"/>
        <v>0</v>
      </c>
      <c r="Q119" s="7">
        <f t="shared" si="59"/>
        <v>0</v>
      </c>
      <c r="R119" s="7">
        <f t="shared" si="60"/>
        <v>0</v>
      </c>
      <c r="S119" s="7">
        <f t="shared" si="61"/>
        <v>0</v>
      </c>
    </row>
    <row r="120" spans="3:19" ht="12">
      <c r="C120" s="368"/>
      <c r="D120" s="840">
        <f>'Payroll 19-20'!D120</f>
        <v>0</v>
      </c>
      <c r="E120" s="840">
        <f>'Payroll 20-21'!E120*(1+'Revenue Inputs'!P$27)</f>
        <v>0</v>
      </c>
      <c r="F120" s="828">
        <f>'Payroll 20-21'!F120*(1+$I$4)</f>
        <v>0</v>
      </c>
      <c r="G120" s="322">
        <f>'Payroll 20-21'!G120</f>
        <v>0</v>
      </c>
      <c r="H120" s="319">
        <f>'Payroll 20-21'!H120</f>
        <v>0</v>
      </c>
      <c r="I120" s="320">
        <f t="shared" si="53"/>
        <v>0</v>
      </c>
      <c r="J120" s="7">
        <f t="shared" si="54"/>
        <v>0</v>
      </c>
      <c r="K120" s="7">
        <f t="shared" si="55"/>
        <v>0</v>
      </c>
      <c r="L120" s="7"/>
      <c r="M120" s="7">
        <f t="shared" si="56"/>
        <v>0</v>
      </c>
      <c r="N120" s="8" t="s">
        <v>75</v>
      </c>
      <c r="O120" s="8" t="str">
        <f t="shared" si="57"/>
        <v>N/A</v>
      </c>
      <c r="P120" s="7">
        <f t="shared" si="58"/>
        <v>0</v>
      </c>
      <c r="Q120" s="7">
        <f t="shared" si="59"/>
        <v>0</v>
      </c>
      <c r="R120" s="7">
        <f t="shared" si="60"/>
        <v>0</v>
      </c>
      <c r="S120" s="7">
        <f t="shared" si="61"/>
        <v>0</v>
      </c>
    </row>
    <row r="121" spans="3:19" ht="13" thickBot="1">
      <c r="C121" s="368"/>
      <c r="D121" s="841"/>
      <c r="E121" s="841"/>
      <c r="F121" s="841"/>
      <c r="G121" s="28"/>
      <c r="H121" s="427"/>
      <c r="I121" s="337"/>
      <c r="J121" s="40"/>
      <c r="K121" s="40"/>
      <c r="L121" s="40"/>
      <c r="M121" s="40"/>
      <c r="N121" s="40"/>
      <c r="O121" s="40"/>
      <c r="P121" s="40"/>
      <c r="Q121" s="40"/>
      <c r="R121" s="40"/>
      <c r="S121" s="40"/>
    </row>
    <row r="122" spans="3:19" s="41" customFormat="1" ht="13" thickBot="1">
      <c r="C122" s="368"/>
      <c r="D122" s="834"/>
      <c r="E122" s="847"/>
      <c r="F122" s="834"/>
      <c r="G122" s="49"/>
      <c r="H122" s="333">
        <v>1300</v>
      </c>
      <c r="I122" s="10">
        <f>SUM(I102:I121)</f>
        <v>1408949.240064</v>
      </c>
      <c r="J122" s="10">
        <f>SUM(J102:J121)</f>
        <v>419857.605793408</v>
      </c>
      <c r="K122" s="10">
        <f>SUM(K102:K121)</f>
        <v>1828806.8458574081</v>
      </c>
      <c r="L122" s="11"/>
      <c r="M122" s="10">
        <f t="shared" ref="M122:S122" si="67">SUM(M102:M121)</f>
        <v>255019.81245158397</v>
      </c>
      <c r="N122" s="10">
        <f t="shared" si="67"/>
        <v>0</v>
      </c>
      <c r="O122" s="10">
        <f t="shared" si="67"/>
        <v>0</v>
      </c>
      <c r="P122" s="10">
        <f t="shared" si="67"/>
        <v>20429.763980928004</v>
      </c>
      <c r="Q122" s="10">
        <f t="shared" si="67"/>
        <v>114307.20000000003</v>
      </c>
      <c r="R122" s="10">
        <f t="shared" si="67"/>
        <v>10375.540000000001</v>
      </c>
      <c r="S122" s="10">
        <f t="shared" si="67"/>
        <v>19725.289360896</v>
      </c>
    </row>
    <row r="123" spans="3:19" ht="11.5" customHeight="1">
      <c r="C123" s="366" t="s">
        <v>19</v>
      </c>
      <c r="D123" s="835"/>
      <c r="E123" s="848"/>
      <c r="F123" s="835"/>
      <c r="G123" s="28"/>
      <c r="H123" s="35"/>
      <c r="I123" s="7"/>
      <c r="J123" s="7"/>
      <c r="K123" s="7"/>
      <c r="L123" s="7"/>
      <c r="M123" s="36"/>
      <c r="N123" s="36"/>
      <c r="O123" s="36"/>
      <c r="P123" s="36"/>
      <c r="Q123" s="36"/>
      <c r="R123" s="36"/>
      <c r="S123" s="36"/>
    </row>
    <row r="124" spans="3:19" ht="11.5" customHeight="1">
      <c r="C124" s="366"/>
      <c r="D124" s="840">
        <f>'Payroll 19-20'!D124</f>
        <v>0</v>
      </c>
      <c r="E124" s="840">
        <f>'Payroll 20-21'!E124*(1+'Revenue Inputs'!P$27)</f>
        <v>0</v>
      </c>
      <c r="F124" s="828">
        <f>'Payroll 20-21'!F124*(1+$I$4)</f>
        <v>0</v>
      </c>
      <c r="G124" s="322">
        <f>'Payroll 20-21'!G124</f>
        <v>0</v>
      </c>
      <c r="H124" s="319">
        <f>'Payroll 20-21'!H124</f>
        <v>0</v>
      </c>
      <c r="I124" s="320">
        <f t="shared" ref="I124:I142" si="68">F124*E124</f>
        <v>0</v>
      </c>
      <c r="J124" s="7">
        <f t="shared" ref="J124:J142" si="69">SUM(M124:S124)</f>
        <v>0</v>
      </c>
      <c r="K124" s="7">
        <f t="shared" ref="K124:K142" si="70">SUM(I124:J124)</f>
        <v>0</v>
      </c>
      <c r="L124" s="7"/>
      <c r="M124" s="7">
        <f t="shared" ref="M124:M142" si="71">I124*$M$5</f>
        <v>0</v>
      </c>
      <c r="N124" s="8" t="s">
        <v>75</v>
      </c>
      <c r="O124" s="8" t="str">
        <f t="shared" ref="O124:O142" si="72">IF($M$5&gt;0,"N/A",$O$5*I124)</f>
        <v>N/A</v>
      </c>
      <c r="P124" s="7">
        <f t="shared" ref="P124:P142" si="73">I124*$P$5</f>
        <v>0</v>
      </c>
      <c r="Q124" s="7">
        <f t="shared" ref="Q124:Q142" si="74">IF(H124="y", $Q$5*E124, 0)</f>
        <v>0</v>
      </c>
      <c r="R124" s="7">
        <f t="shared" ref="R124:R142" si="75">IF($I124&gt;7000,7000*R$5,$I124*R$5)*E124</f>
        <v>0</v>
      </c>
      <c r="S124" s="7">
        <f t="shared" ref="S124:S142" si="76">S$5*$I124</f>
        <v>0</v>
      </c>
    </row>
    <row r="125" spans="3:19" ht="11.5" customHeight="1">
      <c r="C125" s="366"/>
      <c r="D125" s="840">
        <f>'Payroll 19-20'!D125</f>
        <v>0</v>
      </c>
      <c r="E125" s="840">
        <f>'Payroll 20-21'!E125*(1+'Revenue Inputs'!P$27)</f>
        <v>0</v>
      </c>
      <c r="F125" s="828">
        <f>'Payroll 20-21'!F125*(1+$I$4)</f>
        <v>0</v>
      </c>
      <c r="G125" s="322">
        <f>'Payroll 20-21'!G125</f>
        <v>0</v>
      </c>
      <c r="H125" s="319">
        <f>'Payroll 20-21'!H125</f>
        <v>0</v>
      </c>
      <c r="I125" s="320">
        <f t="shared" si="68"/>
        <v>0</v>
      </c>
      <c r="J125" s="7">
        <f t="shared" ref="J125:J133" si="77">SUM(M125:S125)</f>
        <v>0</v>
      </c>
      <c r="K125" s="7">
        <f t="shared" ref="K125:K133" si="78">SUM(I125:J125)</f>
        <v>0</v>
      </c>
      <c r="L125" s="7"/>
      <c r="M125" s="7">
        <f t="shared" ref="M125:M133" si="79">I125*$M$5</f>
        <v>0</v>
      </c>
      <c r="N125" s="8" t="s">
        <v>75</v>
      </c>
      <c r="O125" s="8" t="str">
        <f t="shared" ref="O125:O133" si="80">IF($M$5&gt;0,"N/A",$O$5*I125)</f>
        <v>N/A</v>
      </c>
      <c r="P125" s="7">
        <f t="shared" ref="P125:P133" si="81">I125*$P$5</f>
        <v>0</v>
      </c>
      <c r="Q125" s="7">
        <f t="shared" si="74"/>
        <v>0</v>
      </c>
      <c r="R125" s="7">
        <f t="shared" si="75"/>
        <v>0</v>
      </c>
      <c r="S125" s="7">
        <f t="shared" si="76"/>
        <v>0</v>
      </c>
    </row>
    <row r="126" spans="3:19" ht="12" customHeight="1">
      <c r="C126" s="366"/>
      <c r="D126" s="840">
        <f>'Payroll 19-20'!D126</f>
        <v>0</v>
      </c>
      <c r="E126" s="840">
        <f>'Payroll 20-21'!E126*(1+'Revenue Inputs'!P$27)</f>
        <v>0</v>
      </c>
      <c r="F126" s="828">
        <f>'Payroll 20-21'!F126*(1+$I$4)</f>
        <v>0</v>
      </c>
      <c r="G126" s="322">
        <f>'Payroll 20-21'!G126</f>
        <v>0</v>
      </c>
      <c r="H126" s="319">
        <f>'Payroll 20-21'!H126</f>
        <v>0</v>
      </c>
      <c r="I126" s="320">
        <f t="shared" si="68"/>
        <v>0</v>
      </c>
      <c r="J126" s="7">
        <f t="shared" si="77"/>
        <v>0</v>
      </c>
      <c r="K126" s="7">
        <f t="shared" si="78"/>
        <v>0</v>
      </c>
      <c r="L126" s="7"/>
      <c r="M126" s="7">
        <f t="shared" si="79"/>
        <v>0</v>
      </c>
      <c r="N126" s="8" t="s">
        <v>75</v>
      </c>
      <c r="O126" s="8" t="str">
        <f t="shared" si="80"/>
        <v>N/A</v>
      </c>
      <c r="P126" s="7">
        <f t="shared" si="81"/>
        <v>0</v>
      </c>
      <c r="Q126" s="7">
        <f t="shared" si="74"/>
        <v>0</v>
      </c>
      <c r="R126" s="7">
        <f t="shared" si="75"/>
        <v>0</v>
      </c>
      <c r="S126" s="7">
        <f t="shared" si="76"/>
        <v>0</v>
      </c>
    </row>
    <row r="127" spans="3:19" ht="10.25" customHeight="1">
      <c r="C127" s="366"/>
      <c r="D127" s="840">
        <f>'Payroll 19-20'!D127</f>
        <v>0</v>
      </c>
      <c r="E127" s="840">
        <f>'Payroll 20-21'!E127*(1+'Revenue Inputs'!P$27)</f>
        <v>0</v>
      </c>
      <c r="F127" s="828">
        <f>'Payroll 20-21'!F127*(1+$I$4)</f>
        <v>0</v>
      </c>
      <c r="G127" s="322">
        <f>'Payroll 20-21'!G127</f>
        <v>0</v>
      </c>
      <c r="H127" s="319">
        <f>'Payroll 20-21'!H127</f>
        <v>0</v>
      </c>
      <c r="I127" s="320">
        <f t="shared" si="68"/>
        <v>0</v>
      </c>
      <c r="J127" s="7">
        <f t="shared" si="77"/>
        <v>0</v>
      </c>
      <c r="K127" s="7">
        <f t="shared" si="78"/>
        <v>0</v>
      </c>
      <c r="L127" s="7"/>
      <c r="M127" s="7">
        <f t="shared" si="79"/>
        <v>0</v>
      </c>
      <c r="N127" s="8" t="s">
        <v>75</v>
      </c>
      <c r="O127" s="8" t="str">
        <f t="shared" si="80"/>
        <v>N/A</v>
      </c>
      <c r="P127" s="7">
        <f t="shared" si="81"/>
        <v>0</v>
      </c>
      <c r="Q127" s="7">
        <f t="shared" si="74"/>
        <v>0</v>
      </c>
      <c r="R127" s="7">
        <f t="shared" si="75"/>
        <v>0</v>
      </c>
      <c r="S127" s="7">
        <f t="shared" si="76"/>
        <v>0</v>
      </c>
    </row>
    <row r="128" spans="3:19" ht="12" customHeight="1">
      <c r="C128" s="368"/>
      <c r="D128" s="840">
        <f>'Payroll 19-20'!D128</f>
        <v>0</v>
      </c>
      <c r="E128" s="840">
        <f>'Payroll 20-21'!E128*(1+'Revenue Inputs'!P$27)</f>
        <v>0</v>
      </c>
      <c r="F128" s="828">
        <f>'Payroll 20-21'!F128*(1+$I$4)</f>
        <v>0</v>
      </c>
      <c r="G128" s="322">
        <f>'Payroll 20-21'!G128</f>
        <v>0</v>
      </c>
      <c r="H128" s="319">
        <f>'Payroll 20-21'!H128</f>
        <v>0</v>
      </c>
      <c r="I128" s="320">
        <f t="shared" si="68"/>
        <v>0</v>
      </c>
      <c r="J128" s="7">
        <f t="shared" si="77"/>
        <v>0</v>
      </c>
      <c r="K128" s="7">
        <f t="shared" si="78"/>
        <v>0</v>
      </c>
      <c r="L128" s="7"/>
      <c r="M128" s="7">
        <f t="shared" si="79"/>
        <v>0</v>
      </c>
      <c r="N128" s="8" t="s">
        <v>75</v>
      </c>
      <c r="O128" s="8" t="str">
        <f t="shared" si="80"/>
        <v>N/A</v>
      </c>
      <c r="P128" s="7">
        <f t="shared" si="81"/>
        <v>0</v>
      </c>
      <c r="Q128" s="7">
        <f t="shared" si="74"/>
        <v>0</v>
      </c>
      <c r="R128" s="7">
        <f t="shared" si="75"/>
        <v>0</v>
      </c>
      <c r="S128" s="7">
        <f t="shared" si="76"/>
        <v>0</v>
      </c>
    </row>
    <row r="129" spans="3:19" ht="11.5" customHeight="1">
      <c r="C129" s="366"/>
      <c r="D129" s="840">
        <f>'Payroll 19-20'!D129</f>
        <v>0</v>
      </c>
      <c r="E129" s="840">
        <f>'Payroll 20-21'!E129*(1+'Revenue Inputs'!P$27)</f>
        <v>0</v>
      </c>
      <c r="F129" s="828">
        <f>'Payroll 20-21'!F129*(1+$I$4)</f>
        <v>0</v>
      </c>
      <c r="G129" s="322">
        <f>'Payroll 20-21'!G129</f>
        <v>0</v>
      </c>
      <c r="H129" s="319">
        <f>'Payroll 20-21'!H129</f>
        <v>0</v>
      </c>
      <c r="I129" s="320">
        <f t="shared" si="68"/>
        <v>0</v>
      </c>
      <c r="J129" s="7">
        <f t="shared" si="77"/>
        <v>0</v>
      </c>
      <c r="K129" s="7">
        <f t="shared" si="78"/>
        <v>0</v>
      </c>
      <c r="L129" s="7"/>
      <c r="M129" s="7">
        <f t="shared" si="79"/>
        <v>0</v>
      </c>
      <c r="N129" s="8" t="s">
        <v>75</v>
      </c>
      <c r="O129" s="8" t="str">
        <f t="shared" si="80"/>
        <v>N/A</v>
      </c>
      <c r="P129" s="7">
        <f t="shared" si="81"/>
        <v>0</v>
      </c>
      <c r="Q129" s="7">
        <f t="shared" si="74"/>
        <v>0</v>
      </c>
      <c r="R129" s="7">
        <f t="shared" si="75"/>
        <v>0</v>
      </c>
      <c r="S129" s="7">
        <f t="shared" si="76"/>
        <v>0</v>
      </c>
    </row>
    <row r="130" spans="3:19" ht="11.5" customHeight="1">
      <c r="C130" s="366"/>
      <c r="D130" s="840">
        <f>'Payroll 19-20'!D130</f>
        <v>0</v>
      </c>
      <c r="E130" s="840">
        <f>'Payroll 20-21'!E130*(1+'Revenue Inputs'!P$27)</f>
        <v>0</v>
      </c>
      <c r="F130" s="828">
        <f>'Payroll 20-21'!F130*(1+$I$4)</f>
        <v>0</v>
      </c>
      <c r="G130" s="322">
        <f>'Payroll 20-21'!G130</f>
        <v>0</v>
      </c>
      <c r="H130" s="319">
        <f>'Payroll 20-21'!H130</f>
        <v>0</v>
      </c>
      <c r="I130" s="320">
        <f t="shared" si="68"/>
        <v>0</v>
      </c>
      <c r="J130" s="7">
        <f t="shared" si="77"/>
        <v>0</v>
      </c>
      <c r="K130" s="7">
        <f t="shared" si="78"/>
        <v>0</v>
      </c>
      <c r="L130" s="7"/>
      <c r="M130" s="7">
        <f t="shared" si="79"/>
        <v>0</v>
      </c>
      <c r="N130" s="8" t="s">
        <v>75</v>
      </c>
      <c r="O130" s="8" t="str">
        <f t="shared" si="80"/>
        <v>N/A</v>
      </c>
      <c r="P130" s="7">
        <f t="shared" si="81"/>
        <v>0</v>
      </c>
      <c r="Q130" s="7">
        <f t="shared" si="74"/>
        <v>0</v>
      </c>
      <c r="R130" s="7">
        <f t="shared" si="75"/>
        <v>0</v>
      </c>
      <c r="S130" s="7">
        <f t="shared" si="76"/>
        <v>0</v>
      </c>
    </row>
    <row r="131" spans="3:19" ht="11.5" customHeight="1">
      <c r="C131" s="366"/>
      <c r="D131" s="840">
        <f>'Payroll 19-20'!D131</f>
        <v>0</v>
      </c>
      <c r="E131" s="840">
        <f>'Payroll 20-21'!E131*(1+'Revenue Inputs'!P$27)</f>
        <v>0</v>
      </c>
      <c r="F131" s="828">
        <f>'Payroll 20-21'!F131*(1+$I$4)</f>
        <v>0</v>
      </c>
      <c r="G131" s="322">
        <f>'Payroll 20-21'!G131</f>
        <v>0</v>
      </c>
      <c r="H131" s="319">
        <f>'Payroll 20-21'!H131</f>
        <v>0</v>
      </c>
      <c r="I131" s="320">
        <f t="shared" si="68"/>
        <v>0</v>
      </c>
      <c r="J131" s="7">
        <f t="shared" si="77"/>
        <v>0</v>
      </c>
      <c r="K131" s="7">
        <f t="shared" si="78"/>
        <v>0</v>
      </c>
      <c r="L131" s="7"/>
      <c r="M131" s="7">
        <f t="shared" si="79"/>
        <v>0</v>
      </c>
      <c r="N131" s="8" t="s">
        <v>75</v>
      </c>
      <c r="O131" s="8" t="str">
        <f t="shared" si="80"/>
        <v>N/A</v>
      </c>
      <c r="P131" s="7">
        <f t="shared" si="81"/>
        <v>0</v>
      </c>
      <c r="Q131" s="7">
        <f t="shared" si="74"/>
        <v>0</v>
      </c>
      <c r="R131" s="7">
        <f t="shared" si="75"/>
        <v>0</v>
      </c>
      <c r="S131" s="7">
        <f t="shared" si="76"/>
        <v>0</v>
      </c>
    </row>
    <row r="132" spans="3:19" ht="11.5" customHeight="1">
      <c r="C132" s="366"/>
      <c r="D132" s="840">
        <f>'Payroll 19-20'!D132</f>
        <v>0</v>
      </c>
      <c r="E132" s="840">
        <f>'Payroll 20-21'!E132*(1+'Revenue Inputs'!P$27)</f>
        <v>0</v>
      </c>
      <c r="F132" s="828">
        <f>'Payroll 20-21'!F132*(1+$I$4)</f>
        <v>0</v>
      </c>
      <c r="G132" s="322">
        <f>'Payroll 20-21'!G132</f>
        <v>0</v>
      </c>
      <c r="H132" s="319">
        <f>'Payroll 20-21'!H132</f>
        <v>0</v>
      </c>
      <c r="I132" s="320">
        <f t="shared" si="68"/>
        <v>0</v>
      </c>
      <c r="J132" s="7">
        <f t="shared" si="77"/>
        <v>0</v>
      </c>
      <c r="K132" s="7">
        <f t="shared" si="78"/>
        <v>0</v>
      </c>
      <c r="L132" s="7"/>
      <c r="M132" s="7">
        <f t="shared" si="79"/>
        <v>0</v>
      </c>
      <c r="N132" s="8" t="s">
        <v>75</v>
      </c>
      <c r="O132" s="8" t="str">
        <f t="shared" si="80"/>
        <v>N/A</v>
      </c>
      <c r="P132" s="7">
        <f t="shared" si="81"/>
        <v>0</v>
      </c>
      <c r="Q132" s="7">
        <f t="shared" si="74"/>
        <v>0</v>
      </c>
      <c r="R132" s="7">
        <f t="shared" si="75"/>
        <v>0</v>
      </c>
      <c r="S132" s="7">
        <f t="shared" si="76"/>
        <v>0</v>
      </c>
    </row>
    <row r="133" spans="3:19" ht="12" customHeight="1">
      <c r="C133" s="368"/>
      <c r="D133" s="840">
        <f>'Payroll 19-20'!D133</f>
        <v>0</v>
      </c>
      <c r="E133" s="840">
        <f>'Payroll 20-21'!E133*(1+'Revenue Inputs'!P$27)</f>
        <v>0</v>
      </c>
      <c r="F133" s="828">
        <f>'Payroll 20-21'!F133*(1+$I$4)</f>
        <v>0</v>
      </c>
      <c r="G133" s="322">
        <f>'Payroll 20-21'!G133</f>
        <v>0</v>
      </c>
      <c r="H133" s="319">
        <f>'Payroll 20-21'!H133</f>
        <v>0</v>
      </c>
      <c r="I133" s="320">
        <f t="shared" si="68"/>
        <v>0</v>
      </c>
      <c r="J133" s="7">
        <f t="shared" si="77"/>
        <v>0</v>
      </c>
      <c r="K133" s="7">
        <f t="shared" si="78"/>
        <v>0</v>
      </c>
      <c r="L133" s="7"/>
      <c r="M133" s="7">
        <f t="shared" si="79"/>
        <v>0</v>
      </c>
      <c r="N133" s="8" t="s">
        <v>75</v>
      </c>
      <c r="O133" s="8" t="str">
        <f t="shared" si="80"/>
        <v>N/A</v>
      </c>
      <c r="P133" s="7">
        <f t="shared" si="81"/>
        <v>0</v>
      </c>
      <c r="Q133" s="7">
        <f t="shared" si="74"/>
        <v>0</v>
      </c>
      <c r="R133" s="7">
        <f t="shared" si="75"/>
        <v>0</v>
      </c>
      <c r="S133" s="7">
        <f t="shared" si="76"/>
        <v>0</v>
      </c>
    </row>
    <row r="134" spans="3:19" ht="11.5" customHeight="1">
      <c r="C134" s="366"/>
      <c r="D134" s="840">
        <f>'Payroll 19-20'!D134</f>
        <v>0</v>
      </c>
      <c r="E134" s="840">
        <f>'Payroll 20-21'!E134*(1+'Revenue Inputs'!P$27)</f>
        <v>0</v>
      </c>
      <c r="F134" s="828">
        <f>'Payroll 20-21'!F134*(1+$I$4)</f>
        <v>0</v>
      </c>
      <c r="G134" s="322">
        <f>'Payroll 20-21'!G134</f>
        <v>0</v>
      </c>
      <c r="H134" s="319">
        <f>'Payroll 20-21'!H134</f>
        <v>0</v>
      </c>
      <c r="I134" s="320">
        <f t="shared" si="68"/>
        <v>0</v>
      </c>
      <c r="J134" s="7">
        <f t="shared" si="69"/>
        <v>0</v>
      </c>
      <c r="K134" s="7">
        <f t="shared" si="70"/>
        <v>0</v>
      </c>
      <c r="L134" s="7"/>
      <c r="M134" s="7">
        <f t="shared" si="71"/>
        <v>0</v>
      </c>
      <c r="N134" s="8" t="s">
        <v>75</v>
      </c>
      <c r="O134" s="8" t="str">
        <f t="shared" si="72"/>
        <v>N/A</v>
      </c>
      <c r="P134" s="7">
        <f t="shared" si="73"/>
        <v>0</v>
      </c>
      <c r="Q134" s="7">
        <f t="shared" si="74"/>
        <v>0</v>
      </c>
      <c r="R134" s="7">
        <f t="shared" si="75"/>
        <v>0</v>
      </c>
      <c r="S134" s="7">
        <f t="shared" si="76"/>
        <v>0</v>
      </c>
    </row>
    <row r="135" spans="3:19" ht="12" customHeight="1">
      <c r="C135" s="366"/>
      <c r="D135" s="840">
        <f>'Payroll 19-20'!D135</f>
        <v>0</v>
      </c>
      <c r="E135" s="840">
        <f>'Payroll 20-21'!E135*(1+'Revenue Inputs'!P$27)</f>
        <v>0</v>
      </c>
      <c r="F135" s="828">
        <f>'Payroll 20-21'!F135*(1+$I$4)</f>
        <v>0</v>
      </c>
      <c r="G135" s="322">
        <f>'Payroll 20-21'!G135</f>
        <v>0</v>
      </c>
      <c r="H135" s="319">
        <f>'Payroll 20-21'!H135</f>
        <v>0</v>
      </c>
      <c r="I135" s="320">
        <f t="shared" si="68"/>
        <v>0</v>
      </c>
      <c r="J135" s="7">
        <f t="shared" si="69"/>
        <v>0</v>
      </c>
      <c r="K135" s="7">
        <f t="shared" si="70"/>
        <v>0</v>
      </c>
      <c r="L135" s="7"/>
      <c r="M135" s="7">
        <f t="shared" si="71"/>
        <v>0</v>
      </c>
      <c r="N135" s="8" t="s">
        <v>75</v>
      </c>
      <c r="O135" s="8" t="str">
        <f t="shared" si="72"/>
        <v>N/A</v>
      </c>
      <c r="P135" s="7">
        <f t="shared" si="73"/>
        <v>0</v>
      </c>
      <c r="Q135" s="7">
        <f t="shared" si="74"/>
        <v>0</v>
      </c>
      <c r="R135" s="7">
        <f t="shared" si="75"/>
        <v>0</v>
      </c>
      <c r="S135" s="7">
        <f t="shared" si="76"/>
        <v>0</v>
      </c>
    </row>
    <row r="136" spans="3:19" ht="10.25" customHeight="1">
      <c r="C136" s="366"/>
      <c r="D136" s="840">
        <f>'Payroll 19-20'!D136</f>
        <v>0</v>
      </c>
      <c r="E136" s="840">
        <f>'Payroll 20-21'!E136*(1+'Revenue Inputs'!P$27)</f>
        <v>0</v>
      </c>
      <c r="F136" s="828">
        <f>'Payroll 20-21'!F136*(1+$I$4)</f>
        <v>0</v>
      </c>
      <c r="G136" s="322">
        <f>'Payroll 20-21'!G136</f>
        <v>0</v>
      </c>
      <c r="H136" s="319">
        <f>'Payroll 20-21'!H136</f>
        <v>0</v>
      </c>
      <c r="I136" s="320">
        <f t="shared" si="68"/>
        <v>0</v>
      </c>
      <c r="J136" s="7">
        <f t="shared" si="69"/>
        <v>0</v>
      </c>
      <c r="K136" s="7">
        <f t="shared" si="70"/>
        <v>0</v>
      </c>
      <c r="L136" s="7"/>
      <c r="M136" s="7">
        <f t="shared" si="71"/>
        <v>0</v>
      </c>
      <c r="N136" s="8" t="s">
        <v>75</v>
      </c>
      <c r="O136" s="8" t="str">
        <f t="shared" si="72"/>
        <v>N/A</v>
      </c>
      <c r="P136" s="7">
        <f t="shared" si="73"/>
        <v>0</v>
      </c>
      <c r="Q136" s="7">
        <f t="shared" si="74"/>
        <v>0</v>
      </c>
      <c r="R136" s="7">
        <f t="shared" si="75"/>
        <v>0</v>
      </c>
      <c r="S136" s="7">
        <f t="shared" si="76"/>
        <v>0</v>
      </c>
    </row>
    <row r="137" spans="3:19" ht="12" customHeight="1">
      <c r="C137" s="368"/>
      <c r="D137" s="840">
        <f>'Payroll 19-20'!D137</f>
        <v>0</v>
      </c>
      <c r="E137" s="840">
        <f>'Payroll 20-21'!E137*(1+'Revenue Inputs'!P$27)</f>
        <v>0</v>
      </c>
      <c r="F137" s="828">
        <f>'Payroll 20-21'!F137*(1+$I$4)</f>
        <v>0</v>
      </c>
      <c r="G137" s="322">
        <f>'Payroll 20-21'!G137</f>
        <v>0</v>
      </c>
      <c r="H137" s="319">
        <f>'Payroll 20-21'!H137</f>
        <v>0</v>
      </c>
      <c r="I137" s="320">
        <f t="shared" si="68"/>
        <v>0</v>
      </c>
      <c r="J137" s="7">
        <f t="shared" si="69"/>
        <v>0</v>
      </c>
      <c r="K137" s="7">
        <f t="shared" si="70"/>
        <v>0</v>
      </c>
      <c r="L137" s="7"/>
      <c r="M137" s="7">
        <f t="shared" si="71"/>
        <v>0</v>
      </c>
      <c r="N137" s="8" t="s">
        <v>75</v>
      </c>
      <c r="O137" s="8" t="str">
        <f t="shared" si="72"/>
        <v>N/A</v>
      </c>
      <c r="P137" s="7">
        <f t="shared" si="73"/>
        <v>0</v>
      </c>
      <c r="Q137" s="7">
        <f t="shared" si="74"/>
        <v>0</v>
      </c>
      <c r="R137" s="7">
        <f t="shared" si="75"/>
        <v>0</v>
      </c>
      <c r="S137" s="7">
        <f t="shared" si="76"/>
        <v>0</v>
      </c>
    </row>
    <row r="138" spans="3:19" ht="11.5" customHeight="1">
      <c r="C138" s="366"/>
      <c r="D138" s="840">
        <f>'Payroll 19-20'!D138</f>
        <v>0</v>
      </c>
      <c r="E138" s="840">
        <f>'Payroll 20-21'!E138*(1+'Revenue Inputs'!P$27)</f>
        <v>0</v>
      </c>
      <c r="F138" s="828">
        <f>'Payroll 20-21'!F138*(1+$I$4)</f>
        <v>0</v>
      </c>
      <c r="G138" s="322">
        <f>'Payroll 20-21'!G138</f>
        <v>0</v>
      </c>
      <c r="H138" s="319">
        <f>'Payroll 20-21'!H138</f>
        <v>0</v>
      </c>
      <c r="I138" s="320">
        <f t="shared" si="68"/>
        <v>0</v>
      </c>
      <c r="J138" s="7">
        <f t="shared" si="69"/>
        <v>0</v>
      </c>
      <c r="K138" s="7">
        <f t="shared" si="70"/>
        <v>0</v>
      </c>
      <c r="L138" s="7"/>
      <c r="M138" s="7">
        <f t="shared" si="71"/>
        <v>0</v>
      </c>
      <c r="N138" s="8" t="s">
        <v>75</v>
      </c>
      <c r="O138" s="8" t="str">
        <f t="shared" si="72"/>
        <v>N/A</v>
      </c>
      <c r="P138" s="7">
        <f t="shared" si="73"/>
        <v>0</v>
      </c>
      <c r="Q138" s="7">
        <f t="shared" si="74"/>
        <v>0</v>
      </c>
      <c r="R138" s="7">
        <f t="shared" si="75"/>
        <v>0</v>
      </c>
      <c r="S138" s="7">
        <f t="shared" si="76"/>
        <v>0</v>
      </c>
    </row>
    <row r="139" spans="3:19" ht="11.5" customHeight="1">
      <c r="C139" s="366"/>
      <c r="D139" s="840">
        <f>'Payroll 19-20'!D139</f>
        <v>0</v>
      </c>
      <c r="E139" s="840">
        <f>'Payroll 20-21'!E139*(1+'Revenue Inputs'!P$27)</f>
        <v>0</v>
      </c>
      <c r="F139" s="828">
        <f>'Payroll 20-21'!F139*(1+$I$4)</f>
        <v>0</v>
      </c>
      <c r="G139" s="322">
        <f>'Payroll 20-21'!G139</f>
        <v>0</v>
      </c>
      <c r="H139" s="319">
        <f>'Payroll 20-21'!H139</f>
        <v>0</v>
      </c>
      <c r="I139" s="320">
        <f t="shared" si="68"/>
        <v>0</v>
      </c>
      <c r="J139" s="7">
        <f t="shared" si="69"/>
        <v>0</v>
      </c>
      <c r="K139" s="7">
        <f t="shared" si="70"/>
        <v>0</v>
      </c>
      <c r="L139" s="7"/>
      <c r="M139" s="7">
        <f t="shared" si="71"/>
        <v>0</v>
      </c>
      <c r="N139" s="8" t="s">
        <v>75</v>
      </c>
      <c r="O139" s="8" t="str">
        <f t="shared" si="72"/>
        <v>N/A</v>
      </c>
      <c r="P139" s="7">
        <f t="shared" si="73"/>
        <v>0</v>
      </c>
      <c r="Q139" s="7">
        <f t="shared" si="74"/>
        <v>0</v>
      </c>
      <c r="R139" s="7">
        <f t="shared" si="75"/>
        <v>0</v>
      </c>
      <c r="S139" s="7">
        <f t="shared" si="76"/>
        <v>0</v>
      </c>
    </row>
    <row r="140" spans="3:19" ht="11.5" customHeight="1">
      <c r="C140" s="366"/>
      <c r="D140" s="840">
        <f>'Payroll 19-20'!D140</f>
        <v>0</v>
      </c>
      <c r="E140" s="840">
        <f>'Payroll 20-21'!E140*(1+'Revenue Inputs'!P$27)</f>
        <v>0</v>
      </c>
      <c r="F140" s="828">
        <f>'Payroll 20-21'!F140*(1+$I$4)</f>
        <v>0</v>
      </c>
      <c r="G140" s="322">
        <f>'Payroll 20-21'!G140</f>
        <v>0</v>
      </c>
      <c r="H140" s="319">
        <f>'Payroll 20-21'!H140</f>
        <v>0</v>
      </c>
      <c r="I140" s="320">
        <f t="shared" si="68"/>
        <v>0</v>
      </c>
      <c r="J140" s="7">
        <f t="shared" si="69"/>
        <v>0</v>
      </c>
      <c r="K140" s="7">
        <f t="shared" si="70"/>
        <v>0</v>
      </c>
      <c r="L140" s="7"/>
      <c r="M140" s="7">
        <f t="shared" si="71"/>
        <v>0</v>
      </c>
      <c r="N140" s="8" t="s">
        <v>75</v>
      </c>
      <c r="O140" s="8" t="str">
        <f t="shared" si="72"/>
        <v>N/A</v>
      </c>
      <c r="P140" s="7">
        <f t="shared" si="73"/>
        <v>0</v>
      </c>
      <c r="Q140" s="7">
        <f t="shared" si="74"/>
        <v>0</v>
      </c>
      <c r="R140" s="7">
        <f t="shared" si="75"/>
        <v>0</v>
      </c>
      <c r="S140" s="7">
        <f t="shared" si="76"/>
        <v>0</v>
      </c>
    </row>
    <row r="141" spans="3:19" ht="11.5" customHeight="1">
      <c r="C141" s="366"/>
      <c r="D141" s="840">
        <f>'Payroll 19-20'!D141</f>
        <v>0</v>
      </c>
      <c r="E141" s="840">
        <f>'Payroll 20-21'!E141*(1+'Revenue Inputs'!P$27)</f>
        <v>0</v>
      </c>
      <c r="F141" s="828">
        <f>'Payroll 20-21'!F141*(1+$I$4)</f>
        <v>0</v>
      </c>
      <c r="G141" s="322">
        <f>'Payroll 20-21'!G141</f>
        <v>0</v>
      </c>
      <c r="H141" s="319">
        <f>'Payroll 20-21'!H141</f>
        <v>0</v>
      </c>
      <c r="I141" s="320">
        <f t="shared" si="68"/>
        <v>0</v>
      </c>
      <c r="J141" s="7">
        <f t="shared" si="69"/>
        <v>0</v>
      </c>
      <c r="K141" s="7">
        <f t="shared" si="70"/>
        <v>0</v>
      </c>
      <c r="L141" s="7"/>
      <c r="M141" s="7">
        <f t="shared" si="71"/>
        <v>0</v>
      </c>
      <c r="N141" s="8" t="s">
        <v>75</v>
      </c>
      <c r="O141" s="8" t="str">
        <f t="shared" si="72"/>
        <v>N/A</v>
      </c>
      <c r="P141" s="7">
        <f t="shared" si="73"/>
        <v>0</v>
      </c>
      <c r="Q141" s="7">
        <f t="shared" si="74"/>
        <v>0</v>
      </c>
      <c r="R141" s="7">
        <f t="shared" si="75"/>
        <v>0</v>
      </c>
      <c r="S141" s="7">
        <f t="shared" si="76"/>
        <v>0</v>
      </c>
    </row>
    <row r="142" spans="3:19" ht="12" customHeight="1">
      <c r="C142" s="368"/>
      <c r="D142" s="840">
        <f>'Payroll 19-20'!D142</f>
        <v>0</v>
      </c>
      <c r="E142" s="840">
        <f>'Payroll 20-21'!E142*(1+'Revenue Inputs'!P$27)</f>
        <v>0</v>
      </c>
      <c r="F142" s="828">
        <f>'Payroll 20-21'!F142*(1+$I$4)</f>
        <v>0</v>
      </c>
      <c r="G142" s="322">
        <f>'Payroll 20-21'!G142</f>
        <v>0</v>
      </c>
      <c r="H142" s="319">
        <f>'Payroll 20-21'!H142</f>
        <v>0</v>
      </c>
      <c r="I142" s="320">
        <f t="shared" si="68"/>
        <v>0</v>
      </c>
      <c r="J142" s="7">
        <f t="shared" si="69"/>
        <v>0</v>
      </c>
      <c r="K142" s="7">
        <f t="shared" si="70"/>
        <v>0</v>
      </c>
      <c r="L142" s="7"/>
      <c r="M142" s="7">
        <f t="shared" si="71"/>
        <v>0</v>
      </c>
      <c r="N142" s="8" t="s">
        <v>75</v>
      </c>
      <c r="O142" s="8" t="str">
        <f t="shared" si="72"/>
        <v>N/A</v>
      </c>
      <c r="P142" s="7">
        <f t="shared" si="73"/>
        <v>0</v>
      </c>
      <c r="Q142" s="7">
        <f t="shared" si="74"/>
        <v>0</v>
      </c>
      <c r="R142" s="7">
        <f t="shared" si="75"/>
        <v>0</v>
      </c>
      <c r="S142" s="7">
        <f t="shared" si="76"/>
        <v>0</v>
      </c>
    </row>
    <row r="143" spans="3:19" ht="12.5" customHeight="1" thickBot="1">
      <c r="C143" s="368"/>
      <c r="D143" s="841"/>
      <c r="E143" s="841"/>
      <c r="F143" s="841"/>
      <c r="G143" s="28"/>
      <c r="H143" s="427"/>
      <c r="I143" s="337"/>
      <c r="J143" s="40"/>
      <c r="K143" s="40"/>
      <c r="L143" s="40"/>
      <c r="M143" s="40"/>
      <c r="N143" s="40"/>
      <c r="O143" s="40"/>
      <c r="P143" s="40"/>
      <c r="Q143" s="40"/>
      <c r="R143" s="40"/>
      <c r="S143" s="40"/>
    </row>
    <row r="144" spans="3:19" s="41" customFormat="1" ht="12.5" customHeight="1" thickBot="1">
      <c r="C144" s="368"/>
      <c r="D144" s="834"/>
      <c r="E144" s="847"/>
      <c r="F144" s="834"/>
      <c r="G144" s="49"/>
      <c r="H144" s="333">
        <v>1900</v>
      </c>
      <c r="I144" s="15">
        <f>SUM(I124:I143)</f>
        <v>0</v>
      </c>
      <c r="J144" s="15">
        <f>SUM(J124:J143)</f>
        <v>0</v>
      </c>
      <c r="K144" s="15">
        <f>SUM(K124:K143)</f>
        <v>0</v>
      </c>
      <c r="L144" s="16"/>
      <c r="M144" s="15">
        <f t="shared" ref="M144:S144" si="82">SUM(M124:M143)</f>
        <v>0</v>
      </c>
      <c r="N144" s="15">
        <f t="shared" si="82"/>
        <v>0</v>
      </c>
      <c r="O144" s="15">
        <f t="shared" si="82"/>
        <v>0</v>
      </c>
      <c r="P144" s="15">
        <f t="shared" si="82"/>
        <v>0</v>
      </c>
      <c r="Q144" s="15">
        <f t="shared" si="82"/>
        <v>0</v>
      </c>
      <c r="R144" s="15">
        <f t="shared" si="82"/>
        <v>0</v>
      </c>
      <c r="S144" s="15">
        <f t="shared" si="82"/>
        <v>0</v>
      </c>
    </row>
    <row r="145" spans="3:19" ht="12" customHeight="1">
      <c r="C145" s="369" t="s">
        <v>20</v>
      </c>
      <c r="D145" s="835"/>
      <c r="E145" s="848"/>
      <c r="F145" s="835"/>
      <c r="G145" s="28"/>
      <c r="H145" s="35"/>
      <c r="I145" s="7"/>
      <c r="J145" s="7"/>
      <c r="K145" s="7"/>
      <c r="L145" s="7"/>
      <c r="M145" s="36"/>
      <c r="N145" s="36"/>
      <c r="O145" s="36"/>
      <c r="P145" s="36"/>
      <c r="Q145" s="36"/>
      <c r="R145" s="36"/>
      <c r="S145" s="36"/>
    </row>
    <row r="146" spans="3:19" ht="12" customHeight="1">
      <c r="C146" s="369"/>
      <c r="D146" s="840" t="str">
        <f>'Payroll 19-20'!D146</f>
        <v>April M. Tilden</v>
      </c>
      <c r="E146" s="840">
        <f>'Payroll 20-21'!E146*(1+'Revenue Inputs'!P$27)</f>
        <v>1</v>
      </c>
      <c r="F146" s="828">
        <f>'Payroll 20-21'!F146*(1+$I$4)</f>
        <v>61225.084655999999</v>
      </c>
      <c r="G146" s="322">
        <f>'Payroll 20-21'!G146</f>
        <v>12</v>
      </c>
      <c r="H146" s="319" t="str">
        <f>'Payroll 20-21'!H146</f>
        <v>y</v>
      </c>
      <c r="I146" s="320">
        <f t="shared" ref="I146:I164" si="83">F146*E146</f>
        <v>61225.084655999999</v>
      </c>
      <c r="J146" s="7">
        <f t="shared" ref="J146:J164" si="84">SUM(M146:S146)</f>
        <v>14195.670161368002</v>
      </c>
      <c r="K146" s="7">
        <f t="shared" ref="K146:K164" si="85">SUM(I146:J146)</f>
        <v>75420.754817367997</v>
      </c>
      <c r="L146" s="7"/>
      <c r="M146" s="8" t="s">
        <v>75</v>
      </c>
      <c r="N146" s="7">
        <f t="shared" ref="N146:N164" si="86">I146*$N$5</f>
        <v>0</v>
      </c>
      <c r="O146" s="8">
        <f>I146*$O$5</f>
        <v>3795.9552486719999</v>
      </c>
      <c r="P146" s="7">
        <f t="shared" ref="P146:P164" si="87">I146*$P$5</f>
        <v>887.76372751200006</v>
      </c>
      <c r="Q146" s="7">
        <f t="shared" ref="Q146:Q164" si="88">IF(H146="y", $Q$5*E146, 0)</f>
        <v>8164.8000000000011</v>
      </c>
      <c r="R146" s="7">
        <f t="shared" ref="R146:R164" si="89">IF($I146&gt;7000,7000*R$5,$I146*R$5)*E146</f>
        <v>490.00000000000006</v>
      </c>
      <c r="S146" s="7">
        <f t="shared" ref="S146:S164" si="90">S$5*$I146</f>
        <v>857.15118518400004</v>
      </c>
    </row>
    <row r="147" spans="3:19" ht="12" customHeight="1">
      <c r="C147" s="369"/>
      <c r="D147" s="1027" t="str">
        <f>'Payroll 19-20'!D147</f>
        <v>Christina D. McGuigan</v>
      </c>
      <c r="E147" s="1027">
        <f>'Payroll 20-21'!E147*(1+'Revenue Inputs'!P$27)</f>
        <v>1</v>
      </c>
      <c r="F147" s="1022">
        <v>62400</v>
      </c>
      <c r="G147" s="1023">
        <f>'Payroll 20-21'!G147</f>
        <v>12</v>
      </c>
      <c r="H147" s="1024" t="str">
        <f>'Payroll 20-21'!H147</f>
        <v>y</v>
      </c>
      <c r="I147" s="1025">
        <f t="shared" si="83"/>
        <v>62400</v>
      </c>
      <c r="J147" s="7">
        <f t="shared" ref="J147:J155" si="91">SUM(M147:S147)</f>
        <v>14302.000000000002</v>
      </c>
      <c r="K147" s="7">
        <f t="shared" ref="K147:K155" si="92">SUM(I147:J147)</f>
        <v>76702</v>
      </c>
      <c r="L147" s="7"/>
      <c r="M147" s="8" t="s">
        <v>75</v>
      </c>
      <c r="N147" s="7">
        <f t="shared" ref="N147:N155" si="93">I147*$N$5</f>
        <v>0</v>
      </c>
      <c r="O147" s="8">
        <f t="shared" ref="O147:O150" si="94">I147*$O$5</f>
        <v>3868.8</v>
      </c>
      <c r="P147" s="7">
        <f t="shared" ref="P147:P155" si="95">I147*$P$5</f>
        <v>904.80000000000007</v>
      </c>
      <c r="Q147" s="7">
        <f t="shared" si="88"/>
        <v>8164.8000000000011</v>
      </c>
      <c r="R147" s="7">
        <f t="shared" si="89"/>
        <v>490.00000000000006</v>
      </c>
      <c r="S147" s="7">
        <f t="shared" si="90"/>
        <v>873.6</v>
      </c>
    </row>
    <row r="148" spans="3:19" ht="12" customHeight="1">
      <c r="C148" s="369"/>
      <c r="D148" s="1027" t="str">
        <f>'Payroll 19-20'!D148</f>
        <v>Hughes J. Cano</v>
      </c>
      <c r="E148" s="1027">
        <f>'Payroll 20-21'!E148*(1+'Revenue Inputs'!P$27)</f>
        <v>1</v>
      </c>
      <c r="F148" s="1022">
        <v>62400</v>
      </c>
      <c r="G148" s="1023">
        <f>'Payroll 20-21'!G148</f>
        <v>12</v>
      </c>
      <c r="H148" s="1024" t="str">
        <f>'Payroll 20-21'!H148</f>
        <v>y</v>
      </c>
      <c r="I148" s="1025">
        <f t="shared" si="83"/>
        <v>62400</v>
      </c>
      <c r="J148" s="7">
        <f t="shared" si="91"/>
        <v>14302.000000000002</v>
      </c>
      <c r="K148" s="7">
        <f t="shared" si="92"/>
        <v>76702</v>
      </c>
      <c r="L148" s="7"/>
      <c r="M148" s="8" t="s">
        <v>75</v>
      </c>
      <c r="N148" s="7">
        <f t="shared" si="93"/>
        <v>0</v>
      </c>
      <c r="O148" s="8">
        <f t="shared" si="94"/>
        <v>3868.8</v>
      </c>
      <c r="P148" s="7">
        <f t="shared" si="95"/>
        <v>904.80000000000007</v>
      </c>
      <c r="Q148" s="7">
        <f t="shared" si="88"/>
        <v>8164.8000000000011</v>
      </c>
      <c r="R148" s="7">
        <f t="shared" si="89"/>
        <v>490.00000000000006</v>
      </c>
      <c r="S148" s="7">
        <f>S$5*$I148</f>
        <v>873.6</v>
      </c>
    </row>
    <row r="149" spans="3:19" ht="12" customHeight="1">
      <c r="C149" s="369"/>
      <c r="D149" s="1027" t="str">
        <f>'Payroll 19-20'!D149</f>
        <v>Jonathan J. Quijas</v>
      </c>
      <c r="E149" s="1027">
        <f>'Payroll 20-21'!E149*(1+'Revenue Inputs'!P$27)</f>
        <v>1</v>
      </c>
      <c r="F149" s="1022">
        <v>62400</v>
      </c>
      <c r="G149" s="1023">
        <f>'Payroll 20-21'!G149</f>
        <v>12</v>
      </c>
      <c r="H149" s="1024" t="str">
        <f>'Payroll 20-21'!H149</f>
        <v>y</v>
      </c>
      <c r="I149" s="1025">
        <f t="shared" si="83"/>
        <v>62400</v>
      </c>
      <c r="J149" s="7">
        <f t="shared" si="91"/>
        <v>14302.000000000002</v>
      </c>
      <c r="K149" s="7">
        <f t="shared" si="92"/>
        <v>76702</v>
      </c>
      <c r="L149" s="7"/>
      <c r="M149" s="8" t="s">
        <v>75</v>
      </c>
      <c r="N149" s="7">
        <f t="shared" si="93"/>
        <v>0</v>
      </c>
      <c r="O149" s="8">
        <f t="shared" si="94"/>
        <v>3868.8</v>
      </c>
      <c r="P149" s="7">
        <f t="shared" si="95"/>
        <v>904.80000000000007</v>
      </c>
      <c r="Q149" s="7">
        <f t="shared" si="88"/>
        <v>8164.8000000000011</v>
      </c>
      <c r="R149" s="7">
        <f t="shared" si="89"/>
        <v>490.00000000000006</v>
      </c>
      <c r="S149" s="7">
        <f>S$5*$I149</f>
        <v>873.6</v>
      </c>
    </row>
    <row r="150" spans="3:19" ht="12" customHeight="1">
      <c r="C150" s="368"/>
      <c r="D150" s="840" t="str">
        <f>'Payroll 19-20'!D150</f>
        <v>Angela Churilla</v>
      </c>
      <c r="E150" s="840">
        <f>'Payroll 20-21'!E150*(1+'Revenue Inputs'!P$27)</f>
        <v>1</v>
      </c>
      <c r="F150" s="828">
        <f>'Payroll 20-21'!F150*(1+$I$4)</f>
        <v>39085.913664000007</v>
      </c>
      <c r="G150" s="322">
        <f>'Payroll 20-21'!G150</f>
        <v>12</v>
      </c>
      <c r="H150" s="319" t="str">
        <f>'Payroll 20-21'!H150</f>
        <v>y</v>
      </c>
      <c r="I150" s="320">
        <f t="shared" si="83"/>
        <v>39085.913664000007</v>
      </c>
      <c r="J150" s="7">
        <f t="shared" si="91"/>
        <v>12192.075186592003</v>
      </c>
      <c r="K150" s="7">
        <f t="shared" si="92"/>
        <v>51277.98885059201</v>
      </c>
      <c r="L150" s="7"/>
      <c r="M150" s="8" t="s">
        <v>75</v>
      </c>
      <c r="N150" s="7">
        <f t="shared" si="93"/>
        <v>0</v>
      </c>
      <c r="O150" s="8">
        <f t="shared" si="94"/>
        <v>2423.3266471680004</v>
      </c>
      <c r="P150" s="7">
        <f t="shared" si="95"/>
        <v>566.74574812800017</v>
      </c>
      <c r="Q150" s="7">
        <f t="shared" si="88"/>
        <v>8164.8000000000011</v>
      </c>
      <c r="R150" s="7">
        <f t="shared" si="89"/>
        <v>490.00000000000006</v>
      </c>
      <c r="S150" s="7">
        <f t="shared" si="90"/>
        <v>547.2027912960001</v>
      </c>
    </row>
    <row r="151" spans="3:19" ht="12" customHeight="1">
      <c r="C151" s="369"/>
      <c r="D151" s="1027" t="str">
        <f>'Payroll 19-20'!D151</f>
        <v>Melinda K. Radsliff</v>
      </c>
      <c r="E151" s="1027">
        <f>'Payroll 20-21'!E151*(1+'Revenue Inputs'!P$27)</f>
        <v>1</v>
      </c>
      <c r="F151" s="1022">
        <v>62400</v>
      </c>
      <c r="G151" s="1023">
        <f>'Payroll 20-21'!G151</f>
        <v>12</v>
      </c>
      <c r="H151" s="1024" t="str">
        <f>'Payroll 20-21'!H151</f>
        <v>y</v>
      </c>
      <c r="I151" s="1025">
        <f t="shared" si="83"/>
        <v>62400</v>
      </c>
      <c r="J151" s="7">
        <f t="shared" si="91"/>
        <v>14302.000000000002</v>
      </c>
      <c r="K151" s="7">
        <f t="shared" si="92"/>
        <v>76702</v>
      </c>
      <c r="L151" s="7"/>
      <c r="M151" s="8" t="s">
        <v>75</v>
      </c>
      <c r="N151" s="7">
        <f t="shared" si="93"/>
        <v>0</v>
      </c>
      <c r="O151" s="8">
        <f>I151*$O$5</f>
        <v>3868.8</v>
      </c>
      <c r="P151" s="7">
        <f t="shared" si="95"/>
        <v>904.80000000000007</v>
      </c>
      <c r="Q151" s="7">
        <f t="shared" si="88"/>
        <v>8164.8000000000011</v>
      </c>
      <c r="R151" s="7">
        <f t="shared" si="89"/>
        <v>490.00000000000006</v>
      </c>
      <c r="S151" s="7">
        <f t="shared" si="90"/>
        <v>873.6</v>
      </c>
    </row>
    <row r="152" spans="3:19" ht="12" customHeight="1">
      <c r="C152" s="369"/>
      <c r="D152" s="840">
        <f>'Payroll 19-20'!D152</f>
        <v>0</v>
      </c>
      <c r="E152" s="840">
        <f>'Payroll 20-21'!E152*(1+'Revenue Inputs'!P$27)</f>
        <v>0</v>
      </c>
      <c r="F152" s="828">
        <f>'Payroll 20-21'!F152*(1+$I$4)</f>
        <v>0</v>
      </c>
      <c r="G152" s="322">
        <f>'Payroll 20-21'!G152</f>
        <v>0</v>
      </c>
      <c r="H152" s="319">
        <f>'Payroll 20-21'!H152</f>
        <v>0</v>
      </c>
      <c r="I152" s="320">
        <f t="shared" si="83"/>
        <v>0</v>
      </c>
      <c r="J152" s="7">
        <f t="shared" si="91"/>
        <v>0</v>
      </c>
      <c r="K152" s="7">
        <f t="shared" si="92"/>
        <v>0</v>
      </c>
      <c r="L152" s="7"/>
      <c r="M152" s="8" t="s">
        <v>75</v>
      </c>
      <c r="N152" s="7">
        <f t="shared" si="93"/>
        <v>0</v>
      </c>
      <c r="O152" s="8">
        <f t="shared" ref="O152:O155" si="96">I152*$O$5</f>
        <v>0</v>
      </c>
      <c r="P152" s="7">
        <f t="shared" si="95"/>
        <v>0</v>
      </c>
      <c r="Q152" s="7">
        <f t="shared" si="88"/>
        <v>0</v>
      </c>
      <c r="R152" s="7">
        <f t="shared" si="89"/>
        <v>0</v>
      </c>
      <c r="S152" s="7">
        <f t="shared" si="90"/>
        <v>0</v>
      </c>
    </row>
    <row r="153" spans="3:19" ht="12" customHeight="1">
      <c r="C153" s="369"/>
      <c r="D153" s="840">
        <f>'Payroll 19-20'!D153</f>
        <v>0</v>
      </c>
      <c r="E153" s="840">
        <f>'Payroll 20-21'!E153*(1+'Revenue Inputs'!P$27)</f>
        <v>0</v>
      </c>
      <c r="F153" s="828">
        <f>'Payroll 20-21'!F153*(1+$I$4)</f>
        <v>0</v>
      </c>
      <c r="G153" s="322">
        <f>'Payroll 20-21'!G153</f>
        <v>0</v>
      </c>
      <c r="H153" s="319">
        <f>'Payroll 20-21'!H153</f>
        <v>0</v>
      </c>
      <c r="I153" s="320">
        <f t="shared" si="83"/>
        <v>0</v>
      </c>
      <c r="J153" s="7">
        <f t="shared" si="91"/>
        <v>0</v>
      </c>
      <c r="K153" s="7">
        <f t="shared" si="92"/>
        <v>0</v>
      </c>
      <c r="L153" s="7"/>
      <c r="M153" s="8" t="s">
        <v>75</v>
      </c>
      <c r="N153" s="7">
        <f t="shared" si="93"/>
        <v>0</v>
      </c>
      <c r="O153" s="8">
        <f t="shared" si="96"/>
        <v>0</v>
      </c>
      <c r="P153" s="7">
        <f t="shared" si="95"/>
        <v>0</v>
      </c>
      <c r="Q153" s="7">
        <f t="shared" si="88"/>
        <v>0</v>
      </c>
      <c r="R153" s="7">
        <f t="shared" si="89"/>
        <v>0</v>
      </c>
      <c r="S153" s="7">
        <f>S$5*$I153</f>
        <v>0</v>
      </c>
    </row>
    <row r="154" spans="3:19" ht="12" customHeight="1">
      <c r="C154" s="369"/>
      <c r="D154" s="840">
        <f>'Payroll 19-20'!D154</f>
        <v>0</v>
      </c>
      <c r="E154" s="840">
        <f>'Payroll 20-21'!E154*(1+'Revenue Inputs'!P$27)</f>
        <v>0</v>
      </c>
      <c r="F154" s="828">
        <f>'Payroll 20-21'!F154*(1+$I$4)</f>
        <v>0</v>
      </c>
      <c r="G154" s="322">
        <f>'Payroll 20-21'!G154</f>
        <v>0</v>
      </c>
      <c r="H154" s="319">
        <f>'Payroll 20-21'!H154</f>
        <v>0</v>
      </c>
      <c r="I154" s="320">
        <f t="shared" si="83"/>
        <v>0</v>
      </c>
      <c r="J154" s="7">
        <f t="shared" si="91"/>
        <v>0</v>
      </c>
      <c r="K154" s="7">
        <f t="shared" si="92"/>
        <v>0</v>
      </c>
      <c r="L154" s="7"/>
      <c r="M154" s="8" t="s">
        <v>75</v>
      </c>
      <c r="N154" s="7">
        <f t="shared" si="93"/>
        <v>0</v>
      </c>
      <c r="O154" s="8">
        <f t="shared" si="96"/>
        <v>0</v>
      </c>
      <c r="P154" s="7">
        <f t="shared" si="95"/>
        <v>0</v>
      </c>
      <c r="Q154" s="7">
        <f t="shared" si="88"/>
        <v>0</v>
      </c>
      <c r="R154" s="7">
        <f t="shared" si="89"/>
        <v>0</v>
      </c>
      <c r="S154" s="7">
        <f>S$5*$I154</f>
        <v>0</v>
      </c>
    </row>
    <row r="155" spans="3:19" ht="12" customHeight="1">
      <c r="C155" s="368"/>
      <c r="D155" s="840">
        <f>'Payroll 19-20'!D155</f>
        <v>0</v>
      </c>
      <c r="E155" s="840">
        <f>'Payroll 20-21'!E155*(1+'Revenue Inputs'!P$27)</f>
        <v>0</v>
      </c>
      <c r="F155" s="828">
        <f>'Payroll 20-21'!F155*(1+$I$4)</f>
        <v>0</v>
      </c>
      <c r="G155" s="322">
        <f>'Payroll 20-21'!G155</f>
        <v>0</v>
      </c>
      <c r="H155" s="319">
        <f>'Payroll 20-21'!H155</f>
        <v>0</v>
      </c>
      <c r="I155" s="320">
        <f t="shared" si="83"/>
        <v>0</v>
      </c>
      <c r="J155" s="7">
        <f t="shared" si="91"/>
        <v>0</v>
      </c>
      <c r="K155" s="7">
        <f t="shared" si="92"/>
        <v>0</v>
      </c>
      <c r="L155" s="7"/>
      <c r="M155" s="8" t="s">
        <v>75</v>
      </c>
      <c r="N155" s="7">
        <f t="shared" si="93"/>
        <v>0</v>
      </c>
      <c r="O155" s="8">
        <f t="shared" si="96"/>
        <v>0</v>
      </c>
      <c r="P155" s="7">
        <f t="shared" si="95"/>
        <v>0</v>
      </c>
      <c r="Q155" s="7">
        <f t="shared" si="88"/>
        <v>0</v>
      </c>
      <c r="R155" s="7">
        <f>IF($I155&lt;7000,7000*R$5,$I155*R$5)*E155</f>
        <v>0</v>
      </c>
      <c r="S155" s="7">
        <f t="shared" si="90"/>
        <v>0</v>
      </c>
    </row>
    <row r="156" spans="3:19" ht="12" customHeight="1">
      <c r="C156" s="369"/>
      <c r="D156" s="840">
        <f>'Payroll 19-20'!D156</f>
        <v>0</v>
      </c>
      <c r="E156" s="840">
        <f>'Payroll 20-21'!E156*(1+'Revenue Inputs'!P$27)</f>
        <v>0</v>
      </c>
      <c r="F156" s="828">
        <f>'Payroll 20-21'!F156*(1+$I$4)</f>
        <v>0</v>
      </c>
      <c r="G156" s="322">
        <f>'Payroll 20-21'!G156</f>
        <v>0</v>
      </c>
      <c r="H156" s="319">
        <f>'Payroll 20-21'!H156</f>
        <v>0</v>
      </c>
      <c r="I156" s="320">
        <f t="shared" si="83"/>
        <v>0</v>
      </c>
      <c r="J156" s="7">
        <f t="shared" si="84"/>
        <v>0</v>
      </c>
      <c r="K156" s="7">
        <f t="shared" si="85"/>
        <v>0</v>
      </c>
      <c r="L156" s="7"/>
      <c r="M156" s="8" t="s">
        <v>75</v>
      </c>
      <c r="N156" s="7">
        <f t="shared" si="86"/>
        <v>0</v>
      </c>
      <c r="O156" s="8">
        <f t="shared" ref="O156:O159" si="97">I156*$O$5</f>
        <v>0</v>
      </c>
      <c r="P156" s="7">
        <f t="shared" si="87"/>
        <v>0</v>
      </c>
      <c r="Q156" s="7">
        <f t="shared" si="88"/>
        <v>0</v>
      </c>
      <c r="R156" s="7">
        <f t="shared" si="89"/>
        <v>0</v>
      </c>
      <c r="S156" s="7">
        <f t="shared" si="90"/>
        <v>0</v>
      </c>
    </row>
    <row r="157" spans="3:19" ht="12" customHeight="1">
      <c r="C157" s="369"/>
      <c r="D157" s="840">
        <f>'Payroll 19-20'!D157</f>
        <v>0</v>
      </c>
      <c r="E157" s="840">
        <f>'Payroll 20-21'!E157*(1+'Revenue Inputs'!P$27)</f>
        <v>0</v>
      </c>
      <c r="F157" s="828">
        <f>'Payroll 20-21'!F157*(1+$I$4)</f>
        <v>0</v>
      </c>
      <c r="G157" s="322">
        <f>'Payroll 20-21'!G157</f>
        <v>0</v>
      </c>
      <c r="H157" s="319">
        <f>'Payroll 20-21'!H157</f>
        <v>0</v>
      </c>
      <c r="I157" s="320">
        <f t="shared" si="83"/>
        <v>0</v>
      </c>
      <c r="J157" s="7">
        <f t="shared" si="84"/>
        <v>0</v>
      </c>
      <c r="K157" s="7">
        <f t="shared" si="85"/>
        <v>0</v>
      </c>
      <c r="L157" s="7"/>
      <c r="M157" s="8" t="s">
        <v>75</v>
      </c>
      <c r="N157" s="7">
        <f t="shared" si="86"/>
        <v>0</v>
      </c>
      <c r="O157" s="8">
        <f t="shared" si="97"/>
        <v>0</v>
      </c>
      <c r="P157" s="7">
        <f t="shared" si="87"/>
        <v>0</v>
      </c>
      <c r="Q157" s="7">
        <f t="shared" si="88"/>
        <v>0</v>
      </c>
      <c r="R157" s="7">
        <f t="shared" si="89"/>
        <v>0</v>
      </c>
      <c r="S157" s="7">
        <f>S$5*$I157</f>
        <v>0</v>
      </c>
    </row>
    <row r="158" spans="3:19" ht="12" customHeight="1">
      <c r="C158" s="369"/>
      <c r="D158" s="840">
        <f>'Payroll 19-20'!D158</f>
        <v>0</v>
      </c>
      <c r="E158" s="840">
        <f>'Payroll 20-21'!E158*(1+'Revenue Inputs'!P$27)</f>
        <v>0</v>
      </c>
      <c r="F158" s="828">
        <f>'Payroll 20-21'!F158*(1+$I$4)</f>
        <v>0</v>
      </c>
      <c r="G158" s="322">
        <f>'Payroll 20-21'!G158</f>
        <v>0</v>
      </c>
      <c r="H158" s="319">
        <f>'Payroll 20-21'!H158</f>
        <v>0</v>
      </c>
      <c r="I158" s="320">
        <f t="shared" si="83"/>
        <v>0</v>
      </c>
      <c r="J158" s="7">
        <f t="shared" si="84"/>
        <v>0</v>
      </c>
      <c r="K158" s="7">
        <f t="shared" si="85"/>
        <v>0</v>
      </c>
      <c r="L158" s="7"/>
      <c r="M158" s="8" t="s">
        <v>75</v>
      </c>
      <c r="N158" s="7">
        <f t="shared" si="86"/>
        <v>0</v>
      </c>
      <c r="O158" s="8">
        <f t="shared" si="97"/>
        <v>0</v>
      </c>
      <c r="P158" s="7">
        <f t="shared" si="87"/>
        <v>0</v>
      </c>
      <c r="Q158" s="7">
        <f t="shared" si="88"/>
        <v>0</v>
      </c>
      <c r="R158" s="7">
        <f t="shared" si="89"/>
        <v>0</v>
      </c>
      <c r="S158" s="7">
        <f>S$5*$I158</f>
        <v>0</v>
      </c>
    </row>
    <row r="159" spans="3:19" ht="12" customHeight="1">
      <c r="C159" s="368"/>
      <c r="D159" s="840">
        <f>'Payroll 19-20'!D159</f>
        <v>0</v>
      </c>
      <c r="E159" s="840">
        <f>'Payroll 20-21'!E159*(1+'Revenue Inputs'!P$27)</f>
        <v>0</v>
      </c>
      <c r="F159" s="828">
        <f>'Payroll 20-21'!F159*(1+$I$4)</f>
        <v>0</v>
      </c>
      <c r="G159" s="322">
        <f>'Payroll 20-21'!G159</f>
        <v>0</v>
      </c>
      <c r="H159" s="319">
        <f>'Payroll 20-21'!H159</f>
        <v>0</v>
      </c>
      <c r="I159" s="320">
        <f t="shared" si="83"/>
        <v>0</v>
      </c>
      <c r="J159" s="7">
        <f t="shared" si="84"/>
        <v>0</v>
      </c>
      <c r="K159" s="7">
        <f t="shared" si="85"/>
        <v>0</v>
      </c>
      <c r="L159" s="7"/>
      <c r="M159" s="8" t="s">
        <v>75</v>
      </c>
      <c r="N159" s="7">
        <f t="shared" si="86"/>
        <v>0</v>
      </c>
      <c r="O159" s="8">
        <f t="shared" si="97"/>
        <v>0</v>
      </c>
      <c r="P159" s="7">
        <f t="shared" si="87"/>
        <v>0</v>
      </c>
      <c r="Q159" s="7">
        <f t="shared" si="88"/>
        <v>0</v>
      </c>
      <c r="R159" s="7">
        <f t="shared" si="89"/>
        <v>0</v>
      </c>
      <c r="S159" s="7">
        <f t="shared" si="90"/>
        <v>0</v>
      </c>
    </row>
    <row r="160" spans="3:19" ht="12" customHeight="1">
      <c r="C160" s="369"/>
      <c r="D160" s="840">
        <f>'Payroll 19-20'!D160</f>
        <v>0</v>
      </c>
      <c r="E160" s="840">
        <f>'Payroll 20-21'!E160*(1+'Revenue Inputs'!P$27)</f>
        <v>0</v>
      </c>
      <c r="F160" s="828">
        <f>'Payroll 20-21'!F160*(1+$I$4)</f>
        <v>0</v>
      </c>
      <c r="G160" s="322">
        <f>'Payroll 20-21'!G160</f>
        <v>0</v>
      </c>
      <c r="H160" s="319">
        <f>'Payroll 20-21'!H160</f>
        <v>0</v>
      </c>
      <c r="I160" s="320">
        <f t="shared" si="83"/>
        <v>0</v>
      </c>
      <c r="J160" s="7">
        <f t="shared" si="84"/>
        <v>0</v>
      </c>
      <c r="K160" s="7">
        <f t="shared" si="85"/>
        <v>0</v>
      </c>
      <c r="L160" s="7"/>
      <c r="M160" s="8" t="s">
        <v>75</v>
      </c>
      <c r="N160" s="7">
        <f t="shared" si="86"/>
        <v>0</v>
      </c>
      <c r="O160" s="8">
        <f>I160*$O$5</f>
        <v>0</v>
      </c>
      <c r="P160" s="7">
        <f t="shared" si="87"/>
        <v>0</v>
      </c>
      <c r="Q160" s="7">
        <f t="shared" si="88"/>
        <v>0</v>
      </c>
      <c r="R160" s="7">
        <f t="shared" si="89"/>
        <v>0</v>
      </c>
      <c r="S160" s="7">
        <f t="shared" si="90"/>
        <v>0</v>
      </c>
    </row>
    <row r="161" spans="3:19" ht="12" customHeight="1">
      <c r="C161" s="369"/>
      <c r="D161" s="840">
        <f>'Payroll 19-20'!D161</f>
        <v>0</v>
      </c>
      <c r="E161" s="840">
        <f>'Payroll 20-21'!E161*(1+'Revenue Inputs'!P$27)</f>
        <v>0</v>
      </c>
      <c r="F161" s="828">
        <f>'Payroll 20-21'!F161*(1+$I$4)</f>
        <v>0</v>
      </c>
      <c r="G161" s="322">
        <f>'Payroll 20-21'!G161</f>
        <v>0</v>
      </c>
      <c r="H161" s="319">
        <f>'Payroll 20-21'!H161</f>
        <v>0</v>
      </c>
      <c r="I161" s="320">
        <f t="shared" si="83"/>
        <v>0</v>
      </c>
      <c r="J161" s="7">
        <f t="shared" si="84"/>
        <v>0</v>
      </c>
      <c r="K161" s="7">
        <f t="shared" si="85"/>
        <v>0</v>
      </c>
      <c r="L161" s="7"/>
      <c r="M161" s="8" t="s">
        <v>75</v>
      </c>
      <c r="N161" s="7">
        <f t="shared" si="86"/>
        <v>0</v>
      </c>
      <c r="O161" s="8">
        <f t="shared" ref="O161:O164" si="98">I161*$O$5</f>
        <v>0</v>
      </c>
      <c r="P161" s="7">
        <f t="shared" si="87"/>
        <v>0</v>
      </c>
      <c r="Q161" s="7">
        <f t="shared" si="88"/>
        <v>0</v>
      </c>
      <c r="R161" s="7">
        <f t="shared" si="89"/>
        <v>0</v>
      </c>
      <c r="S161" s="7">
        <f t="shared" si="90"/>
        <v>0</v>
      </c>
    </row>
    <row r="162" spans="3:19" ht="12" customHeight="1">
      <c r="C162" s="369"/>
      <c r="D162" s="840">
        <f>'Payroll 19-20'!D162</f>
        <v>0</v>
      </c>
      <c r="E162" s="840">
        <f>'Payroll 20-21'!E162*(1+'Revenue Inputs'!P$27)</f>
        <v>0</v>
      </c>
      <c r="F162" s="828">
        <f>'Payroll 20-21'!F162*(1+$I$4)</f>
        <v>0</v>
      </c>
      <c r="G162" s="322">
        <f>'Payroll 20-21'!G162</f>
        <v>0</v>
      </c>
      <c r="H162" s="319">
        <f>'Payroll 20-21'!H162</f>
        <v>0</v>
      </c>
      <c r="I162" s="320">
        <f t="shared" si="83"/>
        <v>0</v>
      </c>
      <c r="J162" s="7">
        <f t="shared" si="84"/>
        <v>0</v>
      </c>
      <c r="K162" s="7">
        <f t="shared" si="85"/>
        <v>0</v>
      </c>
      <c r="L162" s="7"/>
      <c r="M162" s="8" t="s">
        <v>75</v>
      </c>
      <c r="N162" s="7">
        <f t="shared" si="86"/>
        <v>0</v>
      </c>
      <c r="O162" s="8">
        <f t="shared" si="98"/>
        <v>0</v>
      </c>
      <c r="P162" s="7">
        <f t="shared" si="87"/>
        <v>0</v>
      </c>
      <c r="Q162" s="7">
        <f t="shared" si="88"/>
        <v>0</v>
      </c>
      <c r="R162" s="7">
        <f t="shared" si="89"/>
        <v>0</v>
      </c>
      <c r="S162" s="7">
        <f>S$5*$I162</f>
        <v>0</v>
      </c>
    </row>
    <row r="163" spans="3:19" ht="12" customHeight="1">
      <c r="C163" s="369"/>
      <c r="D163" s="840">
        <f>'Payroll 19-20'!D163</f>
        <v>0</v>
      </c>
      <c r="E163" s="840">
        <f>'Payroll 20-21'!E163*(1+'Revenue Inputs'!P$27)</f>
        <v>0</v>
      </c>
      <c r="F163" s="828">
        <f>'Payroll 20-21'!F163*(1+$I$4)</f>
        <v>0</v>
      </c>
      <c r="G163" s="322">
        <f>'Payroll 20-21'!G163</f>
        <v>0</v>
      </c>
      <c r="H163" s="319">
        <f>'Payroll 20-21'!H163</f>
        <v>0</v>
      </c>
      <c r="I163" s="320">
        <f t="shared" si="83"/>
        <v>0</v>
      </c>
      <c r="J163" s="7">
        <f t="shared" si="84"/>
        <v>0</v>
      </c>
      <c r="K163" s="7">
        <f t="shared" si="85"/>
        <v>0</v>
      </c>
      <c r="L163" s="7"/>
      <c r="M163" s="8" t="s">
        <v>75</v>
      </c>
      <c r="N163" s="7">
        <f t="shared" si="86"/>
        <v>0</v>
      </c>
      <c r="O163" s="8">
        <f t="shared" si="98"/>
        <v>0</v>
      </c>
      <c r="P163" s="7">
        <f t="shared" si="87"/>
        <v>0</v>
      </c>
      <c r="Q163" s="7">
        <f t="shared" si="88"/>
        <v>0</v>
      </c>
      <c r="R163" s="7">
        <f t="shared" si="89"/>
        <v>0</v>
      </c>
      <c r="S163" s="7">
        <f>S$5*$I163</f>
        <v>0</v>
      </c>
    </row>
    <row r="164" spans="3:19" ht="12" customHeight="1">
      <c r="C164" s="368"/>
      <c r="D164" s="840">
        <f>'Payroll 19-20'!D164</f>
        <v>0</v>
      </c>
      <c r="E164" s="840">
        <f>'Payroll 20-21'!E164*(1+'Revenue Inputs'!P$27)</f>
        <v>0</v>
      </c>
      <c r="F164" s="828">
        <f>'Payroll 20-21'!F164*(1+$I$4)</f>
        <v>0</v>
      </c>
      <c r="G164" s="322">
        <f>'Payroll 20-21'!G164</f>
        <v>0</v>
      </c>
      <c r="H164" s="319">
        <f>'Payroll 20-21'!H164</f>
        <v>0</v>
      </c>
      <c r="I164" s="320">
        <f t="shared" si="83"/>
        <v>0</v>
      </c>
      <c r="J164" s="7">
        <f t="shared" si="84"/>
        <v>0</v>
      </c>
      <c r="K164" s="7">
        <f t="shared" si="85"/>
        <v>0</v>
      </c>
      <c r="L164" s="7"/>
      <c r="M164" s="8" t="s">
        <v>75</v>
      </c>
      <c r="N164" s="7">
        <f t="shared" si="86"/>
        <v>0</v>
      </c>
      <c r="O164" s="8">
        <f t="shared" si="98"/>
        <v>0</v>
      </c>
      <c r="P164" s="7">
        <f t="shared" si="87"/>
        <v>0</v>
      </c>
      <c r="Q164" s="7">
        <f t="shared" si="88"/>
        <v>0</v>
      </c>
      <c r="R164" s="7">
        <f t="shared" si="89"/>
        <v>0</v>
      </c>
      <c r="S164" s="7">
        <f t="shared" si="90"/>
        <v>0</v>
      </c>
    </row>
    <row r="165" spans="3:19" ht="12.5" customHeight="1" thickBot="1">
      <c r="C165" s="368"/>
      <c r="D165" s="841"/>
      <c r="E165" s="841"/>
      <c r="F165" s="841"/>
      <c r="G165" s="28"/>
      <c r="H165" s="427"/>
      <c r="I165" s="337"/>
      <c r="J165" s="40"/>
      <c r="K165" s="40"/>
      <c r="L165" s="40"/>
      <c r="M165" s="40"/>
      <c r="N165" s="40"/>
      <c r="O165" s="40"/>
      <c r="P165" s="40"/>
      <c r="Q165" s="40"/>
      <c r="R165" s="40"/>
      <c r="S165" s="40"/>
    </row>
    <row r="166" spans="3:19" s="41" customFormat="1" ht="12.5" customHeight="1" thickBot="1">
      <c r="C166" s="368"/>
      <c r="D166" s="847"/>
      <c r="E166" s="847"/>
      <c r="F166" s="834"/>
      <c r="G166" s="49"/>
      <c r="H166" s="333">
        <v>2100</v>
      </c>
      <c r="I166" s="10">
        <f>SUM(I146:I165)</f>
        <v>349910.99832000001</v>
      </c>
      <c r="J166" s="10">
        <f>SUM(J146:J165)</f>
        <v>83595.745347960008</v>
      </c>
      <c r="K166" s="10">
        <f>SUM(K146:K165)</f>
        <v>433506.74366795999</v>
      </c>
      <c r="L166" s="11"/>
      <c r="M166" s="10">
        <f t="shared" ref="M166:S166" si="99">SUM(M146:M165)</f>
        <v>0</v>
      </c>
      <c r="N166" s="10">
        <f t="shared" si="99"/>
        <v>0</v>
      </c>
      <c r="O166" s="10">
        <f t="shared" si="99"/>
        <v>21694.481895839999</v>
      </c>
      <c r="P166" s="10">
        <f t="shared" si="99"/>
        <v>5073.7094756400011</v>
      </c>
      <c r="Q166" s="10">
        <f t="shared" si="99"/>
        <v>48988.80000000001</v>
      </c>
      <c r="R166" s="10">
        <f t="shared" si="99"/>
        <v>2940.0000000000005</v>
      </c>
      <c r="S166" s="10">
        <f t="shared" si="99"/>
        <v>4898.7539764800003</v>
      </c>
    </row>
    <row r="167" spans="3:19" ht="12" customHeight="1">
      <c r="C167" s="369" t="s">
        <v>21</v>
      </c>
      <c r="D167" s="848"/>
      <c r="E167" s="848"/>
      <c r="F167" s="835"/>
      <c r="G167" s="28"/>
      <c r="H167" s="35"/>
      <c r="I167" s="7"/>
      <c r="J167" s="7"/>
      <c r="K167" s="7"/>
      <c r="L167" s="7"/>
      <c r="M167" s="36"/>
      <c r="N167" s="36"/>
      <c r="O167" s="36"/>
      <c r="P167" s="36"/>
      <c r="Q167" s="36"/>
      <c r="R167" s="36"/>
      <c r="S167" s="36"/>
    </row>
    <row r="168" spans="3:19" ht="12">
      <c r="C168" s="369"/>
      <c r="D168" s="840">
        <f>'Payroll 19-20'!D168</f>
        <v>0</v>
      </c>
      <c r="E168" s="840">
        <f>'Payroll 20-21'!E168*(1+'Revenue Inputs'!P$27)</f>
        <v>0</v>
      </c>
      <c r="F168" s="828">
        <f>'Payroll 20-21'!F168*(1+$I$4)</f>
        <v>0</v>
      </c>
      <c r="G168" s="322">
        <f>'Payroll 20-21'!G168</f>
        <v>0</v>
      </c>
      <c r="H168" s="319">
        <f>'Payroll 20-21'!H168</f>
        <v>0</v>
      </c>
      <c r="I168" s="320">
        <f t="shared" ref="I168:I186" si="100">F168*E168</f>
        <v>0</v>
      </c>
      <c r="J168" s="7">
        <f t="shared" ref="J168:J186" si="101">SUM(M168:S168)</f>
        <v>0</v>
      </c>
      <c r="K168" s="7">
        <f t="shared" ref="K168:K186" si="102">SUM(I168:J168)</f>
        <v>0</v>
      </c>
      <c r="L168" s="7"/>
      <c r="M168" s="8" t="s">
        <v>75</v>
      </c>
      <c r="N168" s="7">
        <f t="shared" ref="N168:N186" si="103">I168*$N$5</f>
        <v>0</v>
      </c>
      <c r="O168" s="8">
        <f t="shared" ref="O168:O186" si="104">I168*$O$5</f>
        <v>0</v>
      </c>
      <c r="P168" s="7">
        <f t="shared" ref="P168:P186" si="105">I168*$P$5</f>
        <v>0</v>
      </c>
      <c r="Q168" s="7">
        <f t="shared" ref="Q168:Q186" si="106">IF(H168="y", $Q$5*E168, 0)</f>
        <v>0</v>
      </c>
      <c r="R168" s="7">
        <f t="shared" ref="R168:R186" si="107">IF($I168&gt;7000,7000*R$5,$I168*R$5)*E168</f>
        <v>0</v>
      </c>
      <c r="S168" s="7">
        <f t="shared" ref="S168:S186" si="108">S$5*$I168</f>
        <v>0</v>
      </c>
    </row>
    <row r="169" spans="3:19" ht="12">
      <c r="C169" s="369"/>
      <c r="D169" s="840">
        <f>'Payroll 19-20'!D169</f>
        <v>0</v>
      </c>
      <c r="E169" s="840">
        <f>'Payroll 20-21'!E169*(1+'Revenue Inputs'!P$27)</f>
        <v>0</v>
      </c>
      <c r="F169" s="828">
        <f>'Payroll 20-21'!F169*(1+$I$4)</f>
        <v>0</v>
      </c>
      <c r="G169" s="322">
        <f>'Payroll 20-21'!G169</f>
        <v>0</v>
      </c>
      <c r="H169" s="319">
        <f>'Payroll 20-21'!H169</f>
        <v>0</v>
      </c>
      <c r="I169" s="320">
        <f t="shared" si="100"/>
        <v>0</v>
      </c>
      <c r="J169" s="7">
        <f t="shared" ref="J169" si="109">SUM(M169:S169)</f>
        <v>0</v>
      </c>
      <c r="K169" s="7">
        <f t="shared" ref="K169" si="110">SUM(I169:J169)</f>
        <v>0</v>
      </c>
      <c r="L169" s="7"/>
      <c r="M169" s="8" t="s">
        <v>75</v>
      </c>
      <c r="N169" s="7">
        <f t="shared" ref="N169" si="111">I169*$N$5</f>
        <v>0</v>
      </c>
      <c r="O169" s="8">
        <f t="shared" ref="O169" si="112">I169*$O$5</f>
        <v>0</v>
      </c>
      <c r="P169" s="7">
        <f t="shared" ref="P169" si="113">I169*$P$5</f>
        <v>0</v>
      </c>
      <c r="Q169" s="7">
        <f t="shared" si="106"/>
        <v>0</v>
      </c>
      <c r="R169" s="7">
        <f t="shared" si="107"/>
        <v>0</v>
      </c>
      <c r="S169" s="7">
        <f t="shared" si="108"/>
        <v>0</v>
      </c>
    </row>
    <row r="170" spans="3:19" ht="12">
      <c r="C170" s="369"/>
      <c r="D170" s="840">
        <f>'Payroll 19-20'!D170</f>
        <v>0</v>
      </c>
      <c r="E170" s="840">
        <f>'Payroll 20-21'!E170*(1+'Revenue Inputs'!P$27)</f>
        <v>0</v>
      </c>
      <c r="F170" s="828">
        <f>'Payroll 20-21'!F170*(1+$I$4)</f>
        <v>0</v>
      </c>
      <c r="G170" s="322">
        <f>'Payroll 20-21'!G170</f>
        <v>0</v>
      </c>
      <c r="H170" s="319">
        <f>'Payroll 20-21'!H170</f>
        <v>0</v>
      </c>
      <c r="I170" s="320">
        <f t="shared" si="100"/>
        <v>0</v>
      </c>
      <c r="J170" s="7">
        <f>SUM(M170:S170)</f>
        <v>0</v>
      </c>
      <c r="K170" s="7">
        <f>SUM(I170:J170)</f>
        <v>0</v>
      </c>
      <c r="L170" s="7"/>
      <c r="M170" s="8" t="s">
        <v>75</v>
      </c>
      <c r="N170" s="7">
        <f>I170*$N$5</f>
        <v>0</v>
      </c>
      <c r="O170" s="8">
        <f>I170*$O$5</f>
        <v>0</v>
      </c>
      <c r="P170" s="7">
        <f>I170*$P$5</f>
        <v>0</v>
      </c>
      <c r="Q170" s="7">
        <f t="shared" si="106"/>
        <v>0</v>
      </c>
      <c r="R170" s="7">
        <f t="shared" si="107"/>
        <v>0</v>
      </c>
      <c r="S170" s="7">
        <f>S$5*$I170</f>
        <v>0</v>
      </c>
    </row>
    <row r="171" spans="3:19" ht="12">
      <c r="C171" s="369"/>
      <c r="D171" s="840">
        <f>'Payroll 19-20'!D171</f>
        <v>0</v>
      </c>
      <c r="E171" s="840">
        <f>'Payroll 20-21'!E171*(1+'Revenue Inputs'!P$27)</f>
        <v>0</v>
      </c>
      <c r="F171" s="828">
        <f>'Payroll 20-21'!F171*(1+$I$4)</f>
        <v>0</v>
      </c>
      <c r="G171" s="322">
        <f>'Payroll 20-21'!G171</f>
        <v>0</v>
      </c>
      <c r="H171" s="319">
        <f>'Payroll 20-21'!H171</f>
        <v>0</v>
      </c>
      <c r="I171" s="320">
        <f t="shared" si="100"/>
        <v>0</v>
      </c>
      <c r="J171" s="7">
        <f t="shared" ref="J171:J177" si="114">SUM(M171:S171)</f>
        <v>0</v>
      </c>
      <c r="K171" s="7">
        <f t="shared" ref="K171:K177" si="115">SUM(I171:J171)</f>
        <v>0</v>
      </c>
      <c r="L171" s="7"/>
      <c r="M171" s="8" t="s">
        <v>75</v>
      </c>
      <c r="N171" s="7">
        <f t="shared" ref="N171:N177" si="116">I171*$N$5</f>
        <v>0</v>
      </c>
      <c r="O171" s="8">
        <f t="shared" ref="O171:O177" si="117">I171*$O$5</f>
        <v>0</v>
      </c>
      <c r="P171" s="7">
        <f t="shared" ref="P171:P177" si="118">I171*$P$5</f>
        <v>0</v>
      </c>
      <c r="Q171" s="7">
        <f t="shared" si="106"/>
        <v>0</v>
      </c>
      <c r="R171" s="7">
        <f t="shared" si="107"/>
        <v>0</v>
      </c>
      <c r="S171" s="7">
        <f t="shared" si="108"/>
        <v>0</v>
      </c>
    </row>
    <row r="172" spans="3:19" ht="12">
      <c r="C172" s="369"/>
      <c r="D172" s="840">
        <f>'Payroll 19-20'!D172</f>
        <v>0</v>
      </c>
      <c r="E172" s="840">
        <f>'Payroll 20-21'!E172*(1+'Revenue Inputs'!P$27)</f>
        <v>0</v>
      </c>
      <c r="F172" s="828">
        <f>'Payroll 20-21'!F172*(1+$I$4)</f>
        <v>0</v>
      </c>
      <c r="G172" s="322">
        <f>'Payroll 20-21'!G172</f>
        <v>0</v>
      </c>
      <c r="H172" s="319">
        <f>'Payroll 20-21'!H172</f>
        <v>0</v>
      </c>
      <c r="I172" s="320">
        <f t="shared" si="100"/>
        <v>0</v>
      </c>
      <c r="J172" s="7">
        <f t="shared" si="114"/>
        <v>0</v>
      </c>
      <c r="K172" s="7">
        <f t="shared" si="115"/>
        <v>0</v>
      </c>
      <c r="L172" s="7"/>
      <c r="M172" s="8" t="s">
        <v>75</v>
      </c>
      <c r="N172" s="7">
        <f t="shared" si="116"/>
        <v>0</v>
      </c>
      <c r="O172" s="8">
        <f t="shared" si="117"/>
        <v>0</v>
      </c>
      <c r="P172" s="7">
        <f t="shared" si="118"/>
        <v>0</v>
      </c>
      <c r="Q172" s="7">
        <f t="shared" si="106"/>
        <v>0</v>
      </c>
      <c r="R172" s="7">
        <f t="shared" si="107"/>
        <v>0</v>
      </c>
      <c r="S172" s="7">
        <f t="shared" si="108"/>
        <v>0</v>
      </c>
    </row>
    <row r="173" spans="3:19" ht="12">
      <c r="C173" s="368"/>
      <c r="D173" s="840">
        <f>'Payroll 19-20'!D173</f>
        <v>0</v>
      </c>
      <c r="E173" s="840">
        <f>'Payroll 20-21'!E173*(1+'Revenue Inputs'!P$27)</f>
        <v>0</v>
      </c>
      <c r="F173" s="828">
        <f>'Payroll 20-21'!F173*(1+$I$4)</f>
        <v>0</v>
      </c>
      <c r="G173" s="322">
        <f>'Payroll 20-21'!G173</f>
        <v>0</v>
      </c>
      <c r="H173" s="319">
        <f>'Payroll 20-21'!H173</f>
        <v>0</v>
      </c>
      <c r="I173" s="320">
        <f t="shared" si="100"/>
        <v>0</v>
      </c>
      <c r="J173" s="7">
        <f t="shared" si="114"/>
        <v>0</v>
      </c>
      <c r="K173" s="7">
        <f t="shared" si="115"/>
        <v>0</v>
      </c>
      <c r="L173" s="7"/>
      <c r="M173" s="8" t="s">
        <v>75</v>
      </c>
      <c r="N173" s="7">
        <f t="shared" si="116"/>
        <v>0</v>
      </c>
      <c r="O173" s="8">
        <f t="shared" si="117"/>
        <v>0</v>
      </c>
      <c r="P173" s="7">
        <f t="shared" si="118"/>
        <v>0</v>
      </c>
      <c r="Q173" s="7">
        <f t="shared" si="106"/>
        <v>0</v>
      </c>
      <c r="R173" s="7">
        <f t="shared" si="107"/>
        <v>0</v>
      </c>
      <c r="S173" s="7">
        <f t="shared" si="108"/>
        <v>0</v>
      </c>
    </row>
    <row r="174" spans="3:19" ht="12">
      <c r="C174" s="369"/>
      <c r="D174" s="840">
        <f>'Payroll 19-20'!D174</f>
        <v>0</v>
      </c>
      <c r="E174" s="840">
        <f>'Payroll 20-21'!E174*(1+'Revenue Inputs'!P$27)</f>
        <v>0</v>
      </c>
      <c r="F174" s="828">
        <f>'Payroll 20-21'!F174*(1+$I$4)</f>
        <v>0</v>
      </c>
      <c r="G174" s="322">
        <f>'Payroll 20-21'!G174</f>
        <v>0</v>
      </c>
      <c r="H174" s="319">
        <f>'Payroll 20-21'!H174</f>
        <v>0</v>
      </c>
      <c r="I174" s="320">
        <f t="shared" si="100"/>
        <v>0</v>
      </c>
      <c r="J174" s="7">
        <f t="shared" si="114"/>
        <v>0</v>
      </c>
      <c r="K174" s="7">
        <f t="shared" si="115"/>
        <v>0</v>
      </c>
      <c r="L174" s="7"/>
      <c r="M174" s="8" t="s">
        <v>75</v>
      </c>
      <c r="N174" s="7">
        <f t="shared" si="116"/>
        <v>0</v>
      </c>
      <c r="O174" s="8">
        <f t="shared" si="117"/>
        <v>0</v>
      </c>
      <c r="P174" s="7">
        <f t="shared" si="118"/>
        <v>0</v>
      </c>
      <c r="Q174" s="7">
        <f t="shared" si="106"/>
        <v>0</v>
      </c>
      <c r="R174" s="7">
        <f t="shared" si="107"/>
        <v>0</v>
      </c>
      <c r="S174" s="7">
        <f t="shared" si="108"/>
        <v>0</v>
      </c>
    </row>
    <row r="175" spans="3:19" ht="12">
      <c r="C175" s="369"/>
      <c r="D175" s="840">
        <f>'Payroll 19-20'!D175</f>
        <v>0</v>
      </c>
      <c r="E175" s="840">
        <f>'Payroll 20-21'!E175*(1+'Revenue Inputs'!P$27)</f>
        <v>0</v>
      </c>
      <c r="F175" s="828">
        <f>'Payroll 20-21'!F175*(1+$I$4)</f>
        <v>0</v>
      </c>
      <c r="G175" s="322">
        <f>'Payroll 20-21'!G175</f>
        <v>0</v>
      </c>
      <c r="H175" s="319">
        <f>'Payroll 20-21'!H175</f>
        <v>0</v>
      </c>
      <c r="I175" s="320">
        <f t="shared" si="100"/>
        <v>0</v>
      </c>
      <c r="J175" s="7">
        <f t="shared" si="114"/>
        <v>0</v>
      </c>
      <c r="K175" s="7">
        <f t="shared" si="115"/>
        <v>0</v>
      </c>
      <c r="L175" s="7"/>
      <c r="M175" s="8" t="s">
        <v>75</v>
      </c>
      <c r="N175" s="7">
        <f t="shared" si="116"/>
        <v>0</v>
      </c>
      <c r="O175" s="8">
        <f t="shared" si="117"/>
        <v>0</v>
      </c>
      <c r="P175" s="7">
        <f t="shared" si="118"/>
        <v>0</v>
      </c>
      <c r="Q175" s="7">
        <f t="shared" si="106"/>
        <v>0</v>
      </c>
      <c r="R175" s="7">
        <f t="shared" si="107"/>
        <v>0</v>
      </c>
      <c r="S175" s="7">
        <f t="shared" si="108"/>
        <v>0</v>
      </c>
    </row>
    <row r="176" spans="3:19" ht="12">
      <c r="C176" s="369"/>
      <c r="D176" s="840">
        <f>'Payroll 19-20'!D176</f>
        <v>0</v>
      </c>
      <c r="E176" s="840">
        <f>'Payroll 20-21'!E176*(1+'Revenue Inputs'!P$27)</f>
        <v>0</v>
      </c>
      <c r="F176" s="828">
        <f>'Payroll 20-21'!F176*(1+$I$4)</f>
        <v>0</v>
      </c>
      <c r="G176" s="322">
        <f>'Payroll 20-21'!G176</f>
        <v>0</v>
      </c>
      <c r="H176" s="319">
        <f>'Payroll 20-21'!H176</f>
        <v>0</v>
      </c>
      <c r="I176" s="320">
        <f t="shared" si="100"/>
        <v>0</v>
      </c>
      <c r="J176" s="7">
        <f t="shared" si="114"/>
        <v>0</v>
      </c>
      <c r="K176" s="7">
        <f t="shared" si="115"/>
        <v>0</v>
      </c>
      <c r="L176" s="7"/>
      <c r="M176" s="8" t="s">
        <v>75</v>
      </c>
      <c r="N176" s="7">
        <f t="shared" si="116"/>
        <v>0</v>
      </c>
      <c r="O176" s="8">
        <f t="shared" si="117"/>
        <v>0</v>
      </c>
      <c r="P176" s="7">
        <f t="shared" si="118"/>
        <v>0</v>
      </c>
      <c r="Q176" s="7">
        <f t="shared" si="106"/>
        <v>0</v>
      </c>
      <c r="R176" s="7">
        <f t="shared" si="107"/>
        <v>0</v>
      </c>
      <c r="S176" s="7">
        <f t="shared" si="108"/>
        <v>0</v>
      </c>
    </row>
    <row r="177" spans="3:19" ht="12">
      <c r="C177" s="368"/>
      <c r="D177" s="840">
        <f>'Payroll 19-20'!D177</f>
        <v>0</v>
      </c>
      <c r="E177" s="840">
        <f>'Payroll 20-21'!E177*(1+'Revenue Inputs'!P$27)</f>
        <v>0</v>
      </c>
      <c r="F177" s="828">
        <f>'Payroll 20-21'!F177*(1+$I$4)</f>
        <v>0</v>
      </c>
      <c r="G177" s="322">
        <f>'Payroll 20-21'!G177</f>
        <v>0</v>
      </c>
      <c r="H177" s="319">
        <f>'Payroll 20-21'!H177</f>
        <v>0</v>
      </c>
      <c r="I177" s="320">
        <f t="shared" si="100"/>
        <v>0</v>
      </c>
      <c r="J177" s="7">
        <f t="shared" si="114"/>
        <v>0</v>
      </c>
      <c r="K177" s="7">
        <f t="shared" si="115"/>
        <v>0</v>
      </c>
      <c r="L177" s="7"/>
      <c r="M177" s="8" t="s">
        <v>75</v>
      </c>
      <c r="N177" s="7">
        <f t="shared" si="116"/>
        <v>0</v>
      </c>
      <c r="O177" s="8">
        <f t="shared" si="117"/>
        <v>0</v>
      </c>
      <c r="P177" s="7">
        <f t="shared" si="118"/>
        <v>0</v>
      </c>
      <c r="Q177" s="7">
        <f t="shared" si="106"/>
        <v>0</v>
      </c>
      <c r="R177" s="7">
        <f t="shared" si="107"/>
        <v>0</v>
      </c>
      <c r="S177" s="7">
        <f t="shared" si="108"/>
        <v>0</v>
      </c>
    </row>
    <row r="178" spans="3:19" ht="12">
      <c r="C178" s="369"/>
      <c r="D178" s="840">
        <f>'Payroll 19-20'!D178</f>
        <v>0</v>
      </c>
      <c r="E178" s="840">
        <f>'Payroll 20-21'!E178*(1+'Revenue Inputs'!P$27)</f>
        <v>0</v>
      </c>
      <c r="F178" s="828">
        <f>'Payroll 20-21'!F178*(1+$I$4)</f>
        <v>0</v>
      </c>
      <c r="G178" s="322">
        <f>'Payroll 20-21'!G178</f>
        <v>0</v>
      </c>
      <c r="H178" s="319">
        <f>'Payroll 20-21'!H178</f>
        <v>0</v>
      </c>
      <c r="I178" s="320">
        <f t="shared" si="100"/>
        <v>0</v>
      </c>
      <c r="J178" s="7">
        <f t="shared" si="101"/>
        <v>0</v>
      </c>
      <c r="K178" s="7">
        <f t="shared" si="102"/>
        <v>0</v>
      </c>
      <c r="L178" s="7"/>
      <c r="M178" s="8" t="s">
        <v>75</v>
      </c>
      <c r="N178" s="7">
        <f t="shared" si="103"/>
        <v>0</v>
      </c>
      <c r="O178" s="8">
        <f t="shared" si="104"/>
        <v>0</v>
      </c>
      <c r="P178" s="7">
        <f t="shared" si="105"/>
        <v>0</v>
      </c>
      <c r="Q178" s="7">
        <f t="shared" si="106"/>
        <v>0</v>
      </c>
      <c r="R178" s="7">
        <f t="shared" si="107"/>
        <v>0</v>
      </c>
      <c r="S178" s="7">
        <f t="shared" si="108"/>
        <v>0</v>
      </c>
    </row>
    <row r="179" spans="3:19" ht="12">
      <c r="C179" s="369"/>
      <c r="D179" s="840">
        <f>'Payroll 19-20'!D179</f>
        <v>0</v>
      </c>
      <c r="E179" s="840">
        <f>'Payroll 20-21'!E179*(1+'Revenue Inputs'!P$27)</f>
        <v>0</v>
      </c>
      <c r="F179" s="828">
        <f>'Payroll 20-21'!F179*(1+$I$4)</f>
        <v>0</v>
      </c>
      <c r="G179" s="322">
        <f>'Payroll 20-21'!G179</f>
        <v>0</v>
      </c>
      <c r="H179" s="319">
        <f>'Payroll 20-21'!H179</f>
        <v>0</v>
      </c>
      <c r="I179" s="320">
        <f t="shared" si="100"/>
        <v>0</v>
      </c>
      <c r="J179" s="7">
        <f>SUM(M179:S179)</f>
        <v>0</v>
      </c>
      <c r="K179" s="7">
        <f>SUM(I179:J179)</f>
        <v>0</v>
      </c>
      <c r="L179" s="7"/>
      <c r="M179" s="8" t="s">
        <v>75</v>
      </c>
      <c r="N179" s="7">
        <f>I179*$N$5</f>
        <v>0</v>
      </c>
      <c r="O179" s="8">
        <f>I179*$O$5</f>
        <v>0</v>
      </c>
      <c r="P179" s="7">
        <f>I179*$P$5</f>
        <v>0</v>
      </c>
      <c r="Q179" s="7">
        <f t="shared" si="106"/>
        <v>0</v>
      </c>
      <c r="R179" s="7">
        <f t="shared" si="107"/>
        <v>0</v>
      </c>
      <c r="S179" s="7">
        <f>S$5*$I179</f>
        <v>0</v>
      </c>
    </row>
    <row r="180" spans="3:19" ht="12">
      <c r="C180" s="369"/>
      <c r="D180" s="840">
        <f>'Payroll 19-20'!D180</f>
        <v>0</v>
      </c>
      <c r="E180" s="840">
        <f>'Payroll 20-21'!E180*(1+'Revenue Inputs'!P$27)</f>
        <v>0</v>
      </c>
      <c r="F180" s="828">
        <f>'Payroll 20-21'!F180*(1+$I$4)</f>
        <v>0</v>
      </c>
      <c r="G180" s="322">
        <f>'Payroll 20-21'!G180</f>
        <v>0</v>
      </c>
      <c r="H180" s="319">
        <f>'Payroll 20-21'!H180</f>
        <v>0</v>
      </c>
      <c r="I180" s="320">
        <f t="shared" si="100"/>
        <v>0</v>
      </c>
      <c r="J180" s="7">
        <f t="shared" si="101"/>
        <v>0</v>
      </c>
      <c r="K180" s="7">
        <f t="shared" si="102"/>
        <v>0</v>
      </c>
      <c r="L180" s="7"/>
      <c r="M180" s="8" t="s">
        <v>75</v>
      </c>
      <c r="N180" s="7">
        <f t="shared" si="103"/>
        <v>0</v>
      </c>
      <c r="O180" s="8">
        <f t="shared" si="104"/>
        <v>0</v>
      </c>
      <c r="P180" s="7">
        <f t="shared" si="105"/>
        <v>0</v>
      </c>
      <c r="Q180" s="7">
        <f t="shared" si="106"/>
        <v>0</v>
      </c>
      <c r="R180" s="7">
        <f t="shared" si="107"/>
        <v>0</v>
      </c>
      <c r="S180" s="7">
        <f t="shared" si="108"/>
        <v>0</v>
      </c>
    </row>
    <row r="181" spans="3:19" ht="12">
      <c r="C181" s="369"/>
      <c r="D181" s="840">
        <f>'Payroll 19-20'!D181</f>
        <v>0</v>
      </c>
      <c r="E181" s="840">
        <f>'Payroll 20-21'!E181*(1+'Revenue Inputs'!P$27)</f>
        <v>0</v>
      </c>
      <c r="F181" s="828">
        <f>'Payroll 20-21'!F181*(1+$I$4)</f>
        <v>0</v>
      </c>
      <c r="G181" s="322">
        <f>'Payroll 20-21'!G181</f>
        <v>0</v>
      </c>
      <c r="H181" s="319">
        <f>'Payroll 20-21'!H181</f>
        <v>0</v>
      </c>
      <c r="I181" s="320">
        <f t="shared" si="100"/>
        <v>0</v>
      </c>
      <c r="J181" s="7">
        <f t="shared" si="101"/>
        <v>0</v>
      </c>
      <c r="K181" s="7">
        <f t="shared" si="102"/>
        <v>0</v>
      </c>
      <c r="L181" s="7"/>
      <c r="M181" s="8" t="s">
        <v>75</v>
      </c>
      <c r="N181" s="7">
        <f t="shared" si="103"/>
        <v>0</v>
      </c>
      <c r="O181" s="8">
        <f t="shared" si="104"/>
        <v>0</v>
      </c>
      <c r="P181" s="7">
        <f t="shared" si="105"/>
        <v>0</v>
      </c>
      <c r="Q181" s="7">
        <f t="shared" si="106"/>
        <v>0</v>
      </c>
      <c r="R181" s="7">
        <f t="shared" si="107"/>
        <v>0</v>
      </c>
      <c r="S181" s="7">
        <f t="shared" si="108"/>
        <v>0</v>
      </c>
    </row>
    <row r="182" spans="3:19" ht="12">
      <c r="C182" s="368"/>
      <c r="D182" s="840">
        <f>'Payroll 19-20'!D182</f>
        <v>0</v>
      </c>
      <c r="E182" s="840">
        <f>'Payroll 20-21'!E182*(1+'Revenue Inputs'!P$27)</f>
        <v>0</v>
      </c>
      <c r="F182" s="828">
        <f>'Payroll 20-21'!F182*(1+$I$4)</f>
        <v>0</v>
      </c>
      <c r="G182" s="322">
        <f>'Payroll 20-21'!G182</f>
        <v>0</v>
      </c>
      <c r="H182" s="319">
        <f>'Payroll 20-21'!H182</f>
        <v>0</v>
      </c>
      <c r="I182" s="320">
        <f t="shared" si="100"/>
        <v>0</v>
      </c>
      <c r="J182" s="7">
        <f t="shared" si="101"/>
        <v>0</v>
      </c>
      <c r="K182" s="7">
        <f t="shared" si="102"/>
        <v>0</v>
      </c>
      <c r="L182" s="7"/>
      <c r="M182" s="8" t="s">
        <v>75</v>
      </c>
      <c r="N182" s="7">
        <f t="shared" si="103"/>
        <v>0</v>
      </c>
      <c r="O182" s="8">
        <f t="shared" si="104"/>
        <v>0</v>
      </c>
      <c r="P182" s="7">
        <f t="shared" si="105"/>
        <v>0</v>
      </c>
      <c r="Q182" s="7">
        <f t="shared" si="106"/>
        <v>0</v>
      </c>
      <c r="R182" s="7">
        <f t="shared" si="107"/>
        <v>0</v>
      </c>
      <c r="S182" s="7">
        <f t="shared" si="108"/>
        <v>0</v>
      </c>
    </row>
    <row r="183" spans="3:19" ht="12">
      <c r="C183" s="369"/>
      <c r="D183" s="840">
        <f>'Payroll 19-20'!D183</f>
        <v>0</v>
      </c>
      <c r="E183" s="840">
        <f>'Payroll 20-21'!E183*(1+'Revenue Inputs'!P$27)</f>
        <v>0</v>
      </c>
      <c r="F183" s="828">
        <f>'Payroll 20-21'!F183*(1+$I$4)</f>
        <v>0</v>
      </c>
      <c r="G183" s="322">
        <f>'Payroll 20-21'!G183</f>
        <v>0</v>
      </c>
      <c r="H183" s="319">
        <f>'Payroll 20-21'!H183</f>
        <v>0</v>
      </c>
      <c r="I183" s="320">
        <f t="shared" si="100"/>
        <v>0</v>
      </c>
      <c r="J183" s="7">
        <f t="shared" si="101"/>
        <v>0</v>
      </c>
      <c r="K183" s="7">
        <f t="shared" si="102"/>
        <v>0</v>
      </c>
      <c r="L183" s="7"/>
      <c r="M183" s="8" t="s">
        <v>75</v>
      </c>
      <c r="N183" s="7">
        <f t="shared" si="103"/>
        <v>0</v>
      </c>
      <c r="O183" s="8">
        <f t="shared" si="104"/>
        <v>0</v>
      </c>
      <c r="P183" s="7">
        <f t="shared" si="105"/>
        <v>0</v>
      </c>
      <c r="Q183" s="7">
        <f t="shared" si="106"/>
        <v>0</v>
      </c>
      <c r="R183" s="7">
        <f t="shared" si="107"/>
        <v>0</v>
      </c>
      <c r="S183" s="7">
        <f t="shared" si="108"/>
        <v>0</v>
      </c>
    </row>
    <row r="184" spans="3:19" ht="12">
      <c r="C184" s="369"/>
      <c r="D184" s="840">
        <f>'Payroll 19-20'!D184</f>
        <v>0</v>
      </c>
      <c r="E184" s="840">
        <f>'Payroll 20-21'!E184*(1+'Revenue Inputs'!P$27)</f>
        <v>0</v>
      </c>
      <c r="F184" s="828">
        <f>'Payroll 20-21'!F184*(1+$I$4)</f>
        <v>0</v>
      </c>
      <c r="G184" s="322">
        <f>'Payroll 20-21'!G184</f>
        <v>0</v>
      </c>
      <c r="H184" s="319">
        <f>'Payroll 20-21'!H184</f>
        <v>0</v>
      </c>
      <c r="I184" s="320">
        <f t="shared" si="100"/>
        <v>0</v>
      </c>
      <c r="J184" s="7">
        <f t="shared" si="101"/>
        <v>0</v>
      </c>
      <c r="K184" s="7">
        <f t="shared" si="102"/>
        <v>0</v>
      </c>
      <c r="L184" s="7"/>
      <c r="M184" s="8" t="s">
        <v>75</v>
      </c>
      <c r="N184" s="7">
        <f t="shared" si="103"/>
        <v>0</v>
      </c>
      <c r="O184" s="8">
        <f t="shared" si="104"/>
        <v>0</v>
      </c>
      <c r="P184" s="7">
        <f t="shared" si="105"/>
        <v>0</v>
      </c>
      <c r="Q184" s="7">
        <f t="shared" si="106"/>
        <v>0</v>
      </c>
      <c r="R184" s="7">
        <f t="shared" si="107"/>
        <v>0</v>
      </c>
      <c r="S184" s="7">
        <f t="shared" si="108"/>
        <v>0</v>
      </c>
    </row>
    <row r="185" spans="3:19" ht="12">
      <c r="C185" s="369"/>
      <c r="D185" s="840">
        <f>'Payroll 19-20'!D185</f>
        <v>0</v>
      </c>
      <c r="E185" s="840">
        <f>'Payroll 20-21'!E185*(1+'Revenue Inputs'!P$27)</f>
        <v>0</v>
      </c>
      <c r="F185" s="828">
        <f>'Payroll 20-21'!F185*(1+$I$4)</f>
        <v>0</v>
      </c>
      <c r="G185" s="322">
        <f>'Payroll 20-21'!G185</f>
        <v>0</v>
      </c>
      <c r="H185" s="319">
        <f>'Payroll 20-21'!H185</f>
        <v>0</v>
      </c>
      <c r="I185" s="320">
        <f t="shared" si="100"/>
        <v>0</v>
      </c>
      <c r="J185" s="7">
        <f t="shared" si="101"/>
        <v>0</v>
      </c>
      <c r="K185" s="7">
        <f t="shared" si="102"/>
        <v>0</v>
      </c>
      <c r="L185" s="7"/>
      <c r="M185" s="8" t="s">
        <v>75</v>
      </c>
      <c r="N185" s="7">
        <f t="shared" si="103"/>
        <v>0</v>
      </c>
      <c r="O185" s="8">
        <f t="shared" si="104"/>
        <v>0</v>
      </c>
      <c r="P185" s="7">
        <f t="shared" si="105"/>
        <v>0</v>
      </c>
      <c r="Q185" s="7">
        <f t="shared" si="106"/>
        <v>0</v>
      </c>
      <c r="R185" s="7">
        <f t="shared" si="107"/>
        <v>0</v>
      </c>
      <c r="S185" s="7">
        <f t="shared" si="108"/>
        <v>0</v>
      </c>
    </row>
    <row r="186" spans="3:19" ht="12">
      <c r="C186" s="368"/>
      <c r="D186" s="840">
        <f>'Payroll 19-20'!D186</f>
        <v>0</v>
      </c>
      <c r="E186" s="840">
        <f>'Payroll 20-21'!E186*(1+'Revenue Inputs'!P$27)</f>
        <v>0</v>
      </c>
      <c r="F186" s="828">
        <f>'Payroll 20-21'!F186*(1+$I$4)</f>
        <v>0</v>
      </c>
      <c r="G186" s="322">
        <f>'Payroll 20-21'!G186</f>
        <v>0</v>
      </c>
      <c r="H186" s="319">
        <f>'Payroll 20-21'!H186</f>
        <v>0</v>
      </c>
      <c r="I186" s="320">
        <f t="shared" si="100"/>
        <v>0</v>
      </c>
      <c r="J186" s="7">
        <f t="shared" si="101"/>
        <v>0</v>
      </c>
      <c r="K186" s="7">
        <f t="shared" si="102"/>
        <v>0</v>
      </c>
      <c r="L186" s="7"/>
      <c r="M186" s="8" t="s">
        <v>75</v>
      </c>
      <c r="N186" s="7">
        <f t="shared" si="103"/>
        <v>0</v>
      </c>
      <c r="O186" s="8">
        <f t="shared" si="104"/>
        <v>0</v>
      </c>
      <c r="P186" s="7">
        <f t="shared" si="105"/>
        <v>0</v>
      </c>
      <c r="Q186" s="7">
        <f t="shared" si="106"/>
        <v>0</v>
      </c>
      <c r="R186" s="7">
        <f t="shared" si="107"/>
        <v>0</v>
      </c>
      <c r="S186" s="7">
        <f t="shared" si="108"/>
        <v>0</v>
      </c>
    </row>
    <row r="187" spans="3:19" ht="13" thickBot="1">
      <c r="C187" s="368"/>
      <c r="D187" s="841"/>
      <c r="E187" s="841"/>
      <c r="F187" s="841"/>
      <c r="G187" s="28"/>
      <c r="H187" s="427"/>
      <c r="I187" s="337"/>
      <c r="J187" s="40"/>
      <c r="K187" s="40"/>
      <c r="L187" s="40"/>
      <c r="M187" s="40"/>
      <c r="N187" s="40"/>
      <c r="O187" s="40"/>
      <c r="P187" s="40"/>
      <c r="Q187" s="40"/>
      <c r="R187" s="40"/>
      <c r="S187" s="40"/>
    </row>
    <row r="188" spans="3:19" s="41" customFormat="1" ht="13" thickBot="1">
      <c r="C188" s="368"/>
      <c r="D188" s="834"/>
      <c r="E188" s="847"/>
      <c r="F188" s="834"/>
      <c r="G188" s="49"/>
      <c r="H188" s="17">
        <v>2200</v>
      </c>
      <c r="I188" s="10">
        <f>SUM(I168:I187)</f>
        <v>0</v>
      </c>
      <c r="J188" s="10">
        <f>SUM(J168:J187)</f>
        <v>0</v>
      </c>
      <c r="K188" s="10">
        <f>SUM(K168:K187)</f>
        <v>0</v>
      </c>
      <c r="L188" s="11"/>
      <c r="M188" s="10">
        <f t="shared" ref="M188:S188" si="119">SUM(M168:M187)</f>
        <v>0</v>
      </c>
      <c r="N188" s="10">
        <f t="shared" si="119"/>
        <v>0</v>
      </c>
      <c r="O188" s="10">
        <f t="shared" si="119"/>
        <v>0</v>
      </c>
      <c r="P188" s="10">
        <f t="shared" si="119"/>
        <v>0</v>
      </c>
      <c r="Q188" s="10">
        <f t="shared" si="119"/>
        <v>0</v>
      </c>
      <c r="R188" s="10">
        <f t="shared" si="119"/>
        <v>0</v>
      </c>
      <c r="S188" s="10">
        <f t="shared" si="119"/>
        <v>0</v>
      </c>
    </row>
    <row r="189" spans="3:19" ht="12">
      <c r="C189" s="369" t="s">
        <v>22</v>
      </c>
      <c r="D189" s="835"/>
      <c r="E189" s="848"/>
      <c r="F189" s="835"/>
      <c r="G189" s="28"/>
      <c r="H189" s="35"/>
      <c r="I189" s="7"/>
      <c r="J189" s="7"/>
      <c r="K189" s="7"/>
      <c r="L189" s="7"/>
      <c r="M189" s="36"/>
      <c r="N189" s="36"/>
      <c r="O189" s="36"/>
      <c r="P189" s="36"/>
      <c r="Q189" s="36"/>
      <c r="R189" s="36"/>
      <c r="S189" s="36"/>
    </row>
    <row r="190" spans="3:19" ht="12">
      <c r="C190" s="369"/>
      <c r="D190" s="840">
        <f>'Payroll 19-20'!D190</f>
        <v>0</v>
      </c>
      <c r="E190" s="840">
        <f>'Payroll 20-21'!E190*(1+'Revenue Inputs'!P$27)</f>
        <v>0</v>
      </c>
      <c r="F190" s="828">
        <f>'Payroll 20-21'!F190*(1+$I$4)</f>
        <v>0</v>
      </c>
      <c r="G190" s="322">
        <f>'Payroll 20-21'!G190</f>
        <v>0</v>
      </c>
      <c r="H190" s="319">
        <f>'Payroll 20-21'!H190</f>
        <v>0</v>
      </c>
      <c r="I190" s="320">
        <f t="shared" ref="I190:I198" si="120">F190*E190</f>
        <v>0</v>
      </c>
      <c r="J190" s="7">
        <f t="shared" ref="J190:J198" si="121">SUM(M190:S190)</f>
        <v>0</v>
      </c>
      <c r="K190" s="7">
        <f t="shared" ref="K190:K198" si="122">SUM(I190:J190)</f>
        <v>0</v>
      </c>
      <c r="L190" s="7"/>
      <c r="M190" s="8" t="s">
        <v>75</v>
      </c>
      <c r="N190" s="7">
        <f t="shared" ref="N190:N198" si="123">I190*$N$5</f>
        <v>0</v>
      </c>
      <c r="O190" s="8">
        <f t="shared" ref="O190:O198" si="124">I190*$O$5</f>
        <v>0</v>
      </c>
      <c r="P190" s="7">
        <f t="shared" ref="P190:P198" si="125">I190*$P$5</f>
        <v>0</v>
      </c>
      <c r="Q190" s="7">
        <f t="shared" ref="Q190:Q198" si="126">IF(H190="y", $Q$5*E190, 0)</f>
        <v>0</v>
      </c>
      <c r="R190" s="7">
        <f t="shared" ref="R190:R198" si="127">IF($I190&gt;7000,7000*R$5,$I190*R$5)*E190</f>
        <v>0</v>
      </c>
      <c r="S190" s="7">
        <f t="shared" ref="S190:S198" si="128">S$5*$I190</f>
        <v>0</v>
      </c>
    </row>
    <row r="191" spans="3:19" ht="12">
      <c r="C191" s="369"/>
      <c r="D191" s="840">
        <f>'Payroll 19-20'!D191</f>
        <v>0</v>
      </c>
      <c r="E191" s="840">
        <f>'Payroll 20-21'!E191*(1+'Revenue Inputs'!P$27)</f>
        <v>0</v>
      </c>
      <c r="F191" s="828">
        <f>'Payroll 20-21'!F191*(1+$I$4)</f>
        <v>0</v>
      </c>
      <c r="G191" s="322">
        <f>'Payroll 20-21'!G191</f>
        <v>0</v>
      </c>
      <c r="H191" s="319">
        <f>'Payroll 20-21'!H191</f>
        <v>0</v>
      </c>
      <c r="I191" s="320">
        <f t="shared" si="120"/>
        <v>0</v>
      </c>
      <c r="J191" s="7">
        <f t="shared" ref="J191:J194" si="129">SUM(M191:S191)</f>
        <v>0</v>
      </c>
      <c r="K191" s="7">
        <f t="shared" ref="K191:K194" si="130">SUM(I191:J191)</f>
        <v>0</v>
      </c>
      <c r="L191" s="7"/>
      <c r="M191" s="8" t="s">
        <v>75</v>
      </c>
      <c r="N191" s="7">
        <f t="shared" ref="N191:N194" si="131">I191*$N$5</f>
        <v>0</v>
      </c>
      <c r="O191" s="8">
        <f t="shared" ref="O191:O194" si="132">I191*$O$5</f>
        <v>0</v>
      </c>
      <c r="P191" s="7">
        <f t="shared" ref="P191:P194" si="133">I191*$P$5</f>
        <v>0</v>
      </c>
      <c r="Q191" s="7">
        <f t="shared" si="126"/>
        <v>0</v>
      </c>
      <c r="R191" s="7">
        <f t="shared" si="127"/>
        <v>0</v>
      </c>
      <c r="S191" s="7">
        <f t="shared" si="128"/>
        <v>0</v>
      </c>
    </row>
    <row r="192" spans="3:19" ht="12">
      <c r="C192" s="369"/>
      <c r="D192" s="840">
        <f>'Payroll 19-20'!D192</f>
        <v>0</v>
      </c>
      <c r="E192" s="840">
        <f>'Payroll 20-21'!E192*(1+'Revenue Inputs'!P$27)</f>
        <v>0</v>
      </c>
      <c r="F192" s="828">
        <f>'Payroll 20-21'!F192*(1+$I$4)</f>
        <v>0</v>
      </c>
      <c r="G192" s="322">
        <f>'Payroll 20-21'!G192</f>
        <v>0</v>
      </c>
      <c r="H192" s="319">
        <f>'Payroll 20-21'!H192</f>
        <v>0</v>
      </c>
      <c r="I192" s="320">
        <f t="shared" si="120"/>
        <v>0</v>
      </c>
      <c r="J192" s="7">
        <f t="shared" si="129"/>
        <v>0</v>
      </c>
      <c r="K192" s="7">
        <f t="shared" si="130"/>
        <v>0</v>
      </c>
      <c r="L192" s="7"/>
      <c r="M192" s="8" t="s">
        <v>75</v>
      </c>
      <c r="N192" s="7">
        <f t="shared" si="131"/>
        <v>0</v>
      </c>
      <c r="O192" s="8">
        <f t="shared" si="132"/>
        <v>0</v>
      </c>
      <c r="P192" s="7">
        <f t="shared" si="133"/>
        <v>0</v>
      </c>
      <c r="Q192" s="7">
        <f t="shared" si="126"/>
        <v>0</v>
      </c>
      <c r="R192" s="7">
        <f t="shared" si="127"/>
        <v>0</v>
      </c>
      <c r="S192" s="7">
        <f t="shared" si="128"/>
        <v>0</v>
      </c>
    </row>
    <row r="193" spans="3:19" ht="12">
      <c r="C193" s="369"/>
      <c r="D193" s="840">
        <f>'Payroll 19-20'!D193</f>
        <v>0</v>
      </c>
      <c r="E193" s="840">
        <f>'Payroll 20-21'!E193*(1+'Revenue Inputs'!P$27)</f>
        <v>0</v>
      </c>
      <c r="F193" s="828">
        <f>'Payroll 20-21'!F193*(1+$I$4)</f>
        <v>0</v>
      </c>
      <c r="G193" s="322">
        <f>'Payroll 20-21'!G193</f>
        <v>0</v>
      </c>
      <c r="H193" s="319">
        <f>'Payroll 20-21'!H193</f>
        <v>0</v>
      </c>
      <c r="I193" s="320">
        <f t="shared" si="120"/>
        <v>0</v>
      </c>
      <c r="J193" s="7">
        <f t="shared" si="129"/>
        <v>0</v>
      </c>
      <c r="K193" s="7">
        <f t="shared" si="130"/>
        <v>0</v>
      </c>
      <c r="L193" s="7"/>
      <c r="M193" s="8" t="s">
        <v>75</v>
      </c>
      <c r="N193" s="7">
        <f t="shared" si="131"/>
        <v>0</v>
      </c>
      <c r="O193" s="8">
        <f t="shared" si="132"/>
        <v>0</v>
      </c>
      <c r="P193" s="7">
        <f t="shared" si="133"/>
        <v>0</v>
      </c>
      <c r="Q193" s="7">
        <f t="shared" si="126"/>
        <v>0</v>
      </c>
      <c r="R193" s="7">
        <f t="shared" si="127"/>
        <v>0</v>
      </c>
      <c r="S193" s="7">
        <f t="shared" si="128"/>
        <v>0</v>
      </c>
    </row>
    <row r="194" spans="3:19" ht="12">
      <c r="C194" s="368"/>
      <c r="D194" s="840">
        <f>'Payroll 19-20'!D194</f>
        <v>0</v>
      </c>
      <c r="E194" s="840">
        <f>'Payroll 20-21'!E194*(1+'Revenue Inputs'!P$27)</f>
        <v>0</v>
      </c>
      <c r="F194" s="828">
        <f>'Payroll 20-21'!F194*(1+$I$4)</f>
        <v>0</v>
      </c>
      <c r="G194" s="322">
        <f>'Payroll 20-21'!G194</f>
        <v>0</v>
      </c>
      <c r="H194" s="319">
        <f>'Payroll 20-21'!H194</f>
        <v>0</v>
      </c>
      <c r="I194" s="320">
        <f t="shared" si="120"/>
        <v>0</v>
      </c>
      <c r="J194" s="7">
        <f t="shared" si="129"/>
        <v>0</v>
      </c>
      <c r="K194" s="7">
        <f t="shared" si="130"/>
        <v>0</v>
      </c>
      <c r="L194" s="7"/>
      <c r="M194" s="8" t="s">
        <v>75</v>
      </c>
      <c r="N194" s="7">
        <f t="shared" si="131"/>
        <v>0</v>
      </c>
      <c r="O194" s="8">
        <f t="shared" si="132"/>
        <v>0</v>
      </c>
      <c r="P194" s="7">
        <f t="shared" si="133"/>
        <v>0</v>
      </c>
      <c r="Q194" s="7">
        <f t="shared" si="126"/>
        <v>0</v>
      </c>
      <c r="R194" s="7">
        <f t="shared" si="127"/>
        <v>0</v>
      </c>
      <c r="S194" s="7">
        <f t="shared" si="128"/>
        <v>0</v>
      </c>
    </row>
    <row r="195" spans="3:19" ht="12">
      <c r="C195" s="369"/>
      <c r="D195" s="840">
        <f>'Payroll 19-20'!D195</f>
        <v>0</v>
      </c>
      <c r="E195" s="840">
        <f>'Payroll 20-21'!E195*(1+'Revenue Inputs'!P$27)</f>
        <v>0</v>
      </c>
      <c r="F195" s="828">
        <f>'Payroll 20-21'!F195*(1+$I$4)</f>
        <v>0</v>
      </c>
      <c r="G195" s="322">
        <f>'Payroll 20-21'!G195</f>
        <v>0</v>
      </c>
      <c r="H195" s="319">
        <f>'Payroll 20-21'!H195</f>
        <v>0</v>
      </c>
      <c r="I195" s="320">
        <f t="shared" si="120"/>
        <v>0</v>
      </c>
      <c r="J195" s="7">
        <f t="shared" si="121"/>
        <v>0</v>
      </c>
      <c r="K195" s="7">
        <f t="shared" si="122"/>
        <v>0</v>
      </c>
      <c r="L195" s="7"/>
      <c r="M195" s="8" t="s">
        <v>75</v>
      </c>
      <c r="N195" s="7">
        <f t="shared" si="123"/>
        <v>0</v>
      </c>
      <c r="O195" s="8">
        <f t="shared" si="124"/>
        <v>0</v>
      </c>
      <c r="P195" s="7">
        <f t="shared" si="125"/>
        <v>0</v>
      </c>
      <c r="Q195" s="7">
        <f t="shared" si="126"/>
        <v>0</v>
      </c>
      <c r="R195" s="7">
        <f t="shared" si="127"/>
        <v>0</v>
      </c>
      <c r="S195" s="7">
        <f t="shared" si="128"/>
        <v>0</v>
      </c>
    </row>
    <row r="196" spans="3:19" ht="12">
      <c r="C196" s="369"/>
      <c r="D196" s="840">
        <f>'Payroll 19-20'!D196</f>
        <v>0</v>
      </c>
      <c r="E196" s="840">
        <f>'Payroll 20-21'!E196*(1+'Revenue Inputs'!P$27)</f>
        <v>0</v>
      </c>
      <c r="F196" s="828">
        <f>'Payroll 20-21'!F196*(1+$I$4)</f>
        <v>0</v>
      </c>
      <c r="G196" s="322">
        <f>'Payroll 20-21'!G196</f>
        <v>0</v>
      </c>
      <c r="H196" s="319">
        <f>'Payroll 20-21'!H196</f>
        <v>0</v>
      </c>
      <c r="I196" s="320">
        <f t="shared" si="120"/>
        <v>0</v>
      </c>
      <c r="J196" s="7">
        <f t="shared" si="121"/>
        <v>0</v>
      </c>
      <c r="K196" s="7">
        <f t="shared" si="122"/>
        <v>0</v>
      </c>
      <c r="L196" s="7"/>
      <c r="M196" s="8" t="s">
        <v>75</v>
      </c>
      <c r="N196" s="7">
        <f t="shared" si="123"/>
        <v>0</v>
      </c>
      <c r="O196" s="8">
        <f t="shared" si="124"/>
        <v>0</v>
      </c>
      <c r="P196" s="7">
        <f t="shared" si="125"/>
        <v>0</v>
      </c>
      <c r="Q196" s="7">
        <f t="shared" si="126"/>
        <v>0</v>
      </c>
      <c r="R196" s="7">
        <f t="shared" si="127"/>
        <v>0</v>
      </c>
      <c r="S196" s="7">
        <f t="shared" si="128"/>
        <v>0</v>
      </c>
    </row>
    <row r="197" spans="3:19" ht="12">
      <c r="C197" s="369"/>
      <c r="D197" s="840">
        <f>'Payroll 19-20'!D197</f>
        <v>0</v>
      </c>
      <c r="E197" s="840">
        <f>'Payroll 20-21'!E197*(1+'Revenue Inputs'!P$27)</f>
        <v>0</v>
      </c>
      <c r="F197" s="828">
        <f>'Payroll 20-21'!F197*(1+$I$4)</f>
        <v>0</v>
      </c>
      <c r="G197" s="322">
        <f>'Payroll 20-21'!G197</f>
        <v>0</v>
      </c>
      <c r="H197" s="319">
        <f>'Payroll 20-21'!H197</f>
        <v>0</v>
      </c>
      <c r="I197" s="320">
        <f t="shared" si="120"/>
        <v>0</v>
      </c>
      <c r="J197" s="7">
        <f t="shared" si="121"/>
        <v>0</v>
      </c>
      <c r="K197" s="7">
        <f t="shared" si="122"/>
        <v>0</v>
      </c>
      <c r="L197" s="7"/>
      <c r="M197" s="8" t="s">
        <v>75</v>
      </c>
      <c r="N197" s="7">
        <f t="shared" si="123"/>
        <v>0</v>
      </c>
      <c r="O197" s="8">
        <f t="shared" si="124"/>
        <v>0</v>
      </c>
      <c r="P197" s="7">
        <f t="shared" si="125"/>
        <v>0</v>
      </c>
      <c r="Q197" s="7">
        <f t="shared" si="126"/>
        <v>0</v>
      </c>
      <c r="R197" s="7">
        <f t="shared" si="127"/>
        <v>0</v>
      </c>
      <c r="S197" s="7">
        <f t="shared" si="128"/>
        <v>0</v>
      </c>
    </row>
    <row r="198" spans="3:19" ht="12">
      <c r="C198" s="368"/>
      <c r="D198" s="840">
        <f>'Payroll 19-20'!D198</f>
        <v>0</v>
      </c>
      <c r="E198" s="840">
        <f>'Payroll 20-21'!E198*(1+'Revenue Inputs'!P$27)</f>
        <v>0</v>
      </c>
      <c r="F198" s="828">
        <f>'Payroll 20-21'!F198*(1+$I$4)</f>
        <v>0</v>
      </c>
      <c r="G198" s="322">
        <f>'Payroll 20-21'!G198</f>
        <v>0</v>
      </c>
      <c r="H198" s="319">
        <f>'Payroll 20-21'!H198</f>
        <v>0</v>
      </c>
      <c r="I198" s="320">
        <f t="shared" si="120"/>
        <v>0</v>
      </c>
      <c r="J198" s="7">
        <f t="shared" si="121"/>
        <v>0</v>
      </c>
      <c r="K198" s="7">
        <f t="shared" si="122"/>
        <v>0</v>
      </c>
      <c r="L198" s="7"/>
      <c r="M198" s="8" t="s">
        <v>75</v>
      </c>
      <c r="N198" s="7">
        <f t="shared" si="123"/>
        <v>0</v>
      </c>
      <c r="O198" s="8">
        <f t="shared" si="124"/>
        <v>0</v>
      </c>
      <c r="P198" s="7">
        <f t="shared" si="125"/>
        <v>0</v>
      </c>
      <c r="Q198" s="7">
        <f t="shared" si="126"/>
        <v>0</v>
      </c>
      <c r="R198" s="7">
        <f t="shared" si="127"/>
        <v>0</v>
      </c>
      <c r="S198" s="7">
        <f t="shared" si="128"/>
        <v>0</v>
      </c>
    </row>
    <row r="199" spans="3:19" ht="13" thickBot="1">
      <c r="C199" s="368"/>
      <c r="D199" s="841"/>
      <c r="E199" s="841"/>
      <c r="F199" s="841"/>
      <c r="G199" s="28"/>
      <c r="H199" s="427"/>
      <c r="I199" s="337"/>
      <c r="J199" s="40"/>
      <c r="K199" s="40"/>
      <c r="L199" s="40"/>
      <c r="M199" s="40"/>
      <c r="N199" s="40"/>
      <c r="O199" s="40"/>
      <c r="P199" s="40"/>
      <c r="Q199" s="40"/>
      <c r="R199" s="40"/>
      <c r="S199" s="40"/>
    </row>
    <row r="200" spans="3:19" s="41" customFormat="1" ht="13" thickBot="1">
      <c r="C200" s="368"/>
      <c r="D200" s="850"/>
      <c r="E200" s="850"/>
      <c r="F200" s="834"/>
      <c r="G200" s="49"/>
      <c r="H200" s="333">
        <v>2300</v>
      </c>
      <c r="I200" s="10">
        <f>SUM(I190:I199)</f>
        <v>0</v>
      </c>
      <c r="J200" s="10">
        <f>SUM(J190:J199)</f>
        <v>0</v>
      </c>
      <c r="K200" s="10">
        <f>SUM(K190:K199)</f>
        <v>0</v>
      </c>
      <c r="L200" s="11"/>
      <c r="M200" s="10">
        <f t="shared" ref="M200:S200" si="134">SUM(M190:M199)</f>
        <v>0</v>
      </c>
      <c r="N200" s="10">
        <f t="shared" si="134"/>
        <v>0</v>
      </c>
      <c r="O200" s="10">
        <f t="shared" si="134"/>
        <v>0</v>
      </c>
      <c r="P200" s="10">
        <f t="shared" si="134"/>
        <v>0</v>
      </c>
      <c r="Q200" s="10">
        <f t="shared" si="134"/>
        <v>0</v>
      </c>
      <c r="R200" s="10">
        <f t="shared" si="134"/>
        <v>0</v>
      </c>
      <c r="S200" s="10">
        <f t="shared" si="134"/>
        <v>0</v>
      </c>
    </row>
    <row r="201" spans="3:19" ht="12">
      <c r="C201" s="369" t="s">
        <v>23</v>
      </c>
      <c r="D201" s="851"/>
      <c r="E201" s="851"/>
      <c r="F201" s="835"/>
      <c r="G201" s="28"/>
      <c r="H201" s="35"/>
      <c r="I201" s="7"/>
      <c r="J201" s="7"/>
      <c r="K201" s="7"/>
      <c r="L201" s="7"/>
      <c r="M201" s="36"/>
      <c r="N201" s="36"/>
      <c r="O201" s="36"/>
      <c r="P201" s="36"/>
      <c r="Q201" s="36"/>
      <c r="R201" s="36"/>
      <c r="S201" s="36"/>
    </row>
    <row r="202" spans="3:19" ht="12">
      <c r="C202" s="369"/>
      <c r="D202" s="840" t="str">
        <f>'Payroll 19-20'!D202</f>
        <v>administrative assistant</v>
      </c>
      <c r="E202" s="840">
        <f>'Payroll 20-21'!E202*(1+'Revenue Inputs'!P$27)</f>
        <v>1</v>
      </c>
      <c r="F202" s="828">
        <f>'Payroll 20-21'!F202*(1+$I$4)</f>
        <v>63386.328384</v>
      </c>
      <c r="G202" s="322">
        <f>'Payroll 20-21'!G202</f>
        <v>12</v>
      </c>
      <c r="H202" s="319" t="str">
        <f>'Payroll 20-21'!H202</f>
        <v>y</v>
      </c>
      <c r="I202" s="320">
        <f t="shared" ref="I202:I212" si="135">F202*E202</f>
        <v>63386.328384</v>
      </c>
      <c r="J202" s="7">
        <f t="shared" ref="J202:J212" si="136">SUM(M202:S202)</f>
        <v>14391.262718751999</v>
      </c>
      <c r="K202" s="7">
        <f t="shared" ref="K202:K212" si="137">SUM(I202:J202)</f>
        <v>77777.591102752005</v>
      </c>
      <c r="L202" s="7"/>
      <c r="M202" s="8" t="s">
        <v>75</v>
      </c>
      <c r="N202" s="7">
        <f t="shared" ref="N202:N208" si="138">I202*$N$5</f>
        <v>0</v>
      </c>
      <c r="O202" s="8">
        <f t="shared" ref="O202:O212" si="139">I202*$O$5</f>
        <v>3929.952359808</v>
      </c>
      <c r="P202" s="7">
        <f t="shared" ref="P202:P212" si="140">I202*$P$5</f>
        <v>919.10176156800003</v>
      </c>
      <c r="Q202" s="7">
        <f t="shared" ref="Q202:Q212" si="141">IF(H202="y", $Q$5*E202, 0)</f>
        <v>8164.8000000000011</v>
      </c>
      <c r="R202" s="7">
        <f t="shared" ref="R202:R212" si="142">IF($I202&gt;7000,7000*R$5,$I202*R$5)*E202</f>
        <v>490.00000000000006</v>
      </c>
      <c r="S202" s="7">
        <f t="shared" ref="S202:S212" si="143">S$5*$I202</f>
        <v>887.40859737599999</v>
      </c>
    </row>
    <row r="203" spans="3:19" ht="12">
      <c r="C203" s="369"/>
      <c r="D203" s="840" t="str">
        <f>'Payroll 19-20'!D203</f>
        <v>School Acct Assistant</v>
      </c>
      <c r="E203" s="840">
        <f>'Payroll 20-21'!E203*(1+'Revenue Inputs'!P$27)</f>
        <v>1</v>
      </c>
      <c r="F203" s="828">
        <f>'Payroll 20-21'!F203*(1+$I$4)</f>
        <v>41511.335760000002</v>
      </c>
      <c r="G203" s="322">
        <f>'Payroll 20-21'!G203</f>
        <v>12</v>
      </c>
      <c r="H203" s="319" t="str">
        <f>'Payroll 20-21'!H203</f>
        <v>y</v>
      </c>
      <c r="I203" s="320">
        <f t="shared" si="135"/>
        <v>41511.335760000002</v>
      </c>
      <c r="J203" s="7">
        <f t="shared" ref="J203:J207" si="144">SUM(M203:S203)</f>
        <v>12411.575886280001</v>
      </c>
      <c r="K203" s="7">
        <f t="shared" ref="K203:K207" si="145">SUM(I203:J203)</f>
        <v>53922.911646280001</v>
      </c>
      <c r="L203" s="7"/>
      <c r="M203" s="8" t="s">
        <v>75</v>
      </c>
      <c r="N203" s="7">
        <f t="shared" ref="N203" si="146">I203*$N$5</f>
        <v>0</v>
      </c>
      <c r="O203" s="8">
        <f t="shared" ref="O203:O207" si="147">I203*$O$5</f>
        <v>2573.70281712</v>
      </c>
      <c r="P203" s="7">
        <f t="shared" ref="P203:P207" si="148">I203*$P$5</f>
        <v>601.91436852000004</v>
      </c>
      <c r="Q203" s="7">
        <f t="shared" si="141"/>
        <v>8164.8000000000011</v>
      </c>
      <c r="R203" s="7">
        <f t="shared" si="142"/>
        <v>490.00000000000006</v>
      </c>
      <c r="S203" s="7">
        <f t="shared" si="143"/>
        <v>581.15870064000001</v>
      </c>
    </row>
    <row r="204" spans="3:19" ht="12">
      <c r="C204" s="369"/>
      <c r="D204" s="840">
        <f>'Payroll 19-20'!D204</f>
        <v>0</v>
      </c>
      <c r="E204" s="840">
        <f>'Payroll 20-21'!E204*(1+'Revenue Inputs'!P$27)</f>
        <v>0</v>
      </c>
      <c r="F204" s="828">
        <f>'Payroll 20-21'!F204*(1+$I$4)</f>
        <v>0</v>
      </c>
      <c r="G204" s="322">
        <f>'Payroll 20-21'!G204</f>
        <v>0</v>
      </c>
      <c r="H204" s="319">
        <f>'Payroll 20-21'!H204</f>
        <v>0</v>
      </c>
      <c r="I204" s="320">
        <f t="shared" si="135"/>
        <v>0</v>
      </c>
      <c r="J204" s="7">
        <f t="shared" si="144"/>
        <v>0</v>
      </c>
      <c r="K204" s="7">
        <f t="shared" si="145"/>
        <v>0</v>
      </c>
      <c r="L204" s="7"/>
      <c r="M204" s="8" t="s">
        <v>75</v>
      </c>
      <c r="N204" s="7">
        <f>I204*$N$5</f>
        <v>0</v>
      </c>
      <c r="O204" s="8">
        <f t="shared" si="147"/>
        <v>0</v>
      </c>
      <c r="P204" s="7">
        <f t="shared" si="148"/>
        <v>0</v>
      </c>
      <c r="Q204" s="7">
        <f t="shared" si="141"/>
        <v>0</v>
      </c>
      <c r="R204" s="7">
        <f t="shared" si="142"/>
        <v>0</v>
      </c>
      <c r="S204" s="7">
        <f t="shared" si="143"/>
        <v>0</v>
      </c>
    </row>
    <row r="205" spans="3:19" ht="12">
      <c r="C205" s="369"/>
      <c r="D205" s="840">
        <f>'Payroll 19-20'!D205</f>
        <v>0</v>
      </c>
      <c r="E205" s="840">
        <f>'Payroll 20-21'!E205*(1+'Revenue Inputs'!P$27)</f>
        <v>0</v>
      </c>
      <c r="F205" s="828">
        <f>'Payroll 20-21'!F205*(1+$I$4)</f>
        <v>0</v>
      </c>
      <c r="G205" s="322">
        <f>'Payroll 20-21'!G205</f>
        <v>0</v>
      </c>
      <c r="H205" s="319">
        <f>'Payroll 20-21'!H205</f>
        <v>0</v>
      </c>
      <c r="I205" s="320">
        <f t="shared" si="135"/>
        <v>0</v>
      </c>
      <c r="J205" s="7">
        <f t="shared" si="144"/>
        <v>0</v>
      </c>
      <c r="K205" s="7">
        <f t="shared" si="145"/>
        <v>0</v>
      </c>
      <c r="L205" s="7"/>
      <c r="M205" s="8" t="s">
        <v>75</v>
      </c>
      <c r="N205" s="7">
        <f>I205*$N$5</f>
        <v>0</v>
      </c>
      <c r="O205" s="8">
        <f t="shared" si="147"/>
        <v>0</v>
      </c>
      <c r="P205" s="7">
        <f t="shared" si="148"/>
        <v>0</v>
      </c>
      <c r="Q205" s="7">
        <f t="shared" si="141"/>
        <v>0</v>
      </c>
      <c r="R205" s="7">
        <f t="shared" si="142"/>
        <v>0</v>
      </c>
      <c r="S205" s="7">
        <f t="shared" si="143"/>
        <v>0</v>
      </c>
    </row>
    <row r="206" spans="3:19" ht="12">
      <c r="C206" s="368"/>
      <c r="D206" s="840">
        <f>'Payroll 19-20'!D206</f>
        <v>0</v>
      </c>
      <c r="E206" s="840">
        <f>'Payroll 20-21'!E206*(1+'Revenue Inputs'!P$27)</f>
        <v>0</v>
      </c>
      <c r="F206" s="828">
        <f>'Payroll 20-21'!F206*(1+$I$4)</f>
        <v>0</v>
      </c>
      <c r="G206" s="322">
        <f>'Payroll 20-21'!G206</f>
        <v>0</v>
      </c>
      <c r="H206" s="319">
        <f>'Payroll 20-21'!H206</f>
        <v>0</v>
      </c>
      <c r="I206" s="320">
        <f t="shared" si="135"/>
        <v>0</v>
      </c>
      <c r="J206" s="7">
        <f t="shared" si="144"/>
        <v>0</v>
      </c>
      <c r="K206" s="7">
        <f t="shared" si="145"/>
        <v>0</v>
      </c>
      <c r="L206" s="7"/>
      <c r="M206" s="8" t="s">
        <v>75</v>
      </c>
      <c r="N206" s="7">
        <f t="shared" ref="N206:N207" si="149">I206*$N$5</f>
        <v>0</v>
      </c>
      <c r="O206" s="8">
        <f t="shared" si="147"/>
        <v>0</v>
      </c>
      <c r="P206" s="7">
        <f t="shared" si="148"/>
        <v>0</v>
      </c>
      <c r="Q206" s="7">
        <f t="shared" si="141"/>
        <v>0</v>
      </c>
      <c r="R206" s="7">
        <f t="shared" si="142"/>
        <v>0</v>
      </c>
      <c r="S206" s="7">
        <f t="shared" si="143"/>
        <v>0</v>
      </c>
    </row>
    <row r="207" spans="3:19" ht="12">
      <c r="C207" s="369"/>
      <c r="D207" s="840">
        <f>'Payroll 19-20'!D207</f>
        <v>0</v>
      </c>
      <c r="E207" s="840">
        <f>'Payroll 20-21'!E207*(1+'Revenue Inputs'!P$27)</f>
        <v>0</v>
      </c>
      <c r="F207" s="828">
        <f>'Payroll 20-21'!F207*(1+$I$4)</f>
        <v>0</v>
      </c>
      <c r="G207" s="322">
        <f>'Payroll 20-21'!G207</f>
        <v>0</v>
      </c>
      <c r="H207" s="319">
        <f>'Payroll 20-21'!H207</f>
        <v>0</v>
      </c>
      <c r="I207" s="320">
        <f t="shared" si="135"/>
        <v>0</v>
      </c>
      <c r="J207" s="7">
        <f t="shared" si="144"/>
        <v>0</v>
      </c>
      <c r="K207" s="7">
        <f t="shared" si="145"/>
        <v>0</v>
      </c>
      <c r="L207" s="7"/>
      <c r="M207" s="8" t="s">
        <v>75</v>
      </c>
      <c r="N207" s="7">
        <f t="shared" si="149"/>
        <v>0</v>
      </c>
      <c r="O207" s="8">
        <f t="shared" si="147"/>
        <v>0</v>
      </c>
      <c r="P207" s="7">
        <f t="shared" si="148"/>
        <v>0</v>
      </c>
      <c r="Q207" s="7">
        <f t="shared" si="141"/>
        <v>0</v>
      </c>
      <c r="R207" s="7">
        <f t="shared" si="142"/>
        <v>0</v>
      </c>
      <c r="S207" s="7">
        <f t="shared" si="143"/>
        <v>0</v>
      </c>
    </row>
    <row r="208" spans="3:19" ht="12">
      <c r="C208" s="369"/>
      <c r="D208" s="840">
        <f>'Payroll 19-20'!D208</f>
        <v>0</v>
      </c>
      <c r="E208" s="840">
        <f>'Payroll 20-21'!E208*(1+'Revenue Inputs'!P$27)</f>
        <v>0</v>
      </c>
      <c r="F208" s="828">
        <f>'Payroll 20-21'!F208*(1+$I$4)</f>
        <v>0</v>
      </c>
      <c r="G208" s="322">
        <f>'Payroll 20-21'!G208</f>
        <v>0</v>
      </c>
      <c r="H208" s="319">
        <f>'Payroll 20-21'!H208</f>
        <v>0</v>
      </c>
      <c r="I208" s="320">
        <f t="shared" si="135"/>
        <v>0</v>
      </c>
      <c r="J208" s="7">
        <f t="shared" si="136"/>
        <v>0</v>
      </c>
      <c r="K208" s="7">
        <f t="shared" si="137"/>
        <v>0</v>
      </c>
      <c r="L208" s="7"/>
      <c r="M208" s="8" t="s">
        <v>75</v>
      </c>
      <c r="N208" s="7">
        <f t="shared" si="138"/>
        <v>0</v>
      </c>
      <c r="O208" s="8">
        <f t="shared" si="139"/>
        <v>0</v>
      </c>
      <c r="P208" s="7">
        <f t="shared" si="140"/>
        <v>0</v>
      </c>
      <c r="Q208" s="7">
        <f t="shared" si="141"/>
        <v>0</v>
      </c>
      <c r="R208" s="7">
        <f t="shared" si="142"/>
        <v>0</v>
      </c>
      <c r="S208" s="7">
        <f t="shared" si="143"/>
        <v>0</v>
      </c>
    </row>
    <row r="209" spans="3:19" ht="12">
      <c r="C209" s="369"/>
      <c r="D209" s="840">
        <f>'Payroll 19-20'!D209</f>
        <v>0</v>
      </c>
      <c r="E209" s="840">
        <f>'Payroll 20-21'!E209*(1+'Revenue Inputs'!P$27)</f>
        <v>0</v>
      </c>
      <c r="F209" s="828">
        <f>'Payroll 20-21'!F209*(1+$I$4)</f>
        <v>0</v>
      </c>
      <c r="G209" s="322">
        <f>'Payroll 20-21'!G209</f>
        <v>0</v>
      </c>
      <c r="H209" s="319">
        <f>'Payroll 20-21'!H209</f>
        <v>0</v>
      </c>
      <c r="I209" s="320">
        <f t="shared" si="135"/>
        <v>0</v>
      </c>
      <c r="J209" s="7">
        <f t="shared" si="136"/>
        <v>0</v>
      </c>
      <c r="K209" s="7">
        <f t="shared" si="137"/>
        <v>0</v>
      </c>
      <c r="L209" s="7"/>
      <c r="M209" s="8" t="s">
        <v>75</v>
      </c>
      <c r="N209" s="7">
        <f>I209*$N$5</f>
        <v>0</v>
      </c>
      <c r="O209" s="8">
        <f t="shared" si="139"/>
        <v>0</v>
      </c>
      <c r="P209" s="7">
        <f t="shared" si="140"/>
        <v>0</v>
      </c>
      <c r="Q209" s="7">
        <f t="shared" si="141"/>
        <v>0</v>
      </c>
      <c r="R209" s="7">
        <f t="shared" si="142"/>
        <v>0</v>
      </c>
      <c r="S209" s="7">
        <f t="shared" si="143"/>
        <v>0</v>
      </c>
    </row>
    <row r="210" spans="3:19" ht="12">
      <c r="C210" s="369"/>
      <c r="D210" s="840">
        <f>'Payroll 19-20'!D210</f>
        <v>0</v>
      </c>
      <c r="E210" s="840">
        <f>'Payroll 20-21'!E210*(1+'Revenue Inputs'!P$27)</f>
        <v>0</v>
      </c>
      <c r="F210" s="828">
        <f>'Payroll 20-21'!F210*(1+$I$4)</f>
        <v>0</v>
      </c>
      <c r="G210" s="322">
        <f>'Payroll 20-21'!G210</f>
        <v>0</v>
      </c>
      <c r="H210" s="319">
        <f>'Payroll 20-21'!H210</f>
        <v>0</v>
      </c>
      <c r="I210" s="320">
        <f t="shared" si="135"/>
        <v>0</v>
      </c>
      <c r="J210" s="7">
        <f t="shared" si="136"/>
        <v>0</v>
      </c>
      <c r="K210" s="7">
        <f t="shared" si="137"/>
        <v>0</v>
      </c>
      <c r="L210" s="7"/>
      <c r="M210" s="8" t="s">
        <v>75</v>
      </c>
      <c r="N210" s="7">
        <f>I210*$N$5</f>
        <v>0</v>
      </c>
      <c r="O210" s="8">
        <f t="shared" si="139"/>
        <v>0</v>
      </c>
      <c r="P210" s="7">
        <f t="shared" si="140"/>
        <v>0</v>
      </c>
      <c r="Q210" s="7">
        <f t="shared" si="141"/>
        <v>0</v>
      </c>
      <c r="R210" s="7">
        <f t="shared" si="142"/>
        <v>0</v>
      </c>
      <c r="S210" s="7">
        <f t="shared" si="143"/>
        <v>0</v>
      </c>
    </row>
    <row r="211" spans="3:19" ht="12">
      <c r="C211" s="368"/>
      <c r="D211" s="840">
        <f>'Payroll 19-20'!D211</f>
        <v>0</v>
      </c>
      <c r="E211" s="840">
        <f>'Payroll 20-21'!E211*(1+'Revenue Inputs'!P$27)</f>
        <v>0</v>
      </c>
      <c r="F211" s="828">
        <f>'Payroll 20-21'!F211*(1+$I$4)</f>
        <v>0</v>
      </c>
      <c r="G211" s="322">
        <f>'Payroll 20-21'!G211</f>
        <v>0</v>
      </c>
      <c r="H211" s="319">
        <f>'Payroll 20-21'!H211</f>
        <v>0</v>
      </c>
      <c r="I211" s="320">
        <f t="shared" si="135"/>
        <v>0</v>
      </c>
      <c r="J211" s="7">
        <f t="shared" si="136"/>
        <v>0</v>
      </c>
      <c r="K211" s="7">
        <f t="shared" si="137"/>
        <v>0</v>
      </c>
      <c r="L211" s="7"/>
      <c r="M211" s="8" t="s">
        <v>75</v>
      </c>
      <c r="N211" s="7">
        <f t="shared" ref="N211:N212" si="150">I211*$N$5</f>
        <v>0</v>
      </c>
      <c r="O211" s="8">
        <f t="shared" si="139"/>
        <v>0</v>
      </c>
      <c r="P211" s="7">
        <f t="shared" si="140"/>
        <v>0</v>
      </c>
      <c r="Q211" s="7">
        <f t="shared" si="141"/>
        <v>0</v>
      </c>
      <c r="R211" s="7">
        <f t="shared" si="142"/>
        <v>0</v>
      </c>
      <c r="S211" s="7">
        <f t="shared" si="143"/>
        <v>0</v>
      </c>
    </row>
    <row r="212" spans="3:19" ht="12">
      <c r="C212" s="369"/>
      <c r="D212" s="840">
        <f>'Payroll 19-20'!D212</f>
        <v>0</v>
      </c>
      <c r="E212" s="840">
        <f>'Payroll 20-21'!E212*(1+'Revenue Inputs'!P$27)</f>
        <v>0</v>
      </c>
      <c r="F212" s="828">
        <f>'Payroll 20-21'!F212*(1+$I$4)</f>
        <v>0</v>
      </c>
      <c r="G212" s="322">
        <f>'Payroll 20-21'!G212</f>
        <v>0</v>
      </c>
      <c r="H212" s="319">
        <f>'Payroll 20-21'!H212</f>
        <v>0</v>
      </c>
      <c r="I212" s="320">
        <f t="shared" si="135"/>
        <v>0</v>
      </c>
      <c r="J212" s="7">
        <f t="shared" si="136"/>
        <v>0</v>
      </c>
      <c r="K212" s="7">
        <f t="shared" si="137"/>
        <v>0</v>
      </c>
      <c r="L212" s="7"/>
      <c r="M212" s="8" t="s">
        <v>75</v>
      </c>
      <c r="N212" s="7">
        <f t="shared" si="150"/>
        <v>0</v>
      </c>
      <c r="O212" s="8">
        <f t="shared" si="139"/>
        <v>0</v>
      </c>
      <c r="P212" s="7">
        <f t="shared" si="140"/>
        <v>0</v>
      </c>
      <c r="Q212" s="7">
        <f t="shared" si="141"/>
        <v>0</v>
      </c>
      <c r="R212" s="7">
        <f t="shared" si="142"/>
        <v>0</v>
      </c>
      <c r="S212" s="7">
        <f t="shared" si="143"/>
        <v>0</v>
      </c>
    </row>
    <row r="213" spans="3:19" ht="12.5" customHeight="1" thickBot="1">
      <c r="C213" s="368"/>
      <c r="D213" s="841"/>
      <c r="E213" s="841"/>
      <c r="F213" s="841"/>
      <c r="G213" s="28"/>
      <c r="H213" s="427"/>
      <c r="I213" s="337"/>
      <c r="J213" s="40"/>
      <c r="K213" s="40"/>
      <c r="L213" s="40"/>
      <c r="M213" s="40"/>
      <c r="N213" s="40"/>
      <c r="O213" s="40"/>
      <c r="P213" s="7"/>
      <c r="Q213" s="7"/>
      <c r="R213" s="7"/>
      <c r="S213" s="7"/>
    </row>
    <row r="214" spans="3:19" s="41" customFormat="1" ht="13" thickBot="1">
      <c r="C214" s="368"/>
      <c r="D214" s="834"/>
      <c r="E214" s="847"/>
      <c r="F214" s="834"/>
      <c r="G214" s="49"/>
      <c r="H214" s="17">
        <v>2400</v>
      </c>
      <c r="I214" s="10">
        <f>SUM(I202:I213)</f>
        <v>104897.66414400001</v>
      </c>
      <c r="J214" s="10">
        <f>SUM(J202:J213)</f>
        <v>26802.838605032</v>
      </c>
      <c r="K214" s="10">
        <f>SUM(K202:K213)</f>
        <v>131700.50274903199</v>
      </c>
      <c r="L214" s="11"/>
      <c r="M214" s="10">
        <f t="shared" ref="M214:S214" si="151">SUM(M202:M213)</f>
        <v>0</v>
      </c>
      <c r="N214" s="10">
        <f t="shared" si="151"/>
        <v>0</v>
      </c>
      <c r="O214" s="10">
        <f t="shared" si="151"/>
        <v>6503.6551769279995</v>
      </c>
      <c r="P214" s="10">
        <f t="shared" si="151"/>
        <v>1521.016130088</v>
      </c>
      <c r="Q214" s="10">
        <f t="shared" si="151"/>
        <v>16329.600000000002</v>
      </c>
      <c r="R214" s="10">
        <f t="shared" si="151"/>
        <v>980.00000000000011</v>
      </c>
      <c r="S214" s="10">
        <f t="shared" si="151"/>
        <v>1468.567298016</v>
      </c>
    </row>
    <row r="215" spans="3:19" ht="12">
      <c r="C215" s="369" t="s">
        <v>24</v>
      </c>
      <c r="D215" s="835"/>
      <c r="E215" s="848"/>
      <c r="F215" s="835"/>
      <c r="G215" s="28"/>
      <c r="H215" s="35"/>
      <c r="I215" s="7"/>
      <c r="J215" s="7"/>
      <c r="K215" s="7"/>
      <c r="L215" s="7"/>
      <c r="M215" s="36"/>
      <c r="N215" s="36"/>
      <c r="O215" s="36"/>
      <c r="P215" s="36"/>
      <c r="Q215" s="36"/>
      <c r="R215" s="36"/>
      <c r="S215" s="36"/>
    </row>
    <row r="216" spans="3:19" ht="12">
      <c r="C216" s="369"/>
      <c r="D216" s="840" t="str">
        <f>'Payroll 19-20'!D216</f>
        <v>Admin Assistant</v>
      </c>
      <c r="E216" s="840">
        <f>'Payroll 20-21'!E216*(1+'Revenue Inputs'!P$27)</f>
        <v>1</v>
      </c>
      <c r="F216" s="828">
        <f>'Payroll 20-21'!F216*(1+$I$4)</f>
        <v>43603.455311999998</v>
      </c>
      <c r="G216" s="322">
        <f>'Payroll 20-21'!G216</f>
        <v>12</v>
      </c>
      <c r="H216" s="319" t="str">
        <f>'Payroll 20-21'!H216</f>
        <v>y</v>
      </c>
      <c r="I216" s="320">
        <f>'Payroll 20-21'!I216*(1+$I$4)</f>
        <v>43603.455311999998</v>
      </c>
      <c r="J216" s="7">
        <f t="shared" ref="J216:J227" si="152">SUM(M216:S216)</f>
        <v>12600.912705736</v>
      </c>
      <c r="K216" s="7">
        <f t="shared" ref="K216:K226" si="153">SUM(I216:J216)</f>
        <v>56204.368017736</v>
      </c>
      <c r="L216" s="7"/>
      <c r="M216" s="8" t="s">
        <v>75</v>
      </c>
      <c r="N216" s="7">
        <f t="shared" ref="N216:N227" si="154">I216*$N$5</f>
        <v>0</v>
      </c>
      <c r="O216" s="8">
        <f t="shared" ref="O216:O227" si="155">I216*$O$5</f>
        <v>2703.414229344</v>
      </c>
      <c r="P216" s="7">
        <f t="shared" ref="P216:P227" si="156">I216*$P$5</f>
        <v>632.25010202400006</v>
      </c>
      <c r="Q216" s="7">
        <f t="shared" ref="Q216:Q227" si="157">IF(H216="y", $Q$5*E216, 0)</f>
        <v>8164.8000000000011</v>
      </c>
      <c r="R216" s="7">
        <f t="shared" ref="R216:R227" si="158">IF($I216&gt;7000,7000*R$5,$I216*R$5)*E216</f>
        <v>490.00000000000006</v>
      </c>
      <c r="S216" s="7">
        <f t="shared" ref="S216:S227" si="159">S$5*$I216</f>
        <v>610.44837436800003</v>
      </c>
    </row>
    <row r="217" spans="3:19" ht="12">
      <c r="C217" s="369"/>
      <c r="D217" s="840">
        <f>'Payroll 19-20'!D217</f>
        <v>0</v>
      </c>
      <c r="E217" s="840">
        <f>'Payroll 20-21'!E217*(1+'Revenue Inputs'!P$27)</f>
        <v>0</v>
      </c>
      <c r="F217" s="828">
        <f>'Payroll 20-21'!F217*(1+$I$4)</f>
        <v>0</v>
      </c>
      <c r="G217" s="322">
        <f>'Payroll 20-21'!G217</f>
        <v>0</v>
      </c>
      <c r="H217" s="319">
        <f>'Payroll 20-21'!H217</f>
        <v>0</v>
      </c>
      <c r="I217" s="320">
        <f>'Payroll 20-21'!I217*(1+$I$4)</f>
        <v>0</v>
      </c>
      <c r="J217" s="7">
        <f t="shared" ref="J217:J224" si="160">SUM(M217:S217)</f>
        <v>0</v>
      </c>
      <c r="K217" s="7">
        <f t="shared" ref="K217:K223" si="161">SUM(I217:J217)</f>
        <v>0</v>
      </c>
      <c r="L217" s="7"/>
      <c r="M217" s="8" t="s">
        <v>75</v>
      </c>
      <c r="N217" s="7">
        <f t="shared" ref="N217:N224" si="162">I217*$N$5</f>
        <v>0</v>
      </c>
      <c r="O217" s="8">
        <f t="shared" ref="O217:O224" si="163">I217*$O$5</f>
        <v>0</v>
      </c>
      <c r="P217" s="7">
        <f t="shared" ref="P217:P224" si="164">I217*$P$5</f>
        <v>0</v>
      </c>
      <c r="Q217" s="7">
        <f t="shared" si="157"/>
        <v>0</v>
      </c>
      <c r="R217" s="7">
        <f t="shared" si="158"/>
        <v>0</v>
      </c>
      <c r="S217" s="7">
        <f t="shared" si="159"/>
        <v>0</v>
      </c>
    </row>
    <row r="218" spans="3:19" ht="12">
      <c r="C218" s="369"/>
      <c r="D218" s="840">
        <f>'Payroll 19-20'!D218</f>
        <v>0</v>
      </c>
      <c r="E218" s="840">
        <f>'Payroll 20-21'!E218*(1+'Revenue Inputs'!P$27)</f>
        <v>0</v>
      </c>
      <c r="F218" s="828">
        <f>'Payroll 20-21'!F218*(1+$I$4)</f>
        <v>0</v>
      </c>
      <c r="G218" s="322">
        <f>'Payroll 20-21'!G218</f>
        <v>0</v>
      </c>
      <c r="H218" s="319">
        <f>'Payroll 20-21'!H218</f>
        <v>0</v>
      </c>
      <c r="I218" s="320">
        <f>'Payroll 20-21'!I218*(1+$I$4)</f>
        <v>0</v>
      </c>
      <c r="J218" s="7">
        <f t="shared" ref="J218:J222" si="165">SUM(M218:S218)</f>
        <v>0</v>
      </c>
      <c r="K218" s="7">
        <f t="shared" ref="K218" si="166">SUM(I218:J218)</f>
        <v>0</v>
      </c>
      <c r="L218" s="7"/>
      <c r="M218" s="8" t="s">
        <v>75</v>
      </c>
      <c r="N218" s="7">
        <f t="shared" ref="N218:N222" si="167">I218*$N$5</f>
        <v>0</v>
      </c>
      <c r="O218" s="8">
        <f t="shared" ref="O218:O222" si="168">I218*$O$5</f>
        <v>0</v>
      </c>
      <c r="P218" s="7">
        <f t="shared" ref="P218:P222" si="169">I218*$P$5</f>
        <v>0</v>
      </c>
      <c r="Q218" s="7">
        <f t="shared" si="157"/>
        <v>0</v>
      </c>
      <c r="R218" s="7">
        <f t="shared" si="158"/>
        <v>0</v>
      </c>
      <c r="S218" s="7">
        <f t="shared" si="159"/>
        <v>0</v>
      </c>
    </row>
    <row r="219" spans="3:19" ht="12">
      <c r="C219" s="369"/>
      <c r="D219" s="840">
        <f>'Payroll 19-20'!D219</f>
        <v>0</v>
      </c>
      <c r="E219" s="840">
        <f>'Payroll 20-21'!E219*(1+'Revenue Inputs'!P$27)</f>
        <v>0</v>
      </c>
      <c r="F219" s="828">
        <f>'Payroll 20-21'!F219*(1+$I$4)</f>
        <v>0</v>
      </c>
      <c r="G219" s="322">
        <f>'Payroll 20-21'!G219</f>
        <v>0</v>
      </c>
      <c r="H219" s="319">
        <f>'Payroll 20-21'!H219</f>
        <v>0</v>
      </c>
      <c r="I219" s="320">
        <f>'Payroll 20-21'!I219*(1+$I$4)</f>
        <v>0</v>
      </c>
      <c r="J219" s="7">
        <f t="shared" si="165"/>
        <v>0</v>
      </c>
      <c r="K219" s="7">
        <f t="shared" ref="K219" si="170">SUM(I219:J219)</f>
        <v>0</v>
      </c>
      <c r="L219" s="7"/>
      <c r="M219" s="8" t="s">
        <v>75</v>
      </c>
      <c r="N219" s="7">
        <f t="shared" si="167"/>
        <v>0</v>
      </c>
      <c r="O219" s="8">
        <f t="shared" si="168"/>
        <v>0</v>
      </c>
      <c r="P219" s="7">
        <f t="shared" si="169"/>
        <v>0</v>
      </c>
      <c r="Q219" s="7">
        <f t="shared" si="157"/>
        <v>0</v>
      </c>
      <c r="R219" s="7">
        <f t="shared" si="158"/>
        <v>0</v>
      </c>
      <c r="S219" s="7">
        <f t="shared" si="159"/>
        <v>0</v>
      </c>
    </row>
    <row r="220" spans="3:19" ht="12">
      <c r="C220" s="369"/>
      <c r="D220" s="840">
        <f>'Payroll 19-20'!D220</f>
        <v>0</v>
      </c>
      <c r="E220" s="840">
        <f>'Payroll 20-21'!E220*(1+'Revenue Inputs'!P$27)</f>
        <v>0</v>
      </c>
      <c r="F220" s="828">
        <f>'Payroll 20-21'!F220*(1+$I$4)</f>
        <v>0</v>
      </c>
      <c r="G220" s="322">
        <f>'Payroll 20-21'!G220</f>
        <v>0</v>
      </c>
      <c r="H220" s="319">
        <f>'Payroll 20-21'!H220</f>
        <v>0</v>
      </c>
      <c r="I220" s="320">
        <f>'Payroll 20-21'!I220*(1+$I$4)</f>
        <v>0</v>
      </c>
      <c r="J220" s="7">
        <f t="shared" si="165"/>
        <v>0</v>
      </c>
      <c r="K220" s="7">
        <f t="shared" ref="K220:K221" si="171">SUM(I220:J220)</f>
        <v>0</v>
      </c>
      <c r="L220" s="7"/>
      <c r="M220" s="8" t="s">
        <v>75</v>
      </c>
      <c r="N220" s="7">
        <f t="shared" si="167"/>
        <v>0</v>
      </c>
      <c r="O220" s="8">
        <f t="shared" si="168"/>
        <v>0</v>
      </c>
      <c r="P220" s="7">
        <f t="shared" si="169"/>
        <v>0</v>
      </c>
      <c r="Q220" s="7">
        <f t="shared" si="157"/>
        <v>0</v>
      </c>
      <c r="R220" s="7">
        <f t="shared" si="158"/>
        <v>0</v>
      </c>
      <c r="S220" s="7">
        <f t="shared" si="159"/>
        <v>0</v>
      </c>
    </row>
    <row r="221" spans="3:19" ht="12">
      <c r="C221" s="369"/>
      <c r="D221" s="840">
        <f>'Payroll 19-20'!D221</f>
        <v>0</v>
      </c>
      <c r="E221" s="840">
        <f>'Payroll 20-21'!E221*(1+'Revenue Inputs'!P$27)</f>
        <v>0</v>
      </c>
      <c r="F221" s="828">
        <f>'Payroll 20-21'!F221*(1+$I$4)</f>
        <v>0</v>
      </c>
      <c r="G221" s="322">
        <f>'Payroll 20-21'!G221</f>
        <v>0</v>
      </c>
      <c r="H221" s="319">
        <f>'Payroll 20-21'!H221</f>
        <v>0</v>
      </c>
      <c r="I221" s="320">
        <f>'Payroll 20-21'!I221*(1+$I$4)</f>
        <v>0</v>
      </c>
      <c r="J221" s="7">
        <f t="shared" si="165"/>
        <v>0</v>
      </c>
      <c r="K221" s="7">
        <f t="shared" si="171"/>
        <v>0</v>
      </c>
      <c r="L221" s="7"/>
      <c r="M221" s="8" t="s">
        <v>75</v>
      </c>
      <c r="N221" s="7">
        <f t="shared" si="167"/>
        <v>0</v>
      </c>
      <c r="O221" s="8">
        <f t="shared" si="168"/>
        <v>0</v>
      </c>
      <c r="P221" s="7">
        <f t="shared" si="169"/>
        <v>0</v>
      </c>
      <c r="Q221" s="7">
        <f t="shared" si="157"/>
        <v>0</v>
      </c>
      <c r="R221" s="7">
        <f t="shared" si="158"/>
        <v>0</v>
      </c>
      <c r="S221" s="7">
        <f t="shared" si="159"/>
        <v>0</v>
      </c>
    </row>
    <row r="222" spans="3:19" ht="12">
      <c r="C222" s="369"/>
      <c r="D222" s="840">
        <f>'Payroll 19-20'!D222</f>
        <v>0</v>
      </c>
      <c r="E222" s="840">
        <f>'Payroll 20-21'!E222*(1+'Revenue Inputs'!P$27)</f>
        <v>0</v>
      </c>
      <c r="F222" s="828">
        <f>'Payroll 20-21'!F222*(1+$I$4)</f>
        <v>0</v>
      </c>
      <c r="G222" s="322">
        <f>'Payroll 20-21'!G222</f>
        <v>0</v>
      </c>
      <c r="H222" s="319">
        <f>'Payroll 20-21'!H222</f>
        <v>0</v>
      </c>
      <c r="I222" s="320">
        <f>'Payroll 20-21'!I222*(1+$I$4)</f>
        <v>0</v>
      </c>
      <c r="J222" s="7">
        <f t="shared" si="165"/>
        <v>0</v>
      </c>
      <c r="K222" s="7">
        <f t="shared" ref="K222" si="172">SUM(I222:J222)</f>
        <v>0</v>
      </c>
      <c r="L222" s="7"/>
      <c r="M222" s="8" t="s">
        <v>75</v>
      </c>
      <c r="N222" s="7">
        <f t="shared" si="167"/>
        <v>0</v>
      </c>
      <c r="O222" s="8">
        <f t="shared" si="168"/>
        <v>0</v>
      </c>
      <c r="P222" s="7">
        <f t="shared" si="169"/>
        <v>0</v>
      </c>
      <c r="Q222" s="7">
        <f t="shared" si="157"/>
        <v>0</v>
      </c>
      <c r="R222" s="7">
        <f t="shared" si="158"/>
        <v>0</v>
      </c>
      <c r="S222" s="7">
        <f t="shared" si="159"/>
        <v>0</v>
      </c>
    </row>
    <row r="223" spans="3:19" ht="12">
      <c r="C223" s="369"/>
      <c r="D223" s="840">
        <f>'Payroll 19-20'!D223</f>
        <v>0</v>
      </c>
      <c r="E223" s="840">
        <f>'Payroll 20-21'!E223*(1+'Revenue Inputs'!P$27)</f>
        <v>0</v>
      </c>
      <c r="F223" s="828">
        <f>'Payroll 20-21'!F223*(1+$I$4)</f>
        <v>0</v>
      </c>
      <c r="G223" s="322">
        <f>'Payroll 20-21'!G223</f>
        <v>0</v>
      </c>
      <c r="H223" s="319">
        <f>'Payroll 20-21'!H223</f>
        <v>0</v>
      </c>
      <c r="I223" s="320">
        <f>'Payroll 20-21'!I223*(1+$I$4)</f>
        <v>0</v>
      </c>
      <c r="J223" s="7">
        <f t="shared" si="160"/>
        <v>0</v>
      </c>
      <c r="K223" s="7">
        <f t="shared" si="161"/>
        <v>0</v>
      </c>
      <c r="L223" s="7"/>
      <c r="M223" s="8" t="s">
        <v>75</v>
      </c>
      <c r="N223" s="7">
        <f t="shared" si="162"/>
        <v>0</v>
      </c>
      <c r="O223" s="8">
        <f t="shared" si="163"/>
        <v>0</v>
      </c>
      <c r="P223" s="7">
        <f t="shared" si="164"/>
        <v>0</v>
      </c>
      <c r="Q223" s="7">
        <f t="shared" si="157"/>
        <v>0</v>
      </c>
      <c r="R223" s="7">
        <f t="shared" si="158"/>
        <v>0</v>
      </c>
      <c r="S223" s="7">
        <f t="shared" si="159"/>
        <v>0</v>
      </c>
    </row>
    <row r="224" spans="3:19" ht="12">
      <c r="C224" s="369"/>
      <c r="D224" s="840">
        <f>'Payroll 19-20'!D224</f>
        <v>0</v>
      </c>
      <c r="E224" s="840">
        <f>'Payroll 20-21'!E224*(1+'Revenue Inputs'!P$27)</f>
        <v>0</v>
      </c>
      <c r="F224" s="828">
        <f>'Payroll 20-21'!F224*(1+$I$4)</f>
        <v>0</v>
      </c>
      <c r="G224" s="322">
        <f>'Payroll 20-21'!G224</f>
        <v>0</v>
      </c>
      <c r="H224" s="319">
        <f>'Payroll 20-21'!H224</f>
        <v>0</v>
      </c>
      <c r="I224" s="320">
        <f>'Payroll 20-21'!I224*(1+$I$4)</f>
        <v>0</v>
      </c>
      <c r="J224" s="7">
        <f t="shared" si="160"/>
        <v>0</v>
      </c>
      <c r="K224" s="7">
        <f t="shared" ref="K224" si="173">SUM(I224:J224)</f>
        <v>0</v>
      </c>
      <c r="L224" s="7"/>
      <c r="M224" s="8" t="s">
        <v>75</v>
      </c>
      <c r="N224" s="7">
        <f t="shared" si="162"/>
        <v>0</v>
      </c>
      <c r="O224" s="8">
        <f t="shared" si="163"/>
        <v>0</v>
      </c>
      <c r="P224" s="7">
        <f t="shared" si="164"/>
        <v>0</v>
      </c>
      <c r="Q224" s="7">
        <f t="shared" si="157"/>
        <v>0</v>
      </c>
      <c r="R224" s="7">
        <f t="shared" si="158"/>
        <v>0</v>
      </c>
      <c r="S224" s="7">
        <f t="shared" si="159"/>
        <v>0</v>
      </c>
    </row>
    <row r="225" spans="3:19" ht="12">
      <c r="C225" s="369"/>
      <c r="D225" s="840">
        <f>'Payroll 19-20'!D225</f>
        <v>0</v>
      </c>
      <c r="E225" s="840">
        <f>'Payroll 20-21'!E225*(1+'Revenue Inputs'!P$27)</f>
        <v>0</v>
      </c>
      <c r="F225" s="828">
        <f>'Payroll 20-21'!F225*(1+$I$4)</f>
        <v>0</v>
      </c>
      <c r="G225" s="322">
        <f>'Payroll 20-21'!G225</f>
        <v>0</v>
      </c>
      <c r="H225" s="319">
        <f>'Payroll 20-21'!H225</f>
        <v>0</v>
      </c>
      <c r="I225" s="320">
        <f>'Payroll 20-21'!I225*(1+$I$4)</f>
        <v>0</v>
      </c>
      <c r="J225" s="7">
        <f t="shared" si="152"/>
        <v>0</v>
      </c>
      <c r="K225" s="7">
        <f t="shared" si="153"/>
        <v>0</v>
      </c>
      <c r="L225" s="7"/>
      <c r="M225" s="8" t="s">
        <v>75</v>
      </c>
      <c r="N225" s="7">
        <f t="shared" si="154"/>
        <v>0</v>
      </c>
      <c r="O225" s="8">
        <f t="shared" si="155"/>
        <v>0</v>
      </c>
      <c r="P225" s="7">
        <f t="shared" si="156"/>
        <v>0</v>
      </c>
      <c r="Q225" s="7">
        <f t="shared" si="157"/>
        <v>0</v>
      </c>
      <c r="R225" s="7">
        <f t="shared" si="158"/>
        <v>0</v>
      </c>
      <c r="S225" s="7">
        <f t="shared" si="159"/>
        <v>0</v>
      </c>
    </row>
    <row r="226" spans="3:19" ht="12">
      <c r="C226" s="369"/>
      <c r="D226" s="840">
        <f>'Payroll 19-20'!D226</f>
        <v>0</v>
      </c>
      <c r="E226" s="840">
        <f>'Payroll 20-21'!E226*(1+'Revenue Inputs'!P$27)</f>
        <v>0</v>
      </c>
      <c r="F226" s="828">
        <f>'Payroll 20-21'!F226*(1+$I$4)</f>
        <v>0</v>
      </c>
      <c r="G226" s="322">
        <f>'Payroll 20-21'!G226</f>
        <v>0</v>
      </c>
      <c r="H226" s="319">
        <f>'Payroll 20-21'!H226</f>
        <v>0</v>
      </c>
      <c r="I226" s="320">
        <f>'Payroll 20-21'!I226*(1+$I$4)</f>
        <v>0</v>
      </c>
      <c r="J226" s="7">
        <f t="shared" si="152"/>
        <v>0</v>
      </c>
      <c r="K226" s="7">
        <f t="shared" si="153"/>
        <v>0</v>
      </c>
      <c r="L226" s="7"/>
      <c r="M226" s="8" t="s">
        <v>75</v>
      </c>
      <c r="N226" s="7">
        <f t="shared" si="154"/>
        <v>0</v>
      </c>
      <c r="O226" s="8">
        <f t="shared" si="155"/>
        <v>0</v>
      </c>
      <c r="P226" s="7">
        <f t="shared" si="156"/>
        <v>0</v>
      </c>
      <c r="Q226" s="7">
        <f t="shared" si="157"/>
        <v>0</v>
      </c>
      <c r="R226" s="7">
        <f t="shared" si="158"/>
        <v>0</v>
      </c>
      <c r="S226" s="7">
        <f t="shared" si="159"/>
        <v>0</v>
      </c>
    </row>
    <row r="227" spans="3:19" ht="12">
      <c r="C227" s="369"/>
      <c r="D227" s="840">
        <f>'Payroll 19-20'!D227</f>
        <v>0</v>
      </c>
      <c r="E227" s="840">
        <f>'Payroll 20-21'!E227*(1+'Revenue Inputs'!P$27)</f>
        <v>0</v>
      </c>
      <c r="F227" s="828">
        <f>'Payroll 20-21'!F227*(1+$I$4)</f>
        <v>0</v>
      </c>
      <c r="G227" s="322">
        <f>'Payroll 20-21'!G227</f>
        <v>0</v>
      </c>
      <c r="H227" s="319">
        <f>'Payroll 20-21'!H227</f>
        <v>0</v>
      </c>
      <c r="I227" s="320">
        <f>'Payroll 20-21'!I227*(1+$I$4)</f>
        <v>0</v>
      </c>
      <c r="J227" s="7">
        <f t="shared" si="152"/>
        <v>0</v>
      </c>
      <c r="K227" s="7">
        <f t="shared" ref="K227" si="174">SUM(I227:J227)</f>
        <v>0</v>
      </c>
      <c r="L227" s="7"/>
      <c r="M227" s="8" t="s">
        <v>75</v>
      </c>
      <c r="N227" s="7">
        <f t="shared" si="154"/>
        <v>0</v>
      </c>
      <c r="O227" s="8">
        <f t="shared" si="155"/>
        <v>0</v>
      </c>
      <c r="P227" s="7">
        <f t="shared" si="156"/>
        <v>0</v>
      </c>
      <c r="Q227" s="7">
        <f t="shared" si="157"/>
        <v>0</v>
      </c>
      <c r="R227" s="7">
        <f t="shared" si="158"/>
        <v>0</v>
      </c>
      <c r="S227" s="7">
        <f t="shared" si="159"/>
        <v>0</v>
      </c>
    </row>
    <row r="228" spans="3:19" ht="12.5" customHeight="1" thickBot="1">
      <c r="C228" s="369"/>
      <c r="D228" s="841"/>
      <c r="E228" s="841"/>
      <c r="F228" s="841"/>
      <c r="G228" s="28"/>
      <c r="H228" s="427"/>
      <c r="I228" s="337"/>
      <c r="J228" s="40"/>
      <c r="K228" s="40"/>
      <c r="L228" s="40"/>
      <c r="M228" s="40"/>
      <c r="N228" s="40"/>
      <c r="O228" s="40"/>
      <c r="P228" s="7"/>
      <c r="Q228" s="7"/>
      <c r="R228" s="7"/>
      <c r="S228" s="7"/>
    </row>
    <row r="229" spans="3:19" s="41" customFormat="1" ht="13" thickBot="1">
      <c r="C229" s="369"/>
      <c r="D229" s="852"/>
      <c r="E229" s="852"/>
      <c r="F229" s="835"/>
      <c r="G229" s="28"/>
      <c r="H229" s="17">
        <v>2900</v>
      </c>
      <c r="I229" s="10">
        <f>SUM(I216:I228)</f>
        <v>43603.455311999998</v>
      </c>
      <c r="J229" s="10">
        <f>SUM(J216:J228)</f>
        <v>12600.912705736</v>
      </c>
      <c r="K229" s="10">
        <f>SUM(K216:K228)</f>
        <v>56204.368017736</v>
      </c>
      <c r="L229" s="11"/>
      <c r="M229" s="10">
        <f t="shared" ref="M229:S229" si="175">SUM(M216:M228)</f>
        <v>0</v>
      </c>
      <c r="N229" s="10">
        <f t="shared" si="175"/>
        <v>0</v>
      </c>
      <c r="O229" s="10">
        <f t="shared" si="175"/>
        <v>2703.414229344</v>
      </c>
      <c r="P229" s="10">
        <f t="shared" si="175"/>
        <v>632.25010202400006</v>
      </c>
      <c r="Q229" s="10">
        <f t="shared" si="175"/>
        <v>8164.8000000000011</v>
      </c>
      <c r="R229" s="10">
        <f t="shared" si="175"/>
        <v>490.00000000000006</v>
      </c>
      <c r="S229" s="10">
        <f t="shared" si="175"/>
        <v>610.44837436800003</v>
      </c>
    </row>
    <row r="230" spans="3:19" ht="12">
      <c r="C230" s="369"/>
      <c r="D230" s="852"/>
      <c r="E230" s="852"/>
      <c r="F230" s="841"/>
      <c r="G230" s="28"/>
      <c r="H230" s="427"/>
      <c r="I230" s="337"/>
      <c r="J230" s="7"/>
      <c r="K230" s="7"/>
      <c r="L230" s="7"/>
      <c r="M230" s="36"/>
      <c r="N230" s="36"/>
      <c r="O230" s="36"/>
      <c r="P230" s="36"/>
      <c r="Q230" s="36"/>
      <c r="R230" s="36"/>
      <c r="S230" s="36"/>
    </row>
    <row r="231" spans="3:19" s="42" customFormat="1" ht="13" thickBot="1">
      <c r="C231" s="370"/>
      <c r="D231" s="852"/>
      <c r="E231" s="852"/>
      <c r="F231" s="843"/>
      <c r="G231" s="50"/>
      <c r="H231" s="20"/>
      <c r="I231" s="21">
        <f>SUM(I61,I229,I188,I214,I200,I166,I144,I122,I76,I65,I100)</f>
        <v>11264824.396189801</v>
      </c>
      <c r="J231" s="21">
        <f>SUM(J61,J229,J188,J214,J200,J166,J144,J122,J76,J65,J100)</f>
        <v>3640454.408986419</v>
      </c>
      <c r="K231" s="21">
        <f>SUM(K61,K229,K188,K214,K200,K166,K144,K122,K76,K65,K100)</f>
        <v>14905278.805176219</v>
      </c>
      <c r="L231" s="22"/>
      <c r="M231" s="21">
        <f t="shared" ref="M231:S231" si="176">SUM(M61,M229,M188,M214,M200,M166,M144,M122,M76,M65,M100)</f>
        <v>1948720.6223928975</v>
      </c>
      <c r="N231" s="21">
        <f t="shared" si="176"/>
        <v>0</v>
      </c>
      <c r="O231" s="21">
        <f t="shared" si="176"/>
        <v>30901.551302111999</v>
      </c>
      <c r="P231" s="21">
        <f t="shared" si="176"/>
        <v>163339.9537447521</v>
      </c>
      <c r="Q231" s="21">
        <f t="shared" si="176"/>
        <v>1257379.2000000002</v>
      </c>
      <c r="R231" s="21">
        <f t="shared" si="176"/>
        <v>82405.540000000008</v>
      </c>
      <c r="S231" s="21">
        <f t="shared" si="176"/>
        <v>157707.54154665724</v>
      </c>
    </row>
    <row r="232" spans="3:19" ht="13" thickTop="1">
      <c r="C232" s="370"/>
      <c r="D232" s="36"/>
      <c r="E232" s="36"/>
      <c r="F232" s="36"/>
      <c r="G232" s="28"/>
      <c r="H232" s="7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3:19" ht="12">
      <c r="C233" s="369"/>
      <c r="D233" s="36"/>
      <c r="E233" s="36"/>
      <c r="F233" s="36"/>
      <c r="G233" s="28"/>
      <c r="I233" s="36">
        <f>+I231-I76</f>
        <v>10827236.415684002</v>
      </c>
      <c r="J233" s="36"/>
      <c r="K233" s="36"/>
      <c r="M233" s="36"/>
      <c r="N233" s="36"/>
      <c r="O233" s="36"/>
      <c r="P233" s="36"/>
      <c r="Q233" s="36"/>
      <c r="R233" s="7"/>
      <c r="S233" s="7"/>
    </row>
    <row r="234" spans="3:19" ht="12">
      <c r="C234" s="369"/>
      <c r="I234" s="844">
        <f>+I233-10370097.82</f>
        <v>457138.59568400122</v>
      </c>
    </row>
    <row r="235" spans="3:19" ht="12">
      <c r="C235" s="369"/>
    </row>
    <row r="236" spans="3:19" ht="12">
      <c r="C236" s="369"/>
    </row>
    <row r="237" spans="3:19" ht="12">
      <c r="C237" s="369"/>
    </row>
    <row r="238" spans="3:19" ht="12">
      <c r="C238" s="369"/>
    </row>
    <row r="239" spans="3:19" ht="12">
      <c r="C239" s="369"/>
    </row>
    <row r="240" spans="3:19" ht="12">
      <c r="C240" s="369"/>
    </row>
    <row r="241" spans="1:26" ht="12">
      <c r="C241" s="369"/>
    </row>
    <row r="242" spans="1:26" ht="12">
      <c r="C242" s="369"/>
    </row>
    <row r="244" spans="1:26" s="46" customFormat="1">
      <c r="A244" s="27"/>
      <c r="B244" s="27"/>
      <c r="C244" s="27"/>
      <c r="D244" s="844"/>
      <c r="E244" s="844"/>
      <c r="F244" s="844"/>
      <c r="G244" s="45"/>
      <c r="H244" s="45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s="46" customFormat="1">
      <c r="A245" s="27"/>
      <c r="B245" s="27"/>
      <c r="C245" s="27"/>
      <c r="D245" s="844"/>
      <c r="E245" s="844"/>
      <c r="F245" s="844"/>
      <c r="G245" s="45"/>
      <c r="H245" s="45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s="46" customFormat="1">
      <c r="A246" s="27"/>
      <c r="B246" s="27"/>
      <c r="C246" s="27"/>
      <c r="D246" s="844"/>
      <c r="E246" s="844"/>
      <c r="F246" s="844"/>
      <c r="G246" s="45"/>
      <c r="H246" s="45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s="46" customFormat="1">
      <c r="A247" s="27"/>
      <c r="B247" s="27"/>
      <c r="C247" s="27"/>
      <c r="D247" s="844"/>
      <c r="E247" s="844"/>
      <c r="F247" s="844"/>
      <c r="G247" s="45"/>
      <c r="H247" s="45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s="46" customFormat="1">
      <c r="A248" s="27"/>
      <c r="B248" s="27"/>
      <c r="C248" s="27"/>
      <c r="D248" s="844"/>
      <c r="E248" s="844"/>
      <c r="F248" s="844"/>
      <c r="G248" s="45"/>
      <c r="H248" s="45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s="46" customFormat="1">
      <c r="A249" s="27"/>
      <c r="B249" s="27"/>
      <c r="C249" s="27"/>
      <c r="D249" s="844"/>
      <c r="E249" s="844"/>
      <c r="F249" s="844"/>
      <c r="G249" s="45"/>
      <c r="H249" s="45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s="46" customFormat="1">
      <c r="A250" s="27"/>
      <c r="B250" s="27"/>
      <c r="C250" s="27"/>
      <c r="D250" s="844"/>
      <c r="E250" s="844"/>
      <c r="F250" s="844"/>
      <c r="G250" s="45"/>
      <c r="H250" s="45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s="46" customFormat="1">
      <c r="A251" s="27"/>
      <c r="B251" s="27"/>
      <c r="C251" s="27"/>
      <c r="D251" s="844"/>
      <c r="E251" s="844"/>
      <c r="F251" s="844"/>
      <c r="G251" s="45"/>
      <c r="H251" s="45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s="46" customFormat="1">
      <c r="A252" s="27"/>
      <c r="B252" s="27"/>
      <c r="C252" s="27"/>
      <c r="D252" s="844"/>
      <c r="E252" s="844"/>
      <c r="F252" s="844"/>
      <c r="G252" s="45"/>
      <c r="H252" s="45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s="46" customFormat="1">
      <c r="A253" s="27"/>
      <c r="B253" s="27"/>
      <c r="C253" s="27"/>
      <c r="D253" s="844"/>
      <c r="E253" s="844"/>
      <c r="F253" s="844"/>
      <c r="G253" s="45"/>
      <c r="H253" s="45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s="46" customFormat="1">
      <c r="A254" s="27"/>
      <c r="B254" s="27"/>
      <c r="C254" s="27"/>
      <c r="D254" s="844"/>
      <c r="E254" s="844"/>
      <c r="F254" s="844"/>
      <c r="G254" s="45"/>
      <c r="H254" s="45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s="46" customFormat="1">
      <c r="A255" s="27"/>
      <c r="B255" s="27"/>
      <c r="C255" s="27"/>
      <c r="D255" s="844"/>
      <c r="E255" s="844"/>
      <c r="F255" s="844"/>
      <c r="G255" s="45"/>
      <c r="H255" s="45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s="46" customFormat="1">
      <c r="A256" s="27"/>
      <c r="B256" s="27"/>
      <c r="C256" s="27"/>
      <c r="D256" s="844"/>
      <c r="E256" s="844"/>
      <c r="F256" s="844"/>
      <c r="G256" s="45"/>
      <c r="H256" s="45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</sheetData>
  <sheetProtection insertColumns="0" insertRows="0" deleteColumns="0" deleteRows="0"/>
  <printOptions horizontalCentered="1"/>
  <pageMargins left="0.25" right="0.25" top="0.25" bottom="0.25" header="0.3" footer="0.3"/>
  <pageSetup scale="7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8FD610"/>
  </sheetPr>
  <dimension ref="A1:Z256"/>
  <sheetViews>
    <sheetView zoomScaleNormal="100" zoomScaleSheetLayoutView="85" workbookViewId="0">
      <pane ySplit="5" topLeftCell="A36" activePane="bottomLeft" state="frozen"/>
      <selection activeCell="O14" sqref="O14"/>
      <selection pane="bottomLeft" activeCell="F27" sqref="F27"/>
    </sheetView>
  </sheetViews>
  <sheetFormatPr baseColWidth="10" defaultColWidth="8.83203125" defaultRowHeight="11"/>
  <cols>
    <col min="1" max="1" width="1.33203125" style="27" customWidth="1"/>
    <col min="2" max="2" width="3.6640625" style="27" customWidth="1"/>
    <col min="3" max="3" width="2.6640625" style="27" customWidth="1"/>
    <col min="4" max="5" width="14.33203125" style="844" customWidth="1"/>
    <col min="6" max="6" width="20.6640625" style="844" bestFit="1" customWidth="1"/>
    <col min="7" max="7" width="8" style="45" customWidth="1"/>
    <col min="8" max="8" width="7" style="45" customWidth="1"/>
    <col min="9" max="9" width="11" style="27" bestFit="1" customWidth="1"/>
    <col min="10" max="10" width="10" style="27" bestFit="1" customWidth="1"/>
    <col min="11" max="11" width="11" style="27" bestFit="1" customWidth="1"/>
    <col min="12" max="12" width="4.6640625" style="27" customWidth="1"/>
    <col min="13" max="13" width="10" style="27" bestFit="1" customWidth="1"/>
    <col min="14" max="14" width="5.33203125" style="27" bestFit="1" customWidth="1"/>
    <col min="15" max="15" width="7.5" style="27" bestFit="1" customWidth="1"/>
    <col min="16" max="16" width="17.5" style="27" bestFit="1" customWidth="1"/>
    <col min="17" max="17" width="10" style="27" bestFit="1" customWidth="1"/>
    <col min="18" max="19" width="8.33203125" style="27" customWidth="1"/>
    <col min="20" max="16384" width="8.83203125" style="27"/>
  </cols>
  <sheetData>
    <row r="1" spans="1:19" s="1" customFormat="1" ht="20">
      <c r="B1" s="364" t="str">
        <f>'FY19-20'!A1</f>
        <v>Granite Mountain Charter School</v>
      </c>
      <c r="D1" s="830"/>
      <c r="E1" s="830"/>
      <c r="F1" s="830"/>
      <c r="G1" s="48"/>
      <c r="H1" s="426"/>
      <c r="N1" s="47"/>
      <c r="O1" s="47"/>
      <c r="P1" s="47"/>
      <c r="Q1" s="47"/>
      <c r="R1" s="47"/>
      <c r="S1" s="47"/>
    </row>
    <row r="2" spans="1:19" ht="14">
      <c r="B2" s="365" t="s">
        <v>343</v>
      </c>
      <c r="E2" s="831"/>
      <c r="F2" s="831"/>
      <c r="H2" s="28"/>
      <c r="I2" s="2"/>
      <c r="J2" s="2"/>
      <c r="K2" s="2"/>
      <c r="L2" s="2"/>
      <c r="P2" s="1018" t="s">
        <v>770</v>
      </c>
      <c r="Q2" s="1019">
        <v>0.08</v>
      </c>
    </row>
    <row r="3" spans="1:19" s="30" customFormat="1" ht="36">
      <c r="A3" s="29"/>
      <c r="B3" s="363" t="str">
        <f>'FY19-20'!A3</f>
        <v>Revised 08/06/20</v>
      </c>
      <c r="C3" s="1"/>
      <c r="D3" s="853"/>
      <c r="E3" s="845"/>
      <c r="F3" s="831"/>
      <c r="G3" s="32"/>
      <c r="H3" s="31"/>
      <c r="I3" s="3"/>
      <c r="J3" s="3"/>
      <c r="K3" s="3"/>
      <c r="L3" s="3"/>
      <c r="M3" s="4" t="s">
        <v>69</v>
      </c>
      <c r="N3" s="4" t="s">
        <v>70</v>
      </c>
      <c r="O3" s="32" t="s">
        <v>246</v>
      </c>
      <c r="P3" s="32" t="s">
        <v>240</v>
      </c>
      <c r="Q3" s="32" t="s">
        <v>235</v>
      </c>
      <c r="R3" s="32" t="s">
        <v>247</v>
      </c>
      <c r="S3" s="32" t="s">
        <v>266</v>
      </c>
    </row>
    <row r="4" spans="1:19" ht="15" customHeight="1">
      <c r="C4" s="6"/>
      <c r="D4" s="831"/>
      <c r="E4" s="831"/>
      <c r="F4" s="831"/>
      <c r="G4" s="28"/>
      <c r="H4" s="480" t="s">
        <v>407</v>
      </c>
      <c r="I4" s="479">
        <f>'Multi-Year'!N9</f>
        <v>0.02</v>
      </c>
      <c r="J4" s="478"/>
      <c r="M4" s="33">
        <v>3101</v>
      </c>
      <c r="N4" s="33">
        <v>3202</v>
      </c>
      <c r="O4" s="33">
        <v>3301</v>
      </c>
      <c r="P4" s="33">
        <v>3311</v>
      </c>
      <c r="Q4" s="33">
        <v>3401</v>
      </c>
      <c r="R4" s="33">
        <v>3501</v>
      </c>
      <c r="S4" s="33">
        <v>3601</v>
      </c>
    </row>
    <row r="5" spans="1:19" s="51" customFormat="1" ht="44.25" customHeight="1">
      <c r="D5" s="832" t="s">
        <v>71</v>
      </c>
      <c r="E5" s="832" t="s">
        <v>525</v>
      </c>
      <c r="F5" s="832" t="s">
        <v>526</v>
      </c>
      <c r="G5" s="358" t="s">
        <v>527</v>
      </c>
      <c r="H5" s="359" t="s">
        <v>72</v>
      </c>
      <c r="I5" s="360" t="s">
        <v>73</v>
      </c>
      <c r="J5" s="360" t="s">
        <v>3</v>
      </c>
      <c r="K5" s="360" t="s">
        <v>74</v>
      </c>
      <c r="L5" s="52"/>
      <c r="M5" s="361">
        <v>0.18099999999999999</v>
      </c>
      <c r="N5" s="361"/>
      <c r="O5" s="361">
        <v>6.2E-2</v>
      </c>
      <c r="P5" s="361">
        <v>1.4500000000000001E-2</v>
      </c>
      <c r="Q5" s="362">
        <f>'Payroll 21-22'!Q5*(1+'Payroll 22-23'!Q2)</f>
        <v>8817.9840000000022</v>
      </c>
      <c r="R5" s="361">
        <v>7.0000000000000007E-2</v>
      </c>
      <c r="S5" s="361">
        <v>1.4E-2</v>
      </c>
    </row>
    <row r="6" spans="1:19" ht="12">
      <c r="B6" s="51"/>
      <c r="C6" s="366" t="s">
        <v>17</v>
      </c>
      <c r="D6" s="831"/>
      <c r="E6" s="831"/>
      <c r="F6" s="831"/>
      <c r="G6" s="28"/>
      <c r="H6" s="28"/>
      <c r="I6" s="2"/>
      <c r="J6" s="2"/>
      <c r="K6" s="2"/>
      <c r="L6" s="2"/>
      <c r="O6" s="5"/>
      <c r="P6" s="5"/>
      <c r="Q6" s="5"/>
      <c r="R6" s="5"/>
      <c r="S6" s="5"/>
    </row>
    <row r="7" spans="1:19">
      <c r="B7" s="51"/>
      <c r="C7" s="34"/>
      <c r="D7" s="840" t="str">
        <f>'Payroll 19-20'!D7</f>
        <v>Coord-REgional</v>
      </c>
      <c r="E7" s="840">
        <f>'Payroll 21-22'!E7*(1+'Revenue Inputs'!Q$27)</f>
        <v>1.05</v>
      </c>
      <c r="F7" s="828">
        <f>'Payroll 21-22'!F7*(1+$I$4)</f>
        <v>84896.555103359991</v>
      </c>
      <c r="G7" s="322">
        <f>'Payroll 21-22'!G7</f>
        <v>12</v>
      </c>
      <c r="H7" s="319" t="str">
        <f>'Payroll 21-22'!H7</f>
        <v>y</v>
      </c>
      <c r="I7" s="320">
        <f>F7*E7</f>
        <v>89141.382858527999</v>
      </c>
      <c r="J7" s="7">
        <f t="shared" ref="J7:J59" si="0">SUM(M7:S7)</f>
        <v>28448.502908861617</v>
      </c>
      <c r="K7" s="7">
        <f t="shared" ref="K7:K9" si="1">SUM(I7:J7)</f>
        <v>117589.88576738961</v>
      </c>
      <c r="L7" s="352"/>
      <c r="M7" s="7">
        <f>I7*$M$5</f>
        <v>16134.590297393568</v>
      </c>
      <c r="N7" s="8" t="s">
        <v>75</v>
      </c>
      <c r="O7" s="8" t="str">
        <f>IF($M$5&gt;0,"N/A",$O$5*I7)</f>
        <v>N/A</v>
      </c>
      <c r="P7" s="7">
        <f t="shared" ref="P7:P59" si="2">I7*$P$5</f>
        <v>1292.5500514486559</v>
      </c>
      <c r="Q7" s="7">
        <f>IF(H7="y", $Q$5*E7, 0)</f>
        <v>9258.883200000002</v>
      </c>
      <c r="R7" s="7">
        <f>IF($I7&gt;7000,7000*R$5,$I7*R$5)*E7</f>
        <v>514.50000000000011</v>
      </c>
      <c r="S7" s="7">
        <f>S$5*$I7</f>
        <v>1247.9793600193921</v>
      </c>
    </row>
    <row r="8" spans="1:19">
      <c r="B8" s="51"/>
      <c r="C8" s="34"/>
      <c r="D8" s="840" t="str">
        <f>'Payroll 19-20'!D8</f>
        <v>Director</v>
      </c>
      <c r="E8" s="840">
        <f>'Payroll 21-22'!E8*(1+'Revenue Inputs'!Q$27)</f>
        <v>1.05</v>
      </c>
      <c r="F8" s="828">
        <f>'Payroll 21-22'!F8*(1+$I$4)</f>
        <v>63648</v>
      </c>
      <c r="G8" s="322">
        <f>'Payroll 21-22'!G8</f>
        <v>12</v>
      </c>
      <c r="H8" s="319" t="str">
        <f>'Payroll 21-22'!H8</f>
        <v>y</v>
      </c>
      <c r="I8" s="320">
        <f t="shared" ref="I8:I59" si="3">F8*E8</f>
        <v>66830.400000000009</v>
      </c>
      <c r="J8" s="7">
        <f t="shared" si="0"/>
        <v>23774.352000000003</v>
      </c>
      <c r="K8" s="7">
        <f t="shared" si="1"/>
        <v>90604.752000000008</v>
      </c>
      <c r="L8" s="352"/>
      <c r="M8" s="7">
        <f t="shared" ref="M8:M9" si="4">I8*$M$5</f>
        <v>12096.3024</v>
      </c>
      <c r="N8" s="8" t="s">
        <v>75</v>
      </c>
      <c r="O8" s="8" t="str">
        <f t="shared" ref="O8:O59" si="5">IF($M$5&gt;0,"N/A",$O$5*I8)</f>
        <v>N/A</v>
      </c>
      <c r="P8" s="7">
        <f t="shared" si="2"/>
        <v>969.04080000000022</v>
      </c>
      <c r="Q8" s="7">
        <f t="shared" ref="Q8:Q59" si="6">IF(H8="y", $Q$5*E8, 0)</f>
        <v>9258.883200000002</v>
      </c>
      <c r="R8" s="7">
        <f t="shared" ref="R8:R59" si="7">IF($I8&gt;7000,7000*R$5,$I8*R$5)*E8</f>
        <v>514.50000000000011</v>
      </c>
      <c r="S8" s="7">
        <f t="shared" ref="S8:S59" si="8">S$5*$I8</f>
        <v>935.62560000000019</v>
      </c>
    </row>
    <row r="9" spans="1:19">
      <c r="B9" s="51"/>
      <c r="C9" s="34"/>
      <c r="D9" s="840" t="str">
        <f>'Payroll 19-20'!D9</f>
        <v>High School Teacher</v>
      </c>
      <c r="E9" s="840">
        <f>'Payroll 21-22'!E9*(1+'Revenue Inputs'!Q$27)</f>
        <v>2.1</v>
      </c>
      <c r="F9" s="828">
        <f>'Payroll 21-22'!F9*(1+$I$4)</f>
        <v>63648</v>
      </c>
      <c r="G9" s="322">
        <f>'Payroll 21-22'!G9</f>
        <v>12</v>
      </c>
      <c r="H9" s="319" t="str">
        <f>'Payroll 21-22'!H9</f>
        <v>y</v>
      </c>
      <c r="I9" s="320">
        <f t="shared" si="3"/>
        <v>133660.80000000002</v>
      </c>
      <c r="J9" s="7">
        <f t="shared" si="0"/>
        <v>47548.704000000005</v>
      </c>
      <c r="K9" s="7">
        <f t="shared" si="1"/>
        <v>181209.50400000002</v>
      </c>
      <c r="L9" s="352"/>
      <c r="M9" s="7">
        <f t="shared" si="4"/>
        <v>24192.604800000001</v>
      </c>
      <c r="N9" s="8" t="s">
        <v>75</v>
      </c>
      <c r="O9" s="8" t="str">
        <f t="shared" si="5"/>
        <v>N/A</v>
      </c>
      <c r="P9" s="7">
        <f t="shared" si="2"/>
        <v>1938.0816000000004</v>
      </c>
      <c r="Q9" s="7">
        <f t="shared" si="6"/>
        <v>18517.766400000004</v>
      </c>
      <c r="R9" s="7">
        <f t="shared" si="7"/>
        <v>1029.0000000000002</v>
      </c>
      <c r="S9" s="7">
        <f t="shared" si="8"/>
        <v>1871.2512000000004</v>
      </c>
    </row>
    <row r="10" spans="1:19">
      <c r="B10" s="51"/>
      <c r="C10" s="34"/>
      <c r="D10" s="840" t="str">
        <f>'Payroll 19-20'!D10</f>
        <v>Home School Teacher</v>
      </c>
      <c r="E10" s="840">
        <f>'Payroll 21-22'!E10*(1+'Revenue Inputs'!Q$27)</f>
        <v>3.1500000000000004</v>
      </c>
      <c r="F10" s="828">
        <f>'Payroll 21-22'!F10*(1+$I$4)</f>
        <v>47071.599996960009</v>
      </c>
      <c r="G10" s="322">
        <f>'Payroll 21-22'!G10</f>
        <v>12</v>
      </c>
      <c r="H10" s="319" t="str">
        <f>'Payroll 21-22'!H10</f>
        <v>y</v>
      </c>
      <c r="I10" s="320">
        <f t="shared" si="3"/>
        <v>148275.53999042403</v>
      </c>
      <c r="J10" s="7">
        <f t="shared" si="0"/>
        <v>60383.875227993849</v>
      </c>
      <c r="K10" s="7">
        <f>SUM(I10:J10)</f>
        <v>208659.41521841788</v>
      </c>
      <c r="L10" s="352"/>
      <c r="M10" s="7">
        <f>I10*$M$5</f>
        <v>26837.872738266749</v>
      </c>
      <c r="N10" s="8" t="s">
        <v>75</v>
      </c>
      <c r="O10" s="8" t="str">
        <f t="shared" si="5"/>
        <v>N/A</v>
      </c>
      <c r="P10" s="7">
        <f t="shared" si="2"/>
        <v>2149.9953298611485</v>
      </c>
      <c r="Q10" s="7">
        <f t="shared" si="6"/>
        <v>27776.649600000012</v>
      </c>
      <c r="R10" s="7">
        <f t="shared" si="7"/>
        <v>1543.5000000000005</v>
      </c>
      <c r="S10" s="7">
        <f t="shared" si="8"/>
        <v>2075.8575598659363</v>
      </c>
    </row>
    <row r="11" spans="1:19">
      <c r="B11" s="51"/>
      <c r="C11" s="34"/>
      <c r="D11" s="840" t="str">
        <f>'Payroll 19-20'!D11</f>
        <v>Regional Coordinator</v>
      </c>
      <c r="E11" s="840">
        <f>'Payroll 21-22'!E11*(1+'Revenue Inputs'!Q$27)</f>
        <v>2.1</v>
      </c>
      <c r="F11" s="828">
        <f>'Payroll 21-22'!F11*(1+$I$4)</f>
        <v>84896.539185239992</v>
      </c>
      <c r="G11" s="322">
        <f>'Payroll 21-22'!G11</f>
        <v>12</v>
      </c>
      <c r="H11" s="319" t="str">
        <f>'Payroll 21-22'!H11</f>
        <v>y</v>
      </c>
      <c r="I11" s="320">
        <f t="shared" si="3"/>
        <v>178282.73228900399</v>
      </c>
      <c r="J11" s="7">
        <f t="shared" si="0"/>
        <v>56896.998814546343</v>
      </c>
      <c r="K11" s="7">
        <f t="shared" ref="K11:K12" si="9">SUM(I11:J11)</f>
        <v>235179.73110355035</v>
      </c>
      <c r="L11" s="352"/>
      <c r="M11" s="7">
        <f t="shared" ref="M11:M12" si="10">I11*$M$5</f>
        <v>32269.174544309721</v>
      </c>
      <c r="N11" s="8" t="s">
        <v>75</v>
      </c>
      <c r="O11" s="8" t="str">
        <f t="shared" si="5"/>
        <v>N/A</v>
      </c>
      <c r="P11" s="7">
        <f t="shared" si="2"/>
        <v>2585.099618190558</v>
      </c>
      <c r="Q11" s="7">
        <f t="shared" si="6"/>
        <v>18517.766400000004</v>
      </c>
      <c r="R11" s="7">
        <f t="shared" si="7"/>
        <v>1029.0000000000002</v>
      </c>
      <c r="S11" s="7">
        <f t="shared" si="8"/>
        <v>2495.9582520460558</v>
      </c>
    </row>
    <row r="12" spans="1:19">
      <c r="B12" s="51"/>
      <c r="C12" s="34"/>
      <c r="D12" s="840" t="str">
        <f>'Payroll 19-20'!D12</f>
        <v>SPED Teacher</v>
      </c>
      <c r="E12" s="840">
        <f>'Payroll 21-22'!E12*(1+'Revenue Inputs'!Q$27)</f>
        <v>2.1</v>
      </c>
      <c r="F12" s="828">
        <f>'Payroll 21-22'!F12*(1+$I$4)</f>
        <v>68246.328928319999</v>
      </c>
      <c r="G12" s="322">
        <f>'Payroll 21-22'!G12</f>
        <v>12</v>
      </c>
      <c r="H12" s="319" t="str">
        <f>'Payroll 21-22'!H12</f>
        <v>y</v>
      </c>
      <c r="I12" s="320">
        <f t="shared" si="3"/>
        <v>143317.29074947201</v>
      </c>
      <c r="J12" s="7">
        <f t="shared" si="0"/>
        <v>49571.738812014395</v>
      </c>
      <c r="K12" s="7">
        <f t="shared" si="9"/>
        <v>192889.02956148642</v>
      </c>
      <c r="L12" s="352"/>
      <c r="M12" s="7">
        <f t="shared" si="10"/>
        <v>25940.429625654433</v>
      </c>
      <c r="N12" s="8" t="s">
        <v>75</v>
      </c>
      <c r="O12" s="8" t="str">
        <f t="shared" si="5"/>
        <v>N/A</v>
      </c>
      <c r="P12" s="7">
        <f t="shared" si="2"/>
        <v>2078.1007158673442</v>
      </c>
      <c r="Q12" s="7">
        <f t="shared" si="6"/>
        <v>18517.766400000004</v>
      </c>
      <c r="R12" s="7">
        <f t="shared" si="7"/>
        <v>1029.0000000000002</v>
      </c>
      <c r="S12" s="7">
        <f t="shared" si="8"/>
        <v>2006.4420704926083</v>
      </c>
    </row>
    <row r="13" spans="1:19">
      <c r="B13" s="51"/>
      <c r="C13" s="34"/>
      <c r="D13" s="840" t="str">
        <f>'Payroll 19-20'!D13</f>
        <v>Teacher</v>
      </c>
      <c r="E13" s="840">
        <f>'Payroll 21-22'!E13*(1+'Revenue Inputs'!Q$27)</f>
        <v>37.800000000000004</v>
      </c>
      <c r="F13" s="828">
        <f>'Payroll 21-22'!F13*(1+$I$4)</f>
        <v>77870.636521919994</v>
      </c>
      <c r="G13" s="322">
        <f>'Payroll 21-22'!G13</f>
        <v>12</v>
      </c>
      <c r="H13" s="319" t="str">
        <f>'Payroll 21-22'!H13</f>
        <v>y</v>
      </c>
      <c r="I13" s="320">
        <f t="shared" si="3"/>
        <v>2943510.0605285759</v>
      </c>
      <c r="J13" s="7">
        <f t="shared" si="0"/>
        <v>968507.15288073663</v>
      </c>
      <c r="K13" s="7">
        <f>SUM(I13:J13)</f>
        <v>3912017.2134093125</v>
      </c>
      <c r="L13" s="352"/>
      <c r="M13" s="7">
        <f>I13*$M$5</f>
        <v>532775.32095567218</v>
      </c>
      <c r="N13" s="8" t="s">
        <v>75</v>
      </c>
      <c r="O13" s="8" t="str">
        <f t="shared" si="5"/>
        <v>N/A</v>
      </c>
      <c r="P13" s="7">
        <f t="shared" si="2"/>
        <v>42680.895877664356</v>
      </c>
      <c r="Q13" s="7">
        <f t="shared" si="6"/>
        <v>333319.79520000011</v>
      </c>
      <c r="R13" s="7">
        <f t="shared" si="7"/>
        <v>18522.000000000004</v>
      </c>
      <c r="S13" s="7">
        <f t="shared" si="8"/>
        <v>41209.140847400064</v>
      </c>
    </row>
    <row r="14" spans="1:19">
      <c r="B14" s="51"/>
      <c r="C14" s="34"/>
      <c r="D14" s="840" t="str">
        <f>'Payroll 19-20'!D14</f>
        <v>Teacher - SPED</v>
      </c>
      <c r="E14" s="840">
        <f>'Payroll 21-22'!E14*(1+'Revenue Inputs'!Q$27)</f>
        <v>8.4</v>
      </c>
      <c r="F14" s="828">
        <f>'Payroll 21-22'!F14*(1+$I$4)</f>
        <v>74968.837530480014</v>
      </c>
      <c r="G14" s="322">
        <f>'Payroll 21-22'!G14</f>
        <v>12</v>
      </c>
      <c r="H14" s="319" t="str">
        <f>'Payroll 21-22'!H14</f>
        <v>y</v>
      </c>
      <c r="I14" s="320">
        <f t="shared" si="3"/>
        <v>629738.23525603209</v>
      </c>
      <c r="J14" s="7">
        <f>SUM(M14:S14)</f>
        <v>210117.22588613874</v>
      </c>
      <c r="K14" s="7">
        <f>SUM(I14:J14)</f>
        <v>839855.46114217083</v>
      </c>
      <c r="L14" s="352"/>
      <c r="M14" s="7">
        <f>I14*$M$5</f>
        <v>113982.62058134181</v>
      </c>
      <c r="N14" s="8" t="s">
        <v>75</v>
      </c>
      <c r="O14" s="8" t="str">
        <f t="shared" si="5"/>
        <v>N/A</v>
      </c>
      <c r="P14" s="7">
        <f>I14*$P$5</f>
        <v>9131.2044112124659</v>
      </c>
      <c r="Q14" s="7">
        <f t="shared" si="6"/>
        <v>74071.065600000016</v>
      </c>
      <c r="R14" s="7">
        <f t="shared" si="7"/>
        <v>4116.0000000000009</v>
      </c>
      <c r="S14" s="7">
        <f>S$5*$I14</f>
        <v>8816.3352935844487</v>
      </c>
    </row>
    <row r="15" spans="1:19">
      <c r="B15" s="51"/>
      <c r="C15" s="34"/>
      <c r="D15" s="840">
        <f>'Payroll 19-20'!D15</f>
        <v>0</v>
      </c>
      <c r="E15" s="840">
        <f>'Payroll 21-22'!E15*(1+'Revenue Inputs'!Q$27)</f>
        <v>0</v>
      </c>
      <c r="F15" s="828">
        <f>'Payroll 21-22'!F15*(1+$I$4)</f>
        <v>0</v>
      </c>
      <c r="G15" s="322">
        <f>'Payroll 21-22'!G15</f>
        <v>0</v>
      </c>
      <c r="H15" s="319">
        <f>'Payroll 21-22'!H15</f>
        <v>0</v>
      </c>
      <c r="I15" s="320">
        <f t="shared" si="3"/>
        <v>0</v>
      </c>
      <c r="J15" s="7">
        <f t="shared" si="0"/>
        <v>0</v>
      </c>
      <c r="K15" s="7">
        <f>SUM(I15:J15)</f>
        <v>0</v>
      </c>
      <c r="L15" s="352"/>
      <c r="M15" s="7">
        <f>I15*$M$5</f>
        <v>0</v>
      </c>
      <c r="N15" s="8" t="s">
        <v>75</v>
      </c>
      <c r="O15" s="8" t="str">
        <f t="shared" si="5"/>
        <v>N/A</v>
      </c>
      <c r="P15" s="7">
        <f t="shared" si="2"/>
        <v>0</v>
      </c>
      <c r="Q15" s="7">
        <f t="shared" si="6"/>
        <v>0</v>
      </c>
      <c r="R15" s="7">
        <f t="shared" si="7"/>
        <v>0</v>
      </c>
      <c r="S15" s="7">
        <f t="shared" si="8"/>
        <v>0</v>
      </c>
    </row>
    <row r="16" spans="1:19">
      <c r="B16" s="51"/>
      <c r="C16" s="34"/>
      <c r="D16" s="840">
        <f>'Payroll 19-20'!D16</f>
        <v>0</v>
      </c>
      <c r="E16" s="840">
        <f>'Payroll 21-22'!E16*(1+'Revenue Inputs'!Q$27)</f>
        <v>0</v>
      </c>
      <c r="F16" s="828">
        <f>'Payroll 21-22'!F16*(1+$I$4)</f>
        <v>0</v>
      </c>
      <c r="G16" s="322">
        <f>'Payroll 21-22'!G16</f>
        <v>0</v>
      </c>
      <c r="H16" s="319">
        <f>'Payroll 21-22'!H16</f>
        <v>0</v>
      </c>
      <c r="I16" s="320">
        <f t="shared" si="3"/>
        <v>0</v>
      </c>
      <c r="J16" s="7">
        <f t="shared" si="0"/>
        <v>0</v>
      </c>
      <c r="K16" s="7">
        <f t="shared" ref="K16:K17" si="11">SUM(I16:J16)</f>
        <v>0</v>
      </c>
      <c r="M16" s="7">
        <f t="shared" ref="M16:M59" si="12">I16*$M$5</f>
        <v>0</v>
      </c>
      <c r="N16" s="8" t="s">
        <v>75</v>
      </c>
      <c r="O16" s="8" t="str">
        <f t="shared" si="5"/>
        <v>N/A</v>
      </c>
      <c r="P16" s="7">
        <f t="shared" si="2"/>
        <v>0</v>
      </c>
      <c r="Q16" s="7">
        <f t="shared" si="6"/>
        <v>0</v>
      </c>
      <c r="R16" s="7">
        <f t="shared" si="7"/>
        <v>0</v>
      </c>
      <c r="S16" s="7">
        <f t="shared" si="8"/>
        <v>0</v>
      </c>
    </row>
    <row r="17" spans="2:19">
      <c r="B17" s="51"/>
      <c r="C17" s="34"/>
      <c r="D17" s="840" t="str">
        <f>'Payroll 19-20'!D17</f>
        <v>Home School Teacher</v>
      </c>
      <c r="E17" s="840">
        <f>'Payroll 21-22'!E17*(1+'Revenue Inputs'!Q$27)</f>
        <v>2.1</v>
      </c>
      <c r="F17" s="828">
        <f>'Payroll 21-22'!F17*(1+$I$4)</f>
        <v>63648</v>
      </c>
      <c r="G17" s="322">
        <f>'Payroll 21-22'!G17</f>
        <v>12</v>
      </c>
      <c r="H17" s="319" t="str">
        <f>'Payroll 21-22'!H17</f>
        <v>y</v>
      </c>
      <c r="I17" s="320">
        <f t="shared" si="3"/>
        <v>133660.80000000002</v>
      </c>
      <c r="J17" s="7">
        <f t="shared" si="0"/>
        <v>47548.704000000005</v>
      </c>
      <c r="K17" s="7">
        <f t="shared" si="11"/>
        <v>181209.50400000002</v>
      </c>
      <c r="M17" s="7">
        <f t="shared" si="12"/>
        <v>24192.604800000001</v>
      </c>
      <c r="N17" s="8" t="s">
        <v>75</v>
      </c>
      <c r="O17" s="8" t="str">
        <f t="shared" si="5"/>
        <v>N/A</v>
      </c>
      <c r="P17" s="7">
        <f t="shared" si="2"/>
        <v>1938.0816000000004</v>
      </c>
      <c r="Q17" s="7">
        <f t="shared" si="6"/>
        <v>18517.766400000004</v>
      </c>
      <c r="R17" s="7">
        <f t="shared" si="7"/>
        <v>1029.0000000000002</v>
      </c>
      <c r="S17" s="7">
        <f t="shared" si="8"/>
        <v>1871.2512000000004</v>
      </c>
    </row>
    <row r="18" spans="2:19">
      <c r="B18" s="51"/>
      <c r="C18" s="34"/>
      <c r="D18" s="840" t="str">
        <f>'Payroll 19-20'!D18</f>
        <v>Home School Teacher</v>
      </c>
      <c r="E18" s="840">
        <f>'Payroll 21-22'!E18*(1+'Revenue Inputs'!Q$27)</f>
        <v>2.1</v>
      </c>
      <c r="F18" s="828">
        <f>'Payroll 21-22'!F18*(1+$I$4)</f>
        <v>63648</v>
      </c>
      <c r="G18" s="322">
        <f>'Payroll 21-22'!G18</f>
        <v>13</v>
      </c>
      <c r="H18" s="319" t="str">
        <f>'Payroll 21-22'!H18</f>
        <v>y</v>
      </c>
      <c r="I18" s="320">
        <f t="shared" si="3"/>
        <v>133660.80000000002</v>
      </c>
      <c r="J18" s="7">
        <f t="shared" si="0"/>
        <v>47548.704000000005</v>
      </c>
      <c r="K18" s="7">
        <f>SUM(I18:J18)</f>
        <v>181209.50400000002</v>
      </c>
      <c r="M18" s="7">
        <f>I18*$M$5</f>
        <v>24192.604800000001</v>
      </c>
      <c r="N18" s="8" t="s">
        <v>75</v>
      </c>
      <c r="O18" s="8" t="str">
        <f t="shared" si="5"/>
        <v>N/A</v>
      </c>
      <c r="P18" s="7">
        <f t="shared" si="2"/>
        <v>1938.0816000000004</v>
      </c>
      <c r="Q18" s="7">
        <f t="shared" si="6"/>
        <v>18517.766400000004</v>
      </c>
      <c r="R18" s="7">
        <f t="shared" si="7"/>
        <v>1029.0000000000002</v>
      </c>
      <c r="S18" s="7">
        <f t="shared" si="8"/>
        <v>1871.2512000000004</v>
      </c>
    </row>
    <row r="19" spans="2:19">
      <c r="B19" s="51"/>
      <c r="C19" s="34"/>
      <c r="D19" s="840" t="str">
        <f>'Payroll 19-20'!D19</f>
        <v>SPED Teacher</v>
      </c>
      <c r="E19" s="840">
        <f>'Payroll 21-22'!E19*(1+'Revenue Inputs'!Q$27)</f>
        <v>6.3000000000000007</v>
      </c>
      <c r="F19" s="828">
        <f>'Payroll 21-22'!F19*(1+$I$4)</f>
        <v>63648</v>
      </c>
      <c r="G19" s="322">
        <f>'Payroll 21-22'!G19</f>
        <v>12</v>
      </c>
      <c r="H19" s="319" t="str">
        <f>'Payroll 21-22'!H19</f>
        <v>y</v>
      </c>
      <c r="I19" s="320">
        <f t="shared" si="3"/>
        <v>400982.4</v>
      </c>
      <c r="J19" s="7">
        <f t="shared" si="0"/>
        <v>142646.11200000002</v>
      </c>
      <c r="K19" s="7">
        <f t="shared" ref="K19:K59" si="13">SUM(I19:J19)</f>
        <v>543628.5120000001</v>
      </c>
      <c r="M19" s="7">
        <f t="shared" ref="M19" si="14">I19*$M$5</f>
        <v>72577.814400000003</v>
      </c>
      <c r="N19" s="8" t="s">
        <v>75</v>
      </c>
      <c r="O19" s="8" t="str">
        <f t="shared" si="5"/>
        <v>N/A</v>
      </c>
      <c r="P19" s="7">
        <f t="shared" si="2"/>
        <v>5814.2448000000004</v>
      </c>
      <c r="Q19" s="7">
        <f t="shared" si="6"/>
        <v>55553.299200000023</v>
      </c>
      <c r="R19" s="7">
        <f t="shared" si="7"/>
        <v>3087.0000000000009</v>
      </c>
      <c r="S19" s="7">
        <f t="shared" si="8"/>
        <v>5613.7536</v>
      </c>
    </row>
    <row r="20" spans="2:19">
      <c r="B20" s="51"/>
      <c r="C20" s="34"/>
      <c r="D20" s="840" t="str">
        <f>'Payroll 19-20'!D20</f>
        <v>Teacher - SPED</v>
      </c>
      <c r="E20" s="840">
        <f>'Payroll 21-22'!E20*(1+'Revenue Inputs'!Q$27)</f>
        <v>1.05</v>
      </c>
      <c r="F20" s="828">
        <f>'Payroll 21-22'!F20*(1+$I$4)</f>
        <v>63648</v>
      </c>
      <c r="G20" s="322">
        <f>'Payroll 21-22'!G20</f>
        <v>12</v>
      </c>
      <c r="H20" s="319" t="str">
        <f>'Payroll 21-22'!H20</f>
        <v>y</v>
      </c>
      <c r="I20" s="320">
        <f t="shared" si="3"/>
        <v>66830.400000000009</v>
      </c>
      <c r="J20" s="7">
        <f t="shared" si="0"/>
        <v>23774.352000000003</v>
      </c>
      <c r="K20" s="7">
        <f t="shared" si="13"/>
        <v>90604.752000000008</v>
      </c>
      <c r="M20" s="7">
        <f t="shared" si="12"/>
        <v>12096.3024</v>
      </c>
      <c r="N20" s="8" t="s">
        <v>75</v>
      </c>
      <c r="O20" s="8" t="str">
        <f t="shared" si="5"/>
        <v>N/A</v>
      </c>
      <c r="P20" s="7">
        <f t="shared" si="2"/>
        <v>969.04080000000022</v>
      </c>
      <c r="Q20" s="7">
        <f t="shared" si="6"/>
        <v>9258.883200000002</v>
      </c>
      <c r="R20" s="7">
        <f t="shared" si="7"/>
        <v>514.50000000000011</v>
      </c>
      <c r="S20" s="7">
        <f t="shared" si="8"/>
        <v>935.62560000000019</v>
      </c>
    </row>
    <row r="21" spans="2:19">
      <c r="B21" s="51"/>
      <c r="C21" s="34"/>
      <c r="D21" s="840" t="str">
        <f>'Payroll 19-20'!D21</f>
        <v>Teacher</v>
      </c>
      <c r="E21" s="840">
        <f>'Payroll 21-22'!E21*(1+'Revenue Inputs'!Q$27)</f>
        <v>59.85</v>
      </c>
      <c r="F21" s="828">
        <f>'Payroll 21-22'!F21*(1+$I$4)</f>
        <v>63648</v>
      </c>
      <c r="G21" s="322">
        <f>'Payroll 21-22'!G21</f>
        <v>12</v>
      </c>
      <c r="H21" s="319" t="str">
        <f>'Payroll 21-22'!H21</f>
        <v>y</v>
      </c>
      <c r="I21" s="320">
        <f t="shared" si="3"/>
        <v>3809332.8000000003</v>
      </c>
      <c r="J21" s="7">
        <f t="shared" si="0"/>
        <v>1355138.0640000002</v>
      </c>
      <c r="K21" s="7">
        <f t="shared" si="13"/>
        <v>5164470.8640000001</v>
      </c>
      <c r="M21" s="7">
        <f t="shared" si="12"/>
        <v>689489.23680000007</v>
      </c>
      <c r="N21" s="8" t="s">
        <v>75</v>
      </c>
      <c r="O21" s="8" t="str">
        <f t="shared" si="5"/>
        <v>N/A</v>
      </c>
      <c r="P21" s="7">
        <f t="shared" si="2"/>
        <v>55235.325600000004</v>
      </c>
      <c r="Q21" s="7">
        <f t="shared" si="6"/>
        <v>527756.3424000002</v>
      </c>
      <c r="R21" s="7">
        <f t="shared" si="7"/>
        <v>29326.500000000004</v>
      </c>
      <c r="S21" s="7">
        <f t="shared" si="8"/>
        <v>53330.659200000002</v>
      </c>
    </row>
    <row r="22" spans="2:19">
      <c r="B22" s="51"/>
      <c r="C22" s="34"/>
      <c r="D22" s="840" t="str">
        <f>'Payroll 19-20'!D22</f>
        <v>Teacher</v>
      </c>
      <c r="E22" s="840">
        <f>'Payroll 21-22'!E22*(1+'Revenue Inputs'!Q$27)</f>
        <v>5.25</v>
      </c>
      <c r="F22" s="828">
        <f>'Payroll 21-22'!F22*(1+$I$4)</f>
        <v>63648</v>
      </c>
      <c r="G22" s="322">
        <f>'Payroll 21-22'!G22</f>
        <v>12</v>
      </c>
      <c r="H22" s="319" t="str">
        <f>'Payroll 21-22'!H22</f>
        <v>y</v>
      </c>
      <c r="I22" s="320">
        <f t="shared" si="3"/>
        <v>334152</v>
      </c>
      <c r="J22" s="7">
        <f t="shared" si="0"/>
        <v>118871.76000000001</v>
      </c>
      <c r="K22" s="7">
        <f t="shared" si="13"/>
        <v>453023.76</v>
      </c>
      <c r="L22" s="7"/>
      <c r="M22" s="7">
        <f t="shared" si="12"/>
        <v>60481.511999999995</v>
      </c>
      <c r="N22" s="8" t="s">
        <v>75</v>
      </c>
      <c r="O22" s="8" t="str">
        <f t="shared" si="5"/>
        <v>N/A</v>
      </c>
      <c r="P22" s="7">
        <f t="shared" si="2"/>
        <v>4845.2040000000006</v>
      </c>
      <c r="Q22" s="7">
        <f t="shared" si="6"/>
        <v>46294.416000000012</v>
      </c>
      <c r="R22" s="7">
        <f t="shared" si="7"/>
        <v>2572.5000000000005</v>
      </c>
      <c r="S22" s="7">
        <f t="shared" si="8"/>
        <v>4678.1279999999997</v>
      </c>
    </row>
    <row r="23" spans="2:19">
      <c r="B23" s="51"/>
      <c r="C23" s="34"/>
      <c r="D23" s="840">
        <f>'Payroll 19-20'!D23</f>
        <v>0</v>
      </c>
      <c r="E23" s="840">
        <f>'Payroll 21-22'!E23*(1+'Revenue Inputs'!Q$27)</f>
        <v>0</v>
      </c>
      <c r="F23" s="828">
        <f>'Payroll 21-22'!F23*(1+$I$4)</f>
        <v>0</v>
      </c>
      <c r="G23" s="322">
        <f>'Payroll 21-22'!G23</f>
        <v>0</v>
      </c>
      <c r="H23" s="319">
        <f>'Payroll 21-22'!H23</f>
        <v>0</v>
      </c>
      <c r="I23" s="320">
        <f t="shared" si="3"/>
        <v>0</v>
      </c>
      <c r="J23" s="7">
        <f t="shared" si="0"/>
        <v>0</v>
      </c>
      <c r="K23" s="7">
        <f t="shared" si="13"/>
        <v>0</v>
      </c>
      <c r="M23" s="7">
        <f t="shared" si="12"/>
        <v>0</v>
      </c>
      <c r="N23" s="8" t="s">
        <v>75</v>
      </c>
      <c r="O23" s="8" t="str">
        <f t="shared" si="5"/>
        <v>N/A</v>
      </c>
      <c r="P23" s="7">
        <f t="shared" si="2"/>
        <v>0</v>
      </c>
      <c r="Q23" s="7">
        <f t="shared" si="6"/>
        <v>0</v>
      </c>
      <c r="R23" s="7">
        <f>IF($I23&lt;7000,7000*R$5,$I23*R$5)*E23</f>
        <v>0</v>
      </c>
      <c r="S23" s="7">
        <f t="shared" si="8"/>
        <v>0</v>
      </c>
    </row>
    <row r="24" spans="2:19">
      <c r="B24" s="51"/>
      <c r="C24" s="34"/>
      <c r="D24" s="840">
        <f>'Payroll 19-20'!D24</f>
        <v>0</v>
      </c>
      <c r="E24" s="840">
        <f>'Payroll 21-22'!E24*(1+'Revenue Inputs'!Q$27)</f>
        <v>0</v>
      </c>
      <c r="F24" s="828">
        <f>'Payroll 21-22'!F24*(1+$I$4)</f>
        <v>0</v>
      </c>
      <c r="G24" s="322">
        <f>'Payroll 21-22'!G24</f>
        <v>0</v>
      </c>
      <c r="H24" s="319">
        <f>'Payroll 21-22'!H24</f>
        <v>0</v>
      </c>
      <c r="I24" s="320">
        <f t="shared" si="3"/>
        <v>0</v>
      </c>
      <c r="J24" s="7">
        <f t="shared" si="0"/>
        <v>0</v>
      </c>
      <c r="K24" s="7">
        <f t="shared" si="13"/>
        <v>0</v>
      </c>
      <c r="M24" s="7">
        <f t="shared" si="12"/>
        <v>0</v>
      </c>
      <c r="N24" s="8" t="s">
        <v>75</v>
      </c>
      <c r="O24" s="8" t="str">
        <f t="shared" si="5"/>
        <v>N/A</v>
      </c>
      <c r="P24" s="7">
        <f t="shared" si="2"/>
        <v>0</v>
      </c>
      <c r="Q24" s="7">
        <f t="shared" si="6"/>
        <v>0</v>
      </c>
      <c r="R24" s="7">
        <f t="shared" si="7"/>
        <v>0</v>
      </c>
      <c r="S24" s="7">
        <f t="shared" si="8"/>
        <v>0</v>
      </c>
    </row>
    <row r="25" spans="2:19">
      <c r="B25" s="51"/>
      <c r="C25" s="34"/>
      <c r="D25" s="840">
        <f>'Payroll 19-20'!D25</f>
        <v>0</v>
      </c>
      <c r="E25" s="840">
        <f>'Payroll 21-22'!E25*(1+'Revenue Inputs'!Q$27)</f>
        <v>0</v>
      </c>
      <c r="F25" s="828">
        <f>'Payroll 21-22'!F25*(1+$I$4)</f>
        <v>0</v>
      </c>
      <c r="G25" s="322">
        <f>'Payroll 21-22'!G25</f>
        <v>0</v>
      </c>
      <c r="H25" s="319">
        <f>'Payroll 21-22'!H25</f>
        <v>0</v>
      </c>
      <c r="I25" s="320">
        <f t="shared" si="3"/>
        <v>0</v>
      </c>
      <c r="J25" s="7">
        <f t="shared" si="0"/>
        <v>0</v>
      </c>
      <c r="K25" s="7">
        <f t="shared" si="13"/>
        <v>0</v>
      </c>
      <c r="M25" s="7">
        <f t="shared" si="12"/>
        <v>0</v>
      </c>
      <c r="N25" s="8" t="s">
        <v>75</v>
      </c>
      <c r="O25" s="8" t="str">
        <f t="shared" si="5"/>
        <v>N/A</v>
      </c>
      <c r="P25" s="7">
        <f t="shared" si="2"/>
        <v>0</v>
      </c>
      <c r="Q25" s="7">
        <f t="shared" si="6"/>
        <v>0</v>
      </c>
      <c r="R25" s="7">
        <f t="shared" si="7"/>
        <v>0</v>
      </c>
      <c r="S25" s="7">
        <f t="shared" si="8"/>
        <v>0</v>
      </c>
    </row>
    <row r="26" spans="2:19">
      <c r="B26" s="51"/>
      <c r="C26" s="34"/>
      <c r="D26" s="840">
        <f>'Payroll 19-20'!D26</f>
        <v>0</v>
      </c>
      <c r="E26" s="840">
        <f>'Payroll 21-22'!E26*(1+'Revenue Inputs'!Q$27)</f>
        <v>0</v>
      </c>
      <c r="F26" s="828">
        <f>'Payroll 21-22'!F26*(1+$I$4)</f>
        <v>0</v>
      </c>
      <c r="G26" s="322">
        <f>'Payroll 21-22'!G26</f>
        <v>0</v>
      </c>
      <c r="H26" s="319">
        <f>'Payroll 21-22'!H26</f>
        <v>0</v>
      </c>
      <c r="I26" s="320">
        <f t="shared" si="3"/>
        <v>0</v>
      </c>
      <c r="J26" s="7">
        <f t="shared" ref="J26:J42" si="15">SUM(M26:S26)</f>
        <v>0</v>
      </c>
      <c r="K26" s="7">
        <f t="shared" ref="K26:K42" si="16">SUM(I26:J26)</f>
        <v>0</v>
      </c>
      <c r="M26" s="7">
        <f t="shared" ref="M26:M42" si="17">I26*$M$5</f>
        <v>0</v>
      </c>
      <c r="N26" s="8" t="s">
        <v>75</v>
      </c>
      <c r="O26" s="8" t="str">
        <f t="shared" ref="O26:O42" si="18">IF($M$5&gt;0,"N/A",$O$5*I26)</f>
        <v>N/A</v>
      </c>
      <c r="P26" s="7">
        <f t="shared" ref="P26:P42" si="19">I26*$P$5</f>
        <v>0</v>
      </c>
      <c r="Q26" s="7">
        <f t="shared" si="6"/>
        <v>0</v>
      </c>
      <c r="R26" s="7">
        <f t="shared" si="7"/>
        <v>0</v>
      </c>
      <c r="S26" s="7">
        <f t="shared" si="8"/>
        <v>0</v>
      </c>
    </row>
    <row r="27" spans="2:19">
      <c r="C27" s="34"/>
      <c r="D27" s="840" t="str">
        <f>'Payroll 19-20'!D27</f>
        <v>Andrea Anderson</v>
      </c>
      <c r="E27" s="840">
        <f>'Payroll 21-22'!E27*(1+'Revenue Inputs'!Q$27)</f>
        <v>1.05</v>
      </c>
      <c r="F27" s="828">
        <f>'Payroll 21-22'!F27*(1+$I$4)</f>
        <v>21818.43648</v>
      </c>
      <c r="G27" s="322">
        <f>'Payroll 21-22'!G27</f>
        <v>12</v>
      </c>
      <c r="H27" s="319" t="str">
        <f>'Payroll 21-22'!H27</f>
        <v>n</v>
      </c>
      <c r="I27" s="320">
        <f t="shared" si="3"/>
        <v>22909.358304000001</v>
      </c>
      <c r="J27" s="7">
        <f t="shared" si="15"/>
        <v>5314.0105646880002</v>
      </c>
      <c r="K27" s="7">
        <f t="shared" si="16"/>
        <v>28223.368868688001</v>
      </c>
      <c r="M27" s="7">
        <f t="shared" si="17"/>
        <v>4146.5938530240001</v>
      </c>
      <c r="N27" s="8" t="s">
        <v>75</v>
      </c>
      <c r="O27" s="8" t="str">
        <f t="shared" si="18"/>
        <v>N/A</v>
      </c>
      <c r="P27" s="7">
        <f t="shared" si="19"/>
        <v>332.18569540800002</v>
      </c>
      <c r="Q27" s="7">
        <f t="shared" si="6"/>
        <v>0</v>
      </c>
      <c r="R27" s="7">
        <f t="shared" si="7"/>
        <v>514.50000000000011</v>
      </c>
      <c r="S27" s="7">
        <f t="shared" si="8"/>
        <v>320.73101625600003</v>
      </c>
    </row>
    <row r="28" spans="2:19">
      <c r="C28" s="34"/>
      <c r="D28" s="840" t="str">
        <f>'Payroll 19-20'!D28</f>
        <v>Brianna Herrera</v>
      </c>
      <c r="E28" s="840">
        <f>'Payroll 21-22'!E28*(1+'Revenue Inputs'!Q$27)</f>
        <v>1.05</v>
      </c>
      <c r="F28" s="828">
        <f>'Payroll 21-22'!F28*(1+$I$4)</f>
        <v>23144.946479999999</v>
      </c>
      <c r="G28" s="322">
        <f>'Payroll 21-22'!G28</f>
        <v>12</v>
      </c>
      <c r="H28" s="319" t="str">
        <f>'Payroll 21-22'!H28</f>
        <v>n</v>
      </c>
      <c r="I28" s="320">
        <f t="shared" si="3"/>
        <v>24302.193803999999</v>
      </c>
      <c r="J28" s="7">
        <f t="shared" si="15"/>
        <v>5605.809601938</v>
      </c>
      <c r="K28" s="7">
        <f t="shared" si="16"/>
        <v>29908.003405937998</v>
      </c>
      <c r="L28" s="7"/>
      <c r="M28" s="7">
        <f t="shared" si="17"/>
        <v>4398.6970785240001</v>
      </c>
      <c r="N28" s="8" t="s">
        <v>75</v>
      </c>
      <c r="O28" s="8" t="str">
        <f t="shared" si="18"/>
        <v>N/A</v>
      </c>
      <c r="P28" s="7">
        <f t="shared" si="19"/>
        <v>352.38181015800001</v>
      </c>
      <c r="Q28" s="7">
        <f t="shared" si="6"/>
        <v>0</v>
      </c>
      <c r="R28" s="7">
        <f t="shared" si="7"/>
        <v>514.50000000000011</v>
      </c>
      <c r="S28" s="7">
        <f t="shared" si="8"/>
        <v>340.230713256</v>
      </c>
    </row>
    <row r="29" spans="2:19">
      <c r="C29" s="34"/>
      <c r="D29" s="840" t="str">
        <f>'Payroll 19-20'!D29</f>
        <v>Jessica Zeegers</v>
      </c>
      <c r="E29" s="840">
        <f>'Payroll 21-22'!E29*(1+'Revenue Inputs'!Q$27)</f>
        <v>1.05</v>
      </c>
      <c r="F29" s="828">
        <f>'Payroll 21-22'!F29*(1+$I$4)</f>
        <v>26992.356083999999</v>
      </c>
      <c r="G29" s="322">
        <f>'Payroll 21-22'!G29</f>
        <v>12</v>
      </c>
      <c r="H29" s="319" t="str">
        <f>'Payroll 21-22'!H29</f>
        <v>n</v>
      </c>
      <c r="I29" s="320">
        <f t="shared" si="3"/>
        <v>28341.973888200002</v>
      </c>
      <c r="J29" s="7">
        <f t="shared" si="15"/>
        <v>6452.1435295778992</v>
      </c>
      <c r="K29" s="7">
        <f t="shared" si="16"/>
        <v>34794.117417777903</v>
      </c>
      <c r="M29" s="7">
        <f t="shared" si="17"/>
        <v>5129.8972737641998</v>
      </c>
      <c r="N29" s="8" t="s">
        <v>75</v>
      </c>
      <c r="O29" s="8" t="str">
        <f t="shared" si="18"/>
        <v>N/A</v>
      </c>
      <c r="P29" s="7">
        <f t="shared" si="19"/>
        <v>410.95862137890003</v>
      </c>
      <c r="Q29" s="7">
        <f t="shared" si="6"/>
        <v>0</v>
      </c>
      <c r="R29" s="7">
        <f t="shared" si="7"/>
        <v>514.50000000000011</v>
      </c>
      <c r="S29" s="7">
        <f t="shared" si="8"/>
        <v>396.78763443480005</v>
      </c>
    </row>
    <row r="30" spans="2:19">
      <c r="C30" s="34"/>
      <c r="D30" s="840" t="str">
        <f>'Payroll 19-20'!D30</f>
        <v>Rebecca Thomas</v>
      </c>
      <c r="E30" s="840">
        <f>'Payroll 21-22'!E30*(1+'Revenue Inputs'!Q$27)</f>
        <v>1.05</v>
      </c>
      <c r="F30" s="828">
        <f>'Payroll 21-22'!F30*(1+$I$4)</f>
        <v>21818.43648</v>
      </c>
      <c r="G30" s="322">
        <f>'Payroll 21-22'!G30</f>
        <v>12</v>
      </c>
      <c r="H30" s="319" t="str">
        <f>'Payroll 21-22'!H30</f>
        <v>n</v>
      </c>
      <c r="I30" s="320">
        <f t="shared" si="3"/>
        <v>22909.358304000001</v>
      </c>
      <c r="J30" s="7">
        <f t="shared" si="15"/>
        <v>5314.0105646880002</v>
      </c>
      <c r="K30" s="7">
        <f t="shared" si="16"/>
        <v>28223.368868688001</v>
      </c>
      <c r="M30" s="7">
        <f t="shared" si="17"/>
        <v>4146.5938530240001</v>
      </c>
      <c r="N30" s="8" t="s">
        <v>75</v>
      </c>
      <c r="O30" s="8" t="str">
        <f t="shared" si="18"/>
        <v>N/A</v>
      </c>
      <c r="P30" s="7">
        <f t="shared" si="19"/>
        <v>332.18569540800002</v>
      </c>
      <c r="Q30" s="7">
        <f t="shared" si="6"/>
        <v>0</v>
      </c>
      <c r="R30" s="7">
        <f t="shared" si="7"/>
        <v>514.50000000000011</v>
      </c>
      <c r="S30" s="7">
        <f t="shared" si="8"/>
        <v>320.73101625600003</v>
      </c>
    </row>
    <row r="31" spans="2:19">
      <c r="C31" s="34"/>
      <c r="D31" s="840" t="str">
        <f>'Payroll 19-20'!D31</f>
        <v>Esperanza Gregeola</v>
      </c>
      <c r="E31" s="840">
        <f>'Payroll 21-22'!E31*(1+'Revenue Inputs'!Q$27)</f>
        <v>1.05</v>
      </c>
      <c r="F31" s="828">
        <f>'Payroll 21-22'!F31*(1+$I$4)</f>
        <v>23808.20148</v>
      </c>
      <c r="G31" s="322">
        <f>'Payroll 21-22'!G31</f>
        <v>12</v>
      </c>
      <c r="H31" s="319" t="str">
        <f>'Payroll 21-22'!H31</f>
        <v>n</v>
      </c>
      <c r="I31" s="320">
        <f t="shared" si="3"/>
        <v>24998.611553999999</v>
      </c>
      <c r="J31" s="7">
        <f t="shared" si="15"/>
        <v>5751.7091205629995</v>
      </c>
      <c r="K31" s="7">
        <f t="shared" si="16"/>
        <v>30750.320674562998</v>
      </c>
      <c r="M31" s="7">
        <f t="shared" si="17"/>
        <v>4524.7486912739996</v>
      </c>
      <c r="N31" s="8" t="s">
        <v>75</v>
      </c>
      <c r="O31" s="8" t="str">
        <f t="shared" si="18"/>
        <v>N/A</v>
      </c>
      <c r="P31" s="7">
        <f t="shared" si="19"/>
        <v>362.479867533</v>
      </c>
      <c r="Q31" s="7">
        <f t="shared" si="6"/>
        <v>0</v>
      </c>
      <c r="R31" s="7">
        <f t="shared" si="7"/>
        <v>514.50000000000011</v>
      </c>
      <c r="S31" s="7">
        <f t="shared" si="8"/>
        <v>349.98056175599999</v>
      </c>
    </row>
    <row r="32" spans="2:19">
      <c r="C32" s="34"/>
      <c r="D32" s="840">
        <f>'Payroll 19-20'!D32</f>
        <v>0</v>
      </c>
      <c r="E32" s="840">
        <f>'Payroll 21-22'!E32*(1+'Revenue Inputs'!Q$27)</f>
        <v>0</v>
      </c>
      <c r="F32" s="828">
        <f>'Payroll 21-22'!F32*(1+$I$4)</f>
        <v>0</v>
      </c>
      <c r="G32" s="322">
        <f>'Payroll 21-22'!G32</f>
        <v>0</v>
      </c>
      <c r="H32" s="319">
        <f>'Payroll 21-22'!H32</f>
        <v>0</v>
      </c>
      <c r="I32" s="320">
        <f t="shared" si="3"/>
        <v>0</v>
      </c>
      <c r="J32" s="7">
        <f t="shared" si="15"/>
        <v>0</v>
      </c>
      <c r="K32" s="7">
        <f t="shared" si="16"/>
        <v>0</v>
      </c>
      <c r="M32" s="7">
        <f t="shared" si="17"/>
        <v>0</v>
      </c>
      <c r="N32" s="8" t="s">
        <v>75</v>
      </c>
      <c r="O32" s="8" t="str">
        <f t="shared" si="18"/>
        <v>N/A</v>
      </c>
      <c r="P32" s="7">
        <f t="shared" si="19"/>
        <v>0</v>
      </c>
      <c r="Q32" s="7">
        <f t="shared" si="6"/>
        <v>0</v>
      </c>
      <c r="R32" s="7">
        <f t="shared" si="7"/>
        <v>0</v>
      </c>
      <c r="S32" s="7">
        <f t="shared" si="8"/>
        <v>0</v>
      </c>
    </row>
    <row r="33" spans="3:23">
      <c r="C33" s="34"/>
      <c r="D33" s="840" t="str">
        <f>'Payroll 19-20'!D33</f>
        <v>TBD</v>
      </c>
      <c r="E33" s="840">
        <f>'Payroll 21-22'!E33*(1+'Revenue Inputs'!Q$27)</f>
        <v>1.05</v>
      </c>
      <c r="F33" s="828">
        <f>'Payroll 21-22'!F33*(1+$I$4)</f>
        <v>18236.859480000003</v>
      </c>
      <c r="G33" s="322">
        <f>'Payroll 21-22'!G33</f>
        <v>12</v>
      </c>
      <c r="H33" s="319" t="str">
        <f>'Payroll 21-22'!H33</f>
        <v>n</v>
      </c>
      <c r="I33" s="320">
        <f t="shared" si="3"/>
        <v>19148.702454000002</v>
      </c>
      <c r="J33" s="7">
        <f t="shared" si="15"/>
        <v>4526.1531641130005</v>
      </c>
      <c r="K33" s="7">
        <f t="shared" si="16"/>
        <v>23674.855618113004</v>
      </c>
      <c r="L33" s="7"/>
      <c r="M33" s="7">
        <f t="shared" si="17"/>
        <v>3465.915144174</v>
      </c>
      <c r="N33" s="8" t="s">
        <v>75</v>
      </c>
      <c r="O33" s="8" t="str">
        <f t="shared" si="18"/>
        <v>N/A</v>
      </c>
      <c r="P33" s="7">
        <f t="shared" si="19"/>
        <v>277.65618558300002</v>
      </c>
      <c r="Q33" s="7">
        <f t="shared" si="6"/>
        <v>0</v>
      </c>
      <c r="R33" s="7">
        <f t="shared" si="7"/>
        <v>514.50000000000011</v>
      </c>
      <c r="S33" s="7">
        <f t="shared" si="8"/>
        <v>268.08183435600006</v>
      </c>
    </row>
    <row r="34" spans="3:23">
      <c r="C34" s="34"/>
      <c r="D34" s="840" t="str">
        <f>'Payroll 19-20'!D34</f>
        <v>TBD</v>
      </c>
      <c r="E34" s="840">
        <f>'Payroll 21-22'!E34*(1+'Revenue Inputs'!Q$27)</f>
        <v>1.05</v>
      </c>
      <c r="F34" s="828">
        <f>'Payroll 21-22'!F34*(1+$I$4)</f>
        <v>18236.859480000003</v>
      </c>
      <c r="G34" s="322">
        <f>'Payroll 21-22'!G34</f>
        <v>12</v>
      </c>
      <c r="H34" s="319" t="str">
        <f>'Payroll 21-22'!H34</f>
        <v>n</v>
      </c>
      <c r="I34" s="320">
        <f t="shared" si="3"/>
        <v>19148.702454000002</v>
      </c>
      <c r="J34" s="7">
        <f t="shared" si="15"/>
        <v>4526.1531641130005</v>
      </c>
      <c r="K34" s="7">
        <f t="shared" si="16"/>
        <v>23674.855618113004</v>
      </c>
      <c r="M34" s="7">
        <f t="shared" si="17"/>
        <v>3465.915144174</v>
      </c>
      <c r="N34" s="8" t="s">
        <v>75</v>
      </c>
      <c r="O34" s="8" t="str">
        <f t="shared" si="18"/>
        <v>N/A</v>
      </c>
      <c r="P34" s="7">
        <f t="shared" si="19"/>
        <v>277.65618558300002</v>
      </c>
      <c r="Q34" s="7">
        <f t="shared" si="6"/>
        <v>0</v>
      </c>
      <c r="R34" s="7">
        <f t="shared" si="7"/>
        <v>514.50000000000011</v>
      </c>
      <c r="S34" s="7">
        <f t="shared" si="8"/>
        <v>268.08183435600006</v>
      </c>
    </row>
    <row r="35" spans="3:23">
      <c r="C35" s="34"/>
      <c r="D35" s="840">
        <f>'Payroll 19-20'!D35</f>
        <v>0</v>
      </c>
      <c r="E35" s="840">
        <f>'Payroll 21-22'!E35*(1+'Revenue Inputs'!Q$27)</f>
        <v>0</v>
      </c>
      <c r="F35" s="828">
        <f>'Payroll 21-22'!F35*(1+$I$4)</f>
        <v>0</v>
      </c>
      <c r="G35" s="322">
        <f>'Payroll 21-22'!G35</f>
        <v>0</v>
      </c>
      <c r="H35" s="319">
        <f>'Payroll 21-22'!H35</f>
        <v>0</v>
      </c>
      <c r="I35" s="320">
        <f t="shared" si="3"/>
        <v>0</v>
      </c>
      <c r="J35" s="7">
        <f t="shared" si="15"/>
        <v>0</v>
      </c>
      <c r="K35" s="7">
        <f t="shared" si="16"/>
        <v>0</v>
      </c>
      <c r="M35" s="7">
        <f t="shared" si="17"/>
        <v>0</v>
      </c>
      <c r="N35" s="8" t="s">
        <v>75</v>
      </c>
      <c r="O35" s="8" t="str">
        <f t="shared" si="18"/>
        <v>N/A</v>
      </c>
      <c r="P35" s="7">
        <f t="shared" si="19"/>
        <v>0</v>
      </c>
      <c r="Q35" s="7">
        <f t="shared" si="6"/>
        <v>0</v>
      </c>
      <c r="R35" s="7">
        <f t="shared" si="7"/>
        <v>0</v>
      </c>
      <c r="S35" s="7">
        <f t="shared" si="8"/>
        <v>0</v>
      </c>
    </row>
    <row r="36" spans="3:23">
      <c r="C36" s="34"/>
      <c r="D36" s="840">
        <f>'Payroll 19-20'!D36</f>
        <v>0</v>
      </c>
      <c r="E36" s="840">
        <f>'Payroll 21-22'!E36*(1+'Revenue Inputs'!Q$27)</f>
        <v>0</v>
      </c>
      <c r="F36" s="828">
        <f>'Payroll 21-22'!F36*(1+$I$4)</f>
        <v>0</v>
      </c>
      <c r="G36" s="322">
        <f>'Payroll 21-22'!G36</f>
        <v>0</v>
      </c>
      <c r="H36" s="319">
        <f>'Payroll 21-22'!H36</f>
        <v>0</v>
      </c>
      <c r="I36" s="320">
        <f t="shared" si="3"/>
        <v>0</v>
      </c>
      <c r="J36" s="7">
        <f t="shared" si="15"/>
        <v>0</v>
      </c>
      <c r="K36" s="7">
        <f t="shared" si="16"/>
        <v>0</v>
      </c>
      <c r="M36" s="7">
        <f t="shared" si="17"/>
        <v>0</v>
      </c>
      <c r="N36" s="8" t="s">
        <v>75</v>
      </c>
      <c r="O36" s="8" t="str">
        <f t="shared" si="18"/>
        <v>N/A</v>
      </c>
      <c r="P36" s="7">
        <f t="shared" si="19"/>
        <v>0</v>
      </c>
      <c r="Q36" s="7">
        <f t="shared" si="6"/>
        <v>0</v>
      </c>
      <c r="R36" s="7">
        <f t="shared" si="7"/>
        <v>0</v>
      </c>
      <c r="S36" s="7">
        <f t="shared" si="8"/>
        <v>0</v>
      </c>
    </row>
    <row r="37" spans="3:23">
      <c r="C37" s="34"/>
      <c r="D37" s="840">
        <f>'Payroll 19-20'!D37</f>
        <v>0</v>
      </c>
      <c r="E37" s="840">
        <f>'Payroll 21-22'!E37*(1+'Revenue Inputs'!Q$27)</f>
        <v>0</v>
      </c>
      <c r="F37" s="828">
        <f>'Payroll 21-22'!F37*(1+$I$4)</f>
        <v>0</v>
      </c>
      <c r="G37" s="322">
        <f>'Payroll 21-22'!G37</f>
        <v>0</v>
      </c>
      <c r="H37" s="319">
        <f>'Payroll 21-22'!H37</f>
        <v>0</v>
      </c>
      <c r="I37" s="320">
        <f t="shared" si="3"/>
        <v>0</v>
      </c>
      <c r="J37" s="7">
        <f t="shared" si="15"/>
        <v>0</v>
      </c>
      <c r="K37" s="7">
        <f t="shared" si="16"/>
        <v>0</v>
      </c>
      <c r="M37" s="7">
        <f t="shared" si="17"/>
        <v>0</v>
      </c>
      <c r="N37" s="8" t="s">
        <v>75</v>
      </c>
      <c r="O37" s="8" t="str">
        <f t="shared" si="18"/>
        <v>N/A</v>
      </c>
      <c r="P37" s="7">
        <f t="shared" si="19"/>
        <v>0</v>
      </c>
      <c r="Q37" s="7">
        <f t="shared" si="6"/>
        <v>0</v>
      </c>
      <c r="R37" s="7">
        <f t="shared" si="7"/>
        <v>0</v>
      </c>
      <c r="S37" s="7">
        <f t="shared" si="8"/>
        <v>0</v>
      </c>
    </row>
    <row r="38" spans="3:23">
      <c r="C38" s="34"/>
      <c r="D38" s="840">
        <f>'Payroll 19-20'!D38</f>
        <v>0</v>
      </c>
      <c r="E38" s="840">
        <f>'Payroll 21-22'!E38*(1+'Revenue Inputs'!Q$27)</f>
        <v>0</v>
      </c>
      <c r="F38" s="828">
        <f>'Payroll 21-22'!F38*(1+$I$4)</f>
        <v>0</v>
      </c>
      <c r="G38" s="322">
        <f>'Payroll 21-22'!G38</f>
        <v>0</v>
      </c>
      <c r="H38" s="319">
        <f>'Payroll 21-22'!H38</f>
        <v>0</v>
      </c>
      <c r="I38" s="320">
        <f t="shared" si="3"/>
        <v>0</v>
      </c>
      <c r="J38" s="7">
        <f t="shared" si="15"/>
        <v>0</v>
      </c>
      <c r="K38" s="7">
        <f t="shared" si="16"/>
        <v>0</v>
      </c>
      <c r="M38" s="7">
        <f t="shared" si="17"/>
        <v>0</v>
      </c>
      <c r="N38" s="8" t="s">
        <v>75</v>
      </c>
      <c r="O38" s="8" t="str">
        <f t="shared" si="18"/>
        <v>N/A</v>
      </c>
      <c r="P38" s="7">
        <f t="shared" si="19"/>
        <v>0</v>
      </c>
      <c r="Q38" s="7">
        <f t="shared" si="6"/>
        <v>0</v>
      </c>
      <c r="R38" s="7">
        <f t="shared" si="7"/>
        <v>0</v>
      </c>
      <c r="S38" s="7">
        <f t="shared" si="8"/>
        <v>0</v>
      </c>
    </row>
    <row r="39" spans="3:23">
      <c r="C39" s="34"/>
      <c r="D39" s="840">
        <f>'Payroll 19-20'!D39</f>
        <v>0</v>
      </c>
      <c r="E39" s="840">
        <f>'Payroll 21-22'!E39*(1+'Revenue Inputs'!Q$27)</f>
        <v>0</v>
      </c>
      <c r="F39" s="828">
        <f>'Payroll 21-22'!F39*(1+$I$4)</f>
        <v>0</v>
      </c>
      <c r="G39" s="322">
        <f>'Payroll 21-22'!G39</f>
        <v>0</v>
      </c>
      <c r="H39" s="319">
        <f>'Payroll 21-22'!H39</f>
        <v>0</v>
      </c>
      <c r="I39" s="320">
        <f t="shared" si="3"/>
        <v>0</v>
      </c>
      <c r="J39" s="7">
        <f t="shared" si="15"/>
        <v>0</v>
      </c>
      <c r="K39" s="7">
        <f t="shared" si="16"/>
        <v>0</v>
      </c>
      <c r="L39" s="7"/>
      <c r="M39" s="7">
        <f t="shared" si="17"/>
        <v>0</v>
      </c>
      <c r="N39" s="8" t="s">
        <v>75</v>
      </c>
      <c r="O39" s="8" t="str">
        <f t="shared" si="18"/>
        <v>N/A</v>
      </c>
      <c r="P39" s="7">
        <f t="shared" si="19"/>
        <v>0</v>
      </c>
      <c r="Q39" s="7">
        <f t="shared" si="6"/>
        <v>0</v>
      </c>
      <c r="R39" s="7">
        <f t="shared" si="7"/>
        <v>0</v>
      </c>
      <c r="S39" s="7">
        <f t="shared" si="8"/>
        <v>0</v>
      </c>
      <c r="W39" s="41"/>
    </row>
    <row r="40" spans="3:23">
      <c r="C40" s="34"/>
      <c r="D40" s="840">
        <f>'Payroll 19-20'!D40</f>
        <v>0</v>
      </c>
      <c r="E40" s="840">
        <f>'Payroll 21-22'!E40*(1+'Revenue Inputs'!Q$27)</f>
        <v>0</v>
      </c>
      <c r="F40" s="828">
        <f>'Payroll 21-22'!F40*(1+$I$4)</f>
        <v>0</v>
      </c>
      <c r="G40" s="322">
        <f>'Payroll 21-22'!G40</f>
        <v>0</v>
      </c>
      <c r="H40" s="319">
        <f>'Payroll 21-22'!H40</f>
        <v>0</v>
      </c>
      <c r="I40" s="320">
        <f t="shared" si="3"/>
        <v>0</v>
      </c>
      <c r="J40" s="7">
        <f t="shared" si="15"/>
        <v>0</v>
      </c>
      <c r="K40" s="7">
        <f t="shared" si="16"/>
        <v>0</v>
      </c>
      <c r="M40" s="7">
        <f t="shared" si="17"/>
        <v>0</v>
      </c>
      <c r="N40" s="8" t="s">
        <v>75</v>
      </c>
      <c r="O40" s="8" t="str">
        <f t="shared" si="18"/>
        <v>N/A</v>
      </c>
      <c r="P40" s="7">
        <f t="shared" si="19"/>
        <v>0</v>
      </c>
      <c r="Q40" s="7">
        <f t="shared" si="6"/>
        <v>0</v>
      </c>
      <c r="R40" s="7">
        <f t="shared" si="7"/>
        <v>0</v>
      </c>
      <c r="S40" s="7">
        <f t="shared" si="8"/>
        <v>0</v>
      </c>
    </row>
    <row r="41" spans="3:23">
      <c r="C41" s="34"/>
      <c r="D41" s="840">
        <f>'Payroll 19-20'!D41</f>
        <v>0</v>
      </c>
      <c r="E41" s="840">
        <f>'Payroll 21-22'!E41*(1+'Revenue Inputs'!Q$27)</f>
        <v>0</v>
      </c>
      <c r="F41" s="828">
        <f>'Payroll 21-22'!F41*(1+$I$4)</f>
        <v>0</v>
      </c>
      <c r="G41" s="322">
        <f>'Payroll 21-22'!G41</f>
        <v>0</v>
      </c>
      <c r="H41" s="319">
        <f>'Payroll 21-22'!H41</f>
        <v>0</v>
      </c>
      <c r="I41" s="320">
        <f t="shared" si="3"/>
        <v>0</v>
      </c>
      <c r="J41" s="7">
        <f t="shared" si="15"/>
        <v>0</v>
      </c>
      <c r="K41" s="7">
        <f t="shared" si="16"/>
        <v>0</v>
      </c>
      <c r="M41" s="7">
        <f t="shared" si="17"/>
        <v>0</v>
      </c>
      <c r="N41" s="8" t="s">
        <v>75</v>
      </c>
      <c r="O41" s="8" t="str">
        <f t="shared" si="18"/>
        <v>N/A</v>
      </c>
      <c r="P41" s="7">
        <f t="shared" si="19"/>
        <v>0</v>
      </c>
      <c r="Q41" s="7">
        <f t="shared" si="6"/>
        <v>0</v>
      </c>
      <c r="R41" s="7">
        <f t="shared" si="7"/>
        <v>0</v>
      </c>
      <c r="S41" s="7">
        <f t="shared" si="8"/>
        <v>0</v>
      </c>
    </row>
    <row r="42" spans="3:23">
      <c r="C42" s="34"/>
      <c r="D42" s="840">
        <f>'Payroll 19-20'!D42</f>
        <v>0</v>
      </c>
      <c r="E42" s="840">
        <f>'Payroll 21-22'!E42*(1+'Revenue Inputs'!Q$27)</f>
        <v>0</v>
      </c>
      <c r="F42" s="828">
        <f>'Payroll 21-22'!F42*(1+$I$4)</f>
        <v>0</v>
      </c>
      <c r="G42" s="322">
        <f>'Payroll 21-22'!G42</f>
        <v>0</v>
      </c>
      <c r="H42" s="319">
        <f>'Payroll 21-22'!H42</f>
        <v>0</v>
      </c>
      <c r="I42" s="320">
        <f t="shared" si="3"/>
        <v>0</v>
      </c>
      <c r="J42" s="7">
        <f t="shared" si="15"/>
        <v>0</v>
      </c>
      <c r="K42" s="7">
        <f t="shared" si="16"/>
        <v>0</v>
      </c>
      <c r="M42" s="7">
        <f t="shared" si="17"/>
        <v>0</v>
      </c>
      <c r="N42" s="8" t="s">
        <v>75</v>
      </c>
      <c r="O42" s="8" t="str">
        <f t="shared" si="18"/>
        <v>N/A</v>
      </c>
      <c r="P42" s="7">
        <f t="shared" si="19"/>
        <v>0</v>
      </c>
      <c r="Q42" s="7">
        <f t="shared" si="6"/>
        <v>0</v>
      </c>
      <c r="R42" s="7">
        <f t="shared" si="7"/>
        <v>0</v>
      </c>
      <c r="S42" s="7">
        <f t="shared" si="8"/>
        <v>0</v>
      </c>
    </row>
    <row r="43" spans="3:23">
      <c r="C43" s="34"/>
      <c r="D43" s="840">
        <f>'Payroll 19-20'!D43</f>
        <v>0</v>
      </c>
      <c r="E43" s="840">
        <f>'Payroll 21-22'!E43*(1+'Revenue Inputs'!Q$27)</f>
        <v>0</v>
      </c>
      <c r="F43" s="828">
        <f>'Payroll 21-22'!F43*(1+$I$4)</f>
        <v>0</v>
      </c>
      <c r="G43" s="322">
        <f>'Payroll 21-22'!G43</f>
        <v>0</v>
      </c>
      <c r="H43" s="319">
        <f>'Payroll 21-22'!H43</f>
        <v>0</v>
      </c>
      <c r="I43" s="320">
        <f t="shared" si="3"/>
        <v>0</v>
      </c>
      <c r="J43" s="7">
        <f t="shared" si="0"/>
        <v>0</v>
      </c>
      <c r="K43" s="7">
        <f t="shared" si="13"/>
        <v>0</v>
      </c>
      <c r="M43" s="7">
        <f t="shared" si="12"/>
        <v>0</v>
      </c>
      <c r="N43" s="8" t="s">
        <v>75</v>
      </c>
      <c r="O43" s="8" t="str">
        <f t="shared" si="5"/>
        <v>N/A</v>
      </c>
      <c r="P43" s="7">
        <f t="shared" si="2"/>
        <v>0</v>
      </c>
      <c r="Q43" s="7">
        <f t="shared" si="6"/>
        <v>0</v>
      </c>
      <c r="R43" s="7">
        <f t="shared" si="7"/>
        <v>0</v>
      </c>
      <c r="S43" s="7">
        <f t="shared" si="8"/>
        <v>0</v>
      </c>
    </row>
    <row r="44" spans="3:23">
      <c r="C44" s="34"/>
      <c r="D44" s="840">
        <f>'Payroll 19-20'!D44</f>
        <v>0</v>
      </c>
      <c r="E44" s="840">
        <f>'Payroll 21-22'!E44*(1+'Revenue Inputs'!Q$27)</f>
        <v>0</v>
      </c>
      <c r="F44" s="828">
        <f>'Payroll 21-22'!F44*(1+$I$4)</f>
        <v>0</v>
      </c>
      <c r="G44" s="322">
        <f>'Payroll 21-22'!G44</f>
        <v>0</v>
      </c>
      <c r="H44" s="319">
        <f>'Payroll 21-22'!H44</f>
        <v>0</v>
      </c>
      <c r="I44" s="320">
        <f t="shared" si="3"/>
        <v>0</v>
      </c>
      <c r="J44" s="7">
        <f t="shared" si="0"/>
        <v>0</v>
      </c>
      <c r="K44" s="7">
        <f t="shared" si="13"/>
        <v>0</v>
      </c>
      <c r="M44" s="7">
        <f t="shared" si="12"/>
        <v>0</v>
      </c>
      <c r="N44" s="8" t="s">
        <v>75</v>
      </c>
      <c r="O44" s="8" t="str">
        <f t="shared" si="5"/>
        <v>N/A</v>
      </c>
      <c r="P44" s="7">
        <f t="shared" si="2"/>
        <v>0</v>
      </c>
      <c r="Q44" s="7">
        <f t="shared" si="6"/>
        <v>0</v>
      </c>
      <c r="R44" s="7">
        <f t="shared" si="7"/>
        <v>0</v>
      </c>
      <c r="S44" s="7">
        <f t="shared" si="8"/>
        <v>0</v>
      </c>
    </row>
    <row r="45" spans="3:23">
      <c r="C45" s="34"/>
      <c r="D45" s="840">
        <f>'Payroll 19-20'!D45</f>
        <v>0</v>
      </c>
      <c r="E45" s="840">
        <f>'Payroll 21-22'!E45*(1+'Revenue Inputs'!Q$27)</f>
        <v>0</v>
      </c>
      <c r="F45" s="828">
        <f>'Payroll 21-22'!F45*(1+$I$4)</f>
        <v>0</v>
      </c>
      <c r="G45" s="322">
        <f>'Payroll 21-22'!G45</f>
        <v>0</v>
      </c>
      <c r="H45" s="319">
        <f>'Payroll 21-22'!H45</f>
        <v>0</v>
      </c>
      <c r="I45" s="320">
        <f t="shared" si="3"/>
        <v>0</v>
      </c>
      <c r="J45" s="7">
        <f t="shared" si="0"/>
        <v>0</v>
      </c>
      <c r="K45" s="7">
        <f t="shared" si="13"/>
        <v>0</v>
      </c>
      <c r="L45" s="7"/>
      <c r="M45" s="7">
        <f t="shared" si="12"/>
        <v>0</v>
      </c>
      <c r="N45" s="8" t="s">
        <v>75</v>
      </c>
      <c r="O45" s="8" t="str">
        <f t="shared" si="5"/>
        <v>N/A</v>
      </c>
      <c r="P45" s="7">
        <f t="shared" si="2"/>
        <v>0</v>
      </c>
      <c r="Q45" s="7">
        <f t="shared" si="6"/>
        <v>0</v>
      </c>
      <c r="R45" s="7">
        <f t="shared" si="7"/>
        <v>0</v>
      </c>
      <c r="S45" s="7">
        <f t="shared" si="8"/>
        <v>0</v>
      </c>
    </row>
    <row r="46" spans="3:23">
      <c r="C46" s="34"/>
      <c r="D46" s="840">
        <f>'Payroll 19-20'!D46</f>
        <v>0</v>
      </c>
      <c r="E46" s="840">
        <f>'Payroll 21-22'!E46*(1+'Revenue Inputs'!Q$27)</f>
        <v>0</v>
      </c>
      <c r="F46" s="828">
        <f>'Payroll 21-22'!F46*(1+$I$4)</f>
        <v>0</v>
      </c>
      <c r="G46" s="322">
        <f>'Payroll 21-22'!G46</f>
        <v>0</v>
      </c>
      <c r="H46" s="319">
        <f>'Payroll 21-22'!H46</f>
        <v>0</v>
      </c>
      <c r="I46" s="320">
        <f t="shared" si="3"/>
        <v>0</v>
      </c>
      <c r="J46" s="7">
        <f t="shared" si="0"/>
        <v>0</v>
      </c>
      <c r="K46" s="7">
        <f t="shared" si="13"/>
        <v>0</v>
      </c>
      <c r="M46" s="7">
        <f t="shared" si="12"/>
        <v>0</v>
      </c>
      <c r="N46" s="8" t="s">
        <v>75</v>
      </c>
      <c r="O46" s="8" t="str">
        <f t="shared" si="5"/>
        <v>N/A</v>
      </c>
      <c r="P46" s="7">
        <f t="shared" si="2"/>
        <v>0</v>
      </c>
      <c r="Q46" s="7">
        <f t="shared" si="6"/>
        <v>0</v>
      </c>
      <c r="R46" s="7">
        <f t="shared" si="7"/>
        <v>0</v>
      </c>
      <c r="S46" s="7">
        <f t="shared" si="8"/>
        <v>0</v>
      </c>
    </row>
    <row r="47" spans="3:23">
      <c r="C47" s="34"/>
      <c r="D47" s="840">
        <f>'Payroll 19-20'!D47</f>
        <v>0</v>
      </c>
      <c r="E47" s="840">
        <f>'Payroll 21-22'!E47*(1+'Revenue Inputs'!Q$27)</f>
        <v>0</v>
      </c>
      <c r="F47" s="828">
        <f>'Payroll 21-22'!F47*(1+$I$4)</f>
        <v>0</v>
      </c>
      <c r="G47" s="322">
        <f>'Payroll 21-22'!G47</f>
        <v>0</v>
      </c>
      <c r="H47" s="319">
        <f>'Payroll 21-22'!H47</f>
        <v>0</v>
      </c>
      <c r="I47" s="320">
        <f t="shared" si="3"/>
        <v>0</v>
      </c>
      <c r="J47" s="7">
        <f t="shared" si="0"/>
        <v>0</v>
      </c>
      <c r="K47" s="7">
        <f t="shared" si="13"/>
        <v>0</v>
      </c>
      <c r="M47" s="7">
        <f t="shared" si="12"/>
        <v>0</v>
      </c>
      <c r="N47" s="8" t="s">
        <v>75</v>
      </c>
      <c r="O47" s="8" t="str">
        <f t="shared" si="5"/>
        <v>N/A</v>
      </c>
      <c r="P47" s="7">
        <f t="shared" si="2"/>
        <v>0</v>
      </c>
      <c r="Q47" s="7">
        <f t="shared" si="6"/>
        <v>0</v>
      </c>
      <c r="R47" s="7">
        <f t="shared" si="7"/>
        <v>0</v>
      </c>
      <c r="S47" s="7">
        <f t="shared" si="8"/>
        <v>0</v>
      </c>
    </row>
    <row r="48" spans="3:23">
      <c r="C48" s="34"/>
      <c r="D48" s="840">
        <f>'Payroll 19-20'!D48</f>
        <v>0</v>
      </c>
      <c r="E48" s="840">
        <f>'Payroll 21-22'!E48*(1+'Revenue Inputs'!Q$27)</f>
        <v>0</v>
      </c>
      <c r="F48" s="828">
        <f>'Payroll 21-22'!F48*(1+$I$4)</f>
        <v>0</v>
      </c>
      <c r="G48" s="322">
        <f>'Payroll 21-22'!G48</f>
        <v>0</v>
      </c>
      <c r="H48" s="319">
        <f>'Payroll 21-22'!H48</f>
        <v>0</v>
      </c>
      <c r="I48" s="320">
        <f t="shared" si="3"/>
        <v>0</v>
      </c>
      <c r="J48" s="7">
        <f t="shared" si="0"/>
        <v>0</v>
      </c>
      <c r="K48" s="7">
        <f t="shared" si="13"/>
        <v>0</v>
      </c>
      <c r="M48" s="7">
        <f t="shared" si="12"/>
        <v>0</v>
      </c>
      <c r="N48" s="8" t="s">
        <v>75</v>
      </c>
      <c r="O48" s="8" t="str">
        <f t="shared" si="5"/>
        <v>N/A</v>
      </c>
      <c r="P48" s="7">
        <f t="shared" si="2"/>
        <v>0</v>
      </c>
      <c r="Q48" s="7">
        <f t="shared" si="6"/>
        <v>0</v>
      </c>
      <c r="R48" s="7">
        <f t="shared" si="7"/>
        <v>0</v>
      </c>
      <c r="S48" s="7">
        <f t="shared" si="8"/>
        <v>0</v>
      </c>
    </row>
    <row r="49" spans="3:24">
      <c r="C49" s="34"/>
      <c r="D49" s="840">
        <f>'Payroll 19-20'!D49</f>
        <v>0</v>
      </c>
      <c r="E49" s="840">
        <f>'Payroll 21-22'!E49*(1+'Revenue Inputs'!Q$27)</f>
        <v>0</v>
      </c>
      <c r="F49" s="828">
        <f>'Payroll 21-22'!F49*(1+$I$4)</f>
        <v>0</v>
      </c>
      <c r="G49" s="322">
        <f>'Payroll 21-22'!G49</f>
        <v>0</v>
      </c>
      <c r="H49" s="319">
        <f>'Payroll 21-22'!H49</f>
        <v>0</v>
      </c>
      <c r="I49" s="320">
        <f t="shared" si="3"/>
        <v>0</v>
      </c>
      <c r="J49" s="7">
        <f t="shared" si="0"/>
        <v>0</v>
      </c>
      <c r="K49" s="7">
        <f t="shared" si="13"/>
        <v>0</v>
      </c>
      <c r="M49" s="7">
        <f t="shared" si="12"/>
        <v>0</v>
      </c>
      <c r="N49" s="8" t="s">
        <v>75</v>
      </c>
      <c r="O49" s="8" t="str">
        <f t="shared" si="5"/>
        <v>N/A</v>
      </c>
      <c r="P49" s="7">
        <f t="shared" si="2"/>
        <v>0</v>
      </c>
      <c r="Q49" s="7">
        <f t="shared" si="6"/>
        <v>0</v>
      </c>
      <c r="R49" s="7">
        <f t="shared" si="7"/>
        <v>0</v>
      </c>
      <c r="S49" s="7">
        <f t="shared" si="8"/>
        <v>0</v>
      </c>
    </row>
    <row r="50" spans="3:24">
      <c r="C50" s="34"/>
      <c r="D50" s="840">
        <f>'Payroll 19-20'!D50</f>
        <v>0</v>
      </c>
      <c r="E50" s="840">
        <f>'Payroll 21-22'!E50*(1+'Revenue Inputs'!Q$27)</f>
        <v>0</v>
      </c>
      <c r="F50" s="828">
        <f>'Payroll 21-22'!F50*(1+$I$4)</f>
        <v>0</v>
      </c>
      <c r="G50" s="322">
        <f>'Payroll 21-22'!G50</f>
        <v>0</v>
      </c>
      <c r="H50" s="319">
        <f>'Payroll 21-22'!H50</f>
        <v>0</v>
      </c>
      <c r="I50" s="320">
        <f t="shared" si="3"/>
        <v>0</v>
      </c>
      <c r="J50" s="7">
        <f t="shared" si="0"/>
        <v>0</v>
      </c>
      <c r="K50" s="7">
        <f t="shared" si="13"/>
        <v>0</v>
      </c>
      <c r="L50" s="7"/>
      <c r="M50" s="7">
        <f t="shared" si="12"/>
        <v>0</v>
      </c>
      <c r="N50" s="8" t="s">
        <v>75</v>
      </c>
      <c r="O50" s="8" t="str">
        <f t="shared" si="5"/>
        <v>N/A</v>
      </c>
      <c r="P50" s="7">
        <f t="shared" si="2"/>
        <v>0</v>
      </c>
      <c r="Q50" s="7">
        <f t="shared" si="6"/>
        <v>0</v>
      </c>
      <c r="R50" s="7">
        <f t="shared" si="7"/>
        <v>0</v>
      </c>
      <c r="S50" s="7">
        <f t="shared" si="8"/>
        <v>0</v>
      </c>
    </row>
    <row r="51" spans="3:24">
      <c r="C51" s="34"/>
      <c r="D51" s="840">
        <f>'Payroll 19-20'!D51</f>
        <v>0</v>
      </c>
      <c r="E51" s="840">
        <f>'Payroll 21-22'!E51*(1+'Revenue Inputs'!Q$27)</f>
        <v>0</v>
      </c>
      <c r="F51" s="828">
        <f>'Payroll 21-22'!F51*(1+$I$4)</f>
        <v>0</v>
      </c>
      <c r="G51" s="322">
        <f>'Payroll 21-22'!G51</f>
        <v>0</v>
      </c>
      <c r="H51" s="319">
        <f>'Payroll 21-22'!H51</f>
        <v>0</v>
      </c>
      <c r="I51" s="320">
        <f t="shared" si="3"/>
        <v>0</v>
      </c>
      <c r="J51" s="7">
        <f t="shared" si="0"/>
        <v>0</v>
      </c>
      <c r="K51" s="7">
        <f t="shared" si="13"/>
        <v>0</v>
      </c>
      <c r="M51" s="7">
        <f t="shared" si="12"/>
        <v>0</v>
      </c>
      <c r="N51" s="8" t="s">
        <v>75</v>
      </c>
      <c r="O51" s="8" t="str">
        <f t="shared" si="5"/>
        <v>N/A</v>
      </c>
      <c r="P51" s="7">
        <f t="shared" si="2"/>
        <v>0</v>
      </c>
      <c r="Q51" s="7">
        <f t="shared" si="6"/>
        <v>0</v>
      </c>
      <c r="R51" s="7">
        <f t="shared" si="7"/>
        <v>0</v>
      </c>
      <c r="S51" s="7">
        <f t="shared" si="8"/>
        <v>0</v>
      </c>
    </row>
    <row r="52" spans="3:24">
      <c r="C52" s="34"/>
      <c r="D52" s="840">
        <f>'Payroll 19-20'!D52</f>
        <v>0</v>
      </c>
      <c r="E52" s="840">
        <f>'Payroll 21-22'!E52*(1+'Revenue Inputs'!Q$27)</f>
        <v>0</v>
      </c>
      <c r="F52" s="828">
        <f>'Payroll 21-22'!F52*(1+$I$4)</f>
        <v>0</v>
      </c>
      <c r="G52" s="322">
        <f>'Payroll 21-22'!G52</f>
        <v>0</v>
      </c>
      <c r="H52" s="319">
        <f>'Payroll 21-22'!H52</f>
        <v>0</v>
      </c>
      <c r="I52" s="320">
        <f t="shared" si="3"/>
        <v>0</v>
      </c>
      <c r="J52" s="7">
        <f t="shared" si="0"/>
        <v>0</v>
      </c>
      <c r="K52" s="7">
        <f t="shared" si="13"/>
        <v>0</v>
      </c>
      <c r="M52" s="7">
        <f t="shared" si="12"/>
        <v>0</v>
      </c>
      <c r="N52" s="8" t="s">
        <v>75</v>
      </c>
      <c r="O52" s="8" t="str">
        <f t="shared" si="5"/>
        <v>N/A</v>
      </c>
      <c r="P52" s="7">
        <f t="shared" si="2"/>
        <v>0</v>
      </c>
      <c r="Q52" s="7">
        <f t="shared" si="6"/>
        <v>0</v>
      </c>
      <c r="R52" s="7">
        <f t="shared" si="7"/>
        <v>0</v>
      </c>
      <c r="S52" s="7">
        <f t="shared" si="8"/>
        <v>0</v>
      </c>
    </row>
    <row r="53" spans="3:24">
      <c r="C53" s="34"/>
      <c r="D53" s="840">
        <f>'Payroll 19-20'!D53</f>
        <v>0</v>
      </c>
      <c r="E53" s="840">
        <f>'Payroll 21-22'!E53*(1+'Revenue Inputs'!Q$27)</f>
        <v>0</v>
      </c>
      <c r="F53" s="828">
        <f>'Payroll 21-22'!F53*(1+$I$4)</f>
        <v>0</v>
      </c>
      <c r="G53" s="322">
        <f>'Payroll 21-22'!G53</f>
        <v>0</v>
      </c>
      <c r="H53" s="319">
        <f>'Payroll 21-22'!H53</f>
        <v>0</v>
      </c>
      <c r="I53" s="320">
        <f t="shared" si="3"/>
        <v>0</v>
      </c>
      <c r="J53" s="7">
        <f t="shared" si="0"/>
        <v>0</v>
      </c>
      <c r="K53" s="7">
        <f t="shared" si="13"/>
        <v>0</v>
      </c>
      <c r="M53" s="7">
        <f t="shared" si="12"/>
        <v>0</v>
      </c>
      <c r="N53" s="8" t="s">
        <v>75</v>
      </c>
      <c r="O53" s="8" t="str">
        <f t="shared" si="5"/>
        <v>N/A</v>
      </c>
      <c r="P53" s="7">
        <f t="shared" si="2"/>
        <v>0</v>
      </c>
      <c r="Q53" s="7">
        <f t="shared" si="6"/>
        <v>0</v>
      </c>
      <c r="R53" s="7">
        <f t="shared" si="7"/>
        <v>0</v>
      </c>
      <c r="S53" s="7">
        <f t="shared" si="8"/>
        <v>0</v>
      </c>
    </row>
    <row r="54" spans="3:24">
      <c r="C54" s="34"/>
      <c r="D54" s="840">
        <f>'Payroll 19-20'!D54</f>
        <v>0</v>
      </c>
      <c r="E54" s="840">
        <f>'Payroll 21-22'!E54*(1+'Revenue Inputs'!Q$27)</f>
        <v>0</v>
      </c>
      <c r="F54" s="828">
        <f>'Payroll 21-22'!F54*(1+$I$4)</f>
        <v>0</v>
      </c>
      <c r="G54" s="322">
        <f>'Payroll 21-22'!G54</f>
        <v>0</v>
      </c>
      <c r="H54" s="319">
        <f>'Payroll 21-22'!H54</f>
        <v>0</v>
      </c>
      <c r="I54" s="320">
        <f t="shared" si="3"/>
        <v>0</v>
      </c>
      <c r="J54" s="7">
        <f t="shared" si="0"/>
        <v>0</v>
      </c>
      <c r="K54" s="7">
        <f t="shared" si="13"/>
        <v>0</v>
      </c>
      <c r="M54" s="7">
        <f t="shared" si="12"/>
        <v>0</v>
      </c>
      <c r="N54" s="8" t="s">
        <v>75</v>
      </c>
      <c r="O54" s="8" t="str">
        <f t="shared" si="5"/>
        <v>N/A</v>
      </c>
      <c r="P54" s="7">
        <f t="shared" si="2"/>
        <v>0</v>
      </c>
      <c r="Q54" s="7">
        <f t="shared" si="6"/>
        <v>0</v>
      </c>
      <c r="R54" s="7">
        <f t="shared" si="7"/>
        <v>0</v>
      </c>
      <c r="S54" s="7">
        <f t="shared" si="8"/>
        <v>0</v>
      </c>
    </row>
    <row r="55" spans="3:24">
      <c r="C55" s="34"/>
      <c r="D55" s="840">
        <f>'Payroll 19-20'!D55</f>
        <v>0</v>
      </c>
      <c r="E55" s="840">
        <f>'Payroll 21-22'!E55*(1+'Revenue Inputs'!Q$27)</f>
        <v>0</v>
      </c>
      <c r="F55" s="828">
        <f>'Payroll 21-22'!F55*(1+$I$4)</f>
        <v>0</v>
      </c>
      <c r="G55" s="322">
        <f>'Payroll 21-22'!G55</f>
        <v>0</v>
      </c>
      <c r="H55" s="319">
        <f>'Payroll 21-22'!H55</f>
        <v>0</v>
      </c>
      <c r="I55" s="320">
        <f t="shared" si="3"/>
        <v>0</v>
      </c>
      <c r="J55" s="7">
        <f t="shared" si="0"/>
        <v>0</v>
      </c>
      <c r="K55" s="7">
        <f t="shared" si="13"/>
        <v>0</v>
      </c>
      <c r="M55" s="7">
        <f t="shared" si="12"/>
        <v>0</v>
      </c>
      <c r="N55" s="8" t="s">
        <v>75</v>
      </c>
      <c r="O55" s="8" t="str">
        <f t="shared" si="5"/>
        <v>N/A</v>
      </c>
      <c r="P55" s="7">
        <f t="shared" si="2"/>
        <v>0</v>
      </c>
      <c r="Q55" s="7">
        <f t="shared" si="6"/>
        <v>0</v>
      </c>
      <c r="R55" s="7">
        <f t="shared" si="7"/>
        <v>0</v>
      </c>
      <c r="S55" s="7">
        <f t="shared" si="8"/>
        <v>0</v>
      </c>
    </row>
    <row r="56" spans="3:24">
      <c r="C56" s="34"/>
      <c r="D56" s="840">
        <f>'Payroll 19-20'!D56</f>
        <v>0</v>
      </c>
      <c r="E56" s="840">
        <f>'Payroll 21-22'!E56*(1+'Revenue Inputs'!Q$27)</f>
        <v>0</v>
      </c>
      <c r="F56" s="828">
        <f>'Payroll 21-22'!F56*(1+$I$4)</f>
        <v>0</v>
      </c>
      <c r="G56" s="322">
        <f>'Payroll 21-22'!G56</f>
        <v>0</v>
      </c>
      <c r="H56" s="319">
        <f>'Payroll 21-22'!H56</f>
        <v>0</v>
      </c>
      <c r="I56" s="320">
        <f t="shared" si="3"/>
        <v>0</v>
      </c>
      <c r="J56" s="7">
        <f t="shared" si="0"/>
        <v>0</v>
      </c>
      <c r="K56" s="7">
        <f t="shared" si="13"/>
        <v>0</v>
      </c>
      <c r="L56" s="7"/>
      <c r="M56" s="7">
        <f t="shared" si="12"/>
        <v>0</v>
      </c>
      <c r="N56" s="8" t="s">
        <v>75</v>
      </c>
      <c r="O56" s="8" t="str">
        <f t="shared" si="5"/>
        <v>N/A</v>
      </c>
      <c r="P56" s="7">
        <f t="shared" si="2"/>
        <v>0</v>
      </c>
      <c r="Q56" s="7">
        <f t="shared" si="6"/>
        <v>0</v>
      </c>
      <c r="R56" s="7">
        <f t="shared" si="7"/>
        <v>0</v>
      </c>
      <c r="S56" s="7">
        <f t="shared" si="8"/>
        <v>0</v>
      </c>
      <c r="W56" s="41"/>
    </row>
    <row r="57" spans="3:24">
      <c r="C57" s="34"/>
      <c r="D57" s="840">
        <f>'Payroll 19-20'!D57</f>
        <v>0</v>
      </c>
      <c r="E57" s="840">
        <f>'Payroll 21-22'!E57*(1+'Revenue Inputs'!Q$27)</f>
        <v>0</v>
      </c>
      <c r="F57" s="828">
        <f>'Payroll 21-22'!F57*(1+$I$4)</f>
        <v>0</v>
      </c>
      <c r="G57" s="322">
        <f>'Payroll 21-22'!G57</f>
        <v>0</v>
      </c>
      <c r="H57" s="319">
        <f>'Payroll 21-22'!H57</f>
        <v>0</v>
      </c>
      <c r="I57" s="320">
        <f t="shared" si="3"/>
        <v>0</v>
      </c>
      <c r="J57" s="7">
        <f t="shared" si="0"/>
        <v>0</v>
      </c>
      <c r="K57" s="7">
        <f t="shared" si="13"/>
        <v>0</v>
      </c>
      <c r="M57" s="7">
        <f t="shared" si="12"/>
        <v>0</v>
      </c>
      <c r="N57" s="8" t="s">
        <v>75</v>
      </c>
      <c r="O57" s="8" t="str">
        <f t="shared" si="5"/>
        <v>N/A</v>
      </c>
      <c r="P57" s="7">
        <f t="shared" si="2"/>
        <v>0</v>
      </c>
      <c r="Q57" s="7">
        <f t="shared" si="6"/>
        <v>0</v>
      </c>
      <c r="R57" s="7">
        <f t="shared" si="7"/>
        <v>0</v>
      </c>
      <c r="S57" s="7">
        <f t="shared" si="8"/>
        <v>0</v>
      </c>
    </row>
    <row r="58" spans="3:24">
      <c r="C58" s="34"/>
      <c r="D58" s="840">
        <f>'Payroll 19-20'!D58</f>
        <v>0</v>
      </c>
      <c r="E58" s="840">
        <f>'Payroll 21-22'!E58*(1+'Revenue Inputs'!Q$27)</f>
        <v>0</v>
      </c>
      <c r="F58" s="828">
        <f>'Payroll 21-22'!F58*(1+$I$4)</f>
        <v>0</v>
      </c>
      <c r="G58" s="322">
        <f>'Payroll 21-22'!G58</f>
        <v>0</v>
      </c>
      <c r="H58" s="319">
        <f>'Payroll 21-22'!H58</f>
        <v>0</v>
      </c>
      <c r="I58" s="320">
        <f t="shared" si="3"/>
        <v>0</v>
      </c>
      <c r="J58" s="7">
        <f t="shared" si="0"/>
        <v>0</v>
      </c>
      <c r="K58" s="7">
        <f t="shared" si="13"/>
        <v>0</v>
      </c>
      <c r="M58" s="7">
        <f t="shared" si="12"/>
        <v>0</v>
      </c>
      <c r="N58" s="8" t="s">
        <v>75</v>
      </c>
      <c r="O58" s="8" t="str">
        <f t="shared" si="5"/>
        <v>N/A</v>
      </c>
      <c r="P58" s="7">
        <f t="shared" si="2"/>
        <v>0</v>
      </c>
      <c r="Q58" s="7">
        <f t="shared" si="6"/>
        <v>0</v>
      </c>
      <c r="R58" s="7">
        <f t="shared" si="7"/>
        <v>0</v>
      </c>
      <c r="S58" s="7">
        <f t="shared" si="8"/>
        <v>0</v>
      </c>
    </row>
    <row r="59" spans="3:24">
      <c r="C59" s="34"/>
      <c r="D59" s="840">
        <f>'Payroll 19-20'!D59</f>
        <v>0</v>
      </c>
      <c r="E59" s="840">
        <f>'Payroll 21-22'!E59*(1+'Revenue Inputs'!Q$27)</f>
        <v>0</v>
      </c>
      <c r="F59" s="828">
        <f>'Payroll 21-22'!F59*(1+$I$4)</f>
        <v>0</v>
      </c>
      <c r="G59" s="322">
        <f>'Payroll 21-22'!G59</f>
        <v>0</v>
      </c>
      <c r="H59" s="319">
        <f>'Payroll 21-22'!H59</f>
        <v>0</v>
      </c>
      <c r="I59" s="320">
        <f t="shared" si="3"/>
        <v>0</v>
      </c>
      <c r="J59" s="7">
        <f t="shared" si="0"/>
        <v>0</v>
      </c>
      <c r="K59" s="7">
        <f t="shared" si="13"/>
        <v>0</v>
      </c>
      <c r="M59" s="7">
        <f t="shared" si="12"/>
        <v>0</v>
      </c>
      <c r="N59" s="8" t="s">
        <v>75</v>
      </c>
      <c r="O59" s="8" t="str">
        <f t="shared" si="5"/>
        <v>N/A</v>
      </c>
      <c r="P59" s="7">
        <f t="shared" si="2"/>
        <v>0</v>
      </c>
      <c r="Q59" s="7">
        <f t="shared" si="6"/>
        <v>0</v>
      </c>
      <c r="R59" s="7">
        <f t="shared" si="7"/>
        <v>0</v>
      </c>
      <c r="S59" s="7">
        <f t="shared" si="8"/>
        <v>0</v>
      </c>
    </row>
    <row r="60" spans="3:24" ht="12" thickBot="1">
      <c r="C60" s="34"/>
      <c r="D60" s="833"/>
      <c r="E60" s="846"/>
      <c r="F60" s="833"/>
      <c r="G60" s="28"/>
      <c r="H60" s="8"/>
      <c r="I60" s="5"/>
      <c r="J60" s="7"/>
      <c r="K60" s="7"/>
      <c r="M60" s="7"/>
      <c r="N60" s="8"/>
      <c r="O60" s="8"/>
      <c r="P60" s="7"/>
      <c r="Q60" s="7"/>
      <c r="R60" s="7"/>
      <c r="S60" s="7"/>
    </row>
    <row r="61" spans="3:24" s="41" customFormat="1" ht="12" thickBot="1">
      <c r="C61" s="177"/>
      <c r="D61" s="834"/>
      <c r="E61" s="847"/>
      <c r="F61" s="834"/>
      <c r="G61" s="49"/>
      <c r="H61" s="333">
        <v>1100</v>
      </c>
      <c r="I61" s="10">
        <f>SUM(I7:I60)</f>
        <v>9373134.5424342379</v>
      </c>
      <c r="J61" s="10">
        <f>SUM(J7:J60)</f>
        <v>3218266.236239973</v>
      </c>
      <c r="K61" s="10">
        <f>SUM(K7:K60)</f>
        <v>12591400.778674209</v>
      </c>
      <c r="L61" s="11"/>
      <c r="M61" s="10">
        <f t="shared" ref="M61:S61" si="20">SUM(M7:M60)</f>
        <v>1696537.3521805967</v>
      </c>
      <c r="N61" s="10">
        <f t="shared" si="20"/>
        <v>0</v>
      </c>
      <c r="O61" s="10">
        <f t="shared" si="20"/>
        <v>0</v>
      </c>
      <c r="P61" s="10">
        <f t="shared" si="20"/>
        <v>135910.45086529644</v>
      </c>
      <c r="Q61" s="10">
        <f t="shared" si="20"/>
        <v>1185137.0496000003</v>
      </c>
      <c r="R61" s="10">
        <f t="shared" si="20"/>
        <v>69457.500000000015</v>
      </c>
      <c r="S61" s="10">
        <f t="shared" si="20"/>
        <v>131223.88359407932</v>
      </c>
      <c r="X61" s="27"/>
    </row>
    <row r="62" spans="3:24" ht="12">
      <c r="C62" s="368" t="s">
        <v>143</v>
      </c>
      <c r="D62" s="835"/>
      <c r="E62" s="848"/>
      <c r="F62" s="835"/>
      <c r="G62" s="28"/>
      <c r="H62" s="35"/>
      <c r="I62" s="7"/>
      <c r="J62" s="7"/>
      <c r="K62" s="7"/>
      <c r="L62" s="7"/>
      <c r="M62" s="36"/>
      <c r="N62" s="36"/>
      <c r="O62" s="36"/>
      <c r="P62" s="36"/>
      <c r="Q62" s="36"/>
      <c r="R62" s="36"/>
      <c r="S62" s="36"/>
    </row>
    <row r="63" spans="3:24">
      <c r="C63" s="37"/>
      <c r="D63" s="840">
        <f>'Payroll 19-20'!D63</f>
        <v>0</v>
      </c>
      <c r="E63" s="840">
        <f>'Payroll 21-22'!E63*(1+'Revenue Inputs'!Q$27)</f>
        <v>0</v>
      </c>
      <c r="F63" s="828">
        <f>'Payroll 21-22'!F63*(1+$I$4)</f>
        <v>0</v>
      </c>
      <c r="G63" s="322">
        <f>'Payroll 21-22'!G63</f>
        <v>0</v>
      </c>
      <c r="H63" s="319">
        <f>'Payroll 21-22'!H63</f>
        <v>0</v>
      </c>
      <c r="I63" s="320">
        <f t="shared" ref="I63" si="21">F63*E63</f>
        <v>0</v>
      </c>
      <c r="J63" s="7">
        <f>SUM(M63:S63)</f>
        <v>0</v>
      </c>
      <c r="K63" s="7">
        <f>J63+I63</f>
        <v>0</v>
      </c>
      <c r="L63" s="7"/>
      <c r="M63" s="7">
        <f t="shared" ref="M63" si="22">I63*$M$5</f>
        <v>0</v>
      </c>
      <c r="N63" s="8" t="s">
        <v>75</v>
      </c>
      <c r="O63" s="8" t="str">
        <f>IF($M$5&gt;0,"N/A",$O$5*I63)</f>
        <v>N/A</v>
      </c>
      <c r="P63" s="7">
        <f>I63*$P$5</f>
        <v>0</v>
      </c>
      <c r="Q63" s="7">
        <f t="shared" ref="Q63" si="23">IF(H63="y", $Q$5*E63, 0)</f>
        <v>0</v>
      </c>
      <c r="R63" s="7">
        <f t="shared" ref="R63" si="24">IF($I63&gt;7000,7000*R$5,$I63*R$5)*E63</f>
        <v>0</v>
      </c>
      <c r="S63" s="7">
        <f t="shared" ref="S63" si="25">S$5*$I63</f>
        <v>0</v>
      </c>
    </row>
    <row r="64" spans="3:24" ht="12" thickBot="1">
      <c r="C64" s="37"/>
      <c r="D64" s="835"/>
      <c r="E64" s="848"/>
      <c r="F64" s="835"/>
      <c r="G64" s="28"/>
      <c r="H64" s="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24" s="41" customFormat="1" ht="12" thickBot="1">
      <c r="C65" s="177"/>
      <c r="D65" s="835"/>
      <c r="E65" s="848"/>
      <c r="F65" s="835"/>
      <c r="G65" s="49"/>
      <c r="H65" s="333">
        <v>1170</v>
      </c>
      <c r="I65" s="10">
        <f>SUM(I62:I64)</f>
        <v>0</v>
      </c>
      <c r="J65" s="10">
        <f>SUM(J62:J64)</f>
        <v>0</v>
      </c>
      <c r="K65" s="10">
        <f>SUM(K62:K64)</f>
        <v>0</v>
      </c>
      <c r="L65" s="11"/>
      <c r="M65" s="10">
        <f t="shared" ref="M65:S65" si="26">SUM(M62:M64)</f>
        <v>0</v>
      </c>
      <c r="N65" s="10">
        <f t="shared" si="26"/>
        <v>0</v>
      </c>
      <c r="O65" s="10">
        <f t="shared" si="26"/>
        <v>0</v>
      </c>
      <c r="P65" s="10">
        <f t="shared" si="26"/>
        <v>0</v>
      </c>
      <c r="Q65" s="10">
        <f t="shared" si="26"/>
        <v>0</v>
      </c>
      <c r="R65" s="10">
        <f t="shared" si="26"/>
        <v>0</v>
      </c>
      <c r="S65" s="10">
        <f t="shared" si="26"/>
        <v>0</v>
      </c>
      <c r="X65" s="27"/>
    </row>
    <row r="66" spans="3:24" s="41" customFormat="1">
      <c r="C66" s="177"/>
      <c r="D66" s="834"/>
      <c r="E66" s="847"/>
      <c r="F66" s="834"/>
      <c r="G66" s="49"/>
      <c r="H66" s="33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X66" s="27"/>
    </row>
    <row r="67" spans="3:24" ht="12">
      <c r="C67" s="368" t="s">
        <v>125</v>
      </c>
      <c r="D67" s="835"/>
      <c r="E67" s="848"/>
      <c r="F67" s="835"/>
      <c r="G67" s="28"/>
      <c r="H67" s="35"/>
      <c r="I67" s="7"/>
      <c r="J67" s="7"/>
      <c r="K67" s="7"/>
      <c r="L67" s="7"/>
      <c r="M67" s="36"/>
      <c r="N67" s="36"/>
      <c r="O67" s="36"/>
      <c r="P67" s="36"/>
      <c r="Q67" s="7">
        <f t="shared" ref="Q67:Q74" si="27">IF(H67="y", $Q$5*E67, 0)</f>
        <v>0</v>
      </c>
      <c r="R67" s="36"/>
      <c r="S67" s="36"/>
    </row>
    <row r="68" spans="3:24">
      <c r="C68" s="431"/>
      <c r="D68" s="840">
        <f>'Payroll 19-20'!D68</f>
        <v>0</v>
      </c>
      <c r="E68" s="840">
        <f>'Payroll 21-22'!E68*(1+'Revenue Inputs'!Q$27)</f>
        <v>0</v>
      </c>
      <c r="F68" s="828">
        <f>'Payroll 21-22'!F68*(1+$I$4)</f>
        <v>0</v>
      </c>
      <c r="G68" s="322">
        <f>'Payroll 21-22'!G68</f>
        <v>12</v>
      </c>
      <c r="H68" s="319">
        <f>'Payroll 21-22'!H68</f>
        <v>0</v>
      </c>
      <c r="I68" s="829">
        <f>I61*'Revenue Inputs'!Q30</f>
        <v>468656.72712171194</v>
      </c>
      <c r="J68" s="7">
        <f>SUM(M68:S68)</f>
        <v>98183.584331998645</v>
      </c>
      <c r="K68" s="7">
        <f>J68+I68</f>
        <v>566840.31145371054</v>
      </c>
      <c r="L68" s="7"/>
      <c r="M68" s="7">
        <f t="shared" ref="M68:M74" si="28">I68*$M$5</f>
        <v>84826.867609029854</v>
      </c>
      <c r="N68" s="8" t="s">
        <v>75</v>
      </c>
      <c r="O68" s="8" t="str">
        <f>IF($M$5&gt;0,"N/A",$O$5*I68)</f>
        <v>N/A</v>
      </c>
      <c r="P68" s="7">
        <f>I68*$P$5</f>
        <v>6795.5225432648231</v>
      </c>
      <c r="Q68" s="7">
        <f t="shared" si="27"/>
        <v>0</v>
      </c>
      <c r="R68" s="7">
        <f t="shared" ref="R68:R74" si="29">IF($I68&gt;7000,7000*R$5,$I68*R$5)*E68</f>
        <v>0</v>
      </c>
      <c r="S68" s="7">
        <f t="shared" ref="S68:S74" si="30">S$5*$I68</f>
        <v>6561.1941797039672</v>
      </c>
    </row>
    <row r="69" spans="3:24">
      <c r="C69" s="431"/>
      <c r="D69" s="840">
        <f>'Payroll 19-20'!D69</f>
        <v>0</v>
      </c>
      <c r="E69" s="840">
        <f>'Payroll 21-22'!E69*(1+'Revenue Inputs'!Q$27)</f>
        <v>0</v>
      </c>
      <c r="F69" s="828">
        <f>'Payroll 21-22'!F69*(1+$I$4)</f>
        <v>0</v>
      </c>
      <c r="G69" s="322">
        <f>'Payroll 21-22'!G69</f>
        <v>0</v>
      </c>
      <c r="H69" s="319">
        <f>'Payroll 21-22'!H69</f>
        <v>0</v>
      </c>
      <c r="I69" s="320">
        <f>'Payroll 21-22'!I69*(1+$I$4)</f>
        <v>0</v>
      </c>
      <c r="J69" s="7">
        <f>SUM(M69:S69)</f>
        <v>0</v>
      </c>
      <c r="K69" s="7">
        <f>J69+I69</f>
        <v>0</v>
      </c>
      <c r="L69" s="7"/>
      <c r="M69" s="7">
        <f t="shared" si="28"/>
        <v>0</v>
      </c>
      <c r="N69" s="8" t="s">
        <v>75</v>
      </c>
      <c r="O69" s="8" t="str">
        <f>IF($M$5&gt;0,"N/A",$O$5*I69)</f>
        <v>N/A</v>
      </c>
      <c r="P69" s="7">
        <f>I69*$P$5</f>
        <v>0</v>
      </c>
      <c r="Q69" s="7">
        <f t="shared" si="27"/>
        <v>0</v>
      </c>
      <c r="R69" s="7">
        <f t="shared" si="29"/>
        <v>0</v>
      </c>
      <c r="S69" s="7">
        <f t="shared" si="30"/>
        <v>0</v>
      </c>
    </row>
    <row r="70" spans="3:24">
      <c r="C70" s="431"/>
      <c r="D70" s="840">
        <f>'Payroll 19-20'!D70</f>
        <v>0</v>
      </c>
      <c r="E70" s="840">
        <f>'Payroll 21-22'!E70*(1+'Revenue Inputs'!Q$27)</f>
        <v>0</v>
      </c>
      <c r="F70" s="828">
        <f>'Payroll 21-22'!F70*(1+$I$4)</f>
        <v>0</v>
      </c>
      <c r="G70" s="322">
        <f>'Payroll 21-22'!G70</f>
        <v>0</v>
      </c>
      <c r="H70" s="319">
        <f>'Payroll 21-22'!H70</f>
        <v>0</v>
      </c>
      <c r="I70" s="320">
        <f>'Payroll 21-22'!I70*(1+$I$4)</f>
        <v>0</v>
      </c>
      <c r="J70" s="7">
        <f t="shared" ref="J70:J74" si="31">SUM(M70:S70)</f>
        <v>0</v>
      </c>
      <c r="K70" s="7">
        <f t="shared" ref="K70:K74" si="32">J70+I70</f>
        <v>0</v>
      </c>
      <c r="L70" s="7"/>
      <c r="M70" s="7">
        <f t="shared" si="28"/>
        <v>0</v>
      </c>
      <c r="N70" s="8" t="s">
        <v>75</v>
      </c>
      <c r="O70" s="8" t="str">
        <f t="shared" ref="O70:O74" si="33">IF($M$5&gt;0,"N/A",$O$5*I70)</f>
        <v>N/A</v>
      </c>
      <c r="P70" s="7">
        <f t="shared" ref="P70:P74" si="34">I70*$P$5</f>
        <v>0</v>
      </c>
      <c r="Q70" s="7">
        <f t="shared" si="27"/>
        <v>0</v>
      </c>
      <c r="R70" s="7">
        <f t="shared" si="29"/>
        <v>0</v>
      </c>
      <c r="S70" s="7">
        <f t="shared" si="30"/>
        <v>0</v>
      </c>
    </row>
    <row r="71" spans="3:24">
      <c r="C71" s="431"/>
      <c r="D71" s="840">
        <f>'Payroll 19-20'!D71</f>
        <v>0</v>
      </c>
      <c r="E71" s="840">
        <f>'Payroll 21-22'!E71*(1+'Revenue Inputs'!Q$27)</f>
        <v>0</v>
      </c>
      <c r="F71" s="828">
        <f>'Payroll 21-22'!F71*(1+$I$4)</f>
        <v>0</v>
      </c>
      <c r="G71" s="322">
        <f>'Payroll 21-22'!G71</f>
        <v>0</v>
      </c>
      <c r="H71" s="319">
        <f>'Payroll 21-22'!H71</f>
        <v>0</v>
      </c>
      <c r="I71" s="320">
        <f>'Payroll 21-22'!I71*(1+$I$4)</f>
        <v>0</v>
      </c>
      <c r="J71" s="7">
        <f t="shared" si="31"/>
        <v>0</v>
      </c>
      <c r="K71" s="7">
        <f t="shared" si="32"/>
        <v>0</v>
      </c>
      <c r="L71" s="7"/>
      <c r="M71" s="7">
        <f t="shared" si="28"/>
        <v>0</v>
      </c>
      <c r="N71" s="8" t="s">
        <v>75</v>
      </c>
      <c r="O71" s="8" t="str">
        <f t="shared" si="33"/>
        <v>N/A</v>
      </c>
      <c r="P71" s="7">
        <f t="shared" si="34"/>
        <v>0</v>
      </c>
      <c r="Q71" s="7">
        <f t="shared" si="27"/>
        <v>0</v>
      </c>
      <c r="R71" s="7">
        <f t="shared" si="29"/>
        <v>0</v>
      </c>
      <c r="S71" s="7">
        <f t="shared" si="30"/>
        <v>0</v>
      </c>
    </row>
    <row r="72" spans="3:24">
      <c r="C72" s="431"/>
      <c r="D72" s="840">
        <f>'Payroll 19-20'!D72</f>
        <v>0</v>
      </c>
      <c r="E72" s="840">
        <f>'Payroll 21-22'!E72*(1+'Revenue Inputs'!Q$27)</f>
        <v>0</v>
      </c>
      <c r="F72" s="828">
        <f>'Payroll 21-22'!F72*(1+$I$4)</f>
        <v>0</v>
      </c>
      <c r="G72" s="322">
        <f>'Payroll 21-22'!G72</f>
        <v>0</v>
      </c>
      <c r="H72" s="319">
        <f>'Payroll 21-22'!H72</f>
        <v>0</v>
      </c>
      <c r="I72" s="320">
        <f>'Payroll 21-22'!I72*(1+$I$4)</f>
        <v>0</v>
      </c>
      <c r="J72" s="7">
        <f t="shared" si="31"/>
        <v>0</v>
      </c>
      <c r="K72" s="7">
        <f t="shared" si="32"/>
        <v>0</v>
      </c>
      <c r="L72" s="7"/>
      <c r="M72" s="7">
        <f t="shared" si="28"/>
        <v>0</v>
      </c>
      <c r="N72" s="8" t="s">
        <v>75</v>
      </c>
      <c r="O72" s="8" t="str">
        <f t="shared" si="33"/>
        <v>N/A</v>
      </c>
      <c r="P72" s="7">
        <f t="shared" si="34"/>
        <v>0</v>
      </c>
      <c r="Q72" s="7">
        <f t="shared" si="27"/>
        <v>0</v>
      </c>
      <c r="R72" s="7">
        <f t="shared" si="29"/>
        <v>0</v>
      </c>
      <c r="S72" s="7">
        <f t="shared" si="30"/>
        <v>0</v>
      </c>
    </row>
    <row r="73" spans="3:24">
      <c r="C73" s="431"/>
      <c r="D73" s="840">
        <f>'Payroll 19-20'!D73</f>
        <v>0</v>
      </c>
      <c r="E73" s="840">
        <f>'Payroll 21-22'!E73*(1+'Revenue Inputs'!Q$27)</f>
        <v>0</v>
      </c>
      <c r="F73" s="828">
        <f>'Payroll 21-22'!F73*(1+$I$4)</f>
        <v>0</v>
      </c>
      <c r="G73" s="322">
        <f>'Payroll 21-22'!G73</f>
        <v>0</v>
      </c>
      <c r="H73" s="319">
        <f>'Payroll 21-22'!H73</f>
        <v>0</v>
      </c>
      <c r="I73" s="320">
        <f>'Payroll 21-22'!I73*(1+$I$4)</f>
        <v>0</v>
      </c>
      <c r="J73" s="7">
        <f t="shared" si="31"/>
        <v>0</v>
      </c>
      <c r="K73" s="7">
        <f t="shared" si="32"/>
        <v>0</v>
      </c>
      <c r="L73" s="7"/>
      <c r="M73" s="7">
        <f t="shared" si="28"/>
        <v>0</v>
      </c>
      <c r="N73" s="8" t="s">
        <v>75</v>
      </c>
      <c r="O73" s="8" t="str">
        <f t="shared" si="33"/>
        <v>N/A</v>
      </c>
      <c r="P73" s="7">
        <f t="shared" si="34"/>
        <v>0</v>
      </c>
      <c r="Q73" s="7">
        <f t="shared" si="27"/>
        <v>0</v>
      </c>
      <c r="R73" s="7">
        <f t="shared" si="29"/>
        <v>0</v>
      </c>
      <c r="S73" s="7">
        <f t="shared" si="30"/>
        <v>0</v>
      </c>
    </row>
    <row r="74" spans="3:24">
      <c r="C74" s="431"/>
      <c r="D74" s="840">
        <f>'Payroll 19-20'!D74</f>
        <v>0</v>
      </c>
      <c r="E74" s="840">
        <f>'Payroll 21-22'!E74*(1+'Revenue Inputs'!Q$27)</f>
        <v>0</v>
      </c>
      <c r="F74" s="828">
        <f>'Payroll 21-22'!F74*(1+$I$4)</f>
        <v>0</v>
      </c>
      <c r="G74" s="322">
        <f>'Payroll 21-22'!G74</f>
        <v>0</v>
      </c>
      <c r="H74" s="319">
        <f>'Payroll 21-22'!H74</f>
        <v>0</v>
      </c>
      <c r="I74" s="320">
        <f>'Payroll 21-22'!I74*(1+$I$4)</f>
        <v>0</v>
      </c>
      <c r="J74" s="7">
        <f t="shared" si="31"/>
        <v>0</v>
      </c>
      <c r="K74" s="7">
        <f t="shared" si="32"/>
        <v>0</v>
      </c>
      <c r="L74" s="7"/>
      <c r="M74" s="7">
        <f t="shared" si="28"/>
        <v>0</v>
      </c>
      <c r="N74" s="8" t="s">
        <v>75</v>
      </c>
      <c r="O74" s="8" t="str">
        <f t="shared" si="33"/>
        <v>N/A</v>
      </c>
      <c r="P74" s="7">
        <f t="shared" si="34"/>
        <v>0</v>
      </c>
      <c r="Q74" s="7">
        <f t="shared" si="27"/>
        <v>0</v>
      </c>
      <c r="R74" s="7">
        <f t="shared" si="29"/>
        <v>0</v>
      </c>
      <c r="S74" s="7">
        <f t="shared" si="30"/>
        <v>0</v>
      </c>
    </row>
    <row r="75" spans="3:24" ht="12" thickBot="1">
      <c r="C75" s="37"/>
      <c r="D75" s="849"/>
      <c r="E75" s="849"/>
      <c r="F75" s="835"/>
      <c r="G75" s="28"/>
      <c r="H75" s="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24" s="41" customFormat="1" ht="12" thickBot="1">
      <c r="C76" s="177"/>
      <c r="D76" s="834"/>
      <c r="E76" s="847"/>
      <c r="F76" s="834"/>
      <c r="G76" s="49"/>
      <c r="H76" s="333">
        <v>1175</v>
      </c>
      <c r="I76" s="10">
        <f>SUM(I67:I75)</f>
        <v>468656.72712171194</v>
      </c>
      <c r="J76" s="10">
        <f>SUM(J67:J75)</f>
        <v>98183.584331998645</v>
      </c>
      <c r="K76" s="10">
        <f>SUM(K67:K75)</f>
        <v>566840.31145371054</v>
      </c>
      <c r="L76" s="11"/>
      <c r="M76" s="10">
        <f t="shared" ref="M76:S76" si="35">SUM(M67:M75)</f>
        <v>84826.867609029854</v>
      </c>
      <c r="N76" s="10">
        <f t="shared" si="35"/>
        <v>0</v>
      </c>
      <c r="O76" s="10">
        <f t="shared" si="35"/>
        <v>0</v>
      </c>
      <c r="P76" s="10">
        <f t="shared" si="35"/>
        <v>6795.5225432648231</v>
      </c>
      <c r="Q76" s="10">
        <f t="shared" si="35"/>
        <v>0</v>
      </c>
      <c r="R76" s="10">
        <f t="shared" si="35"/>
        <v>0</v>
      </c>
      <c r="S76" s="10">
        <f t="shared" si="35"/>
        <v>6561.1941797039672</v>
      </c>
    </row>
    <row r="77" spans="3:24" ht="12">
      <c r="C77" s="366" t="s">
        <v>145</v>
      </c>
      <c r="D77" s="835"/>
      <c r="E77" s="848"/>
      <c r="F77" s="835"/>
      <c r="G77" s="28"/>
      <c r="H77" s="336"/>
      <c r="I77" s="7"/>
      <c r="J77" s="7"/>
      <c r="K77" s="7"/>
      <c r="L77" s="7"/>
      <c r="M77" s="12"/>
      <c r="N77" s="12"/>
      <c r="O77" s="12"/>
      <c r="P77" s="12"/>
      <c r="Q77" s="12"/>
      <c r="R77" s="12"/>
      <c r="S77" s="12"/>
    </row>
    <row r="78" spans="3:24" ht="12">
      <c r="C78" s="367"/>
      <c r="D78" s="840" t="str">
        <f>'Payroll 19-20'!D78</f>
        <v>Councelor</v>
      </c>
      <c r="E78" s="840">
        <f>'Payroll 21-22'!E78*(1+'Revenue Inputs'!Q$27)</f>
        <v>0</v>
      </c>
      <c r="F78" s="828">
        <f>'Payroll 21-22'!F78*(1+$I$4)</f>
        <v>63648</v>
      </c>
      <c r="G78" s="322">
        <f>'Payroll 21-22'!G78</f>
        <v>0</v>
      </c>
      <c r="H78" s="319">
        <f>'Payroll 21-22'!H78</f>
        <v>0</v>
      </c>
      <c r="I78" s="320">
        <f t="shared" ref="I78:I98" si="36">F78*E78</f>
        <v>0</v>
      </c>
      <c r="J78" s="7">
        <f t="shared" ref="J78:J98" si="37">SUM(M78:S78)</f>
        <v>0</v>
      </c>
      <c r="K78" s="7">
        <f t="shared" ref="K78:K93" si="38">SUM(I78:J78)</f>
        <v>0</v>
      </c>
      <c r="L78" s="7"/>
      <c r="M78" s="7">
        <f t="shared" ref="M78:M98" si="39">I78*$M$5</f>
        <v>0</v>
      </c>
      <c r="N78" s="8" t="s">
        <v>75</v>
      </c>
      <c r="O78" s="8" t="str">
        <f t="shared" ref="O78:O98" si="40">IF($M$5&gt;0,"N/A",$O$5*I78)</f>
        <v>N/A</v>
      </c>
      <c r="P78" s="7">
        <f t="shared" ref="P78:P98" si="41">I78*$P$5</f>
        <v>0</v>
      </c>
      <c r="Q78" s="7">
        <f t="shared" ref="Q78:Q98" si="42">IF(H78="y", $Q$5*E78, 0)</f>
        <v>0</v>
      </c>
      <c r="R78" s="7">
        <f t="shared" ref="R78:R98" si="43">IF($I78&gt;7000,7000*R$5,$I78*R$5)*E78</f>
        <v>0</v>
      </c>
      <c r="S78" s="7">
        <f t="shared" ref="S78:S98" si="44">S$5*$I78</f>
        <v>0</v>
      </c>
    </row>
    <row r="79" spans="3:24">
      <c r="C79" s="34"/>
      <c r="D79" s="840" t="str">
        <f>'Payroll 19-20'!D79</f>
        <v>Daniel P. Favela</v>
      </c>
      <c r="E79" s="840">
        <f>'Payroll 21-22'!E79*(1+'Revenue Inputs'!Q$27)</f>
        <v>1.05</v>
      </c>
      <c r="F79" s="828">
        <f>'Payroll 21-22'!F79*(1+$I$4)</f>
        <v>61815.281103360008</v>
      </c>
      <c r="G79" s="322">
        <f>'Payroll 21-22'!G79</f>
        <v>12</v>
      </c>
      <c r="H79" s="319" t="str">
        <f>'Payroll 21-22'!H79</f>
        <v>y</v>
      </c>
      <c r="I79" s="320">
        <f t="shared" si="36"/>
        <v>64906.04515852801</v>
      </c>
      <c r="J79" s="7">
        <f>SUM(M79:S79)</f>
        <v>23371.19966071162</v>
      </c>
      <c r="K79" s="7">
        <f>SUM(I79:J79)</f>
        <v>88277.244819239626</v>
      </c>
      <c r="M79" s="7">
        <f>I79*$M$5</f>
        <v>11747.994173693569</v>
      </c>
      <c r="N79" s="8" t="s">
        <v>75</v>
      </c>
      <c r="O79" s="8" t="str">
        <f>IF($M$5&gt;0,"N/A",$O$5*I79)</f>
        <v>N/A</v>
      </c>
      <c r="P79" s="7">
        <f>I79*$P$5</f>
        <v>941.13765479865617</v>
      </c>
      <c r="Q79" s="7">
        <f t="shared" si="42"/>
        <v>9258.883200000002</v>
      </c>
      <c r="R79" s="7">
        <f t="shared" si="43"/>
        <v>514.50000000000011</v>
      </c>
      <c r="S79" s="7">
        <f>S$5*$I79</f>
        <v>908.68463221939214</v>
      </c>
    </row>
    <row r="80" spans="3:24" ht="12">
      <c r="C80" s="367"/>
      <c r="D80" s="840" t="str">
        <f>'Payroll 19-20'!D80</f>
        <v>Psychologist</v>
      </c>
      <c r="E80" s="840">
        <f>'Payroll 21-22'!E80*(1+'Revenue Inputs'!Q$27)</f>
        <v>0</v>
      </c>
      <c r="F80" s="828">
        <f>'Payroll 21-22'!F80*(1+$I$4)</f>
        <v>0</v>
      </c>
      <c r="G80" s="322">
        <f>'Payroll 21-22'!G80</f>
        <v>0</v>
      </c>
      <c r="H80" s="319">
        <f>'Payroll 21-22'!H80</f>
        <v>0</v>
      </c>
      <c r="I80" s="320">
        <f t="shared" si="36"/>
        <v>0</v>
      </c>
      <c r="J80" s="7">
        <f t="shared" ref="J80:J84" si="45">SUM(M80:S80)</f>
        <v>0</v>
      </c>
      <c r="K80" s="7">
        <f t="shared" ref="K80:K83" si="46">SUM(I80:J80)</f>
        <v>0</v>
      </c>
      <c r="L80" s="7"/>
      <c r="M80" s="7">
        <f t="shared" ref="M80:M84" si="47">I80*$M$5</f>
        <v>0</v>
      </c>
      <c r="N80" s="8" t="s">
        <v>75</v>
      </c>
      <c r="O80" s="8" t="str">
        <f t="shared" ref="O80:O84" si="48">IF($M$5&gt;0,"N/A",$O$5*I80)</f>
        <v>N/A</v>
      </c>
      <c r="P80" s="7">
        <f t="shared" ref="P80:P84" si="49">I80*$P$5</f>
        <v>0</v>
      </c>
      <c r="Q80" s="7">
        <f t="shared" si="42"/>
        <v>0</v>
      </c>
      <c r="R80" s="7">
        <f t="shared" si="43"/>
        <v>0</v>
      </c>
      <c r="S80" s="7">
        <f t="shared" si="44"/>
        <v>0</v>
      </c>
    </row>
    <row r="81" spans="3:19" ht="12">
      <c r="C81" s="367"/>
      <c r="D81" s="840" t="str">
        <f>'Payroll 19-20'!D81</f>
        <v>June R. Salazar</v>
      </c>
      <c r="E81" s="840">
        <f>'Payroll 21-22'!E81*(1+'Revenue Inputs'!Q$27)</f>
        <v>1.05</v>
      </c>
      <c r="F81" s="828">
        <f>'Payroll 21-22'!F81*(1+$I$4)</f>
        <v>17888.019186239999</v>
      </c>
      <c r="G81" s="322">
        <f>'Payroll 21-22'!G81</f>
        <v>12</v>
      </c>
      <c r="H81" s="319" t="str">
        <f>'Payroll 21-22'!H81</f>
        <v>y</v>
      </c>
      <c r="I81" s="320">
        <f t="shared" si="36"/>
        <v>18782.420145551998</v>
      </c>
      <c r="J81" s="7">
        <f t="shared" si="45"/>
        <v>13708.300220493145</v>
      </c>
      <c r="K81" s="7">
        <f t="shared" si="46"/>
        <v>32490.720366045141</v>
      </c>
      <c r="L81" s="7"/>
      <c r="M81" s="7">
        <f t="shared" si="47"/>
        <v>3399.6180463449114</v>
      </c>
      <c r="N81" s="8" t="s">
        <v>75</v>
      </c>
      <c r="O81" s="8" t="str">
        <f t="shared" si="48"/>
        <v>N/A</v>
      </c>
      <c r="P81" s="7">
        <f t="shared" si="49"/>
        <v>272.34509211050397</v>
      </c>
      <c r="Q81" s="7">
        <f t="shared" si="42"/>
        <v>9258.883200000002</v>
      </c>
      <c r="R81" s="7">
        <f t="shared" si="43"/>
        <v>514.50000000000011</v>
      </c>
      <c r="S81" s="7">
        <f t="shared" si="44"/>
        <v>262.95388203772796</v>
      </c>
    </row>
    <row r="82" spans="3:19" ht="12">
      <c r="C82" s="366"/>
      <c r="D82" s="840" t="str">
        <f>'Payroll 19-20'!D82</f>
        <v>Speech Specialist</v>
      </c>
      <c r="E82" s="840">
        <f>'Payroll 21-22'!E82*(1+'Revenue Inputs'!Q$27)</f>
        <v>0</v>
      </c>
      <c r="F82" s="828">
        <f>'Payroll 21-22'!F82*(1+$I$4)</f>
        <v>0</v>
      </c>
      <c r="G82" s="322">
        <f>'Payroll 21-22'!G82</f>
        <v>0</v>
      </c>
      <c r="H82" s="319">
        <f>'Payroll 21-22'!H82</f>
        <v>0</v>
      </c>
      <c r="I82" s="320">
        <f t="shared" si="36"/>
        <v>0</v>
      </c>
      <c r="J82" s="7">
        <f t="shared" si="45"/>
        <v>0</v>
      </c>
      <c r="K82" s="7">
        <f t="shared" si="46"/>
        <v>0</v>
      </c>
      <c r="L82" s="7"/>
      <c r="M82" s="7">
        <f t="shared" si="47"/>
        <v>0</v>
      </c>
      <c r="N82" s="8" t="s">
        <v>75</v>
      </c>
      <c r="O82" s="8" t="str">
        <f t="shared" si="48"/>
        <v>N/A</v>
      </c>
      <c r="P82" s="7">
        <f t="shared" si="49"/>
        <v>0</v>
      </c>
      <c r="Q82" s="7">
        <f t="shared" si="42"/>
        <v>0</v>
      </c>
      <c r="R82" s="7">
        <f t="shared" si="43"/>
        <v>0</v>
      </c>
      <c r="S82" s="7">
        <f t="shared" si="44"/>
        <v>0</v>
      </c>
    </row>
    <row r="83" spans="3:19" ht="12">
      <c r="C83" s="366"/>
      <c r="D83" s="840" t="str">
        <f>'Payroll 19-20'!D83</f>
        <v>Erica L. Gibson</v>
      </c>
      <c r="E83" s="840">
        <f>'Payroll 21-22'!E83*(1+'Revenue Inputs'!Q$27)</f>
        <v>1.05</v>
      </c>
      <c r="F83" s="828">
        <f>'Payroll 21-22'!F83*(1+$I$4)</f>
        <v>91774.456392960012</v>
      </c>
      <c r="G83" s="322">
        <f>'Payroll 21-22'!G83</f>
        <v>12</v>
      </c>
      <c r="H83" s="319" t="str">
        <f>'Payroll 21-22'!H83</f>
        <v>y</v>
      </c>
      <c r="I83" s="320">
        <f t="shared" si="36"/>
        <v>96363.179212608011</v>
      </c>
      <c r="J83" s="7">
        <f t="shared" si="45"/>
        <v>29961.469245041379</v>
      </c>
      <c r="K83" s="7">
        <f t="shared" si="46"/>
        <v>126324.6484576494</v>
      </c>
      <c r="L83" s="7"/>
      <c r="M83" s="7">
        <f t="shared" si="47"/>
        <v>17441.73543748205</v>
      </c>
      <c r="N83" s="8" t="s">
        <v>75</v>
      </c>
      <c r="O83" s="8" t="str">
        <f t="shared" si="48"/>
        <v>N/A</v>
      </c>
      <c r="P83" s="7">
        <f t="shared" si="49"/>
        <v>1397.2660985828163</v>
      </c>
      <c r="Q83" s="7">
        <f t="shared" si="42"/>
        <v>9258.883200000002</v>
      </c>
      <c r="R83" s="7">
        <f t="shared" si="43"/>
        <v>514.50000000000011</v>
      </c>
      <c r="S83" s="7">
        <f t="shared" si="44"/>
        <v>1349.0845089765121</v>
      </c>
    </row>
    <row r="84" spans="3:19" ht="12">
      <c r="C84" s="366"/>
      <c r="D84" s="840">
        <f>'Payroll 19-20'!D84</f>
        <v>0</v>
      </c>
      <c r="E84" s="840">
        <f>'Payroll 21-22'!E84*(1+'Revenue Inputs'!Q$27)</f>
        <v>0</v>
      </c>
      <c r="F84" s="828">
        <f>'Payroll 21-22'!F84*(1+$I$4)</f>
        <v>0</v>
      </c>
      <c r="G84" s="322">
        <f>'Payroll 21-22'!G84</f>
        <v>0</v>
      </c>
      <c r="H84" s="319">
        <f>'Payroll 21-22'!H84</f>
        <v>0</v>
      </c>
      <c r="I84" s="320">
        <f t="shared" si="36"/>
        <v>0</v>
      </c>
      <c r="J84" s="7">
        <f t="shared" si="45"/>
        <v>0</v>
      </c>
      <c r="K84" s="7">
        <f t="shared" ref="K84" si="50">SUM(I84:J84)</f>
        <v>0</v>
      </c>
      <c r="L84" s="7"/>
      <c r="M84" s="7">
        <f t="shared" si="47"/>
        <v>0</v>
      </c>
      <c r="N84" s="8" t="s">
        <v>75</v>
      </c>
      <c r="O84" s="8" t="str">
        <f t="shared" si="48"/>
        <v>N/A</v>
      </c>
      <c r="P84" s="7">
        <f t="shared" si="49"/>
        <v>0</v>
      </c>
      <c r="Q84" s="7">
        <f t="shared" si="42"/>
        <v>0</v>
      </c>
      <c r="R84" s="7">
        <f t="shared" si="43"/>
        <v>0</v>
      </c>
      <c r="S84" s="7">
        <f t="shared" si="44"/>
        <v>0</v>
      </c>
    </row>
    <row r="85" spans="3:19" ht="12">
      <c r="C85" s="366"/>
      <c r="D85" s="840">
        <f>'Payroll 19-20'!D85</f>
        <v>0</v>
      </c>
      <c r="E85" s="840">
        <f>'Payroll 21-22'!E85*(1+'Revenue Inputs'!Q$27)</f>
        <v>0</v>
      </c>
      <c r="F85" s="828">
        <f>'Payroll 21-22'!F85*(1+$I$4)</f>
        <v>0</v>
      </c>
      <c r="G85" s="322">
        <f>'Payroll 21-22'!G85</f>
        <v>0</v>
      </c>
      <c r="H85" s="319">
        <f>'Payroll 21-22'!H85</f>
        <v>0</v>
      </c>
      <c r="I85" s="320">
        <f t="shared" si="36"/>
        <v>0</v>
      </c>
      <c r="J85" s="7">
        <f>SUM(M85:S85)</f>
        <v>0</v>
      </c>
      <c r="K85" s="7">
        <f>SUM(I85:J85)</f>
        <v>0</v>
      </c>
      <c r="L85" s="7"/>
      <c r="M85" s="7">
        <f>I85*$M$5</f>
        <v>0</v>
      </c>
      <c r="N85" s="8" t="s">
        <v>75</v>
      </c>
      <c r="O85" s="8" t="str">
        <f>IF($M$5&gt;0,"N/A",$O$5*I85)</f>
        <v>N/A</v>
      </c>
      <c r="P85" s="7">
        <f>I85*$P$5</f>
        <v>0</v>
      </c>
      <c r="Q85" s="7">
        <f t="shared" si="42"/>
        <v>0</v>
      </c>
      <c r="R85" s="7">
        <f t="shared" si="43"/>
        <v>0</v>
      </c>
      <c r="S85" s="7">
        <f>S$5*$I85</f>
        <v>0</v>
      </c>
    </row>
    <row r="86" spans="3:19" ht="12">
      <c r="C86" s="366"/>
      <c r="D86" s="840">
        <f>'Payroll 19-20'!D86</f>
        <v>0</v>
      </c>
      <c r="E86" s="840">
        <f>'Payroll 21-22'!E86*(1+'Revenue Inputs'!Q$27)</f>
        <v>0</v>
      </c>
      <c r="F86" s="828">
        <f>'Payroll 21-22'!F86*(1+$I$4)</f>
        <v>0</v>
      </c>
      <c r="G86" s="322">
        <f>'Payroll 21-22'!G86</f>
        <v>0</v>
      </c>
      <c r="H86" s="319">
        <f>'Payroll 21-22'!H86</f>
        <v>0</v>
      </c>
      <c r="I86" s="320">
        <f t="shared" si="36"/>
        <v>0</v>
      </c>
      <c r="J86" s="7">
        <f t="shared" ref="J86:J88" si="51">SUM(M86:S86)</f>
        <v>0</v>
      </c>
      <c r="K86" s="7">
        <f t="shared" ref="K86:K88" si="52">SUM(I86:J86)</f>
        <v>0</v>
      </c>
      <c r="L86" s="7"/>
      <c r="M86" s="7">
        <f t="shared" ref="M86:M88" si="53">I86*$M$5</f>
        <v>0</v>
      </c>
      <c r="N86" s="8" t="s">
        <v>75</v>
      </c>
      <c r="O86" s="8" t="str">
        <f t="shared" ref="O86:O88" si="54">IF($M$5&gt;0,"N/A",$O$5*I86)</f>
        <v>N/A</v>
      </c>
      <c r="P86" s="7">
        <f t="shared" ref="P86:P88" si="55">I86*$P$5</f>
        <v>0</v>
      </c>
      <c r="Q86" s="7">
        <f t="shared" si="42"/>
        <v>0</v>
      </c>
      <c r="R86" s="7">
        <f t="shared" si="43"/>
        <v>0</v>
      </c>
      <c r="S86" s="7">
        <f t="shared" si="44"/>
        <v>0</v>
      </c>
    </row>
    <row r="87" spans="3:19" ht="12">
      <c r="C87" s="366"/>
      <c r="D87" s="840">
        <f>'Payroll 19-20'!D87</f>
        <v>0</v>
      </c>
      <c r="E87" s="840">
        <f>'Payroll 21-22'!E87*(1+'Revenue Inputs'!Q$27)</f>
        <v>0</v>
      </c>
      <c r="F87" s="828">
        <f>'Payroll 21-22'!F87*(1+$I$4)</f>
        <v>0</v>
      </c>
      <c r="G87" s="322">
        <f>'Payroll 21-22'!G87</f>
        <v>0</v>
      </c>
      <c r="H87" s="319">
        <f>'Payroll 21-22'!H87</f>
        <v>0</v>
      </c>
      <c r="I87" s="320">
        <f t="shared" si="36"/>
        <v>0</v>
      </c>
      <c r="J87" s="7">
        <f t="shared" si="51"/>
        <v>0</v>
      </c>
      <c r="K87" s="7">
        <f t="shared" si="52"/>
        <v>0</v>
      </c>
      <c r="L87" s="7"/>
      <c r="M87" s="7">
        <f t="shared" si="53"/>
        <v>0</v>
      </c>
      <c r="N87" s="8" t="s">
        <v>75</v>
      </c>
      <c r="O87" s="8" t="str">
        <f t="shared" si="54"/>
        <v>N/A</v>
      </c>
      <c r="P87" s="7">
        <f t="shared" si="55"/>
        <v>0</v>
      </c>
      <c r="Q87" s="7">
        <f t="shared" si="42"/>
        <v>0</v>
      </c>
      <c r="R87" s="7">
        <f t="shared" si="43"/>
        <v>0</v>
      </c>
      <c r="S87" s="7">
        <f t="shared" si="44"/>
        <v>0</v>
      </c>
    </row>
    <row r="88" spans="3:19" ht="12">
      <c r="C88" s="366"/>
      <c r="D88" s="840">
        <f>'Payroll 19-20'!D88</f>
        <v>0</v>
      </c>
      <c r="E88" s="840">
        <f>'Payroll 21-22'!E88*(1+'Revenue Inputs'!Q$27)</f>
        <v>0</v>
      </c>
      <c r="F88" s="828">
        <f>'Payroll 21-22'!F88*(1+$I$4)</f>
        <v>0</v>
      </c>
      <c r="G88" s="322">
        <f>'Payroll 21-22'!G88</f>
        <v>0</v>
      </c>
      <c r="H88" s="319">
        <f>'Payroll 21-22'!H88</f>
        <v>0</v>
      </c>
      <c r="I88" s="320">
        <f t="shared" si="36"/>
        <v>0</v>
      </c>
      <c r="J88" s="7">
        <f t="shared" si="51"/>
        <v>0</v>
      </c>
      <c r="K88" s="7">
        <f t="shared" si="52"/>
        <v>0</v>
      </c>
      <c r="L88" s="7"/>
      <c r="M88" s="7">
        <f t="shared" si="53"/>
        <v>0</v>
      </c>
      <c r="N88" s="8" t="s">
        <v>75</v>
      </c>
      <c r="O88" s="8" t="str">
        <f t="shared" si="54"/>
        <v>N/A</v>
      </c>
      <c r="P88" s="7">
        <f t="shared" si="55"/>
        <v>0</v>
      </c>
      <c r="Q88" s="7">
        <f t="shared" si="42"/>
        <v>0</v>
      </c>
      <c r="R88" s="7">
        <f t="shared" si="43"/>
        <v>0</v>
      </c>
      <c r="S88" s="7">
        <f t="shared" si="44"/>
        <v>0</v>
      </c>
    </row>
    <row r="89" spans="3:19">
      <c r="C89" s="34"/>
      <c r="D89" s="840">
        <f>'Payroll 19-20'!D89</f>
        <v>0</v>
      </c>
      <c r="E89" s="840">
        <f>'Payroll 21-22'!E89*(1+'Revenue Inputs'!Q$27)</f>
        <v>0</v>
      </c>
      <c r="F89" s="828">
        <f>'Payroll 21-22'!F89*(1+$I$4)</f>
        <v>0</v>
      </c>
      <c r="G89" s="322">
        <f>'Payroll 21-22'!G89</f>
        <v>0</v>
      </c>
      <c r="H89" s="319">
        <f>'Payroll 21-22'!H89</f>
        <v>0</v>
      </c>
      <c r="I89" s="320">
        <f t="shared" si="36"/>
        <v>0</v>
      </c>
      <c r="J89" s="7">
        <f>SUM(M89:S89)</f>
        <v>0</v>
      </c>
      <c r="K89" s="7">
        <f>SUM(I89:J89)</f>
        <v>0</v>
      </c>
      <c r="M89" s="7">
        <f>I89*$M$5</f>
        <v>0</v>
      </c>
      <c r="N89" s="8" t="s">
        <v>75</v>
      </c>
      <c r="O89" s="8" t="str">
        <f>IF($M$5&gt;0,"N/A",$O$5*I89)</f>
        <v>N/A</v>
      </c>
      <c r="P89" s="7">
        <f>I89*$P$5</f>
        <v>0</v>
      </c>
      <c r="Q89" s="7">
        <f t="shared" si="42"/>
        <v>0</v>
      </c>
      <c r="R89" s="7">
        <f t="shared" si="43"/>
        <v>0</v>
      </c>
      <c r="S89" s="7">
        <f>S$5*$I89</f>
        <v>0</v>
      </c>
    </row>
    <row r="90" spans="3:19" ht="12">
      <c r="C90" s="367"/>
      <c r="D90" s="840">
        <f>'Payroll 19-20'!D90</f>
        <v>0</v>
      </c>
      <c r="E90" s="840">
        <f>'Payroll 21-22'!E90*(1+'Revenue Inputs'!Q$27)</f>
        <v>0</v>
      </c>
      <c r="F90" s="828">
        <f>'Payroll 21-22'!F90*(1+$I$4)</f>
        <v>0</v>
      </c>
      <c r="G90" s="322">
        <f>'Payroll 21-22'!G90</f>
        <v>0</v>
      </c>
      <c r="H90" s="319">
        <f>'Payroll 21-22'!H90</f>
        <v>0</v>
      </c>
      <c r="I90" s="320">
        <f t="shared" si="36"/>
        <v>0</v>
      </c>
      <c r="J90" s="7">
        <f t="shared" si="37"/>
        <v>0</v>
      </c>
      <c r="K90" s="7">
        <f t="shared" si="38"/>
        <v>0</v>
      </c>
      <c r="L90" s="7"/>
      <c r="M90" s="7">
        <f t="shared" si="39"/>
        <v>0</v>
      </c>
      <c r="N90" s="8" t="s">
        <v>75</v>
      </c>
      <c r="O90" s="8" t="str">
        <f t="shared" si="40"/>
        <v>N/A</v>
      </c>
      <c r="P90" s="7">
        <f t="shared" si="41"/>
        <v>0</v>
      </c>
      <c r="Q90" s="7">
        <f t="shared" si="42"/>
        <v>0</v>
      </c>
      <c r="R90" s="7">
        <f t="shared" si="43"/>
        <v>0</v>
      </c>
      <c r="S90" s="7">
        <f t="shared" si="44"/>
        <v>0</v>
      </c>
    </row>
    <row r="91" spans="3:19" ht="12">
      <c r="C91" s="367"/>
      <c r="D91" s="840">
        <f>'Payroll 19-20'!D91</f>
        <v>0</v>
      </c>
      <c r="E91" s="840">
        <f>'Payroll 21-22'!E91*(1+'Revenue Inputs'!Q$27)</f>
        <v>0</v>
      </c>
      <c r="F91" s="828">
        <f>'Payroll 21-22'!F91*(1+$I$4)</f>
        <v>0</v>
      </c>
      <c r="G91" s="322">
        <f>'Payroll 21-22'!G91</f>
        <v>0</v>
      </c>
      <c r="H91" s="319">
        <f>'Payroll 21-22'!H91</f>
        <v>0</v>
      </c>
      <c r="I91" s="320">
        <f t="shared" si="36"/>
        <v>0</v>
      </c>
      <c r="J91" s="7">
        <f t="shared" si="37"/>
        <v>0</v>
      </c>
      <c r="K91" s="7">
        <f t="shared" si="38"/>
        <v>0</v>
      </c>
      <c r="L91" s="7"/>
      <c r="M91" s="7">
        <f t="shared" si="39"/>
        <v>0</v>
      </c>
      <c r="N91" s="8" t="s">
        <v>75</v>
      </c>
      <c r="O91" s="8" t="str">
        <f t="shared" si="40"/>
        <v>N/A</v>
      </c>
      <c r="P91" s="7">
        <f t="shared" si="41"/>
        <v>0</v>
      </c>
      <c r="Q91" s="7">
        <f t="shared" si="42"/>
        <v>0</v>
      </c>
      <c r="R91" s="7">
        <f t="shared" si="43"/>
        <v>0</v>
      </c>
      <c r="S91" s="7">
        <f t="shared" si="44"/>
        <v>0</v>
      </c>
    </row>
    <row r="92" spans="3:19" ht="12">
      <c r="C92" s="366"/>
      <c r="D92" s="840">
        <f>'Payroll 19-20'!D92</f>
        <v>0</v>
      </c>
      <c r="E92" s="840">
        <f>'Payroll 21-22'!E92*(1+'Revenue Inputs'!Q$27)</f>
        <v>0</v>
      </c>
      <c r="F92" s="828">
        <f>'Payroll 21-22'!F92*(1+$I$4)</f>
        <v>0</v>
      </c>
      <c r="G92" s="322">
        <f>'Payroll 21-22'!G92</f>
        <v>0</v>
      </c>
      <c r="H92" s="319">
        <f>'Payroll 21-22'!H92</f>
        <v>0</v>
      </c>
      <c r="I92" s="320">
        <f t="shared" si="36"/>
        <v>0</v>
      </c>
      <c r="J92" s="7">
        <f t="shared" si="37"/>
        <v>0</v>
      </c>
      <c r="K92" s="7">
        <f t="shared" si="38"/>
        <v>0</v>
      </c>
      <c r="L92" s="7"/>
      <c r="M92" s="7">
        <f t="shared" si="39"/>
        <v>0</v>
      </c>
      <c r="N92" s="8" t="s">
        <v>75</v>
      </c>
      <c r="O92" s="8" t="str">
        <f t="shared" si="40"/>
        <v>N/A</v>
      </c>
      <c r="P92" s="7">
        <f t="shared" si="41"/>
        <v>0</v>
      </c>
      <c r="Q92" s="7">
        <f t="shared" si="42"/>
        <v>0</v>
      </c>
      <c r="R92" s="7">
        <f t="shared" si="43"/>
        <v>0</v>
      </c>
      <c r="S92" s="7">
        <f t="shared" si="44"/>
        <v>0</v>
      </c>
    </row>
    <row r="93" spans="3:19" ht="12">
      <c r="C93" s="366"/>
      <c r="D93" s="840">
        <f>'Payroll 19-20'!D93</f>
        <v>0</v>
      </c>
      <c r="E93" s="840">
        <f>'Payroll 21-22'!E93*(1+'Revenue Inputs'!Q$27)</f>
        <v>0</v>
      </c>
      <c r="F93" s="828">
        <f>'Payroll 21-22'!F93*(1+$I$4)</f>
        <v>0</v>
      </c>
      <c r="G93" s="322">
        <f>'Payroll 21-22'!G93</f>
        <v>0</v>
      </c>
      <c r="H93" s="319">
        <f>'Payroll 21-22'!H93</f>
        <v>0</v>
      </c>
      <c r="I93" s="320">
        <f t="shared" si="36"/>
        <v>0</v>
      </c>
      <c r="J93" s="7">
        <f t="shared" si="37"/>
        <v>0</v>
      </c>
      <c r="K93" s="7">
        <f t="shared" si="38"/>
        <v>0</v>
      </c>
      <c r="L93" s="7"/>
      <c r="M93" s="7">
        <f t="shared" si="39"/>
        <v>0</v>
      </c>
      <c r="N93" s="8" t="s">
        <v>75</v>
      </c>
      <c r="O93" s="8" t="str">
        <f t="shared" si="40"/>
        <v>N/A</v>
      </c>
      <c r="P93" s="7">
        <f t="shared" si="41"/>
        <v>0</v>
      </c>
      <c r="Q93" s="7">
        <f t="shared" si="42"/>
        <v>0</v>
      </c>
      <c r="R93" s="7">
        <f t="shared" si="43"/>
        <v>0</v>
      </c>
      <c r="S93" s="7">
        <f t="shared" si="44"/>
        <v>0</v>
      </c>
    </row>
    <row r="94" spans="3:19" ht="12">
      <c r="C94" s="366"/>
      <c r="D94" s="840">
        <f>'Payroll 19-20'!D94</f>
        <v>0</v>
      </c>
      <c r="E94" s="840">
        <f>'Payroll 21-22'!E94*(1+'Revenue Inputs'!Q$27)</f>
        <v>0</v>
      </c>
      <c r="F94" s="828">
        <f>'Payroll 21-22'!F94*(1+$I$4)</f>
        <v>0</v>
      </c>
      <c r="G94" s="322">
        <f>'Payroll 21-22'!G94</f>
        <v>0</v>
      </c>
      <c r="H94" s="319">
        <f>'Payroll 21-22'!H94</f>
        <v>0</v>
      </c>
      <c r="I94" s="320">
        <f t="shared" si="36"/>
        <v>0</v>
      </c>
      <c r="J94" s="7">
        <f t="shared" si="37"/>
        <v>0</v>
      </c>
      <c r="K94" s="7">
        <f t="shared" ref="K94:K98" si="56">SUM(I94:J94)</f>
        <v>0</v>
      </c>
      <c r="L94" s="7"/>
      <c r="M94" s="7">
        <f t="shared" si="39"/>
        <v>0</v>
      </c>
      <c r="N94" s="8" t="s">
        <v>75</v>
      </c>
      <c r="O94" s="8" t="str">
        <f t="shared" si="40"/>
        <v>N/A</v>
      </c>
      <c r="P94" s="7">
        <f t="shared" si="41"/>
        <v>0</v>
      </c>
      <c r="Q94" s="7">
        <f t="shared" si="42"/>
        <v>0</v>
      </c>
      <c r="R94" s="7">
        <f t="shared" si="43"/>
        <v>0</v>
      </c>
      <c r="S94" s="7">
        <f t="shared" si="44"/>
        <v>0</v>
      </c>
    </row>
    <row r="95" spans="3:19" ht="12">
      <c r="C95" s="366"/>
      <c r="D95" s="840">
        <f>'Payroll 19-20'!D95</f>
        <v>0</v>
      </c>
      <c r="E95" s="840">
        <f>'Payroll 21-22'!E95*(1+'Revenue Inputs'!Q$27)</f>
        <v>0</v>
      </c>
      <c r="F95" s="828">
        <f>'Payroll 21-22'!F95*(1+$I$4)</f>
        <v>0</v>
      </c>
      <c r="G95" s="322">
        <f>'Payroll 21-22'!G95</f>
        <v>0</v>
      </c>
      <c r="H95" s="319">
        <f>'Payroll 21-22'!H95</f>
        <v>0</v>
      </c>
      <c r="I95" s="320">
        <f t="shared" si="36"/>
        <v>0</v>
      </c>
      <c r="J95" s="7">
        <f>SUM(M95:S95)</f>
        <v>0</v>
      </c>
      <c r="K95" s="7">
        <f>SUM(I95:J95)</f>
        <v>0</v>
      </c>
      <c r="L95" s="7"/>
      <c r="M95" s="7">
        <f>I95*$M$5</f>
        <v>0</v>
      </c>
      <c r="N95" s="8" t="s">
        <v>75</v>
      </c>
      <c r="O95" s="8" t="str">
        <f>IF($M$5&gt;0,"N/A",$O$5*I95)</f>
        <v>N/A</v>
      </c>
      <c r="P95" s="7">
        <f>I95*$P$5</f>
        <v>0</v>
      </c>
      <c r="Q95" s="7">
        <f t="shared" si="42"/>
        <v>0</v>
      </c>
      <c r="R95" s="7">
        <f t="shared" si="43"/>
        <v>0</v>
      </c>
      <c r="S95" s="7">
        <f>S$5*$I95</f>
        <v>0</v>
      </c>
    </row>
    <row r="96" spans="3:19" ht="12">
      <c r="C96" s="366"/>
      <c r="D96" s="840">
        <f>'Payroll 19-20'!D96</f>
        <v>0</v>
      </c>
      <c r="E96" s="840">
        <f>'Payroll 21-22'!E96*(1+'Revenue Inputs'!Q$27)</f>
        <v>0</v>
      </c>
      <c r="F96" s="828">
        <f>'Payroll 21-22'!F96*(1+$I$4)</f>
        <v>0</v>
      </c>
      <c r="G96" s="322">
        <f>'Payroll 21-22'!G96</f>
        <v>0</v>
      </c>
      <c r="H96" s="319">
        <f>'Payroll 21-22'!H96</f>
        <v>0</v>
      </c>
      <c r="I96" s="320">
        <f t="shared" si="36"/>
        <v>0</v>
      </c>
      <c r="J96" s="7">
        <f t="shared" si="37"/>
        <v>0</v>
      </c>
      <c r="K96" s="7">
        <f t="shared" si="56"/>
        <v>0</v>
      </c>
      <c r="L96" s="7"/>
      <c r="M96" s="7">
        <f t="shared" si="39"/>
        <v>0</v>
      </c>
      <c r="N96" s="8" t="s">
        <v>75</v>
      </c>
      <c r="O96" s="8" t="str">
        <f t="shared" si="40"/>
        <v>N/A</v>
      </c>
      <c r="P96" s="7">
        <f t="shared" si="41"/>
        <v>0</v>
      </c>
      <c r="Q96" s="7">
        <f t="shared" si="42"/>
        <v>0</v>
      </c>
      <c r="R96" s="7">
        <f t="shared" si="43"/>
        <v>0</v>
      </c>
      <c r="S96" s="7">
        <f t="shared" si="44"/>
        <v>0</v>
      </c>
    </row>
    <row r="97" spans="3:19" ht="12">
      <c r="C97" s="366"/>
      <c r="D97" s="840">
        <f>'Payroll 19-20'!D97</f>
        <v>0</v>
      </c>
      <c r="E97" s="840">
        <f>'Payroll 21-22'!E97*(1+'Revenue Inputs'!Q$27)</f>
        <v>0</v>
      </c>
      <c r="F97" s="828">
        <f>'Payroll 21-22'!F97*(1+$I$4)</f>
        <v>0</v>
      </c>
      <c r="G97" s="322">
        <f>'Payroll 21-22'!G97</f>
        <v>0</v>
      </c>
      <c r="H97" s="319">
        <f>'Payroll 21-22'!H97</f>
        <v>0</v>
      </c>
      <c r="I97" s="320">
        <f t="shared" si="36"/>
        <v>0</v>
      </c>
      <c r="J97" s="7">
        <f t="shared" si="37"/>
        <v>0</v>
      </c>
      <c r="K97" s="7">
        <f t="shared" si="56"/>
        <v>0</v>
      </c>
      <c r="L97" s="7"/>
      <c r="M97" s="7">
        <f t="shared" si="39"/>
        <v>0</v>
      </c>
      <c r="N97" s="8" t="s">
        <v>75</v>
      </c>
      <c r="O97" s="8" t="str">
        <f t="shared" si="40"/>
        <v>N/A</v>
      </c>
      <c r="P97" s="7">
        <f t="shared" si="41"/>
        <v>0</v>
      </c>
      <c r="Q97" s="7">
        <f t="shared" si="42"/>
        <v>0</v>
      </c>
      <c r="R97" s="7">
        <f t="shared" si="43"/>
        <v>0</v>
      </c>
      <c r="S97" s="7">
        <f t="shared" si="44"/>
        <v>0</v>
      </c>
    </row>
    <row r="98" spans="3:19" ht="12">
      <c r="C98" s="366"/>
      <c r="D98" s="840">
        <f>'Payroll 19-20'!D98</f>
        <v>0</v>
      </c>
      <c r="E98" s="840">
        <f>'Payroll 21-22'!E98*(1+'Revenue Inputs'!Q$27)</f>
        <v>0</v>
      </c>
      <c r="F98" s="828">
        <f>'Payroll 21-22'!F98*(1+$I$4)</f>
        <v>0</v>
      </c>
      <c r="G98" s="322">
        <f>'Payroll 21-22'!G98</f>
        <v>0</v>
      </c>
      <c r="H98" s="319">
        <f>'Payroll 21-22'!H98</f>
        <v>0</v>
      </c>
      <c r="I98" s="320">
        <f t="shared" si="36"/>
        <v>0</v>
      </c>
      <c r="J98" s="7">
        <f t="shared" si="37"/>
        <v>0</v>
      </c>
      <c r="K98" s="7">
        <f t="shared" si="56"/>
        <v>0</v>
      </c>
      <c r="L98" s="7"/>
      <c r="M98" s="7">
        <f t="shared" si="39"/>
        <v>0</v>
      </c>
      <c r="N98" s="8" t="s">
        <v>75</v>
      </c>
      <c r="O98" s="8" t="str">
        <f t="shared" si="40"/>
        <v>N/A</v>
      </c>
      <c r="P98" s="7">
        <f t="shared" si="41"/>
        <v>0</v>
      </c>
      <c r="Q98" s="7">
        <f t="shared" si="42"/>
        <v>0</v>
      </c>
      <c r="R98" s="7">
        <f t="shared" si="43"/>
        <v>0</v>
      </c>
      <c r="S98" s="7">
        <f t="shared" si="44"/>
        <v>0</v>
      </c>
    </row>
    <row r="99" spans="3:19" ht="13" thickBot="1">
      <c r="C99" s="368"/>
      <c r="D99" s="841"/>
      <c r="E99" s="841"/>
      <c r="F99" s="841"/>
      <c r="G99" s="28"/>
      <c r="H99" s="427"/>
      <c r="I99" s="337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3:19" s="41" customFormat="1" ht="13" thickBot="1">
      <c r="C100" s="368"/>
      <c r="D100" s="834"/>
      <c r="E100" s="847"/>
      <c r="F100" s="834"/>
      <c r="G100" s="49"/>
      <c r="H100" s="333">
        <v>1200</v>
      </c>
      <c r="I100" s="10">
        <f>SUM(I78:I99)</f>
        <v>180051.64451668801</v>
      </c>
      <c r="J100" s="10">
        <f>SUM(J78:J99)</f>
        <v>67040.969126246142</v>
      </c>
      <c r="K100" s="10">
        <f>SUM(K78:K99)</f>
        <v>247092.61364293416</v>
      </c>
      <c r="L100" s="11"/>
      <c r="M100" s="10">
        <f t="shared" ref="M100:S100" si="57">SUM(M78:M99)</f>
        <v>32589.347657520528</v>
      </c>
      <c r="N100" s="10">
        <f t="shared" si="57"/>
        <v>0</v>
      </c>
      <c r="O100" s="10">
        <f t="shared" si="57"/>
        <v>0</v>
      </c>
      <c r="P100" s="10">
        <f t="shared" si="57"/>
        <v>2610.7488454919767</v>
      </c>
      <c r="Q100" s="10">
        <f t="shared" si="57"/>
        <v>27776.649600000004</v>
      </c>
      <c r="R100" s="10">
        <f t="shared" si="57"/>
        <v>1543.5000000000005</v>
      </c>
      <c r="S100" s="10">
        <f t="shared" si="57"/>
        <v>2520.7230232336324</v>
      </c>
    </row>
    <row r="101" spans="3:19" ht="12">
      <c r="C101" s="366" t="s">
        <v>18</v>
      </c>
      <c r="D101" s="835"/>
      <c r="E101" s="848"/>
      <c r="F101" s="835"/>
      <c r="G101" s="28"/>
      <c r="H101" s="35"/>
      <c r="I101" s="7"/>
      <c r="J101" s="7"/>
      <c r="K101" s="7"/>
      <c r="L101" s="7"/>
      <c r="M101" s="36"/>
      <c r="N101" s="36"/>
      <c r="O101" s="36"/>
      <c r="P101" s="36"/>
      <c r="Q101" s="36"/>
      <c r="R101" s="36"/>
      <c r="S101" s="36"/>
    </row>
    <row r="102" spans="3:19" ht="12">
      <c r="C102" s="366"/>
      <c r="D102" s="840" t="str">
        <f>'Payroll 19-20'!D102</f>
        <v>Chantelle Crespo</v>
      </c>
      <c r="E102" s="840">
        <f>'Payroll 21-22'!E102*(1+'Revenue Inputs'!Q$27)</f>
        <v>1.05</v>
      </c>
      <c r="F102" s="828">
        <f>'Payroll 21-22'!F102*(1+$I$4)</f>
        <v>90202.764896640001</v>
      </c>
      <c r="G102" s="322">
        <f>'Payroll 21-22'!G102</f>
        <v>12</v>
      </c>
      <c r="H102" s="319" t="str">
        <f>'Payroll 21-22'!H102</f>
        <v>y</v>
      </c>
      <c r="I102" s="320">
        <f t="shared" ref="I102:I120" si="58">F102*E102</f>
        <v>94712.903141472008</v>
      </c>
      <c r="J102" s="7">
        <f t="shared" ref="J102:J120" si="59">SUM(M102:S102)</f>
        <v>29615.736408138389</v>
      </c>
      <c r="K102" s="7">
        <f t="shared" ref="K102:K120" si="60">SUM(I102:J102)</f>
        <v>124328.63954961039</v>
      </c>
      <c r="L102" s="7"/>
      <c r="M102" s="7">
        <f t="shared" ref="M102:M120" si="61">I102*$M$5</f>
        <v>17143.035468606435</v>
      </c>
      <c r="N102" s="8" t="s">
        <v>75</v>
      </c>
      <c r="O102" s="8" t="str">
        <f t="shared" ref="O102:O120" si="62">IF($M$5&gt;0,"N/A",$O$5*I102)</f>
        <v>N/A</v>
      </c>
      <c r="P102" s="7">
        <f t="shared" ref="P102:P120" si="63">I102*$P$5</f>
        <v>1373.3370955513442</v>
      </c>
      <c r="Q102" s="7">
        <f t="shared" ref="Q102:Q120" si="64">IF(H102="y", $Q$5*E102, 0)</f>
        <v>9258.883200000002</v>
      </c>
      <c r="R102" s="7">
        <f t="shared" ref="R102:R120" si="65">IF($I102&gt;7000,7000*R$5,$I102*R$5)*E102</f>
        <v>514.50000000000011</v>
      </c>
      <c r="S102" s="7">
        <f t="shared" ref="S102:S120" si="66">S$5*$I102</f>
        <v>1325.9806439806082</v>
      </c>
    </row>
    <row r="103" spans="3:19" ht="12">
      <c r="C103" s="366"/>
      <c r="D103" s="840" t="str">
        <f>'Payroll 19-20'!D103</f>
        <v>Charlotte Hodgson</v>
      </c>
      <c r="E103" s="840">
        <f>'Payroll 21-22'!E103*(1+'Revenue Inputs'!Q$27)</f>
        <v>1.05</v>
      </c>
      <c r="F103" s="828">
        <f>'Payroll 21-22'!F103*(1+$I$4)</f>
        <v>90202.764896640001</v>
      </c>
      <c r="G103" s="322">
        <f>'Payroll 21-22'!G103</f>
        <v>12</v>
      </c>
      <c r="H103" s="319" t="str">
        <f>'Payroll 21-22'!H103</f>
        <v>y</v>
      </c>
      <c r="I103" s="320">
        <f t="shared" si="58"/>
        <v>94712.903141472008</v>
      </c>
      <c r="J103" s="7">
        <f t="shared" ref="J103:J111" si="67">SUM(M103:S103)</f>
        <v>29615.736408138389</v>
      </c>
      <c r="K103" s="7">
        <f t="shared" ref="K103:K111" si="68">SUM(I103:J103)</f>
        <v>124328.63954961039</v>
      </c>
      <c r="L103" s="7"/>
      <c r="M103" s="7">
        <f t="shared" ref="M103:M111" si="69">I103*$M$5</f>
        <v>17143.035468606435</v>
      </c>
      <c r="N103" s="8" t="s">
        <v>75</v>
      </c>
      <c r="O103" s="8" t="str">
        <f t="shared" ref="O103:O111" si="70">IF($M$5&gt;0,"N/A",$O$5*I103)</f>
        <v>N/A</v>
      </c>
      <c r="P103" s="7">
        <f t="shared" ref="P103:P111" si="71">I103*$P$5</f>
        <v>1373.3370955513442</v>
      </c>
      <c r="Q103" s="7">
        <f t="shared" si="64"/>
        <v>9258.883200000002</v>
      </c>
      <c r="R103" s="7">
        <f t="shared" si="65"/>
        <v>514.50000000000011</v>
      </c>
      <c r="S103" s="7">
        <f t="shared" si="66"/>
        <v>1325.9806439806082</v>
      </c>
    </row>
    <row r="104" spans="3:19" ht="12">
      <c r="C104" s="366"/>
      <c r="D104" s="840" t="str">
        <f>'Payroll 19-20'!D104</f>
        <v>Diane Beran</v>
      </c>
      <c r="E104" s="840">
        <f>'Payroll 21-22'!E104*(1+'Revenue Inputs'!Q$27)</f>
        <v>1.05</v>
      </c>
      <c r="F104" s="828">
        <f>'Payroll 21-22'!F104*(1+$I$4)</f>
        <v>93386.304000000004</v>
      </c>
      <c r="G104" s="322">
        <f>'Payroll 21-22'!G104</f>
        <v>12</v>
      </c>
      <c r="H104" s="319" t="str">
        <f>'Payroll 21-22'!H104</f>
        <v>y</v>
      </c>
      <c r="I104" s="320">
        <f t="shared" si="58"/>
        <v>98055.619200000001</v>
      </c>
      <c r="J104" s="7">
        <f t="shared" si="67"/>
        <v>30316.035422400008</v>
      </c>
      <c r="K104" s="7">
        <f t="shared" si="68"/>
        <v>128371.6546224</v>
      </c>
      <c r="L104" s="7"/>
      <c r="M104" s="7">
        <f t="shared" si="69"/>
        <v>17748.067075200001</v>
      </c>
      <c r="N104" s="8" t="s">
        <v>75</v>
      </c>
      <c r="O104" s="8" t="str">
        <f t="shared" si="70"/>
        <v>N/A</v>
      </c>
      <c r="P104" s="7">
        <f t="shared" si="71"/>
        <v>1421.8064784000001</v>
      </c>
      <c r="Q104" s="7">
        <f t="shared" si="64"/>
        <v>9258.883200000002</v>
      </c>
      <c r="R104" s="7">
        <f t="shared" si="65"/>
        <v>514.50000000000011</v>
      </c>
      <c r="S104" s="7">
        <f t="shared" si="66"/>
        <v>1372.7786688000001</v>
      </c>
    </row>
    <row r="105" spans="3:19" ht="12">
      <c r="C105" s="366"/>
      <c r="D105" s="840" t="str">
        <f>'Payroll 19-20'!D105</f>
        <v>Jenny Fazio</v>
      </c>
      <c r="E105" s="840">
        <f>'Payroll 21-22'!E105*(1+'Revenue Inputs'!Q$27)</f>
        <v>1.05</v>
      </c>
      <c r="F105" s="828">
        <f>'Payroll 21-22'!F105*(1+$I$4)</f>
        <v>119915.442792</v>
      </c>
      <c r="G105" s="322">
        <f>'Payroll 21-22'!G105</f>
        <v>12</v>
      </c>
      <c r="H105" s="319" t="str">
        <f>'Payroll 21-22'!H105</f>
        <v>y</v>
      </c>
      <c r="I105" s="320">
        <f t="shared" si="58"/>
        <v>125911.21493160001</v>
      </c>
      <c r="J105" s="7">
        <f t="shared" si="67"/>
        <v>36151.782728170205</v>
      </c>
      <c r="K105" s="7">
        <f t="shared" si="68"/>
        <v>162062.99765977022</v>
      </c>
      <c r="L105" s="7"/>
      <c r="M105" s="7">
        <f t="shared" si="69"/>
        <v>22789.929902619602</v>
      </c>
      <c r="N105" s="8" t="s">
        <v>75</v>
      </c>
      <c r="O105" s="8" t="str">
        <f t="shared" si="70"/>
        <v>N/A</v>
      </c>
      <c r="P105" s="7">
        <f t="shared" si="71"/>
        <v>1825.7126165082002</v>
      </c>
      <c r="Q105" s="7">
        <f t="shared" si="64"/>
        <v>9258.883200000002</v>
      </c>
      <c r="R105" s="7">
        <f t="shared" si="65"/>
        <v>514.50000000000011</v>
      </c>
      <c r="S105" s="7">
        <f t="shared" si="66"/>
        <v>1762.7570090424003</v>
      </c>
    </row>
    <row r="106" spans="3:19" ht="12">
      <c r="C106" s="368"/>
      <c r="D106" s="840" t="str">
        <f>'Payroll 19-20'!D106</f>
        <v>Celia N. Ewing</v>
      </c>
      <c r="E106" s="840">
        <f>'Payroll 21-22'!E106*(1+'Revenue Inputs'!Q$27)</f>
        <v>1.05</v>
      </c>
      <c r="F106" s="828">
        <f>'Payroll 21-22'!F106*(1+$I$4)</f>
        <v>63648</v>
      </c>
      <c r="G106" s="322">
        <f>'Payroll 21-22'!G106</f>
        <v>12</v>
      </c>
      <c r="H106" s="319" t="str">
        <f>'Payroll 21-22'!H106</f>
        <v>y</v>
      </c>
      <c r="I106" s="320">
        <f t="shared" si="58"/>
        <v>66830.400000000009</v>
      </c>
      <c r="J106" s="7">
        <f t="shared" si="67"/>
        <v>23774.352000000003</v>
      </c>
      <c r="K106" s="7">
        <f t="shared" si="68"/>
        <v>90604.752000000008</v>
      </c>
      <c r="L106" s="7"/>
      <c r="M106" s="7">
        <f t="shared" si="69"/>
        <v>12096.3024</v>
      </c>
      <c r="N106" s="8" t="s">
        <v>75</v>
      </c>
      <c r="O106" s="8" t="str">
        <f t="shared" si="70"/>
        <v>N/A</v>
      </c>
      <c r="P106" s="7">
        <f t="shared" si="71"/>
        <v>969.04080000000022</v>
      </c>
      <c r="Q106" s="7">
        <f t="shared" si="64"/>
        <v>9258.883200000002</v>
      </c>
      <c r="R106" s="7">
        <f t="shared" si="65"/>
        <v>514.50000000000011</v>
      </c>
      <c r="S106" s="7">
        <f t="shared" si="66"/>
        <v>935.62560000000019</v>
      </c>
    </row>
    <row r="107" spans="3:19" ht="12">
      <c r="C107" s="366"/>
      <c r="D107" s="840" t="str">
        <f>'Payroll 19-20'!D107</f>
        <v>Jessica L. Ronquillo</v>
      </c>
      <c r="E107" s="840">
        <f>'Payroll 21-22'!E107*(1+'Revenue Inputs'!Q$27)</f>
        <v>1.05</v>
      </c>
      <c r="F107" s="828">
        <f>'Payroll 21-22'!F107*(1+$I$4)</f>
        <v>119915.442792</v>
      </c>
      <c r="G107" s="322">
        <f>'Payroll 21-22'!G107</f>
        <v>12</v>
      </c>
      <c r="H107" s="319" t="str">
        <f>'Payroll 21-22'!H107</f>
        <v>y</v>
      </c>
      <c r="I107" s="320">
        <f t="shared" si="58"/>
        <v>125911.21493160001</v>
      </c>
      <c r="J107" s="7">
        <f t="shared" si="67"/>
        <v>36151.782728170205</v>
      </c>
      <c r="K107" s="7">
        <f t="shared" si="68"/>
        <v>162062.99765977022</v>
      </c>
      <c r="L107" s="7"/>
      <c r="M107" s="7">
        <f t="shared" si="69"/>
        <v>22789.929902619602</v>
      </c>
      <c r="N107" s="8" t="s">
        <v>75</v>
      </c>
      <c r="O107" s="8" t="str">
        <f t="shared" si="70"/>
        <v>N/A</v>
      </c>
      <c r="P107" s="7">
        <f t="shared" si="71"/>
        <v>1825.7126165082002</v>
      </c>
      <c r="Q107" s="7">
        <f t="shared" si="64"/>
        <v>9258.883200000002</v>
      </c>
      <c r="R107" s="7">
        <f t="shared" si="65"/>
        <v>514.50000000000011</v>
      </c>
      <c r="S107" s="7">
        <f t="shared" si="66"/>
        <v>1762.7570090424003</v>
      </c>
    </row>
    <row r="108" spans="3:19" ht="12">
      <c r="C108" s="366"/>
      <c r="D108" s="840" t="str">
        <f>'Payroll 19-20'!D108</f>
        <v>Rupinder Boyd</v>
      </c>
      <c r="E108" s="840">
        <f>'Payroll 21-22'!E108*(1+'Revenue Inputs'!Q$27)</f>
        <v>1.05</v>
      </c>
      <c r="F108" s="828">
        <f>'Payroll 21-22'!F108*(1+$I$4)</f>
        <v>58366.44</v>
      </c>
      <c r="G108" s="322">
        <f>'Payroll 21-22'!G108</f>
        <v>12</v>
      </c>
      <c r="H108" s="319" t="str">
        <f>'Payroll 21-22'!H108</f>
        <v>y</v>
      </c>
      <c r="I108" s="320">
        <f t="shared" si="58"/>
        <v>61284.762000000002</v>
      </c>
      <c r="J108" s="7">
        <f t="shared" si="67"/>
        <v>22612.540839000005</v>
      </c>
      <c r="K108" s="7">
        <f t="shared" si="68"/>
        <v>83897.302839000011</v>
      </c>
      <c r="L108" s="7"/>
      <c r="M108" s="7">
        <f t="shared" si="69"/>
        <v>11092.541922</v>
      </c>
      <c r="N108" s="8" t="s">
        <v>75</v>
      </c>
      <c r="O108" s="8" t="str">
        <f t="shared" si="70"/>
        <v>N/A</v>
      </c>
      <c r="P108" s="7">
        <f t="shared" si="71"/>
        <v>888.62904900000012</v>
      </c>
      <c r="Q108" s="7">
        <f t="shared" si="64"/>
        <v>9258.883200000002</v>
      </c>
      <c r="R108" s="7">
        <f t="shared" si="65"/>
        <v>514.50000000000011</v>
      </c>
      <c r="S108" s="7">
        <f t="shared" si="66"/>
        <v>857.98666800000001</v>
      </c>
    </row>
    <row r="109" spans="3:19" ht="12">
      <c r="C109" s="366"/>
      <c r="D109" s="840" t="str">
        <f>'Payroll 19-20'!D109</f>
        <v>Ana Mejia</v>
      </c>
      <c r="E109" s="840">
        <f>'Payroll 21-22'!E109*(1+'Revenue Inputs'!Q$27)</f>
        <v>1.05</v>
      </c>
      <c r="F109" s="828">
        <f>'Payroll 21-22'!F109*(1+$I$4)</f>
        <v>144110.98519200002</v>
      </c>
      <c r="G109" s="322">
        <f>'Payroll 21-22'!G109</f>
        <v>12</v>
      </c>
      <c r="H109" s="319" t="str">
        <f>'Payroll 21-22'!H109</f>
        <v>y</v>
      </c>
      <c r="I109" s="320">
        <f t="shared" si="58"/>
        <v>151316.53445160002</v>
      </c>
      <c r="J109" s="7">
        <f t="shared" si="67"/>
        <v>41474.197167610204</v>
      </c>
      <c r="K109" s="7">
        <f t="shared" si="68"/>
        <v>192790.73161921022</v>
      </c>
      <c r="L109" s="7"/>
      <c r="M109" s="7">
        <f t="shared" si="69"/>
        <v>27388.292735739604</v>
      </c>
      <c r="N109" s="8" t="s">
        <v>75</v>
      </c>
      <c r="O109" s="8" t="str">
        <f t="shared" si="70"/>
        <v>N/A</v>
      </c>
      <c r="P109" s="7">
        <f t="shared" si="71"/>
        <v>2194.0897495482004</v>
      </c>
      <c r="Q109" s="7">
        <f t="shared" si="64"/>
        <v>9258.883200000002</v>
      </c>
      <c r="R109" s="7">
        <f t="shared" si="65"/>
        <v>514.50000000000011</v>
      </c>
      <c r="S109" s="7">
        <f t="shared" si="66"/>
        <v>2118.4314823224004</v>
      </c>
    </row>
    <row r="110" spans="3:19" ht="12">
      <c r="C110" s="366"/>
      <c r="D110" s="840" t="str">
        <f>'Payroll 19-20'!D110</f>
        <v>Kristy N. Philips</v>
      </c>
      <c r="E110" s="840">
        <f>'Payroll 21-22'!E110*(1+'Revenue Inputs'!Q$27)</f>
        <v>1.05</v>
      </c>
      <c r="F110" s="828">
        <f>'Payroll 21-22'!F110*(1+$I$4)</f>
        <v>150478.23319200001</v>
      </c>
      <c r="G110" s="322">
        <f>'Payroll 21-22'!G110</f>
        <v>12</v>
      </c>
      <c r="H110" s="319" t="str">
        <f>'Payroll 21-22'!H110</f>
        <v>y</v>
      </c>
      <c r="I110" s="320">
        <f t="shared" si="58"/>
        <v>158002.14485160002</v>
      </c>
      <c r="J110" s="7">
        <f t="shared" si="67"/>
        <v>42874.832546410209</v>
      </c>
      <c r="K110" s="7">
        <f t="shared" si="68"/>
        <v>200876.97739801023</v>
      </c>
      <c r="L110" s="7"/>
      <c r="M110" s="7">
        <f t="shared" si="69"/>
        <v>28598.388218139604</v>
      </c>
      <c r="N110" s="8" t="s">
        <v>75</v>
      </c>
      <c r="O110" s="8" t="str">
        <f t="shared" si="70"/>
        <v>N/A</v>
      </c>
      <c r="P110" s="7">
        <f t="shared" si="71"/>
        <v>2291.0311003482007</v>
      </c>
      <c r="Q110" s="7">
        <f t="shared" si="64"/>
        <v>9258.883200000002</v>
      </c>
      <c r="R110" s="7">
        <f t="shared" si="65"/>
        <v>514.50000000000011</v>
      </c>
      <c r="S110" s="7">
        <f t="shared" si="66"/>
        <v>2212.0300279224002</v>
      </c>
    </row>
    <row r="111" spans="3:19" ht="12">
      <c r="C111" s="368"/>
      <c r="D111" s="840" t="str">
        <f>'Payroll 19-20'!D111</f>
        <v>Deborah J. Cruthers</v>
      </c>
      <c r="E111" s="840">
        <f>'Payroll 21-22'!E111*(1+'Revenue Inputs'!Q$27)</f>
        <v>1.05</v>
      </c>
      <c r="F111" s="828">
        <f>'Payroll 21-22'!F111*(1+$I$4)</f>
        <v>63648</v>
      </c>
      <c r="G111" s="322">
        <f>'Payroll 21-22'!G111</f>
        <v>12</v>
      </c>
      <c r="H111" s="319" t="str">
        <f>'Payroll 21-22'!H111</f>
        <v>y</v>
      </c>
      <c r="I111" s="320">
        <f t="shared" si="58"/>
        <v>66830.400000000009</v>
      </c>
      <c r="J111" s="7">
        <f t="shared" si="67"/>
        <v>23774.352000000003</v>
      </c>
      <c r="K111" s="7">
        <f t="shared" si="68"/>
        <v>90604.752000000008</v>
      </c>
      <c r="L111" s="7"/>
      <c r="M111" s="7">
        <f t="shared" si="69"/>
        <v>12096.3024</v>
      </c>
      <c r="N111" s="8" t="s">
        <v>75</v>
      </c>
      <c r="O111" s="8" t="str">
        <f t="shared" si="70"/>
        <v>N/A</v>
      </c>
      <c r="P111" s="7">
        <f t="shared" si="71"/>
        <v>969.04080000000022</v>
      </c>
      <c r="Q111" s="7">
        <f t="shared" si="64"/>
        <v>9258.883200000002</v>
      </c>
      <c r="R111" s="7">
        <f t="shared" si="65"/>
        <v>514.50000000000011</v>
      </c>
      <c r="S111" s="7">
        <f t="shared" si="66"/>
        <v>935.62560000000019</v>
      </c>
    </row>
    <row r="112" spans="3:19" ht="12">
      <c r="C112" s="366"/>
      <c r="D112" s="840" t="str">
        <f>'Payroll 19-20'!D112</f>
        <v>Amy Thompson</v>
      </c>
      <c r="E112" s="840">
        <f>'Payroll 21-22'!E112*(1+'Revenue Inputs'!Q$27)</f>
        <v>1.05</v>
      </c>
      <c r="F112" s="828">
        <f>'Payroll 21-22'!F112*(1+$I$4)</f>
        <v>131589.79200000002</v>
      </c>
      <c r="G112" s="322">
        <f>'Payroll 21-22'!G112</f>
        <v>12</v>
      </c>
      <c r="H112" s="319" t="str">
        <f>'Payroll 21-22'!H112</f>
        <v>y</v>
      </c>
      <c r="I112" s="320">
        <f t="shared" si="58"/>
        <v>138169.28160000002</v>
      </c>
      <c r="J112" s="7">
        <f t="shared" si="59"/>
        <v>38719.847695200006</v>
      </c>
      <c r="K112" s="7">
        <f t="shared" si="60"/>
        <v>176889.12929520002</v>
      </c>
      <c r="L112" s="7"/>
      <c r="M112" s="7">
        <f t="shared" si="61"/>
        <v>25008.639969600001</v>
      </c>
      <c r="N112" s="8" t="s">
        <v>75</v>
      </c>
      <c r="O112" s="8" t="str">
        <f t="shared" si="62"/>
        <v>N/A</v>
      </c>
      <c r="P112" s="7">
        <f t="shared" si="63"/>
        <v>2003.4545832000003</v>
      </c>
      <c r="Q112" s="7">
        <f t="shared" si="64"/>
        <v>9258.883200000002</v>
      </c>
      <c r="R112" s="7">
        <f t="shared" si="65"/>
        <v>514.50000000000011</v>
      </c>
      <c r="S112" s="7">
        <f t="shared" si="66"/>
        <v>1934.3699424000004</v>
      </c>
    </row>
    <row r="113" spans="3:19" ht="12">
      <c r="C113" s="366"/>
      <c r="D113" s="840" t="str">
        <f>'Payroll 19-20'!D113</f>
        <v>Brook MacMillan</v>
      </c>
      <c r="E113" s="840">
        <f>'Payroll 21-22'!E113*(1+'Revenue Inputs'!Q$27)</f>
        <v>1.05</v>
      </c>
      <c r="F113" s="828">
        <f>'Payroll 21-22'!F113*(1+$I$4)</f>
        <v>176372.7696</v>
      </c>
      <c r="G113" s="322">
        <f>'Payroll 21-22'!G113</f>
        <v>12</v>
      </c>
      <c r="H113" s="319" t="str">
        <f>'Payroll 21-22'!H113</f>
        <v>y</v>
      </c>
      <c r="I113" s="320">
        <f t="shared" si="58"/>
        <v>185191.40807999999</v>
      </c>
      <c r="J113" s="7">
        <f t="shared" si="59"/>
        <v>48570.983192760003</v>
      </c>
      <c r="K113" s="7">
        <f t="shared" si="60"/>
        <v>233762.39127276</v>
      </c>
      <c r="L113" s="7"/>
      <c r="M113" s="7">
        <f t="shared" si="61"/>
        <v>33519.644862479996</v>
      </c>
      <c r="N113" s="8" t="s">
        <v>75</v>
      </c>
      <c r="O113" s="8" t="str">
        <f t="shared" si="62"/>
        <v>N/A</v>
      </c>
      <c r="P113" s="7">
        <f t="shared" si="63"/>
        <v>2685.27541716</v>
      </c>
      <c r="Q113" s="7">
        <f t="shared" si="64"/>
        <v>9258.883200000002</v>
      </c>
      <c r="R113" s="7">
        <f t="shared" si="65"/>
        <v>514.50000000000011</v>
      </c>
      <c r="S113" s="7">
        <f t="shared" si="66"/>
        <v>2592.6797131200001</v>
      </c>
    </row>
    <row r="114" spans="3:19" ht="12">
      <c r="C114" s="366"/>
      <c r="D114" s="840" t="str">
        <f>'Payroll 19-20'!D114</f>
        <v>Anna Lindahl</v>
      </c>
      <c r="E114" s="840">
        <f>'Payroll 21-22'!E114*(1+'Revenue Inputs'!Q$27)</f>
        <v>1.05</v>
      </c>
      <c r="F114" s="828">
        <f>'Payroll 21-22'!F114*(1+$I$4)</f>
        <v>58366.44</v>
      </c>
      <c r="G114" s="322">
        <f>'Payroll 21-22'!G114</f>
        <v>12</v>
      </c>
      <c r="H114" s="319" t="str">
        <f>'Payroll 21-22'!H114</f>
        <v>y</v>
      </c>
      <c r="I114" s="320">
        <f t="shared" si="58"/>
        <v>61284.762000000002</v>
      </c>
      <c r="J114" s="7">
        <f t="shared" si="59"/>
        <v>26602.470846000007</v>
      </c>
      <c r="K114" s="7">
        <f t="shared" si="60"/>
        <v>87887.232846000014</v>
      </c>
      <c r="L114" s="7"/>
      <c r="M114" s="7">
        <f t="shared" si="61"/>
        <v>11092.541922</v>
      </c>
      <c r="N114" s="8" t="s">
        <v>75</v>
      </c>
      <c r="O114" s="8" t="str">
        <f t="shared" si="62"/>
        <v>N/A</v>
      </c>
      <c r="P114" s="7">
        <f t="shared" si="63"/>
        <v>888.62904900000012</v>
      </c>
      <c r="Q114" s="7">
        <f t="shared" si="64"/>
        <v>9258.883200000002</v>
      </c>
      <c r="R114" s="7">
        <f>IF($I114&lt;7000,7000*R$5,$I114*R$5)*E114</f>
        <v>4504.4300070000008</v>
      </c>
      <c r="S114" s="7">
        <f t="shared" si="66"/>
        <v>857.98666800000001</v>
      </c>
    </row>
    <row r="115" spans="3:19" ht="12">
      <c r="C115" s="368"/>
      <c r="D115" s="840" t="str">
        <f>'Payroll 19-20'!D115</f>
        <v>Steven R. James</v>
      </c>
      <c r="E115" s="840">
        <f>'Payroll 21-22'!E115*(1+'Revenue Inputs'!Q$27)</f>
        <v>1.05</v>
      </c>
      <c r="F115" s="828">
        <f>'Payroll 21-22'!F115*(1+$I$4)</f>
        <v>76924.845503999997</v>
      </c>
      <c r="G115" s="322">
        <f>'Payroll 21-22'!G115</f>
        <v>12</v>
      </c>
      <c r="H115" s="319" t="str">
        <f>'Payroll 21-22'!H115</f>
        <v>y</v>
      </c>
      <c r="I115" s="320">
        <f t="shared" si="58"/>
        <v>80771.087779199996</v>
      </c>
      <c r="J115" s="7">
        <f t="shared" si="59"/>
        <v>26694.926089742399</v>
      </c>
      <c r="K115" s="7">
        <f t="shared" si="60"/>
        <v>107466.01386894239</v>
      </c>
      <c r="L115" s="7"/>
      <c r="M115" s="7">
        <f t="shared" si="61"/>
        <v>14619.566888035199</v>
      </c>
      <c r="N115" s="8" t="s">
        <v>75</v>
      </c>
      <c r="O115" s="8" t="str">
        <f t="shared" si="62"/>
        <v>N/A</v>
      </c>
      <c r="P115" s="7">
        <f t="shared" si="63"/>
        <v>1171.1807727984001</v>
      </c>
      <c r="Q115" s="7">
        <f t="shared" si="64"/>
        <v>9258.883200000002</v>
      </c>
      <c r="R115" s="7">
        <f t="shared" si="65"/>
        <v>514.50000000000011</v>
      </c>
      <c r="S115" s="7">
        <f t="shared" si="66"/>
        <v>1130.7952289088</v>
      </c>
    </row>
    <row r="116" spans="3:19" ht="12">
      <c r="C116" s="366"/>
      <c r="D116" s="840">
        <f>'Payroll 19-20'!D116</f>
        <v>0</v>
      </c>
      <c r="E116" s="840">
        <f>'Payroll 21-22'!E116*(1+'Revenue Inputs'!Q$27)</f>
        <v>0</v>
      </c>
      <c r="F116" s="828">
        <f>'Payroll 21-22'!F116*(1+$I$4)</f>
        <v>0</v>
      </c>
      <c r="G116" s="322">
        <f>'Payroll 21-22'!G116</f>
        <v>0</v>
      </c>
      <c r="H116" s="319">
        <f>'Payroll 21-22'!H116</f>
        <v>0</v>
      </c>
      <c r="I116" s="320">
        <f t="shared" si="58"/>
        <v>0</v>
      </c>
      <c r="J116" s="7">
        <f t="shared" si="59"/>
        <v>0</v>
      </c>
      <c r="K116" s="7">
        <f t="shared" si="60"/>
        <v>0</v>
      </c>
      <c r="L116" s="7"/>
      <c r="M116" s="7">
        <f t="shared" si="61"/>
        <v>0</v>
      </c>
      <c r="N116" s="8" t="s">
        <v>75</v>
      </c>
      <c r="O116" s="8" t="str">
        <f t="shared" si="62"/>
        <v>N/A</v>
      </c>
      <c r="P116" s="7">
        <f t="shared" si="63"/>
        <v>0</v>
      </c>
      <c r="Q116" s="7">
        <f t="shared" si="64"/>
        <v>0</v>
      </c>
      <c r="R116" s="7">
        <f t="shared" si="65"/>
        <v>0</v>
      </c>
      <c r="S116" s="7">
        <f t="shared" si="66"/>
        <v>0</v>
      </c>
    </row>
    <row r="117" spans="3:19" ht="12">
      <c r="C117" s="366"/>
      <c r="D117" s="840">
        <f>'Payroll 19-20'!D117</f>
        <v>0</v>
      </c>
      <c r="E117" s="840">
        <f>'Payroll 21-22'!E117*(1+'Revenue Inputs'!Q$27)</f>
        <v>0</v>
      </c>
      <c r="F117" s="828">
        <f>'Payroll 21-22'!F117*(1+$I$4)</f>
        <v>0</v>
      </c>
      <c r="G117" s="322">
        <f>'Payroll 21-22'!G117</f>
        <v>0</v>
      </c>
      <c r="H117" s="319">
        <f>'Payroll 21-22'!H117</f>
        <v>0</v>
      </c>
      <c r="I117" s="320">
        <f t="shared" si="58"/>
        <v>0</v>
      </c>
      <c r="J117" s="7">
        <f t="shared" si="59"/>
        <v>0</v>
      </c>
      <c r="K117" s="7">
        <f t="shared" si="60"/>
        <v>0</v>
      </c>
      <c r="L117" s="7"/>
      <c r="M117" s="7">
        <f t="shared" si="61"/>
        <v>0</v>
      </c>
      <c r="N117" s="8" t="s">
        <v>75</v>
      </c>
      <c r="O117" s="8" t="str">
        <f t="shared" si="62"/>
        <v>N/A</v>
      </c>
      <c r="P117" s="7">
        <f t="shared" si="63"/>
        <v>0</v>
      </c>
      <c r="Q117" s="7">
        <f t="shared" si="64"/>
        <v>0</v>
      </c>
      <c r="R117" s="7">
        <f t="shared" si="65"/>
        <v>0</v>
      </c>
      <c r="S117" s="7">
        <f t="shared" si="66"/>
        <v>0</v>
      </c>
    </row>
    <row r="118" spans="3:19" ht="12">
      <c r="C118" s="366"/>
      <c r="D118" s="840">
        <f>'Payroll 19-20'!D118</f>
        <v>0</v>
      </c>
      <c r="E118" s="840">
        <f>'Payroll 21-22'!E118*(1+'Revenue Inputs'!Q$27)</f>
        <v>0</v>
      </c>
      <c r="F118" s="828">
        <f>'Payroll 21-22'!F118*(1+$I$4)</f>
        <v>0</v>
      </c>
      <c r="G118" s="322">
        <f>'Payroll 21-22'!G118</f>
        <v>0</v>
      </c>
      <c r="H118" s="319">
        <f>'Payroll 21-22'!H118</f>
        <v>0</v>
      </c>
      <c r="I118" s="320">
        <f t="shared" si="58"/>
        <v>0</v>
      </c>
      <c r="J118" s="7">
        <f t="shared" si="59"/>
        <v>0</v>
      </c>
      <c r="K118" s="7">
        <f t="shared" si="60"/>
        <v>0</v>
      </c>
      <c r="L118" s="7"/>
      <c r="M118" s="7">
        <f t="shared" si="61"/>
        <v>0</v>
      </c>
      <c r="N118" s="8" t="s">
        <v>75</v>
      </c>
      <c r="O118" s="8" t="str">
        <f t="shared" si="62"/>
        <v>N/A</v>
      </c>
      <c r="P118" s="7">
        <f t="shared" si="63"/>
        <v>0</v>
      </c>
      <c r="Q118" s="7">
        <f t="shared" si="64"/>
        <v>0</v>
      </c>
      <c r="R118" s="7">
        <f t="shared" si="65"/>
        <v>0</v>
      </c>
      <c r="S118" s="7">
        <f t="shared" si="66"/>
        <v>0</v>
      </c>
    </row>
    <row r="119" spans="3:19" ht="12">
      <c r="C119" s="366"/>
      <c r="D119" s="840">
        <f>'Payroll 19-20'!D119</f>
        <v>0</v>
      </c>
      <c r="E119" s="840">
        <f>'Payroll 21-22'!E119*(1+'Revenue Inputs'!Q$27)</f>
        <v>0</v>
      </c>
      <c r="F119" s="828">
        <f>'Payroll 21-22'!F119*(1+$I$4)</f>
        <v>0</v>
      </c>
      <c r="G119" s="322">
        <f>'Payroll 21-22'!G119</f>
        <v>0</v>
      </c>
      <c r="H119" s="319">
        <f>'Payroll 21-22'!H119</f>
        <v>0</v>
      </c>
      <c r="I119" s="320">
        <f t="shared" si="58"/>
        <v>0</v>
      </c>
      <c r="J119" s="7">
        <f t="shared" si="59"/>
        <v>0</v>
      </c>
      <c r="K119" s="7">
        <f t="shared" si="60"/>
        <v>0</v>
      </c>
      <c r="L119" s="7"/>
      <c r="M119" s="7">
        <f t="shared" si="61"/>
        <v>0</v>
      </c>
      <c r="N119" s="8" t="s">
        <v>75</v>
      </c>
      <c r="O119" s="8" t="str">
        <f t="shared" si="62"/>
        <v>N/A</v>
      </c>
      <c r="P119" s="7">
        <f t="shared" si="63"/>
        <v>0</v>
      </c>
      <c r="Q119" s="7">
        <f t="shared" si="64"/>
        <v>0</v>
      </c>
      <c r="R119" s="7">
        <f t="shared" si="65"/>
        <v>0</v>
      </c>
      <c r="S119" s="7">
        <f t="shared" si="66"/>
        <v>0</v>
      </c>
    </row>
    <row r="120" spans="3:19" ht="12">
      <c r="C120" s="368"/>
      <c r="D120" s="840">
        <f>'Payroll 19-20'!D120</f>
        <v>0</v>
      </c>
      <c r="E120" s="840">
        <f>'Payroll 21-22'!E120*(1+'Revenue Inputs'!Q$27)</f>
        <v>0</v>
      </c>
      <c r="F120" s="828">
        <f>'Payroll 21-22'!F120*(1+$I$4)</f>
        <v>0</v>
      </c>
      <c r="G120" s="322">
        <f>'Payroll 21-22'!G120</f>
        <v>0</v>
      </c>
      <c r="H120" s="319">
        <f>'Payroll 21-22'!H120</f>
        <v>0</v>
      </c>
      <c r="I120" s="320">
        <f t="shared" si="58"/>
        <v>0</v>
      </c>
      <c r="J120" s="7">
        <f t="shared" si="59"/>
        <v>0</v>
      </c>
      <c r="K120" s="7">
        <f t="shared" si="60"/>
        <v>0</v>
      </c>
      <c r="L120" s="7"/>
      <c r="M120" s="7">
        <f t="shared" si="61"/>
        <v>0</v>
      </c>
      <c r="N120" s="8" t="s">
        <v>75</v>
      </c>
      <c r="O120" s="8" t="str">
        <f t="shared" si="62"/>
        <v>N/A</v>
      </c>
      <c r="P120" s="7">
        <f t="shared" si="63"/>
        <v>0</v>
      </c>
      <c r="Q120" s="7">
        <f t="shared" si="64"/>
        <v>0</v>
      </c>
      <c r="R120" s="7">
        <f t="shared" si="65"/>
        <v>0</v>
      </c>
      <c r="S120" s="7">
        <f t="shared" si="66"/>
        <v>0</v>
      </c>
    </row>
    <row r="121" spans="3:19" ht="13" thickBot="1">
      <c r="C121" s="368"/>
      <c r="D121" s="841"/>
      <c r="E121" s="841"/>
      <c r="F121" s="841"/>
      <c r="G121" s="28"/>
      <c r="H121" s="427"/>
      <c r="I121" s="337"/>
      <c r="J121" s="40"/>
      <c r="K121" s="40"/>
      <c r="L121" s="40"/>
      <c r="M121" s="40"/>
      <c r="N121" s="40"/>
      <c r="O121" s="40"/>
      <c r="P121" s="40"/>
      <c r="Q121" s="40"/>
      <c r="R121" s="40"/>
      <c r="S121" s="40"/>
    </row>
    <row r="122" spans="3:19" s="41" customFormat="1" ht="13" thickBot="1">
      <c r="C122" s="368"/>
      <c r="D122" s="834"/>
      <c r="E122" s="847"/>
      <c r="F122" s="834"/>
      <c r="G122" s="49"/>
      <c r="H122" s="333">
        <v>1300</v>
      </c>
      <c r="I122" s="10">
        <f>SUM(I102:I121)</f>
        <v>1508984.6361085442</v>
      </c>
      <c r="J122" s="10">
        <f>SUM(J102:J121)</f>
        <v>456949.57607174007</v>
      </c>
      <c r="K122" s="10">
        <f>SUM(K102:K121)</f>
        <v>1965934.2121802841</v>
      </c>
      <c r="L122" s="11"/>
      <c r="M122" s="10">
        <f t="shared" ref="M122:S122" si="72">SUM(M102:M121)</f>
        <v>273126.21913564653</v>
      </c>
      <c r="N122" s="10">
        <f t="shared" si="72"/>
        <v>0</v>
      </c>
      <c r="O122" s="10">
        <f t="shared" si="72"/>
        <v>0</v>
      </c>
      <c r="P122" s="10">
        <f t="shared" si="72"/>
        <v>21880.277223573892</v>
      </c>
      <c r="Q122" s="10">
        <f t="shared" si="72"/>
        <v>129624.3648</v>
      </c>
      <c r="R122" s="10">
        <f t="shared" si="72"/>
        <v>11192.930007000003</v>
      </c>
      <c r="S122" s="10">
        <f t="shared" si="72"/>
        <v>21125.784905519617</v>
      </c>
    </row>
    <row r="123" spans="3:19" ht="12">
      <c r="C123" s="366" t="s">
        <v>19</v>
      </c>
      <c r="D123" s="835"/>
      <c r="E123" s="848"/>
      <c r="F123" s="835"/>
      <c r="G123" s="28"/>
      <c r="H123" s="35"/>
      <c r="I123" s="7"/>
      <c r="J123" s="7"/>
      <c r="K123" s="7"/>
      <c r="L123" s="7"/>
      <c r="M123" s="36"/>
      <c r="N123" s="36"/>
      <c r="O123" s="36"/>
      <c r="P123" s="36"/>
      <c r="Q123" s="36"/>
      <c r="R123" s="36"/>
      <c r="S123" s="36"/>
    </row>
    <row r="124" spans="3:19" ht="12">
      <c r="C124" s="366"/>
      <c r="D124" s="840">
        <f>'Payroll 19-20'!D124</f>
        <v>0</v>
      </c>
      <c r="E124" s="840">
        <f>'Payroll 21-22'!E124*(1+'Revenue Inputs'!Q$27)</f>
        <v>0</v>
      </c>
      <c r="F124" s="828">
        <f>'Payroll 21-22'!F124*(1+$I$4)</f>
        <v>0</v>
      </c>
      <c r="G124" s="322">
        <f>'Payroll 21-22'!G124</f>
        <v>0</v>
      </c>
      <c r="H124" s="319">
        <f>'Payroll 21-22'!H124</f>
        <v>0</v>
      </c>
      <c r="I124" s="320">
        <f t="shared" ref="I124:I142" si="73">F124*E124</f>
        <v>0</v>
      </c>
      <c r="J124" s="7">
        <f t="shared" ref="J124:J142" si="74">SUM(M124:S124)</f>
        <v>0</v>
      </c>
      <c r="K124" s="7">
        <f t="shared" ref="K124:K142" si="75">SUM(I124:J124)</f>
        <v>0</v>
      </c>
      <c r="L124" s="7"/>
      <c r="M124" s="7">
        <f t="shared" ref="M124:M142" si="76">I124*$M$5</f>
        <v>0</v>
      </c>
      <c r="N124" s="8" t="s">
        <v>75</v>
      </c>
      <c r="O124" s="8" t="str">
        <f t="shared" ref="O124:O142" si="77">IF($M$5&gt;0,"N/A",$O$5*I124)</f>
        <v>N/A</v>
      </c>
      <c r="P124" s="7">
        <f t="shared" ref="P124:P142" si="78">I124*$P$5</f>
        <v>0</v>
      </c>
      <c r="Q124" s="7">
        <f t="shared" ref="Q124:Q142" si="79">IF(H124="y", $Q$5*E124, 0)</f>
        <v>0</v>
      </c>
      <c r="R124" s="7">
        <f t="shared" ref="R124:R142" si="80">IF($I124&gt;7000,7000*R$5,$I124*R$5)*E124</f>
        <v>0</v>
      </c>
      <c r="S124" s="7">
        <f t="shared" ref="S124:S142" si="81">S$5*$I124</f>
        <v>0</v>
      </c>
    </row>
    <row r="125" spans="3:19" ht="12">
      <c r="C125" s="366"/>
      <c r="D125" s="840">
        <f>'Payroll 19-20'!D125</f>
        <v>0</v>
      </c>
      <c r="E125" s="840">
        <f>'Payroll 21-22'!E125*(1+'Revenue Inputs'!Q$27)</f>
        <v>0</v>
      </c>
      <c r="F125" s="828">
        <f>'Payroll 21-22'!F125*(1+$I$4)</f>
        <v>0</v>
      </c>
      <c r="G125" s="322">
        <f>'Payroll 21-22'!G125</f>
        <v>0</v>
      </c>
      <c r="H125" s="319">
        <f>'Payroll 21-22'!H125</f>
        <v>0</v>
      </c>
      <c r="I125" s="320">
        <f t="shared" si="73"/>
        <v>0</v>
      </c>
      <c r="J125" s="7">
        <f t="shared" ref="J125:J133" si="82">SUM(M125:S125)</f>
        <v>0</v>
      </c>
      <c r="K125" s="7">
        <f t="shared" ref="K125:K133" si="83">SUM(I125:J125)</f>
        <v>0</v>
      </c>
      <c r="L125" s="7"/>
      <c r="M125" s="7">
        <f t="shared" ref="M125:M133" si="84">I125*$M$5</f>
        <v>0</v>
      </c>
      <c r="N125" s="8" t="s">
        <v>75</v>
      </c>
      <c r="O125" s="8" t="str">
        <f t="shared" ref="O125:O133" si="85">IF($M$5&gt;0,"N/A",$O$5*I125)</f>
        <v>N/A</v>
      </c>
      <c r="P125" s="7">
        <f t="shared" ref="P125:P133" si="86">I125*$P$5</f>
        <v>0</v>
      </c>
      <c r="Q125" s="7">
        <f t="shared" si="79"/>
        <v>0</v>
      </c>
      <c r="R125" s="7">
        <f t="shared" si="80"/>
        <v>0</v>
      </c>
      <c r="S125" s="7">
        <f t="shared" si="81"/>
        <v>0</v>
      </c>
    </row>
    <row r="126" spans="3:19" ht="12" customHeight="1">
      <c r="C126" s="366"/>
      <c r="D126" s="840">
        <f>'Payroll 19-20'!D126</f>
        <v>0</v>
      </c>
      <c r="E126" s="840">
        <f>'Payroll 21-22'!E126*(1+'Revenue Inputs'!Q$27)</f>
        <v>0</v>
      </c>
      <c r="F126" s="828">
        <f>'Payroll 21-22'!F126*(1+$I$4)</f>
        <v>0</v>
      </c>
      <c r="G126" s="322">
        <f>'Payroll 21-22'!G126</f>
        <v>0</v>
      </c>
      <c r="H126" s="319">
        <f>'Payroll 21-22'!H126</f>
        <v>0</v>
      </c>
      <c r="I126" s="320">
        <f t="shared" si="73"/>
        <v>0</v>
      </c>
      <c r="J126" s="7">
        <f t="shared" si="82"/>
        <v>0</v>
      </c>
      <c r="K126" s="7">
        <f t="shared" si="83"/>
        <v>0</v>
      </c>
      <c r="L126" s="7"/>
      <c r="M126" s="7">
        <f t="shared" si="84"/>
        <v>0</v>
      </c>
      <c r="N126" s="8" t="s">
        <v>75</v>
      </c>
      <c r="O126" s="8" t="str">
        <f t="shared" si="85"/>
        <v>N/A</v>
      </c>
      <c r="P126" s="7">
        <f t="shared" si="86"/>
        <v>0</v>
      </c>
      <c r="Q126" s="7">
        <f t="shared" si="79"/>
        <v>0</v>
      </c>
      <c r="R126" s="7">
        <f t="shared" si="80"/>
        <v>0</v>
      </c>
      <c r="S126" s="7">
        <f t="shared" si="81"/>
        <v>0</v>
      </c>
    </row>
    <row r="127" spans="3:19" ht="10.25" customHeight="1">
      <c r="C127" s="366"/>
      <c r="D127" s="840">
        <f>'Payroll 19-20'!D127</f>
        <v>0</v>
      </c>
      <c r="E127" s="840">
        <f>'Payroll 21-22'!E127*(1+'Revenue Inputs'!Q$27)</f>
        <v>0</v>
      </c>
      <c r="F127" s="828">
        <f>'Payroll 21-22'!F127*(1+$I$4)</f>
        <v>0</v>
      </c>
      <c r="G127" s="322">
        <f>'Payroll 21-22'!G127</f>
        <v>0</v>
      </c>
      <c r="H127" s="319">
        <f>'Payroll 21-22'!H127</f>
        <v>0</v>
      </c>
      <c r="I127" s="320">
        <f t="shared" si="73"/>
        <v>0</v>
      </c>
      <c r="J127" s="7">
        <f t="shared" si="82"/>
        <v>0</v>
      </c>
      <c r="K127" s="7">
        <f t="shared" si="83"/>
        <v>0</v>
      </c>
      <c r="L127" s="7"/>
      <c r="M127" s="7">
        <f t="shared" si="84"/>
        <v>0</v>
      </c>
      <c r="N127" s="8" t="s">
        <v>75</v>
      </c>
      <c r="O127" s="8" t="str">
        <f t="shared" si="85"/>
        <v>N/A</v>
      </c>
      <c r="P127" s="7">
        <f t="shared" si="86"/>
        <v>0</v>
      </c>
      <c r="Q127" s="7">
        <f t="shared" si="79"/>
        <v>0</v>
      </c>
      <c r="R127" s="7">
        <f t="shared" si="80"/>
        <v>0</v>
      </c>
      <c r="S127" s="7">
        <f t="shared" si="81"/>
        <v>0</v>
      </c>
    </row>
    <row r="128" spans="3:19" ht="12">
      <c r="C128" s="368"/>
      <c r="D128" s="840">
        <f>'Payroll 19-20'!D128</f>
        <v>0</v>
      </c>
      <c r="E128" s="840">
        <f>'Payroll 21-22'!E128*(1+'Revenue Inputs'!Q$27)</f>
        <v>0</v>
      </c>
      <c r="F128" s="828">
        <f>'Payroll 21-22'!F128*(1+$I$4)</f>
        <v>0</v>
      </c>
      <c r="G128" s="322">
        <f>'Payroll 21-22'!G128</f>
        <v>0</v>
      </c>
      <c r="H128" s="319">
        <f>'Payroll 21-22'!H128</f>
        <v>0</v>
      </c>
      <c r="I128" s="320">
        <f t="shared" si="73"/>
        <v>0</v>
      </c>
      <c r="J128" s="7">
        <f t="shared" si="82"/>
        <v>0</v>
      </c>
      <c r="K128" s="7">
        <f t="shared" si="83"/>
        <v>0</v>
      </c>
      <c r="L128" s="7"/>
      <c r="M128" s="7">
        <f t="shared" si="84"/>
        <v>0</v>
      </c>
      <c r="N128" s="8" t="s">
        <v>75</v>
      </c>
      <c r="O128" s="8" t="str">
        <f t="shared" si="85"/>
        <v>N/A</v>
      </c>
      <c r="P128" s="7">
        <f t="shared" si="86"/>
        <v>0</v>
      </c>
      <c r="Q128" s="7">
        <f t="shared" si="79"/>
        <v>0</v>
      </c>
      <c r="R128" s="7">
        <f t="shared" si="80"/>
        <v>0</v>
      </c>
      <c r="S128" s="7">
        <f t="shared" si="81"/>
        <v>0</v>
      </c>
    </row>
    <row r="129" spans="3:19" ht="12">
      <c r="C129" s="366"/>
      <c r="D129" s="840">
        <f>'Payroll 19-20'!D129</f>
        <v>0</v>
      </c>
      <c r="E129" s="840">
        <f>'Payroll 21-22'!E129*(1+'Revenue Inputs'!Q$27)</f>
        <v>0</v>
      </c>
      <c r="F129" s="828">
        <f>'Payroll 21-22'!F129*(1+$I$4)</f>
        <v>0</v>
      </c>
      <c r="G129" s="322">
        <f>'Payroll 21-22'!G129</f>
        <v>0</v>
      </c>
      <c r="H129" s="319">
        <f>'Payroll 21-22'!H129</f>
        <v>0</v>
      </c>
      <c r="I129" s="320">
        <f t="shared" si="73"/>
        <v>0</v>
      </c>
      <c r="J129" s="7">
        <f t="shared" si="82"/>
        <v>0</v>
      </c>
      <c r="K129" s="7">
        <f t="shared" si="83"/>
        <v>0</v>
      </c>
      <c r="L129" s="7"/>
      <c r="M129" s="7">
        <f t="shared" si="84"/>
        <v>0</v>
      </c>
      <c r="N129" s="8" t="s">
        <v>75</v>
      </c>
      <c r="O129" s="8" t="str">
        <f t="shared" si="85"/>
        <v>N/A</v>
      </c>
      <c r="P129" s="7">
        <f t="shared" si="86"/>
        <v>0</v>
      </c>
      <c r="Q129" s="7">
        <f t="shared" si="79"/>
        <v>0</v>
      </c>
      <c r="R129" s="7">
        <f t="shared" si="80"/>
        <v>0</v>
      </c>
      <c r="S129" s="7">
        <f t="shared" si="81"/>
        <v>0</v>
      </c>
    </row>
    <row r="130" spans="3:19" ht="12">
      <c r="C130" s="366"/>
      <c r="D130" s="840">
        <f>'Payroll 19-20'!D130</f>
        <v>0</v>
      </c>
      <c r="E130" s="840">
        <f>'Payroll 21-22'!E130*(1+'Revenue Inputs'!Q$27)</f>
        <v>0</v>
      </c>
      <c r="F130" s="828">
        <f>'Payroll 21-22'!F130*(1+$I$4)</f>
        <v>0</v>
      </c>
      <c r="G130" s="322">
        <f>'Payroll 21-22'!G130</f>
        <v>0</v>
      </c>
      <c r="H130" s="319">
        <f>'Payroll 21-22'!H130</f>
        <v>0</v>
      </c>
      <c r="I130" s="320">
        <f t="shared" si="73"/>
        <v>0</v>
      </c>
      <c r="J130" s="7">
        <f t="shared" si="82"/>
        <v>0</v>
      </c>
      <c r="K130" s="7">
        <f t="shared" si="83"/>
        <v>0</v>
      </c>
      <c r="L130" s="7"/>
      <c r="M130" s="7">
        <f t="shared" si="84"/>
        <v>0</v>
      </c>
      <c r="N130" s="8" t="s">
        <v>75</v>
      </c>
      <c r="O130" s="8" t="str">
        <f t="shared" si="85"/>
        <v>N/A</v>
      </c>
      <c r="P130" s="7">
        <f t="shared" si="86"/>
        <v>0</v>
      </c>
      <c r="Q130" s="7">
        <f t="shared" si="79"/>
        <v>0</v>
      </c>
      <c r="R130" s="7">
        <f t="shared" si="80"/>
        <v>0</v>
      </c>
      <c r="S130" s="7">
        <f t="shared" si="81"/>
        <v>0</v>
      </c>
    </row>
    <row r="131" spans="3:19" ht="12">
      <c r="C131" s="366"/>
      <c r="D131" s="840">
        <f>'Payroll 19-20'!D131</f>
        <v>0</v>
      </c>
      <c r="E131" s="840">
        <f>'Payroll 21-22'!E131*(1+'Revenue Inputs'!Q$27)</f>
        <v>0</v>
      </c>
      <c r="F131" s="828">
        <f>'Payroll 21-22'!F131*(1+$I$4)</f>
        <v>0</v>
      </c>
      <c r="G131" s="322">
        <f>'Payroll 21-22'!G131</f>
        <v>0</v>
      </c>
      <c r="H131" s="319">
        <f>'Payroll 21-22'!H131</f>
        <v>0</v>
      </c>
      <c r="I131" s="320">
        <f t="shared" si="73"/>
        <v>0</v>
      </c>
      <c r="J131" s="7">
        <f t="shared" si="82"/>
        <v>0</v>
      </c>
      <c r="K131" s="7">
        <f t="shared" si="83"/>
        <v>0</v>
      </c>
      <c r="L131" s="7"/>
      <c r="M131" s="7">
        <f t="shared" si="84"/>
        <v>0</v>
      </c>
      <c r="N131" s="8" t="s">
        <v>75</v>
      </c>
      <c r="O131" s="8" t="str">
        <f t="shared" si="85"/>
        <v>N/A</v>
      </c>
      <c r="P131" s="7">
        <f t="shared" si="86"/>
        <v>0</v>
      </c>
      <c r="Q131" s="7">
        <f t="shared" si="79"/>
        <v>0</v>
      </c>
      <c r="R131" s="7">
        <f t="shared" si="80"/>
        <v>0</v>
      </c>
      <c r="S131" s="7">
        <f t="shared" si="81"/>
        <v>0</v>
      </c>
    </row>
    <row r="132" spans="3:19" ht="12">
      <c r="C132" s="366"/>
      <c r="D132" s="840">
        <f>'Payroll 19-20'!D132</f>
        <v>0</v>
      </c>
      <c r="E132" s="840">
        <f>'Payroll 21-22'!E132*(1+'Revenue Inputs'!Q$27)</f>
        <v>0</v>
      </c>
      <c r="F132" s="828">
        <f>'Payroll 21-22'!F132*(1+$I$4)</f>
        <v>0</v>
      </c>
      <c r="G132" s="322">
        <f>'Payroll 21-22'!G132</f>
        <v>0</v>
      </c>
      <c r="H132" s="319">
        <f>'Payroll 21-22'!H132</f>
        <v>0</v>
      </c>
      <c r="I132" s="320">
        <f t="shared" si="73"/>
        <v>0</v>
      </c>
      <c r="J132" s="7">
        <f t="shared" si="82"/>
        <v>0</v>
      </c>
      <c r="K132" s="7">
        <f t="shared" si="83"/>
        <v>0</v>
      </c>
      <c r="L132" s="7"/>
      <c r="M132" s="7">
        <f t="shared" si="84"/>
        <v>0</v>
      </c>
      <c r="N132" s="8" t="s">
        <v>75</v>
      </c>
      <c r="O132" s="8" t="str">
        <f t="shared" si="85"/>
        <v>N/A</v>
      </c>
      <c r="P132" s="7">
        <f t="shared" si="86"/>
        <v>0</v>
      </c>
      <c r="Q132" s="7">
        <f t="shared" si="79"/>
        <v>0</v>
      </c>
      <c r="R132" s="7">
        <f t="shared" si="80"/>
        <v>0</v>
      </c>
      <c r="S132" s="7">
        <f t="shared" si="81"/>
        <v>0</v>
      </c>
    </row>
    <row r="133" spans="3:19" ht="12">
      <c r="C133" s="368"/>
      <c r="D133" s="840">
        <f>'Payroll 19-20'!D133</f>
        <v>0</v>
      </c>
      <c r="E133" s="840">
        <f>'Payroll 21-22'!E133*(1+'Revenue Inputs'!Q$27)</f>
        <v>0</v>
      </c>
      <c r="F133" s="828">
        <f>'Payroll 21-22'!F133*(1+$I$4)</f>
        <v>0</v>
      </c>
      <c r="G133" s="322">
        <f>'Payroll 21-22'!G133</f>
        <v>0</v>
      </c>
      <c r="H133" s="319">
        <f>'Payroll 21-22'!H133</f>
        <v>0</v>
      </c>
      <c r="I133" s="320">
        <f t="shared" si="73"/>
        <v>0</v>
      </c>
      <c r="J133" s="7">
        <f t="shared" si="82"/>
        <v>0</v>
      </c>
      <c r="K133" s="7">
        <f t="shared" si="83"/>
        <v>0</v>
      </c>
      <c r="L133" s="7"/>
      <c r="M133" s="7">
        <f t="shared" si="84"/>
        <v>0</v>
      </c>
      <c r="N133" s="8" t="s">
        <v>75</v>
      </c>
      <c r="O133" s="8" t="str">
        <f t="shared" si="85"/>
        <v>N/A</v>
      </c>
      <c r="P133" s="7">
        <f t="shared" si="86"/>
        <v>0</v>
      </c>
      <c r="Q133" s="7">
        <f t="shared" si="79"/>
        <v>0</v>
      </c>
      <c r="R133" s="7">
        <f t="shared" si="80"/>
        <v>0</v>
      </c>
      <c r="S133" s="7">
        <f t="shared" si="81"/>
        <v>0</v>
      </c>
    </row>
    <row r="134" spans="3:19" ht="12">
      <c r="C134" s="366"/>
      <c r="D134" s="840">
        <f>'Payroll 19-20'!D134</f>
        <v>0</v>
      </c>
      <c r="E134" s="840">
        <f>'Payroll 21-22'!E134*(1+'Revenue Inputs'!Q$27)</f>
        <v>0</v>
      </c>
      <c r="F134" s="828">
        <f>'Payroll 21-22'!F134*(1+$I$4)</f>
        <v>0</v>
      </c>
      <c r="G134" s="322">
        <f>'Payroll 21-22'!G134</f>
        <v>0</v>
      </c>
      <c r="H134" s="319">
        <f>'Payroll 21-22'!H134</f>
        <v>0</v>
      </c>
      <c r="I134" s="320">
        <f t="shared" si="73"/>
        <v>0</v>
      </c>
      <c r="J134" s="7">
        <f t="shared" si="74"/>
        <v>0</v>
      </c>
      <c r="K134" s="7">
        <f t="shared" si="75"/>
        <v>0</v>
      </c>
      <c r="L134" s="7"/>
      <c r="M134" s="7">
        <f t="shared" si="76"/>
        <v>0</v>
      </c>
      <c r="N134" s="8" t="s">
        <v>75</v>
      </c>
      <c r="O134" s="8" t="str">
        <f t="shared" si="77"/>
        <v>N/A</v>
      </c>
      <c r="P134" s="7">
        <f t="shared" si="78"/>
        <v>0</v>
      </c>
      <c r="Q134" s="7">
        <f t="shared" si="79"/>
        <v>0</v>
      </c>
      <c r="R134" s="7">
        <f t="shared" si="80"/>
        <v>0</v>
      </c>
      <c r="S134" s="7">
        <f t="shared" si="81"/>
        <v>0</v>
      </c>
    </row>
    <row r="135" spans="3:19" ht="12" customHeight="1">
      <c r="C135" s="366"/>
      <c r="D135" s="840">
        <f>'Payroll 19-20'!D135</f>
        <v>0</v>
      </c>
      <c r="E135" s="840">
        <f>'Payroll 21-22'!E135*(1+'Revenue Inputs'!Q$27)</f>
        <v>0</v>
      </c>
      <c r="F135" s="828">
        <f>'Payroll 21-22'!F135*(1+$I$4)</f>
        <v>0</v>
      </c>
      <c r="G135" s="322">
        <f>'Payroll 21-22'!G135</f>
        <v>0</v>
      </c>
      <c r="H135" s="319">
        <f>'Payroll 21-22'!H135</f>
        <v>0</v>
      </c>
      <c r="I135" s="320">
        <f t="shared" si="73"/>
        <v>0</v>
      </c>
      <c r="J135" s="7">
        <f t="shared" si="74"/>
        <v>0</v>
      </c>
      <c r="K135" s="7">
        <f t="shared" si="75"/>
        <v>0</v>
      </c>
      <c r="L135" s="7"/>
      <c r="M135" s="7">
        <f t="shared" si="76"/>
        <v>0</v>
      </c>
      <c r="N135" s="8" t="s">
        <v>75</v>
      </c>
      <c r="O135" s="8" t="str">
        <f t="shared" si="77"/>
        <v>N/A</v>
      </c>
      <c r="P135" s="7">
        <f t="shared" si="78"/>
        <v>0</v>
      </c>
      <c r="Q135" s="7">
        <f t="shared" si="79"/>
        <v>0</v>
      </c>
      <c r="R135" s="7">
        <f t="shared" si="80"/>
        <v>0</v>
      </c>
      <c r="S135" s="7">
        <f t="shared" si="81"/>
        <v>0</v>
      </c>
    </row>
    <row r="136" spans="3:19" ht="10.25" customHeight="1">
      <c r="C136" s="366"/>
      <c r="D136" s="840">
        <f>'Payroll 19-20'!D136</f>
        <v>0</v>
      </c>
      <c r="E136" s="840">
        <f>'Payroll 21-22'!E136*(1+'Revenue Inputs'!Q$27)</f>
        <v>0</v>
      </c>
      <c r="F136" s="828">
        <f>'Payroll 21-22'!F136*(1+$I$4)</f>
        <v>0</v>
      </c>
      <c r="G136" s="322">
        <f>'Payroll 21-22'!G136</f>
        <v>0</v>
      </c>
      <c r="H136" s="319">
        <f>'Payroll 21-22'!H136</f>
        <v>0</v>
      </c>
      <c r="I136" s="320">
        <f t="shared" si="73"/>
        <v>0</v>
      </c>
      <c r="J136" s="7">
        <f t="shared" si="74"/>
        <v>0</v>
      </c>
      <c r="K136" s="7">
        <f t="shared" si="75"/>
        <v>0</v>
      </c>
      <c r="L136" s="7"/>
      <c r="M136" s="7">
        <f t="shared" si="76"/>
        <v>0</v>
      </c>
      <c r="N136" s="8" t="s">
        <v>75</v>
      </c>
      <c r="O136" s="8" t="str">
        <f t="shared" si="77"/>
        <v>N/A</v>
      </c>
      <c r="P136" s="7">
        <f t="shared" si="78"/>
        <v>0</v>
      </c>
      <c r="Q136" s="7">
        <f t="shared" si="79"/>
        <v>0</v>
      </c>
      <c r="R136" s="7">
        <f t="shared" si="80"/>
        <v>0</v>
      </c>
      <c r="S136" s="7">
        <f t="shared" si="81"/>
        <v>0</v>
      </c>
    </row>
    <row r="137" spans="3:19" ht="12">
      <c r="C137" s="368"/>
      <c r="D137" s="840">
        <f>'Payroll 19-20'!D137</f>
        <v>0</v>
      </c>
      <c r="E137" s="840">
        <f>'Payroll 21-22'!E137*(1+'Revenue Inputs'!Q$27)</f>
        <v>0</v>
      </c>
      <c r="F137" s="828">
        <f>'Payroll 21-22'!F137*(1+$I$4)</f>
        <v>0</v>
      </c>
      <c r="G137" s="322">
        <f>'Payroll 21-22'!G137</f>
        <v>0</v>
      </c>
      <c r="H137" s="319">
        <f>'Payroll 21-22'!H137</f>
        <v>0</v>
      </c>
      <c r="I137" s="320">
        <f t="shared" si="73"/>
        <v>0</v>
      </c>
      <c r="J137" s="7">
        <f t="shared" si="74"/>
        <v>0</v>
      </c>
      <c r="K137" s="7">
        <f t="shared" si="75"/>
        <v>0</v>
      </c>
      <c r="L137" s="7"/>
      <c r="M137" s="7">
        <f t="shared" si="76"/>
        <v>0</v>
      </c>
      <c r="N137" s="8" t="s">
        <v>75</v>
      </c>
      <c r="O137" s="8" t="str">
        <f t="shared" si="77"/>
        <v>N/A</v>
      </c>
      <c r="P137" s="7">
        <f t="shared" si="78"/>
        <v>0</v>
      </c>
      <c r="Q137" s="7">
        <f t="shared" si="79"/>
        <v>0</v>
      </c>
      <c r="R137" s="7">
        <f t="shared" si="80"/>
        <v>0</v>
      </c>
      <c r="S137" s="7">
        <f t="shared" si="81"/>
        <v>0</v>
      </c>
    </row>
    <row r="138" spans="3:19" ht="12">
      <c r="C138" s="366"/>
      <c r="D138" s="840">
        <f>'Payroll 19-20'!D138</f>
        <v>0</v>
      </c>
      <c r="E138" s="840">
        <f>'Payroll 21-22'!E138*(1+'Revenue Inputs'!Q$27)</f>
        <v>0</v>
      </c>
      <c r="F138" s="828">
        <f>'Payroll 21-22'!F138*(1+$I$4)</f>
        <v>0</v>
      </c>
      <c r="G138" s="322">
        <f>'Payroll 21-22'!G138</f>
        <v>0</v>
      </c>
      <c r="H138" s="319">
        <f>'Payroll 21-22'!H138</f>
        <v>0</v>
      </c>
      <c r="I138" s="320">
        <f t="shared" si="73"/>
        <v>0</v>
      </c>
      <c r="J138" s="7">
        <f t="shared" si="74"/>
        <v>0</v>
      </c>
      <c r="K138" s="7">
        <f t="shared" si="75"/>
        <v>0</v>
      </c>
      <c r="L138" s="7"/>
      <c r="M138" s="7">
        <f t="shared" si="76"/>
        <v>0</v>
      </c>
      <c r="N138" s="8" t="s">
        <v>75</v>
      </c>
      <c r="O138" s="8" t="str">
        <f t="shared" si="77"/>
        <v>N/A</v>
      </c>
      <c r="P138" s="7">
        <f t="shared" si="78"/>
        <v>0</v>
      </c>
      <c r="Q138" s="7">
        <f t="shared" si="79"/>
        <v>0</v>
      </c>
      <c r="R138" s="7">
        <f t="shared" si="80"/>
        <v>0</v>
      </c>
      <c r="S138" s="7">
        <f t="shared" si="81"/>
        <v>0</v>
      </c>
    </row>
    <row r="139" spans="3:19" ht="12">
      <c r="C139" s="366"/>
      <c r="D139" s="840">
        <f>'Payroll 19-20'!D139</f>
        <v>0</v>
      </c>
      <c r="E139" s="840">
        <f>'Payroll 21-22'!E139*(1+'Revenue Inputs'!Q$27)</f>
        <v>0</v>
      </c>
      <c r="F139" s="828">
        <f>'Payroll 21-22'!F139*(1+$I$4)</f>
        <v>0</v>
      </c>
      <c r="G139" s="322">
        <f>'Payroll 21-22'!G139</f>
        <v>0</v>
      </c>
      <c r="H139" s="319">
        <f>'Payroll 21-22'!H139</f>
        <v>0</v>
      </c>
      <c r="I139" s="320">
        <f t="shared" si="73"/>
        <v>0</v>
      </c>
      <c r="J139" s="7">
        <f t="shared" si="74"/>
        <v>0</v>
      </c>
      <c r="K139" s="7">
        <f t="shared" si="75"/>
        <v>0</v>
      </c>
      <c r="L139" s="7"/>
      <c r="M139" s="7">
        <f t="shared" si="76"/>
        <v>0</v>
      </c>
      <c r="N139" s="8" t="s">
        <v>75</v>
      </c>
      <c r="O139" s="8" t="str">
        <f t="shared" si="77"/>
        <v>N/A</v>
      </c>
      <c r="P139" s="7">
        <f t="shared" si="78"/>
        <v>0</v>
      </c>
      <c r="Q139" s="7">
        <f t="shared" si="79"/>
        <v>0</v>
      </c>
      <c r="R139" s="7">
        <f t="shared" si="80"/>
        <v>0</v>
      </c>
      <c r="S139" s="7">
        <f t="shared" si="81"/>
        <v>0</v>
      </c>
    </row>
    <row r="140" spans="3:19" ht="12">
      <c r="C140" s="366"/>
      <c r="D140" s="840">
        <f>'Payroll 19-20'!D140</f>
        <v>0</v>
      </c>
      <c r="E140" s="840">
        <f>'Payroll 21-22'!E140*(1+'Revenue Inputs'!Q$27)</f>
        <v>0</v>
      </c>
      <c r="F140" s="828">
        <f>'Payroll 21-22'!F140*(1+$I$4)</f>
        <v>0</v>
      </c>
      <c r="G140" s="322">
        <f>'Payroll 21-22'!G140</f>
        <v>0</v>
      </c>
      <c r="H140" s="319">
        <f>'Payroll 21-22'!H140</f>
        <v>0</v>
      </c>
      <c r="I140" s="320">
        <f t="shared" si="73"/>
        <v>0</v>
      </c>
      <c r="J140" s="7">
        <f t="shared" si="74"/>
        <v>0</v>
      </c>
      <c r="K140" s="7">
        <f t="shared" si="75"/>
        <v>0</v>
      </c>
      <c r="L140" s="7"/>
      <c r="M140" s="7">
        <f t="shared" si="76"/>
        <v>0</v>
      </c>
      <c r="N140" s="8" t="s">
        <v>75</v>
      </c>
      <c r="O140" s="8" t="str">
        <f t="shared" si="77"/>
        <v>N/A</v>
      </c>
      <c r="P140" s="7">
        <f t="shared" si="78"/>
        <v>0</v>
      </c>
      <c r="Q140" s="7">
        <f t="shared" si="79"/>
        <v>0</v>
      </c>
      <c r="R140" s="7">
        <f t="shared" si="80"/>
        <v>0</v>
      </c>
      <c r="S140" s="7">
        <f t="shared" si="81"/>
        <v>0</v>
      </c>
    </row>
    <row r="141" spans="3:19" ht="12">
      <c r="C141" s="366"/>
      <c r="D141" s="840">
        <f>'Payroll 19-20'!D141</f>
        <v>0</v>
      </c>
      <c r="E141" s="840">
        <f>'Payroll 21-22'!E141*(1+'Revenue Inputs'!Q$27)</f>
        <v>0</v>
      </c>
      <c r="F141" s="828">
        <f>'Payroll 21-22'!F141*(1+$I$4)</f>
        <v>0</v>
      </c>
      <c r="G141" s="322">
        <f>'Payroll 21-22'!G141</f>
        <v>0</v>
      </c>
      <c r="H141" s="319">
        <f>'Payroll 21-22'!H141</f>
        <v>0</v>
      </c>
      <c r="I141" s="320">
        <f t="shared" si="73"/>
        <v>0</v>
      </c>
      <c r="J141" s="7">
        <f t="shared" si="74"/>
        <v>0</v>
      </c>
      <c r="K141" s="7">
        <f t="shared" si="75"/>
        <v>0</v>
      </c>
      <c r="L141" s="7"/>
      <c r="M141" s="7">
        <f t="shared" si="76"/>
        <v>0</v>
      </c>
      <c r="N141" s="8" t="s">
        <v>75</v>
      </c>
      <c r="O141" s="8" t="str">
        <f t="shared" si="77"/>
        <v>N/A</v>
      </c>
      <c r="P141" s="7">
        <f t="shared" si="78"/>
        <v>0</v>
      </c>
      <c r="Q141" s="7">
        <f t="shared" si="79"/>
        <v>0</v>
      </c>
      <c r="R141" s="7">
        <f t="shared" si="80"/>
        <v>0</v>
      </c>
      <c r="S141" s="7">
        <f t="shared" si="81"/>
        <v>0</v>
      </c>
    </row>
    <row r="142" spans="3:19" ht="12">
      <c r="C142" s="368"/>
      <c r="D142" s="840">
        <f>'Payroll 19-20'!D142</f>
        <v>0</v>
      </c>
      <c r="E142" s="840">
        <f>'Payroll 21-22'!E142*(1+'Revenue Inputs'!Q$27)</f>
        <v>0</v>
      </c>
      <c r="F142" s="828">
        <f>'Payroll 21-22'!F142*(1+$I$4)</f>
        <v>0</v>
      </c>
      <c r="G142" s="322">
        <f>'Payroll 21-22'!G142</f>
        <v>0</v>
      </c>
      <c r="H142" s="319">
        <f>'Payroll 21-22'!H142</f>
        <v>0</v>
      </c>
      <c r="I142" s="320">
        <f t="shared" si="73"/>
        <v>0</v>
      </c>
      <c r="J142" s="7">
        <f t="shared" si="74"/>
        <v>0</v>
      </c>
      <c r="K142" s="7">
        <f t="shared" si="75"/>
        <v>0</v>
      </c>
      <c r="L142" s="7"/>
      <c r="M142" s="7">
        <f t="shared" si="76"/>
        <v>0</v>
      </c>
      <c r="N142" s="8" t="s">
        <v>75</v>
      </c>
      <c r="O142" s="8" t="str">
        <f t="shared" si="77"/>
        <v>N/A</v>
      </c>
      <c r="P142" s="7">
        <f t="shared" si="78"/>
        <v>0</v>
      </c>
      <c r="Q142" s="7">
        <f t="shared" si="79"/>
        <v>0</v>
      </c>
      <c r="R142" s="7">
        <f t="shared" si="80"/>
        <v>0</v>
      </c>
      <c r="S142" s="7">
        <f t="shared" si="81"/>
        <v>0</v>
      </c>
    </row>
    <row r="143" spans="3:19" ht="13" thickBot="1">
      <c r="C143" s="368"/>
      <c r="D143" s="841"/>
      <c r="E143" s="841"/>
      <c r="F143" s="841"/>
      <c r="G143" s="28"/>
      <c r="H143" s="427"/>
      <c r="I143" s="337"/>
      <c r="J143" s="40"/>
      <c r="K143" s="40"/>
      <c r="L143" s="40"/>
      <c r="M143" s="40"/>
      <c r="N143" s="40"/>
      <c r="O143" s="40"/>
      <c r="P143" s="40"/>
      <c r="Q143" s="40"/>
      <c r="R143" s="40"/>
      <c r="S143" s="40"/>
    </row>
    <row r="144" spans="3:19" s="41" customFormat="1" ht="13" thickBot="1">
      <c r="C144" s="368"/>
      <c r="D144" s="834"/>
      <c r="E144" s="847"/>
      <c r="F144" s="834"/>
      <c r="G144" s="49"/>
      <c r="H144" s="333">
        <v>1900</v>
      </c>
      <c r="I144" s="15">
        <f>SUM(I124:I143)</f>
        <v>0</v>
      </c>
      <c r="J144" s="15">
        <f>SUM(J124:J143)</f>
        <v>0</v>
      </c>
      <c r="K144" s="15">
        <f>SUM(K124:K143)</f>
        <v>0</v>
      </c>
      <c r="L144" s="16"/>
      <c r="M144" s="15">
        <f t="shared" ref="M144:S144" si="87">SUM(M124:M143)</f>
        <v>0</v>
      </c>
      <c r="N144" s="15">
        <f t="shared" si="87"/>
        <v>0</v>
      </c>
      <c r="O144" s="15">
        <f t="shared" si="87"/>
        <v>0</v>
      </c>
      <c r="P144" s="15">
        <f t="shared" si="87"/>
        <v>0</v>
      </c>
      <c r="Q144" s="15">
        <f t="shared" si="87"/>
        <v>0</v>
      </c>
      <c r="R144" s="15">
        <f t="shared" si="87"/>
        <v>0</v>
      </c>
      <c r="S144" s="15">
        <f t="shared" si="87"/>
        <v>0</v>
      </c>
    </row>
    <row r="145" spans="3:19" ht="12">
      <c r="C145" s="369" t="s">
        <v>20</v>
      </c>
      <c r="D145" s="835"/>
      <c r="E145" s="848"/>
      <c r="F145" s="835"/>
      <c r="G145" s="28"/>
      <c r="H145" s="35"/>
      <c r="I145" s="7"/>
      <c r="J145" s="7"/>
      <c r="K145" s="7"/>
      <c r="L145" s="7"/>
      <c r="M145" s="36"/>
      <c r="N145" s="36"/>
      <c r="O145" s="36"/>
      <c r="P145" s="36"/>
      <c r="Q145" s="36"/>
      <c r="R145" s="36"/>
      <c r="S145" s="36"/>
    </row>
    <row r="146" spans="3:19" ht="12">
      <c r="C146" s="369"/>
      <c r="D146" s="840" t="str">
        <f>'Payroll 19-20'!D146</f>
        <v>April M. Tilden</v>
      </c>
      <c r="E146" s="840">
        <f>'Payroll 21-22'!E146*(1+'Revenue Inputs'!Q$27)</f>
        <v>1.05</v>
      </c>
      <c r="F146" s="828">
        <f>'Payroll 21-22'!F146*(1+$I$4)</f>
        <v>62449.58634912</v>
      </c>
      <c r="G146" s="322">
        <f>'Payroll 21-22'!G146</f>
        <v>12</v>
      </c>
      <c r="H146" s="319" t="str">
        <f>'Payroll 21-22'!H146</f>
        <v>y</v>
      </c>
      <c r="I146" s="320">
        <f t="shared" ref="I146:I164" si="88">F146*E146</f>
        <v>65572.065666576003</v>
      </c>
      <c r="J146" s="7">
        <f t="shared" ref="J146:J164" si="89">SUM(M146:S146)</f>
        <v>15707.65514282513</v>
      </c>
      <c r="K146" s="7">
        <f t="shared" ref="K146:K164" si="90">SUM(I146:J146)</f>
        <v>81279.720809401129</v>
      </c>
      <c r="L146" s="7"/>
      <c r="M146" s="8" t="s">
        <v>75</v>
      </c>
      <c r="N146" s="7">
        <f t="shared" ref="N146:N164" si="91">I146*$N$5</f>
        <v>0</v>
      </c>
      <c r="O146" s="8">
        <f>I146*$O$5</f>
        <v>4065.4680713277121</v>
      </c>
      <c r="P146" s="7">
        <f t="shared" ref="P146:P164" si="92">I146*$P$5</f>
        <v>950.79495216535213</v>
      </c>
      <c r="Q146" s="7">
        <f t="shared" ref="Q146:Q164" si="93">IF(H146="y", $Q$5*E146, 0)</f>
        <v>9258.883200000002</v>
      </c>
      <c r="R146" s="7">
        <f t="shared" ref="R146:R164" si="94">IF($I146&gt;7000,7000*R$5,$I146*R$5)*E146</f>
        <v>514.50000000000011</v>
      </c>
      <c r="S146" s="7">
        <f t="shared" ref="S146:S164" si="95">S$5*$I146</f>
        <v>918.00891933206401</v>
      </c>
    </row>
    <row r="147" spans="3:19" ht="12">
      <c r="C147" s="369"/>
      <c r="D147" s="840" t="str">
        <f>'Payroll 19-20'!D147</f>
        <v>Christina D. McGuigan</v>
      </c>
      <c r="E147" s="840">
        <f>'Payroll 21-22'!E147*(1+'Revenue Inputs'!Q$27)</f>
        <v>1.05</v>
      </c>
      <c r="F147" s="828">
        <f>'Payroll 21-22'!F147*(1+$I$4)</f>
        <v>63648</v>
      </c>
      <c r="G147" s="322">
        <f>'Payroll 21-22'!G147</f>
        <v>12</v>
      </c>
      <c r="H147" s="319" t="str">
        <f>'Payroll 21-22'!H147</f>
        <v>y</v>
      </c>
      <c r="I147" s="320">
        <f t="shared" si="88"/>
        <v>66830.400000000009</v>
      </c>
      <c r="J147" s="7">
        <f t="shared" ref="J147:J155" si="96">SUM(M147:S147)</f>
        <v>15821.534400000002</v>
      </c>
      <c r="K147" s="7">
        <f t="shared" ref="K147:K155" si="97">SUM(I147:J147)</f>
        <v>82651.934400000013</v>
      </c>
      <c r="L147" s="7"/>
      <c r="M147" s="8" t="s">
        <v>75</v>
      </c>
      <c r="N147" s="7">
        <f t="shared" ref="N147:N155" si="98">I147*$N$5</f>
        <v>0</v>
      </c>
      <c r="O147" s="8">
        <f t="shared" ref="O147:O150" si="99">I147*$O$5</f>
        <v>4143.4848000000002</v>
      </c>
      <c r="P147" s="7">
        <f t="shared" ref="P147:P155" si="100">I147*$P$5</f>
        <v>969.04080000000022</v>
      </c>
      <c r="Q147" s="7">
        <f t="shared" si="93"/>
        <v>9258.883200000002</v>
      </c>
      <c r="R147" s="7">
        <f t="shared" si="94"/>
        <v>514.50000000000011</v>
      </c>
      <c r="S147" s="7">
        <f t="shared" si="95"/>
        <v>935.62560000000019</v>
      </c>
    </row>
    <row r="148" spans="3:19" ht="12">
      <c r="C148" s="369"/>
      <c r="D148" s="840" t="str">
        <f>'Payroll 19-20'!D148</f>
        <v>Hughes J. Cano</v>
      </c>
      <c r="E148" s="840">
        <f>'Payroll 21-22'!E148*(1+'Revenue Inputs'!Q$27)</f>
        <v>1.05</v>
      </c>
      <c r="F148" s="828">
        <f>'Payroll 21-22'!F148*(1+$I$4)</f>
        <v>63648</v>
      </c>
      <c r="G148" s="322">
        <f>'Payroll 21-22'!G148</f>
        <v>12</v>
      </c>
      <c r="H148" s="319" t="str">
        <f>'Payroll 21-22'!H148</f>
        <v>y</v>
      </c>
      <c r="I148" s="320">
        <f t="shared" si="88"/>
        <v>66830.400000000009</v>
      </c>
      <c r="J148" s="7">
        <f t="shared" si="96"/>
        <v>15821.534400000002</v>
      </c>
      <c r="K148" s="7">
        <f t="shared" si="97"/>
        <v>82651.934400000013</v>
      </c>
      <c r="L148" s="7"/>
      <c r="M148" s="8" t="s">
        <v>75</v>
      </c>
      <c r="N148" s="7">
        <f t="shared" si="98"/>
        <v>0</v>
      </c>
      <c r="O148" s="8">
        <f t="shared" si="99"/>
        <v>4143.4848000000002</v>
      </c>
      <c r="P148" s="7">
        <f t="shared" si="100"/>
        <v>969.04080000000022</v>
      </c>
      <c r="Q148" s="7">
        <f t="shared" si="93"/>
        <v>9258.883200000002</v>
      </c>
      <c r="R148" s="7">
        <f t="shared" si="94"/>
        <v>514.50000000000011</v>
      </c>
      <c r="S148" s="7">
        <f>S$5*$I148</f>
        <v>935.62560000000019</v>
      </c>
    </row>
    <row r="149" spans="3:19" ht="12">
      <c r="C149" s="369"/>
      <c r="D149" s="840" t="str">
        <f>'Payroll 19-20'!D149</f>
        <v>Jonathan J. Quijas</v>
      </c>
      <c r="E149" s="840">
        <f>'Payroll 21-22'!E149*(1+'Revenue Inputs'!Q$27)</f>
        <v>1.05</v>
      </c>
      <c r="F149" s="828">
        <f>'Payroll 21-22'!F149*(1+$I$4)</f>
        <v>63648</v>
      </c>
      <c r="G149" s="322">
        <f>'Payroll 21-22'!G149</f>
        <v>12</v>
      </c>
      <c r="H149" s="319" t="str">
        <f>'Payroll 21-22'!H149</f>
        <v>y</v>
      </c>
      <c r="I149" s="320">
        <f t="shared" si="88"/>
        <v>66830.400000000009</v>
      </c>
      <c r="J149" s="7">
        <f t="shared" si="96"/>
        <v>15821.534400000002</v>
      </c>
      <c r="K149" s="7">
        <f t="shared" si="97"/>
        <v>82651.934400000013</v>
      </c>
      <c r="L149" s="7"/>
      <c r="M149" s="8" t="s">
        <v>75</v>
      </c>
      <c r="N149" s="7">
        <f t="shared" si="98"/>
        <v>0</v>
      </c>
      <c r="O149" s="8">
        <f t="shared" si="99"/>
        <v>4143.4848000000002</v>
      </c>
      <c r="P149" s="7">
        <f t="shared" si="100"/>
        <v>969.04080000000022</v>
      </c>
      <c r="Q149" s="7">
        <f t="shared" si="93"/>
        <v>9258.883200000002</v>
      </c>
      <c r="R149" s="7">
        <f t="shared" si="94"/>
        <v>514.50000000000011</v>
      </c>
      <c r="S149" s="7">
        <f>S$5*$I149</f>
        <v>935.62560000000019</v>
      </c>
    </row>
    <row r="150" spans="3:19" ht="12">
      <c r="C150" s="368"/>
      <c r="D150" s="840" t="str">
        <f>'Payroll 19-20'!D150</f>
        <v>Angela Churilla</v>
      </c>
      <c r="E150" s="840">
        <f>'Payroll 21-22'!E150*(1+'Revenue Inputs'!Q$27)</f>
        <v>1.05</v>
      </c>
      <c r="F150" s="828">
        <f>'Payroll 21-22'!F150*(1+$I$4)</f>
        <v>39867.631937280006</v>
      </c>
      <c r="G150" s="322">
        <f>'Payroll 21-22'!G150</f>
        <v>12</v>
      </c>
      <c r="H150" s="319" t="str">
        <f>'Payroll 21-22'!H150</f>
        <v>y</v>
      </c>
      <c r="I150" s="320">
        <f t="shared" si="88"/>
        <v>41861.013534144011</v>
      </c>
      <c r="J150" s="7">
        <f t="shared" si="96"/>
        <v>13561.804924840035</v>
      </c>
      <c r="K150" s="7">
        <f t="shared" si="97"/>
        <v>55422.818458984046</v>
      </c>
      <c r="L150" s="7"/>
      <c r="M150" s="8" t="s">
        <v>75</v>
      </c>
      <c r="N150" s="7">
        <f t="shared" si="98"/>
        <v>0</v>
      </c>
      <c r="O150" s="8">
        <f t="shared" si="99"/>
        <v>2595.3828391169286</v>
      </c>
      <c r="P150" s="7">
        <f t="shared" si="100"/>
        <v>606.98469624508823</v>
      </c>
      <c r="Q150" s="7">
        <f t="shared" si="93"/>
        <v>9258.883200000002</v>
      </c>
      <c r="R150" s="7">
        <f t="shared" si="94"/>
        <v>514.50000000000011</v>
      </c>
      <c r="S150" s="7">
        <f t="shared" si="95"/>
        <v>586.05418947801616</v>
      </c>
    </row>
    <row r="151" spans="3:19" ht="12">
      <c r="C151" s="369"/>
      <c r="D151" s="840" t="str">
        <f>'Payroll 19-20'!D151</f>
        <v>Melinda K. Radsliff</v>
      </c>
      <c r="E151" s="840">
        <f>'Payroll 21-22'!E151*(1+'Revenue Inputs'!Q$27)</f>
        <v>1.05</v>
      </c>
      <c r="F151" s="828">
        <f>'Payroll 21-22'!F151*(1+$I$4)</f>
        <v>63648</v>
      </c>
      <c r="G151" s="322">
        <f>'Payroll 21-22'!G151</f>
        <v>12</v>
      </c>
      <c r="H151" s="319" t="str">
        <f>'Payroll 21-22'!H151</f>
        <v>y</v>
      </c>
      <c r="I151" s="320">
        <f t="shared" si="88"/>
        <v>66830.400000000009</v>
      </c>
      <c r="J151" s="7">
        <f t="shared" si="96"/>
        <v>15821.534400000002</v>
      </c>
      <c r="K151" s="7">
        <f t="shared" si="97"/>
        <v>82651.934400000013</v>
      </c>
      <c r="L151" s="7"/>
      <c r="M151" s="8" t="s">
        <v>75</v>
      </c>
      <c r="N151" s="7">
        <f t="shared" si="98"/>
        <v>0</v>
      </c>
      <c r="O151" s="8">
        <f>I151*$O$5</f>
        <v>4143.4848000000002</v>
      </c>
      <c r="P151" s="7">
        <f t="shared" si="100"/>
        <v>969.04080000000022</v>
      </c>
      <c r="Q151" s="7">
        <f t="shared" si="93"/>
        <v>9258.883200000002</v>
      </c>
      <c r="R151" s="7">
        <f t="shared" si="94"/>
        <v>514.50000000000011</v>
      </c>
      <c r="S151" s="7">
        <f t="shared" si="95"/>
        <v>935.62560000000019</v>
      </c>
    </row>
    <row r="152" spans="3:19" ht="12">
      <c r="C152" s="369"/>
      <c r="D152" s="840">
        <f>'Payroll 19-20'!D152</f>
        <v>0</v>
      </c>
      <c r="E152" s="840">
        <f>'Payroll 21-22'!E152*(1+'Revenue Inputs'!Q$27)</f>
        <v>0</v>
      </c>
      <c r="F152" s="828">
        <f>'Payroll 21-22'!F152*(1+$I$4)</f>
        <v>0</v>
      </c>
      <c r="G152" s="322">
        <f>'Payroll 21-22'!G152</f>
        <v>0</v>
      </c>
      <c r="H152" s="319">
        <f>'Payroll 21-22'!H152</f>
        <v>0</v>
      </c>
      <c r="I152" s="320">
        <f t="shared" si="88"/>
        <v>0</v>
      </c>
      <c r="J152" s="7">
        <f t="shared" si="96"/>
        <v>0</v>
      </c>
      <c r="K152" s="7">
        <f t="shared" si="97"/>
        <v>0</v>
      </c>
      <c r="L152" s="7"/>
      <c r="M152" s="8" t="s">
        <v>75</v>
      </c>
      <c r="N152" s="7">
        <f t="shared" si="98"/>
        <v>0</v>
      </c>
      <c r="O152" s="8">
        <f t="shared" ref="O152:O155" si="101">I152*$O$5</f>
        <v>0</v>
      </c>
      <c r="P152" s="7">
        <f t="shared" si="100"/>
        <v>0</v>
      </c>
      <c r="Q152" s="7">
        <f t="shared" si="93"/>
        <v>0</v>
      </c>
      <c r="R152" s="7">
        <f t="shared" si="94"/>
        <v>0</v>
      </c>
      <c r="S152" s="7">
        <f t="shared" si="95"/>
        <v>0</v>
      </c>
    </row>
    <row r="153" spans="3:19" ht="12">
      <c r="C153" s="369"/>
      <c r="D153" s="840">
        <f>'Payroll 19-20'!D153</f>
        <v>0</v>
      </c>
      <c r="E153" s="840">
        <f>'Payroll 21-22'!E153*(1+'Revenue Inputs'!Q$27)</f>
        <v>0</v>
      </c>
      <c r="F153" s="828">
        <f>'Payroll 21-22'!F153*(1+$I$4)</f>
        <v>0</v>
      </c>
      <c r="G153" s="322">
        <f>'Payroll 21-22'!G153</f>
        <v>0</v>
      </c>
      <c r="H153" s="319">
        <f>'Payroll 21-22'!H153</f>
        <v>0</v>
      </c>
      <c r="I153" s="320">
        <f t="shared" si="88"/>
        <v>0</v>
      </c>
      <c r="J153" s="7">
        <f t="shared" si="96"/>
        <v>0</v>
      </c>
      <c r="K153" s="7">
        <f t="shared" si="97"/>
        <v>0</v>
      </c>
      <c r="L153" s="7"/>
      <c r="M153" s="8" t="s">
        <v>75</v>
      </c>
      <c r="N153" s="7">
        <f t="shared" si="98"/>
        <v>0</v>
      </c>
      <c r="O153" s="8">
        <f t="shared" si="101"/>
        <v>0</v>
      </c>
      <c r="P153" s="7">
        <f t="shared" si="100"/>
        <v>0</v>
      </c>
      <c r="Q153" s="7">
        <f t="shared" si="93"/>
        <v>0</v>
      </c>
      <c r="R153" s="7">
        <f t="shared" si="94"/>
        <v>0</v>
      </c>
      <c r="S153" s="7">
        <f>S$5*$I153</f>
        <v>0</v>
      </c>
    </row>
    <row r="154" spans="3:19" ht="12">
      <c r="C154" s="369"/>
      <c r="D154" s="840">
        <f>'Payroll 19-20'!D154</f>
        <v>0</v>
      </c>
      <c r="E154" s="840">
        <f>'Payroll 21-22'!E154*(1+'Revenue Inputs'!Q$27)</f>
        <v>0</v>
      </c>
      <c r="F154" s="828">
        <f>'Payroll 21-22'!F154*(1+$I$4)</f>
        <v>0</v>
      </c>
      <c r="G154" s="322">
        <f>'Payroll 21-22'!G154</f>
        <v>0</v>
      </c>
      <c r="H154" s="319">
        <f>'Payroll 21-22'!H154</f>
        <v>0</v>
      </c>
      <c r="I154" s="320">
        <f t="shared" si="88"/>
        <v>0</v>
      </c>
      <c r="J154" s="7">
        <f t="shared" si="96"/>
        <v>0</v>
      </c>
      <c r="K154" s="7">
        <f t="shared" si="97"/>
        <v>0</v>
      </c>
      <c r="L154" s="7"/>
      <c r="M154" s="8" t="s">
        <v>75</v>
      </c>
      <c r="N154" s="7">
        <f t="shared" si="98"/>
        <v>0</v>
      </c>
      <c r="O154" s="8">
        <f t="shared" si="101"/>
        <v>0</v>
      </c>
      <c r="P154" s="7">
        <f t="shared" si="100"/>
        <v>0</v>
      </c>
      <c r="Q154" s="7">
        <f t="shared" si="93"/>
        <v>0</v>
      </c>
      <c r="R154" s="7">
        <f t="shared" si="94"/>
        <v>0</v>
      </c>
      <c r="S154" s="7">
        <f>S$5*$I154</f>
        <v>0</v>
      </c>
    </row>
    <row r="155" spans="3:19" ht="12">
      <c r="C155" s="368"/>
      <c r="D155" s="840">
        <f>'Payroll 19-20'!D155</f>
        <v>0</v>
      </c>
      <c r="E155" s="840">
        <f>'Payroll 21-22'!E155*(1+'Revenue Inputs'!Q$27)</f>
        <v>0</v>
      </c>
      <c r="F155" s="828">
        <f>'Payroll 21-22'!F155*(1+$I$4)</f>
        <v>0</v>
      </c>
      <c r="G155" s="322">
        <f>'Payroll 21-22'!G155</f>
        <v>0</v>
      </c>
      <c r="H155" s="319">
        <f>'Payroll 21-22'!H155</f>
        <v>0</v>
      </c>
      <c r="I155" s="320">
        <f t="shared" si="88"/>
        <v>0</v>
      </c>
      <c r="J155" s="7">
        <f t="shared" si="96"/>
        <v>0</v>
      </c>
      <c r="K155" s="7">
        <f t="shared" si="97"/>
        <v>0</v>
      </c>
      <c r="L155" s="7"/>
      <c r="M155" s="8" t="s">
        <v>75</v>
      </c>
      <c r="N155" s="7">
        <f t="shared" si="98"/>
        <v>0</v>
      </c>
      <c r="O155" s="8">
        <f t="shared" si="101"/>
        <v>0</v>
      </c>
      <c r="P155" s="7">
        <f t="shared" si="100"/>
        <v>0</v>
      </c>
      <c r="Q155" s="7">
        <f t="shared" si="93"/>
        <v>0</v>
      </c>
      <c r="R155" s="7">
        <f>IF($I155&lt;7000,7000*R$5,$I155*R$5)*E155</f>
        <v>0</v>
      </c>
      <c r="S155" s="7">
        <f t="shared" si="95"/>
        <v>0</v>
      </c>
    </row>
    <row r="156" spans="3:19" ht="12">
      <c r="C156" s="369"/>
      <c r="D156" s="840">
        <f>'Payroll 19-20'!D156</f>
        <v>0</v>
      </c>
      <c r="E156" s="840">
        <f>'Payroll 21-22'!E156*(1+'Revenue Inputs'!Q$27)</f>
        <v>0</v>
      </c>
      <c r="F156" s="828">
        <f>'Payroll 21-22'!F156*(1+$I$4)</f>
        <v>0</v>
      </c>
      <c r="G156" s="322">
        <f>'Payroll 21-22'!G156</f>
        <v>0</v>
      </c>
      <c r="H156" s="319">
        <f>'Payroll 21-22'!H156</f>
        <v>0</v>
      </c>
      <c r="I156" s="320">
        <f t="shared" si="88"/>
        <v>0</v>
      </c>
      <c r="J156" s="7">
        <f t="shared" si="89"/>
        <v>0</v>
      </c>
      <c r="K156" s="7">
        <f t="shared" si="90"/>
        <v>0</v>
      </c>
      <c r="L156" s="7"/>
      <c r="M156" s="8" t="s">
        <v>75</v>
      </c>
      <c r="N156" s="7">
        <f t="shared" si="91"/>
        <v>0</v>
      </c>
      <c r="O156" s="8">
        <f t="shared" ref="O156:O159" si="102">I156*$O$5</f>
        <v>0</v>
      </c>
      <c r="P156" s="7">
        <f t="shared" si="92"/>
        <v>0</v>
      </c>
      <c r="Q156" s="7">
        <f t="shared" si="93"/>
        <v>0</v>
      </c>
      <c r="R156" s="7">
        <f t="shared" si="94"/>
        <v>0</v>
      </c>
      <c r="S156" s="7">
        <f t="shared" si="95"/>
        <v>0</v>
      </c>
    </row>
    <row r="157" spans="3:19" ht="12">
      <c r="C157" s="369"/>
      <c r="D157" s="840">
        <f>'Payroll 19-20'!D157</f>
        <v>0</v>
      </c>
      <c r="E157" s="840">
        <f>'Payroll 21-22'!E157*(1+'Revenue Inputs'!Q$27)</f>
        <v>0</v>
      </c>
      <c r="F157" s="828">
        <f>'Payroll 21-22'!F157*(1+$I$4)</f>
        <v>0</v>
      </c>
      <c r="G157" s="322">
        <f>'Payroll 21-22'!G157</f>
        <v>0</v>
      </c>
      <c r="H157" s="319">
        <f>'Payroll 21-22'!H157</f>
        <v>0</v>
      </c>
      <c r="I157" s="320">
        <f t="shared" si="88"/>
        <v>0</v>
      </c>
      <c r="J157" s="7">
        <f t="shared" si="89"/>
        <v>0</v>
      </c>
      <c r="K157" s="7">
        <f t="shared" si="90"/>
        <v>0</v>
      </c>
      <c r="L157" s="7"/>
      <c r="M157" s="8" t="s">
        <v>75</v>
      </c>
      <c r="N157" s="7">
        <f t="shared" si="91"/>
        <v>0</v>
      </c>
      <c r="O157" s="8">
        <f t="shared" si="102"/>
        <v>0</v>
      </c>
      <c r="P157" s="7">
        <f t="shared" si="92"/>
        <v>0</v>
      </c>
      <c r="Q157" s="7">
        <f t="shared" si="93"/>
        <v>0</v>
      </c>
      <c r="R157" s="7">
        <f t="shared" si="94"/>
        <v>0</v>
      </c>
      <c r="S157" s="7">
        <f>S$5*$I157</f>
        <v>0</v>
      </c>
    </row>
    <row r="158" spans="3:19" ht="12">
      <c r="C158" s="369"/>
      <c r="D158" s="840">
        <f>'Payroll 19-20'!D158</f>
        <v>0</v>
      </c>
      <c r="E158" s="840">
        <f>'Payroll 21-22'!E158*(1+'Revenue Inputs'!Q$27)</f>
        <v>0</v>
      </c>
      <c r="F158" s="828">
        <f>'Payroll 21-22'!F158*(1+$I$4)</f>
        <v>0</v>
      </c>
      <c r="G158" s="322">
        <f>'Payroll 21-22'!G158</f>
        <v>0</v>
      </c>
      <c r="H158" s="319">
        <f>'Payroll 21-22'!H158</f>
        <v>0</v>
      </c>
      <c r="I158" s="320">
        <f t="shared" si="88"/>
        <v>0</v>
      </c>
      <c r="J158" s="7">
        <f t="shared" si="89"/>
        <v>0</v>
      </c>
      <c r="K158" s="7">
        <f t="shared" si="90"/>
        <v>0</v>
      </c>
      <c r="L158" s="7"/>
      <c r="M158" s="8" t="s">
        <v>75</v>
      </c>
      <c r="N158" s="7">
        <f t="shared" si="91"/>
        <v>0</v>
      </c>
      <c r="O158" s="8">
        <f t="shared" si="102"/>
        <v>0</v>
      </c>
      <c r="P158" s="7">
        <f t="shared" si="92"/>
        <v>0</v>
      </c>
      <c r="Q158" s="7">
        <f t="shared" si="93"/>
        <v>0</v>
      </c>
      <c r="R158" s="7">
        <f t="shared" si="94"/>
        <v>0</v>
      </c>
      <c r="S158" s="7">
        <f>S$5*$I158</f>
        <v>0</v>
      </c>
    </row>
    <row r="159" spans="3:19" ht="12">
      <c r="C159" s="368"/>
      <c r="D159" s="840">
        <f>'Payroll 19-20'!D159</f>
        <v>0</v>
      </c>
      <c r="E159" s="840">
        <f>'Payroll 21-22'!E159*(1+'Revenue Inputs'!Q$27)</f>
        <v>0</v>
      </c>
      <c r="F159" s="828">
        <f>'Payroll 21-22'!F159*(1+$I$4)</f>
        <v>0</v>
      </c>
      <c r="G159" s="322">
        <f>'Payroll 21-22'!G159</f>
        <v>0</v>
      </c>
      <c r="H159" s="319">
        <f>'Payroll 21-22'!H159</f>
        <v>0</v>
      </c>
      <c r="I159" s="320">
        <f t="shared" si="88"/>
        <v>0</v>
      </c>
      <c r="J159" s="7">
        <f t="shared" si="89"/>
        <v>0</v>
      </c>
      <c r="K159" s="7">
        <f t="shared" si="90"/>
        <v>0</v>
      </c>
      <c r="L159" s="7"/>
      <c r="M159" s="8" t="s">
        <v>75</v>
      </c>
      <c r="N159" s="7">
        <f t="shared" si="91"/>
        <v>0</v>
      </c>
      <c r="O159" s="8">
        <f t="shared" si="102"/>
        <v>0</v>
      </c>
      <c r="P159" s="7">
        <f t="shared" si="92"/>
        <v>0</v>
      </c>
      <c r="Q159" s="7">
        <f t="shared" si="93"/>
        <v>0</v>
      </c>
      <c r="R159" s="7">
        <f t="shared" si="94"/>
        <v>0</v>
      </c>
      <c r="S159" s="7">
        <f t="shared" si="95"/>
        <v>0</v>
      </c>
    </row>
    <row r="160" spans="3:19" ht="12">
      <c r="C160" s="369"/>
      <c r="D160" s="840">
        <f>'Payroll 19-20'!D160</f>
        <v>0</v>
      </c>
      <c r="E160" s="840">
        <f>'Payroll 21-22'!E160*(1+'Revenue Inputs'!Q$27)</f>
        <v>0</v>
      </c>
      <c r="F160" s="828">
        <f>'Payroll 21-22'!F160*(1+$I$4)</f>
        <v>0</v>
      </c>
      <c r="G160" s="322">
        <f>'Payroll 21-22'!G160</f>
        <v>0</v>
      </c>
      <c r="H160" s="319">
        <f>'Payroll 21-22'!H160</f>
        <v>0</v>
      </c>
      <c r="I160" s="320">
        <f t="shared" si="88"/>
        <v>0</v>
      </c>
      <c r="J160" s="7">
        <f t="shared" si="89"/>
        <v>0</v>
      </c>
      <c r="K160" s="7">
        <f t="shared" si="90"/>
        <v>0</v>
      </c>
      <c r="L160" s="7"/>
      <c r="M160" s="8" t="s">
        <v>75</v>
      </c>
      <c r="N160" s="7">
        <f t="shared" si="91"/>
        <v>0</v>
      </c>
      <c r="O160" s="8">
        <f>I160*$O$5</f>
        <v>0</v>
      </c>
      <c r="P160" s="7">
        <f t="shared" si="92"/>
        <v>0</v>
      </c>
      <c r="Q160" s="7">
        <f t="shared" si="93"/>
        <v>0</v>
      </c>
      <c r="R160" s="7">
        <f t="shared" si="94"/>
        <v>0</v>
      </c>
      <c r="S160" s="7">
        <f t="shared" si="95"/>
        <v>0</v>
      </c>
    </row>
    <row r="161" spans="3:19" ht="12">
      <c r="C161" s="369"/>
      <c r="D161" s="840">
        <f>'Payroll 19-20'!D161</f>
        <v>0</v>
      </c>
      <c r="E161" s="840">
        <f>'Payroll 21-22'!E161*(1+'Revenue Inputs'!Q$27)</f>
        <v>0</v>
      </c>
      <c r="F161" s="828">
        <f>'Payroll 21-22'!F161*(1+$I$4)</f>
        <v>0</v>
      </c>
      <c r="G161" s="322">
        <f>'Payroll 21-22'!G161</f>
        <v>0</v>
      </c>
      <c r="H161" s="319">
        <f>'Payroll 21-22'!H161</f>
        <v>0</v>
      </c>
      <c r="I161" s="320">
        <f t="shared" si="88"/>
        <v>0</v>
      </c>
      <c r="J161" s="7">
        <f t="shared" si="89"/>
        <v>0</v>
      </c>
      <c r="K161" s="7">
        <f t="shared" si="90"/>
        <v>0</v>
      </c>
      <c r="L161" s="7"/>
      <c r="M161" s="8" t="s">
        <v>75</v>
      </c>
      <c r="N161" s="7">
        <f t="shared" si="91"/>
        <v>0</v>
      </c>
      <c r="O161" s="8">
        <f t="shared" ref="O161:O164" si="103">I161*$O$5</f>
        <v>0</v>
      </c>
      <c r="P161" s="7">
        <f t="shared" si="92"/>
        <v>0</v>
      </c>
      <c r="Q161" s="7">
        <f t="shared" si="93"/>
        <v>0</v>
      </c>
      <c r="R161" s="7">
        <f t="shared" si="94"/>
        <v>0</v>
      </c>
      <c r="S161" s="7">
        <f t="shared" si="95"/>
        <v>0</v>
      </c>
    </row>
    <row r="162" spans="3:19" ht="12">
      <c r="C162" s="369"/>
      <c r="D162" s="840">
        <f>'Payroll 19-20'!D162</f>
        <v>0</v>
      </c>
      <c r="E162" s="840">
        <f>'Payroll 21-22'!E162*(1+'Revenue Inputs'!Q$27)</f>
        <v>0</v>
      </c>
      <c r="F162" s="828">
        <f>'Payroll 21-22'!F162*(1+$I$4)</f>
        <v>0</v>
      </c>
      <c r="G162" s="322">
        <f>'Payroll 21-22'!G162</f>
        <v>0</v>
      </c>
      <c r="H162" s="319">
        <f>'Payroll 21-22'!H162</f>
        <v>0</v>
      </c>
      <c r="I162" s="320">
        <f t="shared" si="88"/>
        <v>0</v>
      </c>
      <c r="J162" s="7">
        <f t="shared" si="89"/>
        <v>0</v>
      </c>
      <c r="K162" s="7">
        <f t="shared" si="90"/>
        <v>0</v>
      </c>
      <c r="L162" s="7"/>
      <c r="M162" s="8" t="s">
        <v>75</v>
      </c>
      <c r="N162" s="7">
        <f t="shared" si="91"/>
        <v>0</v>
      </c>
      <c r="O162" s="8">
        <f t="shared" si="103"/>
        <v>0</v>
      </c>
      <c r="P162" s="7">
        <f t="shared" si="92"/>
        <v>0</v>
      </c>
      <c r="Q162" s="7">
        <f t="shared" si="93"/>
        <v>0</v>
      </c>
      <c r="R162" s="7">
        <f t="shared" si="94"/>
        <v>0</v>
      </c>
      <c r="S162" s="7">
        <f>S$5*$I162</f>
        <v>0</v>
      </c>
    </row>
    <row r="163" spans="3:19" ht="12">
      <c r="C163" s="369"/>
      <c r="D163" s="840">
        <f>'Payroll 19-20'!D163</f>
        <v>0</v>
      </c>
      <c r="E163" s="840">
        <f>'Payroll 21-22'!E163*(1+'Revenue Inputs'!Q$27)</f>
        <v>0</v>
      </c>
      <c r="F163" s="828">
        <f>'Payroll 21-22'!F163*(1+$I$4)</f>
        <v>0</v>
      </c>
      <c r="G163" s="322">
        <f>'Payroll 21-22'!G163</f>
        <v>0</v>
      </c>
      <c r="H163" s="319">
        <f>'Payroll 21-22'!H163</f>
        <v>0</v>
      </c>
      <c r="I163" s="320">
        <f t="shared" si="88"/>
        <v>0</v>
      </c>
      <c r="J163" s="7">
        <f t="shared" si="89"/>
        <v>0</v>
      </c>
      <c r="K163" s="7">
        <f t="shared" si="90"/>
        <v>0</v>
      </c>
      <c r="L163" s="7"/>
      <c r="M163" s="8" t="s">
        <v>75</v>
      </c>
      <c r="N163" s="7">
        <f t="shared" si="91"/>
        <v>0</v>
      </c>
      <c r="O163" s="8">
        <f t="shared" si="103"/>
        <v>0</v>
      </c>
      <c r="P163" s="7">
        <f t="shared" si="92"/>
        <v>0</v>
      </c>
      <c r="Q163" s="7">
        <f t="shared" si="93"/>
        <v>0</v>
      </c>
      <c r="R163" s="7">
        <f t="shared" si="94"/>
        <v>0</v>
      </c>
      <c r="S163" s="7">
        <f>S$5*$I163</f>
        <v>0</v>
      </c>
    </row>
    <row r="164" spans="3:19" ht="12">
      <c r="C164" s="368"/>
      <c r="D164" s="840">
        <f>'Payroll 19-20'!D164</f>
        <v>0</v>
      </c>
      <c r="E164" s="840">
        <f>'Payroll 21-22'!E164*(1+'Revenue Inputs'!Q$27)</f>
        <v>0</v>
      </c>
      <c r="F164" s="828">
        <f>'Payroll 21-22'!F164*(1+$I$4)</f>
        <v>0</v>
      </c>
      <c r="G164" s="322">
        <f>'Payroll 21-22'!G164</f>
        <v>0</v>
      </c>
      <c r="H164" s="319">
        <f>'Payroll 21-22'!H164</f>
        <v>0</v>
      </c>
      <c r="I164" s="320">
        <f t="shared" si="88"/>
        <v>0</v>
      </c>
      <c r="J164" s="7">
        <f t="shared" si="89"/>
        <v>0</v>
      </c>
      <c r="K164" s="7">
        <f t="shared" si="90"/>
        <v>0</v>
      </c>
      <c r="L164" s="7"/>
      <c r="M164" s="8" t="s">
        <v>75</v>
      </c>
      <c r="N164" s="7">
        <f t="shared" si="91"/>
        <v>0</v>
      </c>
      <c r="O164" s="8">
        <f t="shared" si="103"/>
        <v>0</v>
      </c>
      <c r="P164" s="7">
        <f t="shared" si="92"/>
        <v>0</v>
      </c>
      <c r="Q164" s="7">
        <f t="shared" si="93"/>
        <v>0</v>
      </c>
      <c r="R164" s="7">
        <f t="shared" si="94"/>
        <v>0</v>
      </c>
      <c r="S164" s="7">
        <f t="shared" si="95"/>
        <v>0</v>
      </c>
    </row>
    <row r="165" spans="3:19" ht="13" thickBot="1">
      <c r="C165" s="368"/>
      <c r="D165" s="841"/>
      <c r="E165" s="841"/>
      <c r="F165" s="841"/>
      <c r="G165" s="28"/>
      <c r="H165" s="427"/>
      <c r="I165" s="337"/>
      <c r="J165" s="40"/>
      <c r="K165" s="40"/>
      <c r="L165" s="40"/>
      <c r="M165" s="40"/>
      <c r="N165" s="40"/>
      <c r="O165" s="40"/>
      <c r="P165" s="40"/>
      <c r="Q165" s="40"/>
      <c r="R165" s="40"/>
      <c r="S165" s="40"/>
    </row>
    <row r="166" spans="3:19" s="41" customFormat="1" ht="13" thickBot="1">
      <c r="C166" s="368"/>
      <c r="D166" s="847"/>
      <c r="E166" s="847"/>
      <c r="F166" s="834"/>
      <c r="G166" s="49"/>
      <c r="H166" s="333">
        <v>2100</v>
      </c>
      <c r="I166" s="10">
        <f>SUM(I146:I165)</f>
        <v>374754.6792007201</v>
      </c>
      <c r="J166" s="10">
        <f>SUM(J146:J165)</f>
        <v>92555.597667665177</v>
      </c>
      <c r="K166" s="10">
        <f>SUM(K146:K165)</f>
        <v>467310.27686838526</v>
      </c>
      <c r="L166" s="11"/>
      <c r="M166" s="10">
        <f t="shared" ref="M166:S166" si="104">SUM(M146:M165)</f>
        <v>0</v>
      </c>
      <c r="N166" s="10">
        <f t="shared" si="104"/>
        <v>0</v>
      </c>
      <c r="O166" s="10">
        <f t="shared" si="104"/>
        <v>23234.790110444643</v>
      </c>
      <c r="P166" s="10">
        <f t="shared" si="104"/>
        <v>5433.942848410441</v>
      </c>
      <c r="Q166" s="10">
        <f t="shared" si="104"/>
        <v>55553.299200000016</v>
      </c>
      <c r="R166" s="10">
        <f t="shared" si="104"/>
        <v>3087.0000000000005</v>
      </c>
      <c r="S166" s="10">
        <f t="shared" si="104"/>
        <v>5246.5655088100812</v>
      </c>
    </row>
    <row r="167" spans="3:19" ht="12" customHeight="1">
      <c r="C167" s="369" t="s">
        <v>21</v>
      </c>
      <c r="D167" s="848"/>
      <c r="E167" s="848"/>
      <c r="F167" s="835"/>
      <c r="G167" s="28"/>
      <c r="H167" s="35"/>
      <c r="I167" s="7"/>
      <c r="J167" s="7"/>
      <c r="K167" s="7"/>
      <c r="L167" s="7"/>
      <c r="M167" s="36"/>
      <c r="N167" s="36"/>
      <c r="O167" s="36"/>
      <c r="P167" s="36"/>
      <c r="Q167" s="36"/>
      <c r="R167" s="36"/>
      <c r="S167" s="36"/>
    </row>
    <row r="168" spans="3:19" ht="12">
      <c r="C168" s="369"/>
      <c r="D168" s="840">
        <f>'Payroll 19-20'!D168</f>
        <v>0</v>
      </c>
      <c r="E168" s="840">
        <f>'Payroll 21-22'!E168*(1+'Revenue Inputs'!Q$27)</f>
        <v>0</v>
      </c>
      <c r="F168" s="828">
        <f>'Payroll 21-22'!F168*(1+$I$4)</f>
        <v>0</v>
      </c>
      <c r="G168" s="322">
        <f>'Payroll 21-22'!G168</f>
        <v>0</v>
      </c>
      <c r="H168" s="319">
        <f>'Payroll 21-22'!H168</f>
        <v>0</v>
      </c>
      <c r="I168" s="320">
        <f t="shared" ref="I168:I186" si="105">F168*E168</f>
        <v>0</v>
      </c>
      <c r="J168" s="7">
        <f t="shared" ref="J168:J186" si="106">SUM(M168:S168)</f>
        <v>0</v>
      </c>
      <c r="K168" s="7">
        <f t="shared" ref="K168:K186" si="107">SUM(I168:J168)</f>
        <v>0</v>
      </c>
      <c r="L168" s="7"/>
      <c r="M168" s="8" t="s">
        <v>75</v>
      </c>
      <c r="N168" s="7">
        <f t="shared" ref="N168:N186" si="108">I168*$N$5</f>
        <v>0</v>
      </c>
      <c r="O168" s="8">
        <f t="shared" ref="O168:O186" si="109">I168*$O$5</f>
        <v>0</v>
      </c>
      <c r="P168" s="7">
        <f t="shared" ref="P168:P186" si="110">I168*$P$5</f>
        <v>0</v>
      </c>
      <c r="Q168" s="7">
        <f t="shared" ref="Q168:Q186" si="111">IF(H168="y", $Q$5*E168, 0)</f>
        <v>0</v>
      </c>
      <c r="R168" s="7">
        <f t="shared" ref="R168:R186" si="112">IF($I168&gt;7000,7000*R$5,$I168*R$5)*E168</f>
        <v>0</v>
      </c>
      <c r="S168" s="7">
        <f t="shared" ref="S168:S186" si="113">S$5*$I168</f>
        <v>0</v>
      </c>
    </row>
    <row r="169" spans="3:19" ht="12">
      <c r="C169" s="369"/>
      <c r="D169" s="840">
        <f>'Payroll 19-20'!D169</f>
        <v>0</v>
      </c>
      <c r="E169" s="840">
        <f>'Payroll 21-22'!E169*(1+'Revenue Inputs'!Q$27)</f>
        <v>0</v>
      </c>
      <c r="F169" s="828">
        <f>'Payroll 21-22'!F169*(1+$I$4)</f>
        <v>0</v>
      </c>
      <c r="G169" s="322">
        <f>'Payroll 21-22'!G169</f>
        <v>0</v>
      </c>
      <c r="H169" s="319">
        <f>'Payroll 21-22'!H169</f>
        <v>0</v>
      </c>
      <c r="I169" s="320">
        <f t="shared" si="105"/>
        <v>0</v>
      </c>
      <c r="J169" s="7">
        <f t="shared" ref="J169:J177" si="114">SUM(M169:S169)</f>
        <v>0</v>
      </c>
      <c r="K169" s="7">
        <f t="shared" ref="K169:K177" si="115">SUM(I169:J169)</f>
        <v>0</v>
      </c>
      <c r="L169" s="7"/>
      <c r="M169" s="8" t="s">
        <v>75</v>
      </c>
      <c r="N169" s="7">
        <f t="shared" ref="N169:N177" si="116">I169*$N$5</f>
        <v>0</v>
      </c>
      <c r="O169" s="8">
        <f t="shared" ref="O169:O177" si="117">I169*$O$5</f>
        <v>0</v>
      </c>
      <c r="P169" s="7">
        <f t="shared" ref="P169:P177" si="118">I169*$P$5</f>
        <v>0</v>
      </c>
      <c r="Q169" s="7">
        <f t="shared" si="111"/>
        <v>0</v>
      </c>
      <c r="R169" s="7">
        <f t="shared" si="112"/>
        <v>0</v>
      </c>
      <c r="S169" s="7">
        <f t="shared" si="113"/>
        <v>0</v>
      </c>
    </row>
    <row r="170" spans="3:19" ht="12">
      <c r="C170" s="369"/>
      <c r="D170" s="840">
        <f>'Payroll 19-20'!D170</f>
        <v>0</v>
      </c>
      <c r="E170" s="840">
        <f>'Payroll 21-22'!E170*(1+'Revenue Inputs'!Q$27)</f>
        <v>0</v>
      </c>
      <c r="F170" s="828">
        <f>'Payroll 21-22'!F170*(1+$I$4)</f>
        <v>0</v>
      </c>
      <c r="G170" s="322">
        <f>'Payroll 21-22'!G170</f>
        <v>0</v>
      </c>
      <c r="H170" s="319">
        <f>'Payroll 21-22'!H170</f>
        <v>0</v>
      </c>
      <c r="I170" s="320">
        <f t="shared" si="105"/>
        <v>0</v>
      </c>
      <c r="J170" s="7">
        <f t="shared" si="114"/>
        <v>0</v>
      </c>
      <c r="K170" s="7">
        <f t="shared" si="115"/>
        <v>0</v>
      </c>
      <c r="L170" s="7"/>
      <c r="M170" s="8" t="s">
        <v>75</v>
      </c>
      <c r="N170" s="7">
        <f t="shared" si="116"/>
        <v>0</v>
      </c>
      <c r="O170" s="8">
        <f t="shared" si="117"/>
        <v>0</v>
      </c>
      <c r="P170" s="7">
        <f t="shared" si="118"/>
        <v>0</v>
      </c>
      <c r="Q170" s="7">
        <f t="shared" si="111"/>
        <v>0</v>
      </c>
      <c r="R170" s="7">
        <f t="shared" si="112"/>
        <v>0</v>
      </c>
      <c r="S170" s="7">
        <f t="shared" si="113"/>
        <v>0</v>
      </c>
    </row>
    <row r="171" spans="3:19" ht="12">
      <c r="C171" s="369"/>
      <c r="D171" s="840">
        <f>'Payroll 19-20'!D171</f>
        <v>0</v>
      </c>
      <c r="E171" s="840">
        <f>'Payroll 21-22'!E171*(1+'Revenue Inputs'!Q$27)</f>
        <v>0</v>
      </c>
      <c r="F171" s="828">
        <f>'Payroll 21-22'!F171*(1+$I$4)</f>
        <v>0</v>
      </c>
      <c r="G171" s="322">
        <f>'Payroll 21-22'!G171</f>
        <v>0</v>
      </c>
      <c r="H171" s="319">
        <f>'Payroll 21-22'!H171</f>
        <v>0</v>
      </c>
      <c r="I171" s="320">
        <f t="shared" si="105"/>
        <v>0</v>
      </c>
      <c r="J171" s="7">
        <f t="shared" si="114"/>
        <v>0</v>
      </c>
      <c r="K171" s="7">
        <f t="shared" si="115"/>
        <v>0</v>
      </c>
      <c r="L171" s="7"/>
      <c r="M171" s="8" t="s">
        <v>75</v>
      </c>
      <c r="N171" s="7">
        <f t="shared" si="116"/>
        <v>0</v>
      </c>
      <c r="O171" s="8">
        <f t="shared" si="117"/>
        <v>0</v>
      </c>
      <c r="P171" s="7">
        <f t="shared" si="118"/>
        <v>0</v>
      </c>
      <c r="Q171" s="7">
        <f t="shared" si="111"/>
        <v>0</v>
      </c>
      <c r="R171" s="7">
        <f t="shared" si="112"/>
        <v>0</v>
      </c>
      <c r="S171" s="7">
        <f t="shared" si="113"/>
        <v>0</v>
      </c>
    </row>
    <row r="172" spans="3:19" ht="12">
      <c r="C172" s="368"/>
      <c r="D172" s="840">
        <f>'Payroll 19-20'!D172</f>
        <v>0</v>
      </c>
      <c r="E172" s="840">
        <f>'Payroll 21-22'!E172*(1+'Revenue Inputs'!Q$27)</f>
        <v>0</v>
      </c>
      <c r="F172" s="828">
        <f>'Payroll 21-22'!F172*(1+$I$4)</f>
        <v>0</v>
      </c>
      <c r="G172" s="322">
        <f>'Payroll 21-22'!G172</f>
        <v>0</v>
      </c>
      <c r="H172" s="319">
        <f>'Payroll 21-22'!H172</f>
        <v>0</v>
      </c>
      <c r="I172" s="320">
        <f t="shared" si="105"/>
        <v>0</v>
      </c>
      <c r="J172" s="7">
        <f t="shared" si="114"/>
        <v>0</v>
      </c>
      <c r="K172" s="7">
        <f t="shared" si="115"/>
        <v>0</v>
      </c>
      <c r="L172" s="7"/>
      <c r="M172" s="8" t="s">
        <v>75</v>
      </c>
      <c r="N172" s="7">
        <f t="shared" si="116"/>
        <v>0</v>
      </c>
      <c r="O172" s="8">
        <f t="shared" si="117"/>
        <v>0</v>
      </c>
      <c r="P172" s="7">
        <f t="shared" si="118"/>
        <v>0</v>
      </c>
      <c r="Q172" s="7">
        <f t="shared" si="111"/>
        <v>0</v>
      </c>
      <c r="R172" s="7">
        <f t="shared" si="112"/>
        <v>0</v>
      </c>
      <c r="S172" s="7">
        <f t="shared" si="113"/>
        <v>0</v>
      </c>
    </row>
    <row r="173" spans="3:19" ht="12">
      <c r="C173" s="369"/>
      <c r="D173" s="840">
        <f>'Payroll 19-20'!D173</f>
        <v>0</v>
      </c>
      <c r="E173" s="840">
        <f>'Payroll 21-22'!E173*(1+'Revenue Inputs'!Q$27)</f>
        <v>0</v>
      </c>
      <c r="F173" s="828">
        <f>'Payroll 21-22'!F173*(1+$I$4)</f>
        <v>0</v>
      </c>
      <c r="G173" s="322">
        <f>'Payroll 21-22'!G173</f>
        <v>0</v>
      </c>
      <c r="H173" s="319">
        <f>'Payroll 21-22'!H173</f>
        <v>0</v>
      </c>
      <c r="I173" s="320">
        <f t="shared" si="105"/>
        <v>0</v>
      </c>
      <c r="J173" s="7">
        <f t="shared" si="114"/>
        <v>0</v>
      </c>
      <c r="K173" s="7">
        <f t="shared" si="115"/>
        <v>0</v>
      </c>
      <c r="L173" s="7"/>
      <c r="M173" s="8" t="s">
        <v>75</v>
      </c>
      <c r="N173" s="7">
        <f t="shared" si="116"/>
        <v>0</v>
      </c>
      <c r="O173" s="8">
        <f t="shared" si="117"/>
        <v>0</v>
      </c>
      <c r="P173" s="7">
        <f t="shared" si="118"/>
        <v>0</v>
      </c>
      <c r="Q173" s="7">
        <f t="shared" si="111"/>
        <v>0</v>
      </c>
      <c r="R173" s="7">
        <f t="shared" si="112"/>
        <v>0</v>
      </c>
      <c r="S173" s="7">
        <f t="shared" si="113"/>
        <v>0</v>
      </c>
    </row>
    <row r="174" spans="3:19" ht="12">
      <c r="C174" s="369"/>
      <c r="D174" s="840">
        <f>'Payroll 19-20'!D174</f>
        <v>0</v>
      </c>
      <c r="E174" s="840">
        <f>'Payroll 21-22'!E174*(1+'Revenue Inputs'!Q$27)</f>
        <v>0</v>
      </c>
      <c r="F174" s="828">
        <f>'Payroll 21-22'!F174*(1+$I$4)</f>
        <v>0</v>
      </c>
      <c r="G174" s="322">
        <f>'Payroll 21-22'!G174</f>
        <v>0</v>
      </c>
      <c r="H174" s="319">
        <f>'Payroll 21-22'!H174</f>
        <v>0</v>
      </c>
      <c r="I174" s="320">
        <f t="shared" si="105"/>
        <v>0</v>
      </c>
      <c r="J174" s="7">
        <f t="shared" si="114"/>
        <v>0</v>
      </c>
      <c r="K174" s="7">
        <f t="shared" si="115"/>
        <v>0</v>
      </c>
      <c r="L174" s="7"/>
      <c r="M174" s="8" t="s">
        <v>75</v>
      </c>
      <c r="N174" s="7">
        <f t="shared" si="116"/>
        <v>0</v>
      </c>
      <c r="O174" s="8">
        <f t="shared" si="117"/>
        <v>0</v>
      </c>
      <c r="P174" s="7">
        <f t="shared" si="118"/>
        <v>0</v>
      </c>
      <c r="Q174" s="7">
        <f t="shared" si="111"/>
        <v>0</v>
      </c>
      <c r="R174" s="7">
        <f t="shared" si="112"/>
        <v>0</v>
      </c>
      <c r="S174" s="7">
        <f t="shared" si="113"/>
        <v>0</v>
      </c>
    </row>
    <row r="175" spans="3:19" ht="12">
      <c r="C175" s="369"/>
      <c r="D175" s="840">
        <f>'Payroll 19-20'!D175</f>
        <v>0</v>
      </c>
      <c r="E175" s="840">
        <f>'Payroll 21-22'!E175*(1+'Revenue Inputs'!Q$27)</f>
        <v>0</v>
      </c>
      <c r="F175" s="828">
        <f>'Payroll 21-22'!F175*(1+$I$4)</f>
        <v>0</v>
      </c>
      <c r="G175" s="322">
        <f>'Payroll 21-22'!G175</f>
        <v>0</v>
      </c>
      <c r="H175" s="319">
        <f>'Payroll 21-22'!H175</f>
        <v>0</v>
      </c>
      <c r="I175" s="320">
        <f t="shared" si="105"/>
        <v>0</v>
      </c>
      <c r="J175" s="7">
        <f t="shared" si="114"/>
        <v>0</v>
      </c>
      <c r="K175" s="7">
        <f t="shared" si="115"/>
        <v>0</v>
      </c>
      <c r="L175" s="7"/>
      <c r="M175" s="8" t="s">
        <v>75</v>
      </c>
      <c r="N175" s="7">
        <f t="shared" si="116"/>
        <v>0</v>
      </c>
      <c r="O175" s="8">
        <f t="shared" si="117"/>
        <v>0</v>
      </c>
      <c r="P175" s="7">
        <f t="shared" si="118"/>
        <v>0</v>
      </c>
      <c r="Q175" s="7">
        <f t="shared" si="111"/>
        <v>0</v>
      </c>
      <c r="R175" s="7">
        <f t="shared" si="112"/>
        <v>0</v>
      </c>
      <c r="S175" s="7">
        <f t="shared" si="113"/>
        <v>0</v>
      </c>
    </row>
    <row r="176" spans="3:19" ht="12">
      <c r="C176" s="369"/>
      <c r="D176" s="840">
        <f>'Payroll 19-20'!D176</f>
        <v>0</v>
      </c>
      <c r="E176" s="840">
        <f>'Payroll 21-22'!E176*(1+'Revenue Inputs'!Q$27)</f>
        <v>0</v>
      </c>
      <c r="F176" s="828">
        <f>'Payroll 21-22'!F176*(1+$I$4)</f>
        <v>0</v>
      </c>
      <c r="G176" s="322">
        <f>'Payroll 21-22'!G176</f>
        <v>0</v>
      </c>
      <c r="H176" s="319">
        <f>'Payroll 21-22'!H176</f>
        <v>0</v>
      </c>
      <c r="I176" s="320">
        <f t="shared" si="105"/>
        <v>0</v>
      </c>
      <c r="J176" s="7">
        <f t="shared" si="114"/>
        <v>0</v>
      </c>
      <c r="K176" s="7">
        <f t="shared" si="115"/>
        <v>0</v>
      </c>
      <c r="L176" s="7"/>
      <c r="M176" s="8" t="s">
        <v>75</v>
      </c>
      <c r="N176" s="7">
        <f t="shared" si="116"/>
        <v>0</v>
      </c>
      <c r="O176" s="8">
        <f t="shared" si="117"/>
        <v>0</v>
      </c>
      <c r="P176" s="7">
        <f t="shared" si="118"/>
        <v>0</v>
      </c>
      <c r="Q176" s="7">
        <f t="shared" si="111"/>
        <v>0</v>
      </c>
      <c r="R176" s="7">
        <f t="shared" si="112"/>
        <v>0</v>
      </c>
      <c r="S176" s="7">
        <f t="shared" si="113"/>
        <v>0</v>
      </c>
    </row>
    <row r="177" spans="3:19" ht="12">
      <c r="C177" s="368"/>
      <c r="D177" s="840">
        <f>'Payroll 19-20'!D177</f>
        <v>0</v>
      </c>
      <c r="E177" s="840">
        <f>'Payroll 21-22'!E177*(1+'Revenue Inputs'!Q$27)</f>
        <v>0</v>
      </c>
      <c r="F177" s="828">
        <f>'Payroll 21-22'!F177*(1+$I$4)</f>
        <v>0</v>
      </c>
      <c r="G177" s="322">
        <f>'Payroll 21-22'!G177</f>
        <v>0</v>
      </c>
      <c r="H177" s="319">
        <f>'Payroll 21-22'!H177</f>
        <v>0</v>
      </c>
      <c r="I177" s="320">
        <f t="shared" si="105"/>
        <v>0</v>
      </c>
      <c r="J177" s="7">
        <f t="shared" si="114"/>
        <v>0</v>
      </c>
      <c r="K177" s="7">
        <f t="shared" si="115"/>
        <v>0</v>
      </c>
      <c r="L177" s="7"/>
      <c r="M177" s="8" t="s">
        <v>75</v>
      </c>
      <c r="N177" s="7">
        <f t="shared" si="116"/>
        <v>0</v>
      </c>
      <c r="O177" s="8">
        <f t="shared" si="117"/>
        <v>0</v>
      </c>
      <c r="P177" s="7">
        <f t="shared" si="118"/>
        <v>0</v>
      </c>
      <c r="Q177" s="7">
        <f t="shared" si="111"/>
        <v>0</v>
      </c>
      <c r="R177" s="7">
        <f t="shared" si="112"/>
        <v>0</v>
      </c>
      <c r="S177" s="7">
        <f t="shared" si="113"/>
        <v>0</v>
      </c>
    </row>
    <row r="178" spans="3:19" ht="12">
      <c r="C178" s="369"/>
      <c r="D178" s="840">
        <f>'Payroll 19-20'!D178</f>
        <v>0</v>
      </c>
      <c r="E178" s="840">
        <f>'Payroll 21-22'!E178*(1+'Revenue Inputs'!Q$27)</f>
        <v>0</v>
      </c>
      <c r="F178" s="828">
        <f>'Payroll 21-22'!F178*(1+$I$4)</f>
        <v>0</v>
      </c>
      <c r="G178" s="322">
        <f>'Payroll 21-22'!G178</f>
        <v>0</v>
      </c>
      <c r="H178" s="319">
        <f>'Payroll 21-22'!H178</f>
        <v>0</v>
      </c>
      <c r="I178" s="320">
        <f t="shared" si="105"/>
        <v>0</v>
      </c>
      <c r="J178" s="7">
        <f t="shared" si="106"/>
        <v>0</v>
      </c>
      <c r="K178" s="7">
        <f t="shared" si="107"/>
        <v>0</v>
      </c>
      <c r="L178" s="7"/>
      <c r="M178" s="8" t="s">
        <v>75</v>
      </c>
      <c r="N178" s="7">
        <f t="shared" si="108"/>
        <v>0</v>
      </c>
      <c r="O178" s="8">
        <f t="shared" si="109"/>
        <v>0</v>
      </c>
      <c r="P178" s="7">
        <f t="shared" si="110"/>
        <v>0</v>
      </c>
      <c r="Q178" s="7">
        <f t="shared" si="111"/>
        <v>0</v>
      </c>
      <c r="R178" s="7">
        <f t="shared" si="112"/>
        <v>0</v>
      </c>
      <c r="S178" s="7">
        <f t="shared" si="113"/>
        <v>0</v>
      </c>
    </row>
    <row r="179" spans="3:19" ht="12">
      <c r="C179" s="369"/>
      <c r="D179" s="840">
        <f>'Payroll 19-20'!D179</f>
        <v>0</v>
      </c>
      <c r="E179" s="840">
        <f>'Payroll 21-22'!E179*(1+'Revenue Inputs'!Q$27)</f>
        <v>0</v>
      </c>
      <c r="F179" s="828">
        <f>'Payroll 21-22'!F179*(1+$I$4)</f>
        <v>0</v>
      </c>
      <c r="G179" s="322">
        <f>'Payroll 21-22'!G179</f>
        <v>0</v>
      </c>
      <c r="H179" s="319">
        <f>'Payroll 21-22'!H179</f>
        <v>0</v>
      </c>
      <c r="I179" s="320">
        <f t="shared" si="105"/>
        <v>0</v>
      </c>
      <c r="J179" s="7">
        <f t="shared" si="106"/>
        <v>0</v>
      </c>
      <c r="K179" s="7">
        <f t="shared" si="107"/>
        <v>0</v>
      </c>
      <c r="L179" s="7"/>
      <c r="M179" s="8" t="s">
        <v>75</v>
      </c>
      <c r="N179" s="7">
        <f t="shared" si="108"/>
        <v>0</v>
      </c>
      <c r="O179" s="8">
        <f t="shared" si="109"/>
        <v>0</v>
      </c>
      <c r="P179" s="7">
        <f t="shared" si="110"/>
        <v>0</v>
      </c>
      <c r="Q179" s="7">
        <f t="shared" si="111"/>
        <v>0</v>
      </c>
      <c r="R179" s="7">
        <f t="shared" si="112"/>
        <v>0</v>
      </c>
      <c r="S179" s="7">
        <f t="shared" si="113"/>
        <v>0</v>
      </c>
    </row>
    <row r="180" spans="3:19" ht="12">
      <c r="C180" s="369"/>
      <c r="D180" s="840">
        <f>'Payroll 19-20'!D180</f>
        <v>0</v>
      </c>
      <c r="E180" s="840">
        <f>'Payroll 21-22'!E180*(1+'Revenue Inputs'!Q$27)</f>
        <v>0</v>
      </c>
      <c r="F180" s="828">
        <f>'Payroll 21-22'!F180*(1+$I$4)</f>
        <v>0</v>
      </c>
      <c r="G180" s="322">
        <f>'Payroll 21-22'!G180</f>
        <v>0</v>
      </c>
      <c r="H180" s="319">
        <f>'Payroll 21-22'!H180</f>
        <v>0</v>
      </c>
      <c r="I180" s="320">
        <f t="shared" si="105"/>
        <v>0</v>
      </c>
      <c r="J180" s="7">
        <f t="shared" si="106"/>
        <v>0</v>
      </c>
      <c r="K180" s="7">
        <f t="shared" si="107"/>
        <v>0</v>
      </c>
      <c r="L180" s="7"/>
      <c r="M180" s="8" t="s">
        <v>75</v>
      </c>
      <c r="N180" s="7">
        <f t="shared" si="108"/>
        <v>0</v>
      </c>
      <c r="O180" s="8">
        <f t="shared" si="109"/>
        <v>0</v>
      </c>
      <c r="P180" s="7">
        <f t="shared" si="110"/>
        <v>0</v>
      </c>
      <c r="Q180" s="7">
        <f t="shared" si="111"/>
        <v>0</v>
      </c>
      <c r="R180" s="7">
        <f t="shared" si="112"/>
        <v>0</v>
      </c>
      <c r="S180" s="7">
        <f t="shared" si="113"/>
        <v>0</v>
      </c>
    </row>
    <row r="181" spans="3:19" ht="12">
      <c r="C181" s="368"/>
      <c r="D181" s="840">
        <f>'Payroll 19-20'!D181</f>
        <v>0</v>
      </c>
      <c r="E181" s="840">
        <f>'Payroll 21-22'!E181*(1+'Revenue Inputs'!Q$27)</f>
        <v>0</v>
      </c>
      <c r="F181" s="828">
        <f>'Payroll 21-22'!F181*(1+$I$4)</f>
        <v>0</v>
      </c>
      <c r="G181" s="322">
        <f>'Payroll 21-22'!G181</f>
        <v>0</v>
      </c>
      <c r="H181" s="319">
        <f>'Payroll 21-22'!H181</f>
        <v>0</v>
      </c>
      <c r="I181" s="320">
        <f t="shared" si="105"/>
        <v>0</v>
      </c>
      <c r="J181" s="7">
        <f t="shared" si="106"/>
        <v>0</v>
      </c>
      <c r="K181" s="7">
        <f t="shared" si="107"/>
        <v>0</v>
      </c>
      <c r="L181" s="7"/>
      <c r="M181" s="8" t="s">
        <v>75</v>
      </c>
      <c r="N181" s="7">
        <f t="shared" si="108"/>
        <v>0</v>
      </c>
      <c r="O181" s="8">
        <f t="shared" si="109"/>
        <v>0</v>
      </c>
      <c r="P181" s="7">
        <f t="shared" si="110"/>
        <v>0</v>
      </c>
      <c r="Q181" s="7">
        <f t="shared" si="111"/>
        <v>0</v>
      </c>
      <c r="R181" s="7">
        <f t="shared" si="112"/>
        <v>0</v>
      </c>
      <c r="S181" s="7">
        <f t="shared" si="113"/>
        <v>0</v>
      </c>
    </row>
    <row r="182" spans="3:19" ht="12">
      <c r="C182" s="369"/>
      <c r="D182" s="840">
        <f>'Payroll 19-20'!D182</f>
        <v>0</v>
      </c>
      <c r="E182" s="840">
        <f>'Payroll 21-22'!E182*(1+'Revenue Inputs'!Q$27)</f>
        <v>0</v>
      </c>
      <c r="F182" s="828">
        <f>'Payroll 21-22'!F182*(1+$I$4)</f>
        <v>0</v>
      </c>
      <c r="G182" s="322">
        <f>'Payroll 21-22'!G182</f>
        <v>0</v>
      </c>
      <c r="H182" s="319">
        <f>'Payroll 21-22'!H182</f>
        <v>0</v>
      </c>
      <c r="I182" s="320">
        <f t="shared" si="105"/>
        <v>0</v>
      </c>
      <c r="J182" s="7">
        <f t="shared" si="106"/>
        <v>0</v>
      </c>
      <c r="K182" s="7">
        <f t="shared" si="107"/>
        <v>0</v>
      </c>
      <c r="L182" s="7"/>
      <c r="M182" s="8" t="s">
        <v>75</v>
      </c>
      <c r="N182" s="7">
        <f t="shared" si="108"/>
        <v>0</v>
      </c>
      <c r="O182" s="8">
        <f t="shared" si="109"/>
        <v>0</v>
      </c>
      <c r="P182" s="7">
        <f t="shared" si="110"/>
        <v>0</v>
      </c>
      <c r="Q182" s="7">
        <f t="shared" si="111"/>
        <v>0</v>
      </c>
      <c r="R182" s="7">
        <f t="shared" si="112"/>
        <v>0</v>
      </c>
      <c r="S182" s="7">
        <f t="shared" si="113"/>
        <v>0</v>
      </c>
    </row>
    <row r="183" spans="3:19" ht="12">
      <c r="C183" s="369"/>
      <c r="D183" s="840">
        <f>'Payroll 19-20'!D183</f>
        <v>0</v>
      </c>
      <c r="E183" s="840">
        <f>'Payroll 21-22'!E183*(1+'Revenue Inputs'!Q$27)</f>
        <v>0</v>
      </c>
      <c r="F183" s="828">
        <f>'Payroll 21-22'!F183*(1+$I$4)</f>
        <v>0</v>
      </c>
      <c r="G183" s="322">
        <f>'Payroll 21-22'!G183</f>
        <v>0</v>
      </c>
      <c r="H183" s="319">
        <f>'Payroll 21-22'!H183</f>
        <v>0</v>
      </c>
      <c r="I183" s="320">
        <f t="shared" si="105"/>
        <v>0</v>
      </c>
      <c r="J183" s="7">
        <f t="shared" si="106"/>
        <v>0</v>
      </c>
      <c r="K183" s="7">
        <f t="shared" si="107"/>
        <v>0</v>
      </c>
      <c r="L183" s="7"/>
      <c r="M183" s="8" t="s">
        <v>75</v>
      </c>
      <c r="N183" s="7">
        <f t="shared" si="108"/>
        <v>0</v>
      </c>
      <c r="O183" s="8">
        <f t="shared" si="109"/>
        <v>0</v>
      </c>
      <c r="P183" s="7">
        <f t="shared" si="110"/>
        <v>0</v>
      </c>
      <c r="Q183" s="7">
        <f t="shared" si="111"/>
        <v>0</v>
      </c>
      <c r="R183" s="7">
        <f t="shared" si="112"/>
        <v>0</v>
      </c>
      <c r="S183" s="7">
        <f t="shared" si="113"/>
        <v>0</v>
      </c>
    </row>
    <row r="184" spans="3:19" ht="12">
      <c r="C184" s="369"/>
      <c r="D184" s="840">
        <f>'Payroll 19-20'!D184</f>
        <v>0</v>
      </c>
      <c r="E184" s="840">
        <f>'Payroll 21-22'!E184*(1+'Revenue Inputs'!Q$27)</f>
        <v>0</v>
      </c>
      <c r="F184" s="828">
        <f>'Payroll 21-22'!F184*(1+$I$4)</f>
        <v>0</v>
      </c>
      <c r="G184" s="322">
        <f>'Payroll 21-22'!G184</f>
        <v>0</v>
      </c>
      <c r="H184" s="319">
        <f>'Payroll 21-22'!H184</f>
        <v>0</v>
      </c>
      <c r="I184" s="320">
        <f t="shared" si="105"/>
        <v>0</v>
      </c>
      <c r="J184" s="7">
        <f t="shared" si="106"/>
        <v>0</v>
      </c>
      <c r="K184" s="7">
        <f t="shared" si="107"/>
        <v>0</v>
      </c>
      <c r="L184" s="7"/>
      <c r="M184" s="8" t="s">
        <v>75</v>
      </c>
      <c r="N184" s="7">
        <f t="shared" si="108"/>
        <v>0</v>
      </c>
      <c r="O184" s="8">
        <f t="shared" si="109"/>
        <v>0</v>
      </c>
      <c r="P184" s="7">
        <f t="shared" si="110"/>
        <v>0</v>
      </c>
      <c r="Q184" s="7">
        <f t="shared" si="111"/>
        <v>0</v>
      </c>
      <c r="R184" s="7">
        <f t="shared" si="112"/>
        <v>0</v>
      </c>
      <c r="S184" s="7">
        <f t="shared" si="113"/>
        <v>0</v>
      </c>
    </row>
    <row r="185" spans="3:19" ht="12">
      <c r="C185" s="369"/>
      <c r="D185" s="840">
        <f>'Payroll 19-20'!D185</f>
        <v>0</v>
      </c>
      <c r="E185" s="840">
        <f>'Payroll 21-22'!E185*(1+'Revenue Inputs'!Q$27)</f>
        <v>0</v>
      </c>
      <c r="F185" s="828">
        <f>'Payroll 21-22'!F185*(1+$I$4)</f>
        <v>0</v>
      </c>
      <c r="G185" s="322">
        <f>'Payroll 21-22'!G185</f>
        <v>0</v>
      </c>
      <c r="H185" s="319">
        <f>'Payroll 21-22'!H185</f>
        <v>0</v>
      </c>
      <c r="I185" s="320">
        <f t="shared" si="105"/>
        <v>0</v>
      </c>
      <c r="J185" s="7">
        <f t="shared" si="106"/>
        <v>0</v>
      </c>
      <c r="K185" s="7">
        <f t="shared" si="107"/>
        <v>0</v>
      </c>
      <c r="L185" s="7"/>
      <c r="M185" s="8" t="s">
        <v>75</v>
      </c>
      <c r="N185" s="7">
        <f t="shared" si="108"/>
        <v>0</v>
      </c>
      <c r="O185" s="8">
        <f t="shared" si="109"/>
        <v>0</v>
      </c>
      <c r="P185" s="7">
        <f t="shared" si="110"/>
        <v>0</v>
      </c>
      <c r="Q185" s="7">
        <f t="shared" si="111"/>
        <v>0</v>
      </c>
      <c r="R185" s="7">
        <f t="shared" si="112"/>
        <v>0</v>
      </c>
      <c r="S185" s="7">
        <f t="shared" si="113"/>
        <v>0</v>
      </c>
    </row>
    <row r="186" spans="3:19" ht="12">
      <c r="C186" s="368"/>
      <c r="D186" s="840">
        <f>'Payroll 19-20'!D186</f>
        <v>0</v>
      </c>
      <c r="E186" s="840">
        <f>'Payroll 21-22'!E186*(1+'Revenue Inputs'!Q$27)</f>
        <v>0</v>
      </c>
      <c r="F186" s="828">
        <f>'Payroll 21-22'!F186*(1+$I$4)</f>
        <v>0</v>
      </c>
      <c r="G186" s="322">
        <f>'Payroll 21-22'!G186</f>
        <v>0</v>
      </c>
      <c r="H186" s="319">
        <f>'Payroll 21-22'!H186</f>
        <v>0</v>
      </c>
      <c r="I186" s="320">
        <f t="shared" si="105"/>
        <v>0</v>
      </c>
      <c r="J186" s="7">
        <f t="shared" si="106"/>
        <v>0</v>
      </c>
      <c r="K186" s="7">
        <f t="shared" si="107"/>
        <v>0</v>
      </c>
      <c r="L186" s="7"/>
      <c r="M186" s="8" t="s">
        <v>75</v>
      </c>
      <c r="N186" s="7">
        <f t="shared" si="108"/>
        <v>0</v>
      </c>
      <c r="O186" s="8">
        <f t="shared" si="109"/>
        <v>0</v>
      </c>
      <c r="P186" s="7">
        <f t="shared" si="110"/>
        <v>0</v>
      </c>
      <c r="Q186" s="7">
        <f t="shared" si="111"/>
        <v>0</v>
      </c>
      <c r="R186" s="7">
        <f t="shared" si="112"/>
        <v>0</v>
      </c>
      <c r="S186" s="7">
        <f t="shared" si="113"/>
        <v>0</v>
      </c>
    </row>
    <row r="187" spans="3:19" ht="13" thickBot="1">
      <c r="C187" s="368"/>
      <c r="D187" s="841"/>
      <c r="E187" s="841"/>
      <c r="F187" s="841"/>
      <c r="G187" s="28"/>
      <c r="H187" s="427"/>
      <c r="I187" s="337"/>
      <c r="J187" s="40"/>
      <c r="K187" s="40"/>
      <c r="L187" s="40"/>
      <c r="M187" s="40"/>
      <c r="N187" s="40"/>
      <c r="O187" s="40"/>
      <c r="P187" s="40"/>
      <c r="Q187" s="40"/>
      <c r="R187" s="40"/>
      <c r="S187" s="40"/>
    </row>
    <row r="188" spans="3:19" s="41" customFormat="1" ht="13" thickBot="1">
      <c r="C188" s="368"/>
      <c r="D188" s="834"/>
      <c r="E188" s="847"/>
      <c r="F188" s="834"/>
      <c r="G188" s="49"/>
      <c r="H188" s="17">
        <v>2200</v>
      </c>
      <c r="I188" s="10">
        <f>SUM(I168:I187)</f>
        <v>0</v>
      </c>
      <c r="J188" s="10">
        <f>SUM(J168:J187)</f>
        <v>0</v>
      </c>
      <c r="K188" s="10">
        <f>SUM(K168:K187)</f>
        <v>0</v>
      </c>
      <c r="L188" s="11"/>
      <c r="M188" s="10">
        <f t="shared" ref="M188:S188" si="119">SUM(M168:M187)</f>
        <v>0</v>
      </c>
      <c r="N188" s="10">
        <f t="shared" si="119"/>
        <v>0</v>
      </c>
      <c r="O188" s="10">
        <f t="shared" si="119"/>
        <v>0</v>
      </c>
      <c r="P188" s="10">
        <f t="shared" si="119"/>
        <v>0</v>
      </c>
      <c r="Q188" s="10">
        <f t="shared" si="119"/>
        <v>0</v>
      </c>
      <c r="R188" s="10">
        <f t="shared" si="119"/>
        <v>0</v>
      </c>
      <c r="S188" s="10">
        <f t="shared" si="119"/>
        <v>0</v>
      </c>
    </row>
    <row r="189" spans="3:19" ht="12">
      <c r="C189" s="369" t="s">
        <v>22</v>
      </c>
      <c r="D189" s="835"/>
      <c r="E189" s="848"/>
      <c r="F189" s="835"/>
      <c r="G189" s="28"/>
      <c r="H189" s="35"/>
      <c r="I189" s="7"/>
      <c r="J189" s="7"/>
      <c r="K189" s="7"/>
      <c r="L189" s="7"/>
      <c r="M189" s="36"/>
      <c r="N189" s="36"/>
      <c r="O189" s="36"/>
      <c r="P189" s="36"/>
      <c r="Q189" s="36"/>
      <c r="R189" s="36"/>
      <c r="S189" s="36"/>
    </row>
    <row r="190" spans="3:19" ht="12">
      <c r="C190" s="369"/>
      <c r="D190" s="840">
        <f>'Payroll 19-20'!D190</f>
        <v>0</v>
      </c>
      <c r="E190" s="840">
        <f>'Payroll 21-22'!E190*(1+'Revenue Inputs'!Q$27)</f>
        <v>0</v>
      </c>
      <c r="F190" s="828">
        <f>'Payroll 21-22'!F190*(1+$I$4)</f>
        <v>0</v>
      </c>
      <c r="G190" s="322">
        <f>'Payroll 21-22'!G190</f>
        <v>0</v>
      </c>
      <c r="H190" s="319">
        <f>'Payroll 21-22'!H190</f>
        <v>0</v>
      </c>
      <c r="I190" s="320">
        <f t="shared" ref="I190:I198" si="120">F190*E190</f>
        <v>0</v>
      </c>
      <c r="J190" s="7">
        <f t="shared" ref="J190:J198" si="121">SUM(M190:S190)</f>
        <v>0</v>
      </c>
      <c r="K190" s="7">
        <f t="shared" ref="K190:K198" si="122">SUM(I190:J190)</f>
        <v>0</v>
      </c>
      <c r="L190" s="7"/>
      <c r="M190" s="8" t="s">
        <v>75</v>
      </c>
      <c r="N190" s="7">
        <f t="shared" ref="N190:N198" si="123">I190*$N$5</f>
        <v>0</v>
      </c>
      <c r="O190" s="8">
        <f t="shared" ref="O190:O198" si="124">I190*$O$5</f>
        <v>0</v>
      </c>
      <c r="P190" s="7">
        <f t="shared" ref="P190:P198" si="125">I190*$P$5</f>
        <v>0</v>
      </c>
      <c r="Q190" s="7">
        <f t="shared" ref="Q190:Q198" si="126">IF(H190="y", $Q$5*E190, 0)</f>
        <v>0</v>
      </c>
      <c r="R190" s="7">
        <f t="shared" ref="R190:R198" si="127">IF($I190&gt;7000,7000*R$5,$I190*R$5)*E190</f>
        <v>0</v>
      </c>
      <c r="S190" s="7">
        <f t="shared" ref="S190:S198" si="128">S$5*$I190</f>
        <v>0</v>
      </c>
    </row>
    <row r="191" spans="3:19" ht="12">
      <c r="C191" s="369"/>
      <c r="D191" s="840">
        <f>'Payroll 19-20'!D191</f>
        <v>0</v>
      </c>
      <c r="E191" s="840">
        <f>'Payroll 21-22'!E191*(1+'Revenue Inputs'!Q$27)</f>
        <v>0</v>
      </c>
      <c r="F191" s="828">
        <f>'Payroll 21-22'!F191*(1+$I$4)</f>
        <v>0</v>
      </c>
      <c r="G191" s="322">
        <f>'Payroll 21-22'!G191</f>
        <v>0</v>
      </c>
      <c r="H191" s="319">
        <f>'Payroll 21-22'!H191</f>
        <v>0</v>
      </c>
      <c r="I191" s="320">
        <f t="shared" si="120"/>
        <v>0</v>
      </c>
      <c r="J191" s="7">
        <f t="shared" ref="J191:J194" si="129">SUM(M191:S191)</f>
        <v>0</v>
      </c>
      <c r="K191" s="7">
        <f t="shared" ref="K191:K194" si="130">SUM(I191:J191)</f>
        <v>0</v>
      </c>
      <c r="L191" s="7"/>
      <c r="M191" s="8" t="s">
        <v>75</v>
      </c>
      <c r="N191" s="7">
        <f t="shared" ref="N191:N194" si="131">I191*$N$5</f>
        <v>0</v>
      </c>
      <c r="O191" s="8">
        <f t="shared" ref="O191:O194" si="132">I191*$O$5</f>
        <v>0</v>
      </c>
      <c r="P191" s="7">
        <f t="shared" ref="P191:P194" si="133">I191*$P$5</f>
        <v>0</v>
      </c>
      <c r="Q191" s="7">
        <f t="shared" si="126"/>
        <v>0</v>
      </c>
      <c r="R191" s="7">
        <f t="shared" si="127"/>
        <v>0</v>
      </c>
      <c r="S191" s="7">
        <f t="shared" si="128"/>
        <v>0</v>
      </c>
    </row>
    <row r="192" spans="3:19" ht="12">
      <c r="C192" s="369"/>
      <c r="D192" s="840">
        <f>'Payroll 19-20'!D192</f>
        <v>0</v>
      </c>
      <c r="E192" s="840">
        <f>'Payroll 21-22'!E192*(1+'Revenue Inputs'!Q$27)</f>
        <v>0</v>
      </c>
      <c r="F192" s="828">
        <f>'Payroll 21-22'!F192*(1+$I$4)</f>
        <v>0</v>
      </c>
      <c r="G192" s="322">
        <f>'Payroll 21-22'!G192</f>
        <v>0</v>
      </c>
      <c r="H192" s="319">
        <f>'Payroll 21-22'!H192</f>
        <v>0</v>
      </c>
      <c r="I192" s="320">
        <f t="shared" si="120"/>
        <v>0</v>
      </c>
      <c r="J192" s="7">
        <f t="shared" si="129"/>
        <v>0</v>
      </c>
      <c r="K192" s="7">
        <f t="shared" si="130"/>
        <v>0</v>
      </c>
      <c r="L192" s="7"/>
      <c r="M192" s="8" t="s">
        <v>75</v>
      </c>
      <c r="N192" s="7">
        <f t="shared" si="131"/>
        <v>0</v>
      </c>
      <c r="O192" s="8">
        <f t="shared" si="132"/>
        <v>0</v>
      </c>
      <c r="P192" s="7">
        <f t="shared" si="133"/>
        <v>0</v>
      </c>
      <c r="Q192" s="7">
        <f t="shared" si="126"/>
        <v>0</v>
      </c>
      <c r="R192" s="7">
        <f t="shared" si="127"/>
        <v>0</v>
      </c>
      <c r="S192" s="7">
        <f t="shared" si="128"/>
        <v>0</v>
      </c>
    </row>
    <row r="193" spans="3:19" ht="12">
      <c r="C193" s="369"/>
      <c r="D193" s="840">
        <f>'Payroll 19-20'!D193</f>
        <v>0</v>
      </c>
      <c r="E193" s="840">
        <f>'Payroll 21-22'!E193*(1+'Revenue Inputs'!Q$27)</f>
        <v>0</v>
      </c>
      <c r="F193" s="828">
        <f>'Payroll 21-22'!F193*(1+$I$4)</f>
        <v>0</v>
      </c>
      <c r="G193" s="322">
        <f>'Payroll 21-22'!G193</f>
        <v>0</v>
      </c>
      <c r="H193" s="319">
        <f>'Payroll 21-22'!H193</f>
        <v>0</v>
      </c>
      <c r="I193" s="320">
        <f t="shared" si="120"/>
        <v>0</v>
      </c>
      <c r="J193" s="7">
        <f t="shared" si="129"/>
        <v>0</v>
      </c>
      <c r="K193" s="7">
        <f t="shared" si="130"/>
        <v>0</v>
      </c>
      <c r="L193" s="7"/>
      <c r="M193" s="8" t="s">
        <v>75</v>
      </c>
      <c r="N193" s="7">
        <f t="shared" si="131"/>
        <v>0</v>
      </c>
      <c r="O193" s="8">
        <f t="shared" si="132"/>
        <v>0</v>
      </c>
      <c r="P193" s="7">
        <f t="shared" si="133"/>
        <v>0</v>
      </c>
      <c r="Q193" s="7">
        <f t="shared" si="126"/>
        <v>0</v>
      </c>
      <c r="R193" s="7">
        <f t="shared" si="127"/>
        <v>0</v>
      </c>
      <c r="S193" s="7">
        <f t="shared" si="128"/>
        <v>0</v>
      </c>
    </row>
    <row r="194" spans="3:19" ht="12">
      <c r="C194" s="368"/>
      <c r="D194" s="840">
        <f>'Payroll 19-20'!D194</f>
        <v>0</v>
      </c>
      <c r="E194" s="840">
        <f>'Payroll 21-22'!E194*(1+'Revenue Inputs'!Q$27)</f>
        <v>0</v>
      </c>
      <c r="F194" s="828">
        <f>'Payroll 21-22'!F194*(1+$I$4)</f>
        <v>0</v>
      </c>
      <c r="G194" s="322">
        <f>'Payroll 21-22'!G194</f>
        <v>0</v>
      </c>
      <c r="H194" s="319">
        <f>'Payroll 21-22'!H194</f>
        <v>0</v>
      </c>
      <c r="I194" s="320">
        <f t="shared" si="120"/>
        <v>0</v>
      </c>
      <c r="J194" s="7">
        <f t="shared" si="129"/>
        <v>0</v>
      </c>
      <c r="K194" s="7">
        <f t="shared" si="130"/>
        <v>0</v>
      </c>
      <c r="L194" s="7"/>
      <c r="M194" s="8" t="s">
        <v>75</v>
      </c>
      <c r="N194" s="7">
        <f t="shared" si="131"/>
        <v>0</v>
      </c>
      <c r="O194" s="8">
        <f t="shared" si="132"/>
        <v>0</v>
      </c>
      <c r="P194" s="7">
        <f t="shared" si="133"/>
        <v>0</v>
      </c>
      <c r="Q194" s="7">
        <f t="shared" si="126"/>
        <v>0</v>
      </c>
      <c r="R194" s="7">
        <f t="shared" si="127"/>
        <v>0</v>
      </c>
      <c r="S194" s="7">
        <f t="shared" si="128"/>
        <v>0</v>
      </c>
    </row>
    <row r="195" spans="3:19" ht="12">
      <c r="C195" s="369"/>
      <c r="D195" s="840">
        <f>'Payroll 19-20'!D195</f>
        <v>0</v>
      </c>
      <c r="E195" s="840">
        <f>'Payroll 21-22'!E195*(1+'Revenue Inputs'!Q$27)</f>
        <v>0</v>
      </c>
      <c r="F195" s="828">
        <f>'Payroll 21-22'!F195*(1+$I$4)</f>
        <v>0</v>
      </c>
      <c r="G195" s="322">
        <f>'Payroll 21-22'!G195</f>
        <v>0</v>
      </c>
      <c r="H195" s="319">
        <f>'Payroll 21-22'!H195</f>
        <v>0</v>
      </c>
      <c r="I195" s="320">
        <f t="shared" si="120"/>
        <v>0</v>
      </c>
      <c r="J195" s="7">
        <f t="shared" si="121"/>
        <v>0</v>
      </c>
      <c r="K195" s="7">
        <f t="shared" si="122"/>
        <v>0</v>
      </c>
      <c r="L195" s="7"/>
      <c r="M195" s="8" t="s">
        <v>75</v>
      </c>
      <c r="N195" s="7">
        <f t="shared" si="123"/>
        <v>0</v>
      </c>
      <c r="O195" s="8">
        <f t="shared" si="124"/>
        <v>0</v>
      </c>
      <c r="P195" s="7">
        <f t="shared" si="125"/>
        <v>0</v>
      </c>
      <c r="Q195" s="7">
        <f t="shared" si="126"/>
        <v>0</v>
      </c>
      <c r="R195" s="7">
        <f t="shared" si="127"/>
        <v>0</v>
      </c>
      <c r="S195" s="7">
        <f t="shared" si="128"/>
        <v>0</v>
      </c>
    </row>
    <row r="196" spans="3:19" ht="12">
      <c r="C196" s="369"/>
      <c r="D196" s="840">
        <f>'Payroll 19-20'!D196</f>
        <v>0</v>
      </c>
      <c r="E196" s="840">
        <f>'Payroll 21-22'!E196*(1+'Revenue Inputs'!Q$27)</f>
        <v>0</v>
      </c>
      <c r="F196" s="828">
        <f>'Payroll 21-22'!F196*(1+$I$4)</f>
        <v>0</v>
      </c>
      <c r="G196" s="322">
        <f>'Payroll 21-22'!G196</f>
        <v>0</v>
      </c>
      <c r="H196" s="319">
        <f>'Payroll 21-22'!H196</f>
        <v>0</v>
      </c>
      <c r="I196" s="320">
        <f t="shared" si="120"/>
        <v>0</v>
      </c>
      <c r="J196" s="7">
        <f t="shared" si="121"/>
        <v>0</v>
      </c>
      <c r="K196" s="7">
        <f t="shared" si="122"/>
        <v>0</v>
      </c>
      <c r="L196" s="7"/>
      <c r="M196" s="8" t="s">
        <v>75</v>
      </c>
      <c r="N196" s="7">
        <f t="shared" si="123"/>
        <v>0</v>
      </c>
      <c r="O196" s="8">
        <f t="shared" si="124"/>
        <v>0</v>
      </c>
      <c r="P196" s="7">
        <f t="shared" si="125"/>
        <v>0</v>
      </c>
      <c r="Q196" s="7">
        <f t="shared" si="126"/>
        <v>0</v>
      </c>
      <c r="R196" s="7">
        <f t="shared" si="127"/>
        <v>0</v>
      </c>
      <c r="S196" s="7">
        <f t="shared" si="128"/>
        <v>0</v>
      </c>
    </row>
    <row r="197" spans="3:19" ht="12">
      <c r="C197" s="369"/>
      <c r="D197" s="840">
        <f>'Payroll 19-20'!D197</f>
        <v>0</v>
      </c>
      <c r="E197" s="840">
        <f>'Payroll 21-22'!E197*(1+'Revenue Inputs'!Q$27)</f>
        <v>0</v>
      </c>
      <c r="F197" s="828">
        <f>'Payroll 21-22'!F197*(1+$I$4)</f>
        <v>0</v>
      </c>
      <c r="G197" s="322">
        <f>'Payroll 21-22'!G197</f>
        <v>0</v>
      </c>
      <c r="H197" s="319">
        <f>'Payroll 21-22'!H197</f>
        <v>0</v>
      </c>
      <c r="I197" s="320">
        <f t="shared" si="120"/>
        <v>0</v>
      </c>
      <c r="J197" s="7">
        <f t="shared" si="121"/>
        <v>0</v>
      </c>
      <c r="K197" s="7">
        <f t="shared" si="122"/>
        <v>0</v>
      </c>
      <c r="L197" s="7"/>
      <c r="M197" s="8" t="s">
        <v>75</v>
      </c>
      <c r="N197" s="7">
        <f t="shared" si="123"/>
        <v>0</v>
      </c>
      <c r="O197" s="8">
        <f t="shared" si="124"/>
        <v>0</v>
      </c>
      <c r="P197" s="7">
        <f t="shared" si="125"/>
        <v>0</v>
      </c>
      <c r="Q197" s="7">
        <f t="shared" si="126"/>
        <v>0</v>
      </c>
      <c r="R197" s="7">
        <f t="shared" si="127"/>
        <v>0</v>
      </c>
      <c r="S197" s="7">
        <f t="shared" si="128"/>
        <v>0</v>
      </c>
    </row>
    <row r="198" spans="3:19" ht="12">
      <c r="C198" s="368"/>
      <c r="D198" s="840">
        <f>'Payroll 19-20'!D198</f>
        <v>0</v>
      </c>
      <c r="E198" s="840">
        <f>'Payroll 21-22'!E198*(1+'Revenue Inputs'!Q$27)</f>
        <v>0</v>
      </c>
      <c r="F198" s="828">
        <f>'Payroll 21-22'!F198*(1+$I$4)</f>
        <v>0</v>
      </c>
      <c r="G198" s="322">
        <f>'Payroll 21-22'!G198</f>
        <v>0</v>
      </c>
      <c r="H198" s="319">
        <f>'Payroll 21-22'!H198</f>
        <v>0</v>
      </c>
      <c r="I198" s="320">
        <f t="shared" si="120"/>
        <v>0</v>
      </c>
      <c r="J198" s="7">
        <f t="shared" si="121"/>
        <v>0</v>
      </c>
      <c r="K198" s="7">
        <f t="shared" si="122"/>
        <v>0</v>
      </c>
      <c r="L198" s="7"/>
      <c r="M198" s="8" t="s">
        <v>75</v>
      </c>
      <c r="N198" s="7">
        <f t="shared" si="123"/>
        <v>0</v>
      </c>
      <c r="O198" s="8">
        <f t="shared" si="124"/>
        <v>0</v>
      </c>
      <c r="P198" s="7">
        <f t="shared" si="125"/>
        <v>0</v>
      </c>
      <c r="Q198" s="7">
        <f t="shared" si="126"/>
        <v>0</v>
      </c>
      <c r="R198" s="7">
        <f t="shared" si="127"/>
        <v>0</v>
      </c>
      <c r="S198" s="7">
        <f t="shared" si="128"/>
        <v>0</v>
      </c>
    </row>
    <row r="199" spans="3:19" ht="13" thickBot="1">
      <c r="C199" s="368"/>
      <c r="D199" s="841"/>
      <c r="E199" s="841"/>
      <c r="F199" s="841"/>
      <c r="G199" s="28"/>
      <c r="H199" s="427"/>
      <c r="I199" s="337"/>
      <c r="J199" s="40"/>
      <c r="K199" s="40"/>
      <c r="L199" s="40"/>
      <c r="M199" s="40"/>
      <c r="N199" s="40"/>
      <c r="O199" s="40"/>
      <c r="P199" s="40"/>
      <c r="Q199" s="40"/>
      <c r="R199" s="40"/>
      <c r="S199" s="40"/>
    </row>
    <row r="200" spans="3:19" s="41" customFormat="1" ht="13" thickBot="1">
      <c r="C200" s="368"/>
      <c r="D200" s="850"/>
      <c r="E200" s="850"/>
      <c r="F200" s="834"/>
      <c r="G200" s="49"/>
      <c r="H200" s="333">
        <v>2300</v>
      </c>
      <c r="I200" s="10">
        <f>SUM(I190:I199)</f>
        <v>0</v>
      </c>
      <c r="J200" s="10">
        <f>SUM(J190:J199)</f>
        <v>0</v>
      </c>
      <c r="K200" s="10">
        <f>SUM(K190:K199)</f>
        <v>0</v>
      </c>
      <c r="L200" s="11"/>
      <c r="M200" s="10">
        <f t="shared" ref="M200:S200" si="134">SUM(M190:M199)</f>
        <v>0</v>
      </c>
      <c r="N200" s="10">
        <f t="shared" si="134"/>
        <v>0</v>
      </c>
      <c r="O200" s="10">
        <f t="shared" si="134"/>
        <v>0</v>
      </c>
      <c r="P200" s="10">
        <f t="shared" si="134"/>
        <v>0</v>
      </c>
      <c r="Q200" s="10">
        <f t="shared" si="134"/>
        <v>0</v>
      </c>
      <c r="R200" s="10">
        <f t="shared" si="134"/>
        <v>0</v>
      </c>
      <c r="S200" s="10">
        <f t="shared" si="134"/>
        <v>0</v>
      </c>
    </row>
    <row r="201" spans="3:19" ht="12">
      <c r="C201" s="369" t="s">
        <v>23</v>
      </c>
      <c r="D201" s="851"/>
      <c r="E201" s="851"/>
      <c r="F201" s="835"/>
      <c r="G201" s="28"/>
      <c r="H201" s="35"/>
      <c r="I201" s="7"/>
      <c r="J201" s="7"/>
      <c r="K201" s="7"/>
      <c r="L201" s="7"/>
      <c r="M201" s="36"/>
      <c r="N201" s="36"/>
      <c r="O201" s="36"/>
      <c r="P201" s="36"/>
      <c r="Q201" s="36"/>
      <c r="R201" s="36"/>
      <c r="S201" s="36"/>
    </row>
    <row r="202" spans="3:19" ht="12">
      <c r="C202" s="369"/>
      <c r="D202" s="840" t="str">
        <f>'Payroll 19-20'!D202</f>
        <v>administrative assistant</v>
      </c>
      <c r="E202" s="840">
        <f>'Payroll 21-22'!E202*(1+'Revenue Inputs'!Q$27)</f>
        <v>1.05</v>
      </c>
      <c r="F202" s="828">
        <f>'Payroll 21-22'!F202*(1+$I$4)</f>
        <v>64654.054951680002</v>
      </c>
      <c r="G202" s="322">
        <f>'Payroll 21-22'!G202</f>
        <v>12</v>
      </c>
      <c r="H202" s="319" t="str">
        <f>'Payroll 21-22'!H202</f>
        <v>y</v>
      </c>
      <c r="I202" s="320">
        <f t="shared" ref="I202:I212" si="135">F202*E202</f>
        <v>67886.75769926401</v>
      </c>
      <c r="J202" s="7">
        <f t="shared" ref="J202:J212" si="136">SUM(M202:S202)</f>
        <v>15917.134771783396</v>
      </c>
      <c r="K202" s="7">
        <f t="shared" ref="K202:K212" si="137">SUM(I202:J202)</f>
        <v>83803.892471047409</v>
      </c>
      <c r="L202" s="7"/>
      <c r="M202" s="8" t="s">
        <v>75</v>
      </c>
      <c r="N202" s="7">
        <f t="shared" ref="N202:N208" si="138">I202*$N$5</f>
        <v>0</v>
      </c>
      <c r="O202" s="8">
        <f t="shared" ref="O202:O212" si="139">I202*$O$5</f>
        <v>4208.9789773543689</v>
      </c>
      <c r="P202" s="7">
        <f t="shared" ref="P202:P212" si="140">I202*$P$5</f>
        <v>984.35798663932815</v>
      </c>
      <c r="Q202" s="7">
        <f t="shared" ref="Q202:Q212" si="141">IF(H202="y", $Q$5*E202, 0)</f>
        <v>9258.883200000002</v>
      </c>
      <c r="R202" s="7">
        <f t="shared" ref="R202:R212" si="142">IF($I202&gt;7000,7000*R$5,$I202*R$5)*E202</f>
        <v>514.50000000000011</v>
      </c>
      <c r="S202" s="7">
        <f t="shared" ref="S202:S212" si="143">S$5*$I202</f>
        <v>950.41460778969611</v>
      </c>
    </row>
    <row r="203" spans="3:19" ht="12">
      <c r="C203" s="369"/>
      <c r="D203" s="840" t="str">
        <f>'Payroll 19-20'!D203</f>
        <v>School Acct Assistant</v>
      </c>
      <c r="E203" s="840">
        <f>'Payroll 21-22'!E203*(1+'Revenue Inputs'!Q$27)</f>
        <v>1.05</v>
      </c>
      <c r="F203" s="828">
        <f>'Payroll 21-22'!F203*(1+$I$4)</f>
        <v>42341.5624752</v>
      </c>
      <c r="G203" s="322">
        <f>'Payroll 21-22'!G203</f>
        <v>12</v>
      </c>
      <c r="H203" s="319" t="str">
        <f>'Payroll 21-22'!H203</f>
        <v>y</v>
      </c>
      <c r="I203" s="320">
        <f t="shared" si="135"/>
        <v>44458.640598960003</v>
      </c>
      <c r="J203" s="7">
        <f t="shared" ref="J203:J207" si="144">SUM(M203:S203)</f>
        <v>13796.890174205882</v>
      </c>
      <c r="K203" s="7">
        <f t="shared" ref="K203:K207" si="145">SUM(I203:J203)</f>
        <v>58255.530773165883</v>
      </c>
      <c r="L203" s="7"/>
      <c r="M203" s="8" t="s">
        <v>75</v>
      </c>
      <c r="N203" s="7">
        <f t="shared" ref="N203" si="146">I203*$N$5</f>
        <v>0</v>
      </c>
      <c r="O203" s="8">
        <f t="shared" ref="O203:O207" si="147">I203*$O$5</f>
        <v>2756.43571713552</v>
      </c>
      <c r="P203" s="7">
        <f t="shared" ref="P203:P207" si="148">I203*$P$5</f>
        <v>644.65028868492004</v>
      </c>
      <c r="Q203" s="7">
        <f t="shared" si="141"/>
        <v>9258.883200000002</v>
      </c>
      <c r="R203" s="7">
        <f t="shared" si="142"/>
        <v>514.50000000000011</v>
      </c>
      <c r="S203" s="7">
        <f t="shared" si="143"/>
        <v>622.42096838544001</v>
      </c>
    </row>
    <row r="204" spans="3:19" ht="12">
      <c r="C204" s="369"/>
      <c r="D204" s="840">
        <f>'Payroll 19-20'!D204</f>
        <v>0</v>
      </c>
      <c r="E204" s="840">
        <f>'Payroll 21-22'!E204*(1+'Revenue Inputs'!Q$27)</f>
        <v>0</v>
      </c>
      <c r="F204" s="828">
        <f>'Payroll 21-22'!F204*(1+$I$4)</f>
        <v>0</v>
      </c>
      <c r="G204" s="322">
        <f>'Payroll 21-22'!G204</f>
        <v>0</v>
      </c>
      <c r="H204" s="319">
        <f>'Payroll 21-22'!H204</f>
        <v>0</v>
      </c>
      <c r="I204" s="320">
        <f t="shared" si="135"/>
        <v>0</v>
      </c>
      <c r="J204" s="7">
        <f t="shared" si="144"/>
        <v>0</v>
      </c>
      <c r="K204" s="7">
        <f t="shared" si="145"/>
        <v>0</v>
      </c>
      <c r="L204" s="7"/>
      <c r="M204" s="8" t="s">
        <v>75</v>
      </c>
      <c r="N204" s="7">
        <f>I204*$N$5</f>
        <v>0</v>
      </c>
      <c r="O204" s="8">
        <f t="shared" si="147"/>
        <v>0</v>
      </c>
      <c r="P204" s="7">
        <f t="shared" si="148"/>
        <v>0</v>
      </c>
      <c r="Q204" s="7">
        <f t="shared" si="141"/>
        <v>0</v>
      </c>
      <c r="R204" s="7">
        <f t="shared" si="142"/>
        <v>0</v>
      </c>
      <c r="S204" s="7">
        <f t="shared" si="143"/>
        <v>0</v>
      </c>
    </row>
    <row r="205" spans="3:19" ht="12">
      <c r="C205" s="369"/>
      <c r="D205" s="840">
        <f>'Payroll 19-20'!D205</f>
        <v>0</v>
      </c>
      <c r="E205" s="840">
        <f>'Payroll 21-22'!E205*(1+'Revenue Inputs'!Q$27)</f>
        <v>0</v>
      </c>
      <c r="F205" s="828">
        <f>'Payroll 21-22'!F205*(1+$I$4)</f>
        <v>0</v>
      </c>
      <c r="G205" s="322">
        <f>'Payroll 21-22'!G205</f>
        <v>0</v>
      </c>
      <c r="H205" s="319">
        <f>'Payroll 21-22'!H205</f>
        <v>0</v>
      </c>
      <c r="I205" s="320">
        <f t="shared" si="135"/>
        <v>0</v>
      </c>
      <c r="J205" s="7">
        <f t="shared" si="144"/>
        <v>0</v>
      </c>
      <c r="K205" s="7">
        <f t="shared" si="145"/>
        <v>0</v>
      </c>
      <c r="L205" s="7"/>
      <c r="M205" s="8" t="s">
        <v>75</v>
      </c>
      <c r="N205" s="7">
        <f>I205*$N$5</f>
        <v>0</v>
      </c>
      <c r="O205" s="8">
        <f t="shared" si="147"/>
        <v>0</v>
      </c>
      <c r="P205" s="7">
        <f t="shared" si="148"/>
        <v>0</v>
      </c>
      <c r="Q205" s="7">
        <f t="shared" si="141"/>
        <v>0</v>
      </c>
      <c r="R205" s="7">
        <f t="shared" si="142"/>
        <v>0</v>
      </c>
      <c r="S205" s="7">
        <f t="shared" si="143"/>
        <v>0</v>
      </c>
    </row>
    <row r="206" spans="3:19" ht="12">
      <c r="C206" s="368"/>
      <c r="D206" s="840">
        <f>'Payroll 19-20'!D206</f>
        <v>0</v>
      </c>
      <c r="E206" s="840">
        <f>'Payroll 21-22'!E206*(1+'Revenue Inputs'!Q$27)</f>
        <v>0</v>
      </c>
      <c r="F206" s="828">
        <f>'Payroll 21-22'!F206*(1+$I$4)</f>
        <v>0</v>
      </c>
      <c r="G206" s="322">
        <f>'Payroll 21-22'!G206</f>
        <v>0</v>
      </c>
      <c r="H206" s="319">
        <f>'Payroll 21-22'!H206</f>
        <v>0</v>
      </c>
      <c r="I206" s="320">
        <f t="shared" si="135"/>
        <v>0</v>
      </c>
      <c r="J206" s="7">
        <f t="shared" si="144"/>
        <v>0</v>
      </c>
      <c r="K206" s="7">
        <f t="shared" si="145"/>
        <v>0</v>
      </c>
      <c r="L206" s="7"/>
      <c r="M206" s="8" t="s">
        <v>75</v>
      </c>
      <c r="N206" s="7">
        <f t="shared" ref="N206:N207" si="149">I206*$N$5</f>
        <v>0</v>
      </c>
      <c r="O206" s="8">
        <f t="shared" si="147"/>
        <v>0</v>
      </c>
      <c r="P206" s="7">
        <f t="shared" si="148"/>
        <v>0</v>
      </c>
      <c r="Q206" s="7">
        <f t="shared" si="141"/>
        <v>0</v>
      </c>
      <c r="R206" s="7">
        <f t="shared" si="142"/>
        <v>0</v>
      </c>
      <c r="S206" s="7">
        <f t="shared" si="143"/>
        <v>0</v>
      </c>
    </row>
    <row r="207" spans="3:19" ht="12">
      <c r="C207" s="369"/>
      <c r="D207" s="840">
        <f>'Payroll 19-20'!D207</f>
        <v>0</v>
      </c>
      <c r="E207" s="840">
        <f>'Payroll 21-22'!E207*(1+'Revenue Inputs'!Q$27)</f>
        <v>0</v>
      </c>
      <c r="F207" s="828">
        <f>'Payroll 21-22'!F207*(1+$I$4)</f>
        <v>0</v>
      </c>
      <c r="G207" s="322">
        <f>'Payroll 21-22'!G207</f>
        <v>0</v>
      </c>
      <c r="H207" s="319">
        <f>'Payroll 21-22'!H207</f>
        <v>0</v>
      </c>
      <c r="I207" s="320">
        <f t="shared" si="135"/>
        <v>0</v>
      </c>
      <c r="J207" s="7">
        <f t="shared" si="144"/>
        <v>0</v>
      </c>
      <c r="K207" s="7">
        <f t="shared" si="145"/>
        <v>0</v>
      </c>
      <c r="L207" s="7"/>
      <c r="M207" s="8" t="s">
        <v>75</v>
      </c>
      <c r="N207" s="7">
        <f t="shared" si="149"/>
        <v>0</v>
      </c>
      <c r="O207" s="8">
        <f t="shared" si="147"/>
        <v>0</v>
      </c>
      <c r="P207" s="7">
        <f t="shared" si="148"/>
        <v>0</v>
      </c>
      <c r="Q207" s="7">
        <f t="shared" si="141"/>
        <v>0</v>
      </c>
      <c r="R207" s="7">
        <f t="shared" si="142"/>
        <v>0</v>
      </c>
      <c r="S207" s="7">
        <f t="shared" si="143"/>
        <v>0</v>
      </c>
    </row>
    <row r="208" spans="3:19" ht="12">
      <c r="C208" s="369"/>
      <c r="D208" s="840">
        <f>'Payroll 19-20'!D208</f>
        <v>0</v>
      </c>
      <c r="E208" s="840">
        <f>'Payroll 21-22'!E208*(1+'Revenue Inputs'!Q$27)</f>
        <v>0</v>
      </c>
      <c r="F208" s="828">
        <f>'Payroll 21-22'!F208*(1+$I$4)</f>
        <v>0</v>
      </c>
      <c r="G208" s="322">
        <f>'Payroll 21-22'!G208</f>
        <v>0</v>
      </c>
      <c r="H208" s="319">
        <f>'Payroll 21-22'!H208</f>
        <v>0</v>
      </c>
      <c r="I208" s="320">
        <f t="shared" si="135"/>
        <v>0</v>
      </c>
      <c r="J208" s="7">
        <f t="shared" si="136"/>
        <v>0</v>
      </c>
      <c r="K208" s="7">
        <f t="shared" si="137"/>
        <v>0</v>
      </c>
      <c r="L208" s="7"/>
      <c r="M208" s="8" t="s">
        <v>75</v>
      </c>
      <c r="N208" s="7">
        <f t="shared" si="138"/>
        <v>0</v>
      </c>
      <c r="O208" s="8">
        <f t="shared" si="139"/>
        <v>0</v>
      </c>
      <c r="P208" s="7">
        <f t="shared" si="140"/>
        <v>0</v>
      </c>
      <c r="Q208" s="7">
        <f t="shared" si="141"/>
        <v>0</v>
      </c>
      <c r="R208" s="7">
        <f t="shared" si="142"/>
        <v>0</v>
      </c>
      <c r="S208" s="7">
        <f t="shared" si="143"/>
        <v>0</v>
      </c>
    </row>
    <row r="209" spans="3:19" ht="12">
      <c r="C209" s="369"/>
      <c r="D209" s="840">
        <f>'Payroll 19-20'!D209</f>
        <v>0</v>
      </c>
      <c r="E209" s="840">
        <f>'Payroll 21-22'!E209*(1+'Revenue Inputs'!Q$27)</f>
        <v>0</v>
      </c>
      <c r="F209" s="828">
        <f>'Payroll 21-22'!F209*(1+$I$4)</f>
        <v>0</v>
      </c>
      <c r="G209" s="322">
        <f>'Payroll 21-22'!G209</f>
        <v>0</v>
      </c>
      <c r="H209" s="319">
        <f>'Payroll 21-22'!H209</f>
        <v>0</v>
      </c>
      <c r="I209" s="320">
        <f t="shared" si="135"/>
        <v>0</v>
      </c>
      <c r="J209" s="7">
        <f t="shared" si="136"/>
        <v>0</v>
      </c>
      <c r="K209" s="7">
        <f t="shared" si="137"/>
        <v>0</v>
      </c>
      <c r="L209" s="7"/>
      <c r="M209" s="8" t="s">
        <v>75</v>
      </c>
      <c r="N209" s="7">
        <f>I209*$N$5</f>
        <v>0</v>
      </c>
      <c r="O209" s="8">
        <f t="shared" si="139"/>
        <v>0</v>
      </c>
      <c r="P209" s="7">
        <f t="shared" si="140"/>
        <v>0</v>
      </c>
      <c r="Q209" s="7">
        <f t="shared" si="141"/>
        <v>0</v>
      </c>
      <c r="R209" s="7">
        <f t="shared" si="142"/>
        <v>0</v>
      </c>
      <c r="S209" s="7">
        <f t="shared" si="143"/>
        <v>0</v>
      </c>
    </row>
    <row r="210" spans="3:19" ht="12">
      <c r="C210" s="369"/>
      <c r="D210" s="840">
        <f>'Payroll 19-20'!D210</f>
        <v>0</v>
      </c>
      <c r="E210" s="840">
        <f>'Payroll 21-22'!E210*(1+'Revenue Inputs'!Q$27)</f>
        <v>0</v>
      </c>
      <c r="F210" s="828">
        <f>'Payroll 21-22'!F210*(1+$I$4)</f>
        <v>0</v>
      </c>
      <c r="G210" s="322">
        <f>'Payroll 21-22'!G210</f>
        <v>0</v>
      </c>
      <c r="H210" s="319">
        <f>'Payroll 21-22'!H210</f>
        <v>0</v>
      </c>
      <c r="I210" s="320">
        <f t="shared" si="135"/>
        <v>0</v>
      </c>
      <c r="J210" s="7">
        <f t="shared" si="136"/>
        <v>0</v>
      </c>
      <c r="K210" s="7">
        <f t="shared" si="137"/>
        <v>0</v>
      </c>
      <c r="L210" s="7"/>
      <c r="M210" s="8" t="s">
        <v>75</v>
      </c>
      <c r="N210" s="7">
        <f>I210*$N$5</f>
        <v>0</v>
      </c>
      <c r="O210" s="8">
        <f t="shared" si="139"/>
        <v>0</v>
      </c>
      <c r="P210" s="7">
        <f t="shared" si="140"/>
        <v>0</v>
      </c>
      <c r="Q210" s="7">
        <f t="shared" si="141"/>
        <v>0</v>
      </c>
      <c r="R210" s="7">
        <f t="shared" si="142"/>
        <v>0</v>
      </c>
      <c r="S210" s="7">
        <f t="shared" si="143"/>
        <v>0</v>
      </c>
    </row>
    <row r="211" spans="3:19" ht="12">
      <c r="C211" s="368"/>
      <c r="D211" s="840">
        <f>'Payroll 19-20'!D211</f>
        <v>0</v>
      </c>
      <c r="E211" s="840">
        <f>'Payroll 21-22'!E211*(1+'Revenue Inputs'!Q$27)</f>
        <v>0</v>
      </c>
      <c r="F211" s="828">
        <f>'Payroll 21-22'!F211*(1+$I$4)</f>
        <v>0</v>
      </c>
      <c r="G211" s="322">
        <f>'Payroll 21-22'!G211</f>
        <v>0</v>
      </c>
      <c r="H211" s="319">
        <f>'Payroll 21-22'!H211</f>
        <v>0</v>
      </c>
      <c r="I211" s="320">
        <f t="shared" si="135"/>
        <v>0</v>
      </c>
      <c r="J211" s="7">
        <f t="shared" si="136"/>
        <v>0</v>
      </c>
      <c r="K211" s="7">
        <f t="shared" si="137"/>
        <v>0</v>
      </c>
      <c r="L211" s="7"/>
      <c r="M211" s="8" t="s">
        <v>75</v>
      </c>
      <c r="N211" s="7">
        <f t="shared" ref="N211:N212" si="150">I211*$N$5</f>
        <v>0</v>
      </c>
      <c r="O211" s="8">
        <f t="shared" si="139"/>
        <v>0</v>
      </c>
      <c r="P211" s="7">
        <f t="shared" si="140"/>
        <v>0</v>
      </c>
      <c r="Q211" s="7">
        <f t="shared" si="141"/>
        <v>0</v>
      </c>
      <c r="R211" s="7">
        <f t="shared" si="142"/>
        <v>0</v>
      </c>
      <c r="S211" s="7">
        <f t="shared" si="143"/>
        <v>0</v>
      </c>
    </row>
    <row r="212" spans="3:19" ht="12">
      <c r="C212" s="369"/>
      <c r="D212" s="840">
        <f>'Payroll 19-20'!D212</f>
        <v>0</v>
      </c>
      <c r="E212" s="840">
        <f>'Payroll 21-22'!E212*(1+'Revenue Inputs'!Q$27)</f>
        <v>0</v>
      </c>
      <c r="F212" s="828">
        <f>'Payroll 21-22'!F212*(1+$I$4)</f>
        <v>0</v>
      </c>
      <c r="G212" s="322">
        <f>'Payroll 21-22'!G212</f>
        <v>0</v>
      </c>
      <c r="H212" s="319">
        <f>'Payroll 21-22'!H212</f>
        <v>0</v>
      </c>
      <c r="I212" s="320">
        <f t="shared" si="135"/>
        <v>0</v>
      </c>
      <c r="J212" s="7">
        <f t="shared" si="136"/>
        <v>0</v>
      </c>
      <c r="K212" s="7">
        <f t="shared" si="137"/>
        <v>0</v>
      </c>
      <c r="L212" s="7"/>
      <c r="M212" s="8" t="s">
        <v>75</v>
      </c>
      <c r="N212" s="7">
        <f t="shared" si="150"/>
        <v>0</v>
      </c>
      <c r="O212" s="8">
        <f t="shared" si="139"/>
        <v>0</v>
      </c>
      <c r="P212" s="7">
        <f t="shared" si="140"/>
        <v>0</v>
      </c>
      <c r="Q212" s="7">
        <f t="shared" si="141"/>
        <v>0</v>
      </c>
      <c r="R212" s="7">
        <f t="shared" si="142"/>
        <v>0</v>
      </c>
      <c r="S212" s="7">
        <f t="shared" si="143"/>
        <v>0</v>
      </c>
    </row>
    <row r="213" spans="3:19" ht="12.5" customHeight="1" thickBot="1">
      <c r="C213" s="368"/>
      <c r="D213" s="841"/>
      <c r="E213" s="841"/>
      <c r="F213" s="841"/>
      <c r="G213" s="28"/>
      <c r="H213" s="427"/>
      <c r="I213" s="337"/>
      <c r="J213" s="40"/>
      <c r="K213" s="40"/>
      <c r="L213" s="40"/>
      <c r="M213" s="40"/>
      <c r="N213" s="40"/>
      <c r="O213" s="40"/>
      <c r="P213" s="7"/>
      <c r="Q213" s="7"/>
      <c r="R213" s="7"/>
      <c r="S213" s="7"/>
    </row>
    <row r="214" spans="3:19" s="41" customFormat="1" ht="13" thickBot="1">
      <c r="C214" s="368"/>
      <c r="D214" s="834"/>
      <c r="E214" s="847"/>
      <c r="F214" s="834"/>
      <c r="G214" s="49"/>
      <c r="H214" s="17">
        <v>2400</v>
      </c>
      <c r="I214" s="10">
        <f>SUM(I202:I213)</f>
        <v>112345.39829822401</v>
      </c>
      <c r="J214" s="10">
        <f>SUM(J202:J213)</f>
        <v>29714.02494598928</v>
      </c>
      <c r="K214" s="10">
        <f>SUM(K202:K213)</f>
        <v>142059.42324421328</v>
      </c>
      <c r="L214" s="11"/>
      <c r="M214" s="10">
        <f t="shared" ref="M214:S214" si="151">SUM(M202:M213)</f>
        <v>0</v>
      </c>
      <c r="N214" s="10">
        <f t="shared" si="151"/>
        <v>0</v>
      </c>
      <c r="O214" s="10">
        <f t="shared" si="151"/>
        <v>6965.4146944898894</v>
      </c>
      <c r="P214" s="10">
        <f t="shared" si="151"/>
        <v>1629.0082753242482</v>
      </c>
      <c r="Q214" s="10">
        <f t="shared" si="151"/>
        <v>18517.766400000004</v>
      </c>
      <c r="R214" s="10">
        <f t="shared" si="151"/>
        <v>1029.0000000000002</v>
      </c>
      <c r="S214" s="10">
        <f t="shared" si="151"/>
        <v>1572.8355761751361</v>
      </c>
    </row>
    <row r="215" spans="3:19" ht="12">
      <c r="C215" s="369" t="s">
        <v>24</v>
      </c>
      <c r="D215" s="835"/>
      <c r="E215" s="848"/>
      <c r="F215" s="835"/>
      <c r="G215" s="28"/>
      <c r="H215" s="35"/>
      <c r="I215" s="7"/>
      <c r="J215" s="7"/>
      <c r="K215" s="7"/>
      <c r="L215" s="7"/>
      <c r="M215" s="36"/>
      <c r="N215" s="36"/>
      <c r="O215" s="36"/>
      <c r="P215" s="36"/>
      <c r="Q215" s="36"/>
      <c r="R215" s="36"/>
      <c r="S215" s="36"/>
    </row>
    <row r="216" spans="3:19" ht="12">
      <c r="C216" s="369"/>
      <c r="D216" s="840" t="str">
        <f>'Payroll 19-20'!D216</f>
        <v>Admin Assistant</v>
      </c>
      <c r="E216" s="840">
        <f>'Payroll 21-22'!E216*(1+'Revenue Inputs'!Q$27)</f>
        <v>1.05</v>
      </c>
      <c r="F216" s="828">
        <f>'Payroll 21-22'!F216*(1+$I$4)</f>
        <v>44475.524418239998</v>
      </c>
      <c r="G216" s="322">
        <f>'Payroll 21-22'!G216</f>
        <v>12</v>
      </c>
      <c r="H216" s="319" t="str">
        <f>'Payroll 21-22'!H216</f>
        <v>y</v>
      </c>
      <c r="I216" s="320">
        <f>'Payroll 21-22'!I216*(1+$I$4)</f>
        <v>44475.524418239998</v>
      </c>
      <c r="J216" s="7">
        <f t="shared" ref="J216:J227" si="152">SUM(M216:S216)</f>
        <v>13798.418159850722</v>
      </c>
      <c r="K216" s="7">
        <f t="shared" ref="K216:K226" si="153">SUM(I216:J216)</f>
        <v>58273.942578090719</v>
      </c>
      <c r="L216" s="7"/>
      <c r="M216" s="8" t="s">
        <v>75</v>
      </c>
      <c r="N216" s="7">
        <f t="shared" ref="N216:N227" si="154">I216*$N$5</f>
        <v>0</v>
      </c>
      <c r="O216" s="8">
        <f t="shared" ref="O216:O227" si="155">I216*$O$5</f>
        <v>2757.48251393088</v>
      </c>
      <c r="P216" s="7">
        <f t="shared" ref="P216:P227" si="156">I216*$P$5</f>
        <v>644.89510406448005</v>
      </c>
      <c r="Q216" s="7">
        <f t="shared" ref="Q216:Q227" si="157">IF(H216="y", $Q$5*E216, 0)</f>
        <v>9258.883200000002</v>
      </c>
      <c r="R216" s="7">
        <f t="shared" ref="R216:R227" si="158">IF($I216&gt;7000,7000*R$5,$I216*R$5)*E216</f>
        <v>514.50000000000011</v>
      </c>
      <c r="S216" s="7">
        <f t="shared" ref="S216:S227" si="159">S$5*$I216</f>
        <v>622.65734185535996</v>
      </c>
    </row>
    <row r="217" spans="3:19" ht="12">
      <c r="C217" s="369"/>
      <c r="D217" s="840">
        <f>'Payroll 19-20'!D217</f>
        <v>0</v>
      </c>
      <c r="E217" s="840">
        <f>'Payroll 21-22'!E217*(1+'Revenue Inputs'!Q$27)</f>
        <v>0</v>
      </c>
      <c r="F217" s="828">
        <f>'Payroll 21-22'!F217*(1+$I$4)</f>
        <v>0</v>
      </c>
      <c r="G217" s="322">
        <f>'Payroll 21-22'!G217</f>
        <v>0</v>
      </c>
      <c r="H217" s="319">
        <f>'Payroll 21-22'!H217</f>
        <v>0</v>
      </c>
      <c r="I217" s="320">
        <f>'Payroll 21-22'!I217*(1+$I$4)</f>
        <v>0</v>
      </c>
      <c r="J217" s="7">
        <f t="shared" ref="J217:J224" si="160">SUM(M217:S217)</f>
        <v>0</v>
      </c>
      <c r="K217" s="7">
        <f t="shared" ref="K217:K223" si="161">SUM(I217:J217)</f>
        <v>0</v>
      </c>
      <c r="L217" s="7"/>
      <c r="M217" s="8" t="s">
        <v>75</v>
      </c>
      <c r="N217" s="7">
        <f t="shared" ref="N217:N224" si="162">I217*$N$5</f>
        <v>0</v>
      </c>
      <c r="O217" s="8">
        <f t="shared" ref="O217:O224" si="163">I217*$O$5</f>
        <v>0</v>
      </c>
      <c r="P217" s="7">
        <f t="shared" ref="P217:P224" si="164">I217*$P$5</f>
        <v>0</v>
      </c>
      <c r="Q217" s="7">
        <f t="shared" si="157"/>
        <v>0</v>
      </c>
      <c r="R217" s="7">
        <f t="shared" si="158"/>
        <v>0</v>
      </c>
      <c r="S217" s="7">
        <f t="shared" si="159"/>
        <v>0</v>
      </c>
    </row>
    <row r="218" spans="3:19" ht="12">
      <c r="C218" s="369"/>
      <c r="D218" s="840">
        <f>'Payroll 19-20'!D218</f>
        <v>0</v>
      </c>
      <c r="E218" s="840">
        <f>'Payroll 21-22'!E218*(1+'Revenue Inputs'!Q$27)</f>
        <v>0</v>
      </c>
      <c r="F218" s="828">
        <f>'Payroll 21-22'!F218*(1+$I$4)</f>
        <v>0</v>
      </c>
      <c r="G218" s="322">
        <f>'Payroll 21-22'!G218</f>
        <v>0</v>
      </c>
      <c r="H218" s="319">
        <f>'Payroll 21-22'!H218</f>
        <v>0</v>
      </c>
      <c r="I218" s="320">
        <f>'Payroll 21-22'!I218*(1+$I$4)</f>
        <v>0</v>
      </c>
      <c r="J218" s="7">
        <f t="shared" ref="J218:J222" si="165">SUM(M218:S218)</f>
        <v>0</v>
      </c>
      <c r="K218" s="7">
        <f t="shared" ref="K218" si="166">SUM(I218:J218)</f>
        <v>0</v>
      </c>
      <c r="L218" s="7"/>
      <c r="M218" s="8" t="s">
        <v>75</v>
      </c>
      <c r="N218" s="7">
        <f t="shared" ref="N218:N222" si="167">I218*$N$5</f>
        <v>0</v>
      </c>
      <c r="O218" s="8">
        <f t="shared" ref="O218:O222" si="168">I218*$O$5</f>
        <v>0</v>
      </c>
      <c r="P218" s="7">
        <f t="shared" ref="P218:P222" si="169">I218*$P$5</f>
        <v>0</v>
      </c>
      <c r="Q218" s="7">
        <f t="shared" si="157"/>
        <v>0</v>
      </c>
      <c r="R218" s="7">
        <f t="shared" si="158"/>
        <v>0</v>
      </c>
      <c r="S218" s="7">
        <f t="shared" si="159"/>
        <v>0</v>
      </c>
    </row>
    <row r="219" spans="3:19" ht="12">
      <c r="C219" s="369"/>
      <c r="D219" s="840">
        <f>'Payroll 19-20'!D219</f>
        <v>0</v>
      </c>
      <c r="E219" s="840">
        <f>'Payroll 21-22'!E219*(1+'Revenue Inputs'!Q$27)</f>
        <v>0</v>
      </c>
      <c r="F219" s="828">
        <f>'Payroll 21-22'!F219*(1+$I$4)</f>
        <v>0</v>
      </c>
      <c r="G219" s="322">
        <f>'Payroll 21-22'!G219</f>
        <v>0</v>
      </c>
      <c r="H219" s="319">
        <f>'Payroll 21-22'!H219</f>
        <v>0</v>
      </c>
      <c r="I219" s="320">
        <f>'Payroll 21-22'!I219*(1+$I$4)</f>
        <v>0</v>
      </c>
      <c r="J219" s="7">
        <f t="shared" si="165"/>
        <v>0</v>
      </c>
      <c r="K219" s="7">
        <f t="shared" ref="K219" si="170">SUM(I219:J219)</f>
        <v>0</v>
      </c>
      <c r="L219" s="7"/>
      <c r="M219" s="8" t="s">
        <v>75</v>
      </c>
      <c r="N219" s="7">
        <f t="shared" si="167"/>
        <v>0</v>
      </c>
      <c r="O219" s="8">
        <f t="shared" si="168"/>
        <v>0</v>
      </c>
      <c r="P219" s="7">
        <f t="shared" si="169"/>
        <v>0</v>
      </c>
      <c r="Q219" s="7">
        <f t="shared" si="157"/>
        <v>0</v>
      </c>
      <c r="R219" s="7">
        <f t="shared" si="158"/>
        <v>0</v>
      </c>
      <c r="S219" s="7">
        <f t="shared" si="159"/>
        <v>0</v>
      </c>
    </row>
    <row r="220" spans="3:19" ht="12">
      <c r="C220" s="369"/>
      <c r="D220" s="840">
        <f>'Payroll 19-20'!D220</f>
        <v>0</v>
      </c>
      <c r="E220" s="840">
        <f>'Payroll 21-22'!E220*(1+'Revenue Inputs'!Q$27)</f>
        <v>0</v>
      </c>
      <c r="F220" s="828">
        <f>'Payroll 21-22'!F220*(1+$I$4)</f>
        <v>0</v>
      </c>
      <c r="G220" s="322">
        <f>'Payroll 21-22'!G220</f>
        <v>0</v>
      </c>
      <c r="H220" s="319">
        <f>'Payroll 21-22'!H220</f>
        <v>0</v>
      </c>
      <c r="I220" s="320">
        <f>'Payroll 21-22'!I220*(1+$I$4)</f>
        <v>0</v>
      </c>
      <c r="J220" s="7">
        <f t="shared" si="165"/>
        <v>0</v>
      </c>
      <c r="K220" s="7">
        <f t="shared" ref="K220:K221" si="171">SUM(I220:J220)</f>
        <v>0</v>
      </c>
      <c r="L220" s="7"/>
      <c r="M220" s="8" t="s">
        <v>75</v>
      </c>
      <c r="N220" s="7">
        <f t="shared" si="167"/>
        <v>0</v>
      </c>
      <c r="O220" s="8">
        <f t="shared" si="168"/>
        <v>0</v>
      </c>
      <c r="P220" s="7">
        <f t="shared" si="169"/>
        <v>0</v>
      </c>
      <c r="Q220" s="7">
        <f t="shared" si="157"/>
        <v>0</v>
      </c>
      <c r="R220" s="7">
        <f t="shared" si="158"/>
        <v>0</v>
      </c>
      <c r="S220" s="7">
        <f t="shared" si="159"/>
        <v>0</v>
      </c>
    </row>
    <row r="221" spans="3:19" ht="12">
      <c r="C221" s="369"/>
      <c r="D221" s="840">
        <f>'Payroll 19-20'!D221</f>
        <v>0</v>
      </c>
      <c r="E221" s="840">
        <f>'Payroll 21-22'!E221*(1+'Revenue Inputs'!Q$27)</f>
        <v>0</v>
      </c>
      <c r="F221" s="828">
        <f>'Payroll 21-22'!F221*(1+$I$4)</f>
        <v>0</v>
      </c>
      <c r="G221" s="322">
        <f>'Payroll 21-22'!G221</f>
        <v>0</v>
      </c>
      <c r="H221" s="319">
        <f>'Payroll 21-22'!H221</f>
        <v>0</v>
      </c>
      <c r="I221" s="320">
        <f>'Payroll 21-22'!I221*(1+$I$4)</f>
        <v>0</v>
      </c>
      <c r="J221" s="7">
        <f t="shared" si="165"/>
        <v>0</v>
      </c>
      <c r="K221" s="7">
        <f t="shared" si="171"/>
        <v>0</v>
      </c>
      <c r="L221" s="7"/>
      <c r="M221" s="8" t="s">
        <v>75</v>
      </c>
      <c r="N221" s="7">
        <f t="shared" si="167"/>
        <v>0</v>
      </c>
      <c r="O221" s="8">
        <f t="shared" si="168"/>
        <v>0</v>
      </c>
      <c r="P221" s="7">
        <f t="shared" si="169"/>
        <v>0</v>
      </c>
      <c r="Q221" s="7">
        <f t="shared" si="157"/>
        <v>0</v>
      </c>
      <c r="R221" s="7">
        <f t="shared" si="158"/>
        <v>0</v>
      </c>
      <c r="S221" s="7">
        <f t="shared" si="159"/>
        <v>0</v>
      </c>
    </row>
    <row r="222" spans="3:19" ht="12">
      <c r="C222" s="369"/>
      <c r="D222" s="840">
        <f>'Payroll 19-20'!D222</f>
        <v>0</v>
      </c>
      <c r="E222" s="840">
        <f>'Payroll 21-22'!E222*(1+'Revenue Inputs'!Q$27)</f>
        <v>0</v>
      </c>
      <c r="F222" s="828">
        <f>'Payroll 21-22'!F222*(1+$I$4)</f>
        <v>0</v>
      </c>
      <c r="G222" s="322">
        <f>'Payroll 21-22'!G222</f>
        <v>0</v>
      </c>
      <c r="H222" s="319">
        <f>'Payroll 21-22'!H222</f>
        <v>0</v>
      </c>
      <c r="I222" s="320">
        <f>'Payroll 21-22'!I222*(1+$I$4)</f>
        <v>0</v>
      </c>
      <c r="J222" s="7">
        <f t="shared" si="165"/>
        <v>0</v>
      </c>
      <c r="K222" s="7">
        <f t="shared" ref="K222" si="172">SUM(I222:J222)</f>
        <v>0</v>
      </c>
      <c r="L222" s="7"/>
      <c r="M222" s="8" t="s">
        <v>75</v>
      </c>
      <c r="N222" s="7">
        <f t="shared" si="167"/>
        <v>0</v>
      </c>
      <c r="O222" s="8">
        <f t="shared" si="168"/>
        <v>0</v>
      </c>
      <c r="P222" s="7">
        <f t="shared" si="169"/>
        <v>0</v>
      </c>
      <c r="Q222" s="7">
        <f t="shared" si="157"/>
        <v>0</v>
      </c>
      <c r="R222" s="7">
        <f t="shared" si="158"/>
        <v>0</v>
      </c>
      <c r="S222" s="7">
        <f t="shared" si="159"/>
        <v>0</v>
      </c>
    </row>
    <row r="223" spans="3:19" ht="12">
      <c r="C223" s="369"/>
      <c r="D223" s="840">
        <f>'Payroll 19-20'!D223</f>
        <v>0</v>
      </c>
      <c r="E223" s="840">
        <f>'Payroll 21-22'!E223*(1+'Revenue Inputs'!Q$27)</f>
        <v>0</v>
      </c>
      <c r="F223" s="828">
        <f>'Payroll 21-22'!F223*(1+$I$4)</f>
        <v>0</v>
      </c>
      <c r="G223" s="322">
        <f>'Payroll 21-22'!G223</f>
        <v>0</v>
      </c>
      <c r="H223" s="319">
        <f>'Payroll 21-22'!H223</f>
        <v>0</v>
      </c>
      <c r="I223" s="320">
        <f>'Payroll 21-22'!I223*(1+$I$4)</f>
        <v>0</v>
      </c>
      <c r="J223" s="7">
        <f t="shared" si="160"/>
        <v>0</v>
      </c>
      <c r="K223" s="7">
        <f t="shared" si="161"/>
        <v>0</v>
      </c>
      <c r="L223" s="7"/>
      <c r="M223" s="8" t="s">
        <v>75</v>
      </c>
      <c r="N223" s="7">
        <f t="shared" si="162"/>
        <v>0</v>
      </c>
      <c r="O223" s="8">
        <f t="shared" si="163"/>
        <v>0</v>
      </c>
      <c r="P223" s="7">
        <f t="shared" si="164"/>
        <v>0</v>
      </c>
      <c r="Q223" s="7">
        <f t="shared" si="157"/>
        <v>0</v>
      </c>
      <c r="R223" s="7">
        <f t="shared" si="158"/>
        <v>0</v>
      </c>
      <c r="S223" s="7">
        <f t="shared" si="159"/>
        <v>0</v>
      </c>
    </row>
    <row r="224" spans="3:19" ht="12">
      <c r="C224" s="369"/>
      <c r="D224" s="840">
        <f>'Payroll 19-20'!D224</f>
        <v>0</v>
      </c>
      <c r="E224" s="840">
        <f>'Payroll 21-22'!E224*(1+'Revenue Inputs'!Q$27)</f>
        <v>0</v>
      </c>
      <c r="F224" s="828">
        <f>'Payroll 21-22'!F224*(1+$I$4)</f>
        <v>0</v>
      </c>
      <c r="G224" s="322">
        <f>'Payroll 21-22'!G224</f>
        <v>0</v>
      </c>
      <c r="H224" s="319">
        <f>'Payroll 21-22'!H224</f>
        <v>0</v>
      </c>
      <c r="I224" s="320">
        <f>'Payroll 21-22'!I224*(1+$I$4)</f>
        <v>0</v>
      </c>
      <c r="J224" s="7">
        <f t="shared" si="160"/>
        <v>0</v>
      </c>
      <c r="K224" s="7">
        <f t="shared" ref="K224" si="173">SUM(I224:J224)</f>
        <v>0</v>
      </c>
      <c r="L224" s="7"/>
      <c r="M224" s="8" t="s">
        <v>75</v>
      </c>
      <c r="N224" s="7">
        <f t="shared" si="162"/>
        <v>0</v>
      </c>
      <c r="O224" s="8">
        <f t="shared" si="163"/>
        <v>0</v>
      </c>
      <c r="P224" s="7">
        <f t="shared" si="164"/>
        <v>0</v>
      </c>
      <c r="Q224" s="7">
        <f t="shared" si="157"/>
        <v>0</v>
      </c>
      <c r="R224" s="7">
        <f t="shared" si="158"/>
        <v>0</v>
      </c>
      <c r="S224" s="7">
        <f t="shared" si="159"/>
        <v>0</v>
      </c>
    </row>
    <row r="225" spans="3:19" ht="12">
      <c r="C225" s="369"/>
      <c r="D225" s="840">
        <f>'Payroll 19-20'!D225</f>
        <v>0</v>
      </c>
      <c r="E225" s="840">
        <f>'Payroll 21-22'!E225*(1+'Revenue Inputs'!Q$27)</f>
        <v>0</v>
      </c>
      <c r="F225" s="828">
        <f>'Payroll 21-22'!F225*(1+$I$4)</f>
        <v>0</v>
      </c>
      <c r="G225" s="322">
        <f>'Payroll 21-22'!G225</f>
        <v>0</v>
      </c>
      <c r="H225" s="319">
        <f>'Payroll 21-22'!H225</f>
        <v>0</v>
      </c>
      <c r="I225" s="320">
        <f>'Payroll 21-22'!I225*(1+$I$4)</f>
        <v>0</v>
      </c>
      <c r="J225" s="7">
        <f t="shared" si="152"/>
        <v>0</v>
      </c>
      <c r="K225" s="7">
        <f t="shared" si="153"/>
        <v>0</v>
      </c>
      <c r="L225" s="7"/>
      <c r="M225" s="8" t="s">
        <v>75</v>
      </c>
      <c r="N225" s="7">
        <f t="shared" si="154"/>
        <v>0</v>
      </c>
      <c r="O225" s="8">
        <f t="shared" si="155"/>
        <v>0</v>
      </c>
      <c r="P225" s="7">
        <f t="shared" si="156"/>
        <v>0</v>
      </c>
      <c r="Q225" s="7">
        <f t="shared" si="157"/>
        <v>0</v>
      </c>
      <c r="R225" s="7">
        <f t="shared" si="158"/>
        <v>0</v>
      </c>
      <c r="S225" s="7">
        <f t="shared" si="159"/>
        <v>0</v>
      </c>
    </row>
    <row r="226" spans="3:19" ht="12">
      <c r="C226" s="369"/>
      <c r="D226" s="840">
        <f>'Payroll 19-20'!D226</f>
        <v>0</v>
      </c>
      <c r="E226" s="840">
        <f>'Payroll 21-22'!E226*(1+'Revenue Inputs'!Q$27)</f>
        <v>0</v>
      </c>
      <c r="F226" s="828">
        <f>'Payroll 21-22'!F226*(1+$I$4)</f>
        <v>0</v>
      </c>
      <c r="G226" s="322">
        <f>'Payroll 21-22'!G226</f>
        <v>0</v>
      </c>
      <c r="H226" s="319">
        <f>'Payroll 21-22'!H226</f>
        <v>0</v>
      </c>
      <c r="I226" s="320">
        <f>'Payroll 21-22'!I226*(1+$I$4)</f>
        <v>0</v>
      </c>
      <c r="J226" s="7">
        <f t="shared" si="152"/>
        <v>0</v>
      </c>
      <c r="K226" s="7">
        <f t="shared" si="153"/>
        <v>0</v>
      </c>
      <c r="L226" s="7"/>
      <c r="M226" s="8" t="s">
        <v>75</v>
      </c>
      <c r="N226" s="7">
        <f t="shared" si="154"/>
        <v>0</v>
      </c>
      <c r="O226" s="8">
        <f t="shared" si="155"/>
        <v>0</v>
      </c>
      <c r="P226" s="7">
        <f t="shared" si="156"/>
        <v>0</v>
      </c>
      <c r="Q226" s="7">
        <f t="shared" si="157"/>
        <v>0</v>
      </c>
      <c r="R226" s="7">
        <f t="shared" si="158"/>
        <v>0</v>
      </c>
      <c r="S226" s="7">
        <f t="shared" si="159"/>
        <v>0</v>
      </c>
    </row>
    <row r="227" spans="3:19" ht="12">
      <c r="C227" s="369"/>
      <c r="D227" s="840">
        <f>'Payroll 19-20'!D227</f>
        <v>0</v>
      </c>
      <c r="E227" s="840">
        <f>'Payroll 21-22'!E227*(1+'Revenue Inputs'!Q$27)</f>
        <v>0</v>
      </c>
      <c r="F227" s="828">
        <f>'Payroll 21-22'!F227*(1+$I$4)</f>
        <v>0</v>
      </c>
      <c r="G227" s="322">
        <f>'Payroll 21-22'!G227</f>
        <v>0</v>
      </c>
      <c r="H227" s="319">
        <f>'Payroll 21-22'!H227</f>
        <v>0</v>
      </c>
      <c r="I227" s="320">
        <f>'Payroll 21-22'!I227*(1+$I$4)</f>
        <v>0</v>
      </c>
      <c r="J227" s="7">
        <f t="shared" si="152"/>
        <v>0</v>
      </c>
      <c r="K227" s="7">
        <f t="shared" ref="K227" si="174">SUM(I227:J227)</f>
        <v>0</v>
      </c>
      <c r="L227" s="7"/>
      <c r="M227" s="8" t="s">
        <v>75</v>
      </c>
      <c r="N227" s="7">
        <f t="shared" si="154"/>
        <v>0</v>
      </c>
      <c r="O227" s="8">
        <f t="shared" si="155"/>
        <v>0</v>
      </c>
      <c r="P227" s="7">
        <f t="shared" si="156"/>
        <v>0</v>
      </c>
      <c r="Q227" s="7">
        <f t="shared" si="157"/>
        <v>0</v>
      </c>
      <c r="R227" s="7">
        <f t="shared" si="158"/>
        <v>0</v>
      </c>
      <c r="S227" s="7">
        <f t="shared" si="159"/>
        <v>0</v>
      </c>
    </row>
    <row r="228" spans="3:19" ht="12.5" customHeight="1" thickBot="1">
      <c r="C228" s="369"/>
      <c r="D228" s="841"/>
      <c r="E228" s="841"/>
      <c r="F228" s="841"/>
      <c r="G228" s="28"/>
      <c r="H228" s="427"/>
      <c r="I228" s="337"/>
      <c r="J228" s="40"/>
      <c r="K228" s="40"/>
      <c r="L228" s="40"/>
      <c r="M228" s="40"/>
      <c r="N228" s="40"/>
      <c r="O228" s="40"/>
      <c r="P228" s="7"/>
      <c r="Q228" s="7"/>
      <c r="R228" s="7"/>
      <c r="S228" s="7"/>
    </row>
    <row r="229" spans="3:19" s="41" customFormat="1" ht="13" thickBot="1">
      <c r="C229" s="369"/>
      <c r="D229" s="852"/>
      <c r="E229" s="852"/>
      <c r="F229" s="835"/>
      <c r="G229" s="28"/>
      <c r="H229" s="17">
        <v>2900</v>
      </c>
      <c r="I229" s="10">
        <f>SUM(I216:I228)</f>
        <v>44475.524418239998</v>
      </c>
      <c r="J229" s="10">
        <f>SUM(J216:J228)</f>
        <v>13798.418159850722</v>
      </c>
      <c r="K229" s="10">
        <f>SUM(K216:K228)</f>
        <v>58273.942578090719</v>
      </c>
      <c r="L229" s="11"/>
      <c r="M229" s="10">
        <f t="shared" ref="M229:S229" si="175">SUM(M216:M228)</f>
        <v>0</v>
      </c>
      <c r="N229" s="10">
        <f t="shared" si="175"/>
        <v>0</v>
      </c>
      <c r="O229" s="10">
        <f t="shared" si="175"/>
        <v>2757.48251393088</v>
      </c>
      <c r="P229" s="10">
        <f t="shared" si="175"/>
        <v>644.89510406448005</v>
      </c>
      <c r="Q229" s="10">
        <f t="shared" si="175"/>
        <v>9258.883200000002</v>
      </c>
      <c r="R229" s="10">
        <f t="shared" si="175"/>
        <v>514.50000000000011</v>
      </c>
      <c r="S229" s="10">
        <f t="shared" si="175"/>
        <v>622.65734185535996</v>
      </c>
    </row>
    <row r="230" spans="3:19" ht="12">
      <c r="C230" s="369"/>
      <c r="D230" s="852"/>
      <c r="E230" s="852"/>
      <c r="F230" s="841"/>
      <c r="G230" s="28"/>
      <c r="H230" s="427"/>
      <c r="I230" s="337"/>
      <c r="J230" s="7"/>
      <c r="K230" s="7"/>
      <c r="L230" s="7"/>
      <c r="M230" s="36"/>
      <c r="N230" s="36"/>
      <c r="O230" s="36"/>
      <c r="P230" s="36"/>
      <c r="Q230" s="36"/>
      <c r="R230" s="36"/>
      <c r="S230" s="36"/>
    </row>
    <row r="231" spans="3:19" s="42" customFormat="1" ht="13" thickBot="1">
      <c r="C231" s="370"/>
      <c r="D231" s="852"/>
      <c r="E231" s="852"/>
      <c r="F231" s="843"/>
      <c r="G231" s="50"/>
      <c r="H231" s="20"/>
      <c r="I231" s="21">
        <f>SUM(I61,I229,I188,I214,I200,I166,I144,I122,I76,I65,I100)</f>
        <v>12062403.152098367</v>
      </c>
      <c r="J231" s="21">
        <f>SUM(J61,J229,J188,J214,J200,J166,J144,J122,J76,J65,J100)</f>
        <v>3976508.406543463</v>
      </c>
      <c r="K231" s="21">
        <f>SUM(K61,K229,K188,K214,K200,K166,K144,K122,K76,K65,K100)</f>
        <v>16038911.55864183</v>
      </c>
      <c r="L231" s="22"/>
      <c r="M231" s="21">
        <f t="shared" ref="M231:S231" si="176">SUM(M61,M229,M188,M214,M200,M166,M144,M122,M76,M65,M100)</f>
        <v>2087079.7865827936</v>
      </c>
      <c r="N231" s="21">
        <f t="shared" si="176"/>
        <v>0</v>
      </c>
      <c r="O231" s="21">
        <f t="shared" si="176"/>
        <v>32957.687318865414</v>
      </c>
      <c r="P231" s="21">
        <f t="shared" si="176"/>
        <v>174904.84570542627</v>
      </c>
      <c r="Q231" s="21">
        <f t="shared" si="176"/>
        <v>1425868.0128000006</v>
      </c>
      <c r="R231" s="21">
        <f t="shared" si="176"/>
        <v>86824.430007000017</v>
      </c>
      <c r="S231" s="21">
        <f t="shared" si="176"/>
        <v>168873.64412937715</v>
      </c>
    </row>
    <row r="232" spans="3:19" ht="13" thickTop="1">
      <c r="C232" s="370"/>
      <c r="D232" s="36"/>
      <c r="E232" s="36"/>
      <c r="F232" s="36"/>
      <c r="G232" s="28"/>
      <c r="H232" s="7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3:19" ht="12">
      <c r="C233" s="369"/>
      <c r="D233" s="36"/>
      <c r="E233" s="36"/>
      <c r="F233" s="36"/>
      <c r="G233" s="28"/>
      <c r="I233" s="36"/>
      <c r="J233" s="36"/>
      <c r="K233" s="36"/>
      <c r="M233" s="36"/>
      <c r="N233" s="36"/>
      <c r="O233" s="36"/>
      <c r="P233" s="36"/>
      <c r="Q233" s="36"/>
      <c r="R233" s="7"/>
      <c r="S233" s="7"/>
    </row>
    <row r="234" spans="3:19" ht="12">
      <c r="C234" s="369"/>
    </row>
    <row r="235" spans="3:19" ht="12">
      <c r="C235" s="369"/>
    </row>
    <row r="236" spans="3:19" ht="12">
      <c r="C236" s="369"/>
    </row>
    <row r="237" spans="3:19" ht="12">
      <c r="C237" s="369"/>
    </row>
    <row r="238" spans="3:19" ht="12">
      <c r="C238" s="369"/>
    </row>
    <row r="239" spans="3:19" ht="12">
      <c r="C239" s="369"/>
    </row>
    <row r="240" spans="3:19" ht="12">
      <c r="C240" s="369"/>
    </row>
    <row r="241" spans="1:26" ht="12">
      <c r="C241" s="369"/>
    </row>
    <row r="242" spans="1:26" ht="12">
      <c r="C242" s="369"/>
    </row>
    <row r="244" spans="1:26" s="46" customFormat="1">
      <c r="A244" s="27"/>
      <c r="B244" s="27"/>
      <c r="C244" s="27"/>
      <c r="D244" s="844"/>
      <c r="E244" s="844"/>
      <c r="F244" s="844"/>
      <c r="G244" s="45"/>
      <c r="H244" s="45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s="46" customFormat="1">
      <c r="A245" s="27"/>
      <c r="B245" s="27"/>
      <c r="C245" s="27"/>
      <c r="D245" s="844"/>
      <c r="E245" s="844"/>
      <c r="F245" s="844"/>
      <c r="G245" s="45"/>
      <c r="H245" s="45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s="46" customFormat="1">
      <c r="A246" s="27"/>
      <c r="B246" s="27"/>
      <c r="C246" s="27"/>
      <c r="D246" s="844"/>
      <c r="E246" s="844"/>
      <c r="F246" s="844"/>
      <c r="G246" s="45"/>
      <c r="H246" s="45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s="46" customFormat="1">
      <c r="A247" s="27"/>
      <c r="B247" s="27"/>
      <c r="C247" s="27"/>
      <c r="D247" s="844"/>
      <c r="E247" s="844"/>
      <c r="F247" s="844"/>
      <c r="G247" s="45"/>
      <c r="H247" s="45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s="46" customFormat="1">
      <c r="A248" s="27"/>
      <c r="B248" s="27"/>
      <c r="C248" s="27"/>
      <c r="D248" s="844"/>
      <c r="E248" s="844"/>
      <c r="F248" s="844"/>
      <c r="G248" s="45"/>
      <c r="H248" s="45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s="46" customFormat="1">
      <c r="A249" s="27"/>
      <c r="B249" s="27"/>
      <c r="C249" s="27"/>
      <c r="D249" s="844"/>
      <c r="E249" s="844"/>
      <c r="F249" s="844"/>
      <c r="G249" s="45"/>
      <c r="H249" s="45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s="46" customFormat="1">
      <c r="A250" s="27"/>
      <c r="B250" s="27"/>
      <c r="C250" s="27"/>
      <c r="D250" s="844"/>
      <c r="E250" s="844"/>
      <c r="F250" s="844"/>
      <c r="G250" s="45"/>
      <c r="H250" s="45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s="46" customFormat="1">
      <c r="A251" s="27"/>
      <c r="B251" s="27"/>
      <c r="C251" s="27"/>
      <c r="D251" s="844"/>
      <c r="E251" s="844"/>
      <c r="F251" s="844"/>
      <c r="G251" s="45"/>
      <c r="H251" s="45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s="46" customFormat="1">
      <c r="A252" s="27"/>
      <c r="B252" s="27"/>
      <c r="C252" s="27"/>
      <c r="D252" s="844"/>
      <c r="E252" s="844"/>
      <c r="F252" s="844"/>
      <c r="G252" s="45"/>
      <c r="H252" s="45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s="46" customFormat="1">
      <c r="A253" s="27"/>
      <c r="B253" s="27"/>
      <c r="C253" s="27"/>
      <c r="D253" s="844"/>
      <c r="E253" s="844"/>
      <c r="F253" s="844"/>
      <c r="G253" s="45"/>
      <c r="H253" s="45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s="46" customFormat="1">
      <c r="A254" s="27"/>
      <c r="B254" s="27"/>
      <c r="C254" s="27"/>
      <c r="D254" s="844"/>
      <c r="E254" s="844"/>
      <c r="F254" s="844"/>
      <c r="G254" s="45"/>
      <c r="H254" s="45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s="46" customFormat="1">
      <c r="A255" s="27"/>
      <c r="B255" s="27"/>
      <c r="C255" s="27"/>
      <c r="D255" s="844"/>
      <c r="E255" s="844"/>
      <c r="F255" s="844"/>
      <c r="G255" s="45"/>
      <c r="H255" s="45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s="46" customFormat="1">
      <c r="A256" s="27"/>
      <c r="B256" s="27"/>
      <c r="C256" s="27"/>
      <c r="D256" s="844"/>
      <c r="E256" s="844"/>
      <c r="F256" s="844"/>
      <c r="G256" s="45"/>
      <c r="H256" s="45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</sheetData>
  <sheetProtection insertColumns="0" insertRows="0" deleteColumns="0" deleteRows="0"/>
  <printOptions horizontalCentered="1"/>
  <pageMargins left="0.25" right="0.25" top="0.25" bottom="0.25" header="0.3" footer="0.3"/>
  <pageSetup scale="7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8FD610"/>
  </sheetPr>
  <dimension ref="A1:Z256"/>
  <sheetViews>
    <sheetView zoomScale="85" zoomScaleNormal="85" zoomScaleSheetLayoutView="85" workbookViewId="0">
      <pane ySplit="5" topLeftCell="A60" activePane="bottomLeft" state="frozen"/>
      <selection activeCell="O14" sqref="O14"/>
      <selection pane="bottomLeft" activeCell="U28" sqref="U28"/>
    </sheetView>
  </sheetViews>
  <sheetFormatPr baseColWidth="10" defaultColWidth="8.83203125" defaultRowHeight="11"/>
  <cols>
    <col min="1" max="1" width="1.33203125" style="27" customWidth="1"/>
    <col min="2" max="2" width="3.6640625" style="27" customWidth="1"/>
    <col min="3" max="3" width="2.6640625" style="27" customWidth="1"/>
    <col min="4" max="5" width="14.33203125" style="844" customWidth="1"/>
    <col min="6" max="6" width="20.6640625" style="844" bestFit="1" customWidth="1"/>
    <col min="7" max="7" width="8" style="45" customWidth="1"/>
    <col min="8" max="8" width="7" style="45" customWidth="1"/>
    <col min="9" max="9" width="12.83203125" style="27" bestFit="1" customWidth="1"/>
    <col min="10" max="10" width="12.1640625" style="27" bestFit="1" customWidth="1"/>
    <col min="11" max="11" width="12.83203125" style="27" bestFit="1" customWidth="1"/>
    <col min="12" max="12" width="4.6640625" style="27" customWidth="1"/>
    <col min="13" max="13" width="12.5" style="27" bestFit="1" customWidth="1"/>
    <col min="14" max="14" width="7" style="27" bestFit="1" customWidth="1"/>
    <col min="15" max="15" width="9.5" style="27" bestFit="1" customWidth="1"/>
    <col min="16" max="16" width="19.5" style="27" bestFit="1" customWidth="1"/>
    <col min="17" max="17" width="12.1640625" style="27" bestFit="1" customWidth="1"/>
    <col min="18" max="18" width="9.6640625" style="27" bestFit="1" customWidth="1"/>
    <col min="19" max="19" width="10.33203125" style="27" bestFit="1" customWidth="1"/>
    <col min="20" max="16384" width="8.83203125" style="27"/>
  </cols>
  <sheetData>
    <row r="1" spans="1:19" s="1" customFormat="1" ht="20">
      <c r="B1" s="364" t="str">
        <f>'FY19-20'!A1</f>
        <v>Granite Mountain Charter School</v>
      </c>
      <c r="D1" s="830"/>
      <c r="E1" s="830"/>
      <c r="F1" s="830"/>
      <c r="G1" s="48"/>
      <c r="H1" s="426"/>
      <c r="N1" s="47"/>
      <c r="O1" s="47"/>
      <c r="P1" s="47"/>
      <c r="Q1" s="47"/>
      <c r="R1" s="47"/>
      <c r="S1" s="47"/>
    </row>
    <row r="2" spans="1:19" ht="14">
      <c r="B2" s="365" t="s">
        <v>344</v>
      </c>
      <c r="E2" s="831"/>
      <c r="F2" s="831"/>
      <c r="H2" s="28"/>
      <c r="I2" s="2"/>
      <c r="J2" s="2"/>
      <c r="K2" s="2"/>
      <c r="L2" s="2"/>
      <c r="P2" s="1018" t="s">
        <v>770</v>
      </c>
      <c r="Q2" s="1019">
        <v>0.08</v>
      </c>
    </row>
    <row r="3" spans="1:19" s="30" customFormat="1" ht="24">
      <c r="A3" s="29"/>
      <c r="B3" s="363" t="str">
        <f>'FY19-20'!A3</f>
        <v>Revised 08/06/20</v>
      </c>
      <c r="C3" s="1"/>
      <c r="D3" s="853"/>
      <c r="E3" s="845"/>
      <c r="F3" s="831"/>
      <c r="G3" s="32"/>
      <c r="H3" s="31"/>
      <c r="I3" s="3"/>
      <c r="J3" s="3"/>
      <c r="K3" s="3"/>
      <c r="L3" s="3"/>
      <c r="M3" s="4" t="s">
        <v>69</v>
      </c>
      <c r="N3" s="4" t="s">
        <v>70</v>
      </c>
      <c r="O3" s="32" t="s">
        <v>246</v>
      </c>
      <c r="P3" s="32" t="s">
        <v>240</v>
      </c>
      <c r="Q3" s="32" t="s">
        <v>235</v>
      </c>
      <c r="R3" s="32" t="s">
        <v>247</v>
      </c>
      <c r="S3" s="32" t="s">
        <v>266</v>
      </c>
    </row>
    <row r="4" spans="1:19" ht="15" customHeight="1">
      <c r="C4" s="6"/>
      <c r="D4" s="831"/>
      <c r="E4" s="831"/>
      <c r="F4" s="831"/>
      <c r="G4" s="28"/>
      <c r="H4" s="480" t="s">
        <v>407</v>
      </c>
      <c r="I4" s="479">
        <f>'Multi-Year'!P9</f>
        <v>0.02</v>
      </c>
      <c r="J4" s="478"/>
      <c r="M4" s="33">
        <v>3101</v>
      </c>
      <c r="N4" s="33">
        <v>3202</v>
      </c>
      <c r="O4" s="33">
        <v>3301</v>
      </c>
      <c r="P4" s="33">
        <v>3311</v>
      </c>
      <c r="Q4" s="33">
        <v>3401</v>
      </c>
      <c r="R4" s="33">
        <v>3501</v>
      </c>
      <c r="S4" s="33">
        <v>3601</v>
      </c>
    </row>
    <row r="5" spans="1:19" s="51" customFormat="1" ht="44.25" customHeight="1">
      <c r="D5" s="832" t="s">
        <v>71</v>
      </c>
      <c r="E5" s="832" t="s">
        <v>525</v>
      </c>
      <c r="F5" s="832" t="s">
        <v>526</v>
      </c>
      <c r="G5" s="358" t="s">
        <v>527</v>
      </c>
      <c r="H5" s="359" t="s">
        <v>72</v>
      </c>
      <c r="I5" s="360" t="s">
        <v>73</v>
      </c>
      <c r="J5" s="360" t="s">
        <v>3</v>
      </c>
      <c r="K5" s="360" t="s">
        <v>74</v>
      </c>
      <c r="L5" s="52"/>
      <c r="M5" s="361">
        <v>0.18099999999999999</v>
      </c>
      <c r="N5" s="361"/>
      <c r="O5" s="361">
        <v>6.2E-2</v>
      </c>
      <c r="P5" s="361">
        <v>1.4500000000000001E-2</v>
      </c>
      <c r="Q5" s="362">
        <f>'Payroll 22-23'!Q5*(1+'Payroll 23-24'!Q2)</f>
        <v>9523.4227200000023</v>
      </c>
      <c r="R5" s="361">
        <v>7.0000000000000007E-2</v>
      </c>
      <c r="S5" s="361">
        <v>1.4E-2</v>
      </c>
    </row>
    <row r="6" spans="1:19" ht="12">
      <c r="B6" s="51"/>
      <c r="C6" s="366" t="s">
        <v>17</v>
      </c>
      <c r="D6" s="831"/>
      <c r="E6" s="831"/>
      <c r="F6" s="831"/>
      <c r="G6" s="28"/>
      <c r="H6" s="28"/>
      <c r="I6" s="2"/>
      <c r="J6" s="2"/>
      <c r="K6" s="2"/>
      <c r="L6" s="2"/>
      <c r="O6" s="5"/>
      <c r="P6" s="5"/>
      <c r="Q6" s="5"/>
      <c r="R6" s="5"/>
      <c r="S6" s="5"/>
    </row>
    <row r="7" spans="1:19">
      <c r="B7" s="51"/>
      <c r="C7" s="34"/>
      <c r="D7" s="840" t="str">
        <f>'Payroll 19-20'!D7</f>
        <v>Coord-REgional</v>
      </c>
      <c r="E7" s="840">
        <f>'Payroll 22-23'!E7*(1+'Revenue Inputs'!R$27)</f>
        <v>1.1025</v>
      </c>
      <c r="F7" s="828">
        <f>'Payroll 22-23'!F7*(1+$I$4)</f>
        <v>86594.486205427194</v>
      </c>
      <c r="G7" s="322">
        <f>'Payroll 22-23'!G7</f>
        <v>12</v>
      </c>
      <c r="H7" s="319" t="str">
        <f>'Payroll 22-23'!H7</f>
        <v>y</v>
      </c>
      <c r="I7" s="320">
        <f>F7*E7</f>
        <v>95470.421041483482</v>
      </c>
      <c r="J7" s="7">
        <f t="shared" ref="J7:J59" si="0">SUM(M7:S7)</f>
        <v>31040.851756990793</v>
      </c>
      <c r="K7" s="7">
        <f t="shared" ref="K7:K9" si="1">SUM(I7:J7)</f>
        <v>126511.27279847427</v>
      </c>
      <c r="L7" s="352"/>
      <c r="M7" s="7">
        <f>I7*$M$5</f>
        <v>17280.146208508511</v>
      </c>
      <c r="N7" s="8" t="s">
        <v>75</v>
      </c>
      <c r="O7" s="8" t="str">
        <f>IF($M$5&gt;0,"N/A",$O$5*I7)</f>
        <v>N/A</v>
      </c>
      <c r="P7" s="7">
        <f t="shared" ref="P7:P59" si="2">I7*$P$5</f>
        <v>1384.3211051015105</v>
      </c>
      <c r="Q7" s="7">
        <f>IF(H7="y", $Q$5*E7, 0)</f>
        <v>10499.573548800003</v>
      </c>
      <c r="R7" s="7">
        <f>IF($I7&gt;7000,7000*R$5,$I7*R$5)*E7</f>
        <v>540.22500000000014</v>
      </c>
      <c r="S7" s="7">
        <f>S$5*$I7</f>
        <v>1336.5858945807688</v>
      </c>
    </row>
    <row r="8" spans="1:19">
      <c r="B8" s="51"/>
      <c r="C8" s="34"/>
      <c r="D8" s="840" t="str">
        <f>'Payroll 19-20'!D8</f>
        <v>Director</v>
      </c>
      <c r="E8" s="840">
        <f>'Payroll 22-23'!E8*(1+'Revenue Inputs'!R$27)</f>
        <v>1.1025</v>
      </c>
      <c r="F8" s="828">
        <f>'Payroll 22-23'!F8*(1+$I$4)</f>
        <v>64920.959999999999</v>
      </c>
      <c r="G8" s="322">
        <f>'Payroll 22-23'!G8</f>
        <v>12</v>
      </c>
      <c r="H8" s="319" t="str">
        <f>'Payroll 22-23'!H8</f>
        <v>y</v>
      </c>
      <c r="I8" s="320">
        <f t="shared" ref="I8:I59" si="3">F8*E8</f>
        <v>71575.358399999997</v>
      </c>
      <c r="J8" s="7">
        <f t="shared" si="0"/>
        <v>26034.836133599998</v>
      </c>
      <c r="K8" s="7">
        <f t="shared" si="1"/>
        <v>97610.194533599992</v>
      </c>
      <c r="L8" s="352"/>
      <c r="M8" s="7">
        <f t="shared" ref="M8:M9" si="4">I8*$M$5</f>
        <v>12955.139870399998</v>
      </c>
      <c r="N8" s="8" t="s">
        <v>75</v>
      </c>
      <c r="O8" s="8" t="str">
        <f t="shared" ref="O8:O59" si="5">IF($M$5&gt;0,"N/A",$O$5*I8)</f>
        <v>N/A</v>
      </c>
      <c r="P8" s="7">
        <f t="shared" si="2"/>
        <v>1037.8426968000001</v>
      </c>
      <c r="Q8" s="7">
        <f t="shared" ref="Q8:Q59" si="6">IF(H8="y", $Q$5*E8, 0)</f>
        <v>10499.573548800003</v>
      </c>
      <c r="R8" s="7">
        <f t="shared" ref="R8:R59" si="7">IF($I8&gt;7000,7000*R$5,$I8*R$5)*E8</f>
        <v>540.22500000000014</v>
      </c>
      <c r="S8" s="7">
        <f t="shared" ref="S8:S59" si="8">S$5*$I8</f>
        <v>1002.0550175999999</v>
      </c>
    </row>
    <row r="9" spans="1:19">
      <c r="B9" s="51"/>
      <c r="C9" s="34"/>
      <c r="D9" s="840" t="str">
        <f>'Payroll 19-20'!D9</f>
        <v>High School Teacher</v>
      </c>
      <c r="E9" s="840">
        <f>'Payroll 22-23'!E9*(1+'Revenue Inputs'!R$27)</f>
        <v>2.2050000000000001</v>
      </c>
      <c r="F9" s="828">
        <f>'Payroll 22-23'!F9*(1+$I$4)</f>
        <v>64920.959999999999</v>
      </c>
      <c r="G9" s="322">
        <f>'Payroll 22-23'!G9</f>
        <v>12</v>
      </c>
      <c r="H9" s="319" t="str">
        <f>'Payroll 22-23'!H9</f>
        <v>y</v>
      </c>
      <c r="I9" s="320">
        <f t="shared" si="3"/>
        <v>143150.71679999999</v>
      </c>
      <c r="J9" s="7">
        <f t="shared" si="0"/>
        <v>52069.672267199996</v>
      </c>
      <c r="K9" s="7">
        <f t="shared" si="1"/>
        <v>195220.38906719998</v>
      </c>
      <c r="L9" s="352"/>
      <c r="M9" s="7">
        <f t="shared" si="4"/>
        <v>25910.279740799997</v>
      </c>
      <c r="N9" s="8" t="s">
        <v>75</v>
      </c>
      <c r="O9" s="8" t="str">
        <f t="shared" si="5"/>
        <v>N/A</v>
      </c>
      <c r="P9" s="7">
        <f t="shared" si="2"/>
        <v>2075.6853936000002</v>
      </c>
      <c r="Q9" s="7">
        <f t="shared" si="6"/>
        <v>20999.147097600006</v>
      </c>
      <c r="R9" s="7">
        <f t="shared" si="7"/>
        <v>1080.4500000000003</v>
      </c>
      <c r="S9" s="7">
        <f t="shared" si="8"/>
        <v>2004.1100351999999</v>
      </c>
    </row>
    <row r="10" spans="1:19">
      <c r="B10" s="51"/>
      <c r="C10" s="34"/>
      <c r="D10" s="840" t="str">
        <f>'Payroll 19-20'!D10</f>
        <v>Home School Teacher</v>
      </c>
      <c r="E10" s="840">
        <f>'Payroll 22-23'!E10*(1+'Revenue Inputs'!R$27)</f>
        <v>3.3075000000000006</v>
      </c>
      <c r="F10" s="828">
        <f>'Payroll 22-23'!F10*(1+$I$4)</f>
        <v>48013.031996899212</v>
      </c>
      <c r="G10" s="322">
        <f>'Payroll 22-23'!G10</f>
        <v>12</v>
      </c>
      <c r="H10" s="319" t="str">
        <f>'Payroll 22-23'!H10</f>
        <v>y</v>
      </c>
      <c r="I10" s="320">
        <f t="shared" si="3"/>
        <v>158803.10332974416</v>
      </c>
      <c r="J10" s="7">
        <f t="shared" si="0"/>
        <v>66388.645793981414</v>
      </c>
      <c r="K10" s="7">
        <f>SUM(I10:J10)</f>
        <v>225191.74912372557</v>
      </c>
      <c r="L10" s="352"/>
      <c r="M10" s="7">
        <f>I10*$M$5</f>
        <v>28743.361702683691</v>
      </c>
      <c r="N10" s="8" t="s">
        <v>75</v>
      </c>
      <c r="O10" s="8" t="str">
        <f t="shared" si="5"/>
        <v>N/A</v>
      </c>
      <c r="P10" s="7">
        <f t="shared" si="2"/>
        <v>2302.6449982812906</v>
      </c>
      <c r="Q10" s="7">
        <f t="shared" si="6"/>
        <v>31498.720646400012</v>
      </c>
      <c r="R10" s="7">
        <f t="shared" si="7"/>
        <v>1620.6750000000004</v>
      </c>
      <c r="S10" s="7">
        <f t="shared" si="8"/>
        <v>2223.2434466164182</v>
      </c>
    </row>
    <row r="11" spans="1:19">
      <c r="B11" s="51"/>
      <c r="C11" s="34"/>
      <c r="D11" s="840" t="str">
        <f>'Payroll 19-20'!D11</f>
        <v>Regional Coordinator</v>
      </c>
      <c r="E11" s="840">
        <f>'Payroll 22-23'!E11*(1+'Revenue Inputs'!R$27)</f>
        <v>2.2050000000000001</v>
      </c>
      <c r="F11" s="828">
        <f>'Payroll 22-23'!F11*(1+$I$4)</f>
        <v>86594.469968944788</v>
      </c>
      <c r="G11" s="322">
        <f>'Payroll 22-23'!G11</f>
        <v>12</v>
      </c>
      <c r="H11" s="319" t="str">
        <f>'Payroll 22-23'!H11</f>
        <v>y</v>
      </c>
      <c r="I11" s="320">
        <f t="shared" si="3"/>
        <v>190940.80628152326</v>
      </c>
      <c r="J11" s="7">
        <f t="shared" si="0"/>
        <v>62081.696013579116</v>
      </c>
      <c r="K11" s="7">
        <f t="shared" ref="K11:K12" si="9">SUM(I11:J11)</f>
        <v>253022.50229510237</v>
      </c>
      <c r="L11" s="352"/>
      <c r="M11" s="7">
        <f t="shared" ref="M11:M12" si="10">I11*$M$5</f>
        <v>34560.285936955705</v>
      </c>
      <c r="N11" s="8" t="s">
        <v>75</v>
      </c>
      <c r="O11" s="8" t="str">
        <f t="shared" si="5"/>
        <v>N/A</v>
      </c>
      <c r="P11" s="7">
        <f t="shared" si="2"/>
        <v>2768.6416910820872</v>
      </c>
      <c r="Q11" s="7">
        <f t="shared" si="6"/>
        <v>20999.147097600006</v>
      </c>
      <c r="R11" s="7">
        <f t="shared" si="7"/>
        <v>1080.4500000000003</v>
      </c>
      <c r="S11" s="7">
        <f t="shared" si="8"/>
        <v>2673.1712879413258</v>
      </c>
    </row>
    <row r="12" spans="1:19">
      <c r="B12" s="51"/>
      <c r="C12" s="34"/>
      <c r="D12" s="840" t="str">
        <f>'Payroll 19-20'!D12</f>
        <v>SPED Teacher</v>
      </c>
      <c r="E12" s="840">
        <f>'Payroll 22-23'!E12*(1+'Revenue Inputs'!R$27)</f>
        <v>2.2050000000000001</v>
      </c>
      <c r="F12" s="828">
        <f>'Payroll 22-23'!F12*(1+$I$4)</f>
        <v>69611.255506886402</v>
      </c>
      <c r="G12" s="322">
        <f>'Payroll 22-23'!G12</f>
        <v>12</v>
      </c>
      <c r="H12" s="319" t="str">
        <f>'Payroll 22-23'!H12</f>
        <v>y</v>
      </c>
      <c r="I12" s="320">
        <f t="shared" si="3"/>
        <v>153492.81839268451</v>
      </c>
      <c r="J12" s="7">
        <f t="shared" si="0"/>
        <v>54236.342550867404</v>
      </c>
      <c r="K12" s="7">
        <f t="shared" si="9"/>
        <v>207729.16094355192</v>
      </c>
      <c r="L12" s="352"/>
      <c r="M12" s="7">
        <f t="shared" si="10"/>
        <v>27782.200129075896</v>
      </c>
      <c r="N12" s="8" t="s">
        <v>75</v>
      </c>
      <c r="O12" s="8" t="str">
        <f t="shared" si="5"/>
        <v>N/A</v>
      </c>
      <c r="P12" s="7">
        <f t="shared" si="2"/>
        <v>2225.6458666939257</v>
      </c>
      <c r="Q12" s="7">
        <f t="shared" si="6"/>
        <v>20999.147097600006</v>
      </c>
      <c r="R12" s="7">
        <f t="shared" si="7"/>
        <v>1080.4500000000003</v>
      </c>
      <c r="S12" s="7">
        <f t="shared" si="8"/>
        <v>2148.8994574975832</v>
      </c>
    </row>
    <row r="13" spans="1:19">
      <c r="B13" s="51"/>
      <c r="C13" s="34"/>
      <c r="D13" s="840" t="str">
        <f>'Payroll 19-20'!D13</f>
        <v>Teacher</v>
      </c>
      <c r="E13" s="840">
        <f>'Payroll 22-23'!E13*(1+'Revenue Inputs'!R$27)</f>
        <v>39.690000000000005</v>
      </c>
      <c r="F13" s="828">
        <f>'Payroll 22-23'!F13*(1+$I$4)</f>
        <v>79428.049252358396</v>
      </c>
      <c r="G13" s="322">
        <f>'Payroll 22-23'!G13</f>
        <v>12</v>
      </c>
      <c r="H13" s="319" t="str">
        <f>'Payroll 22-23'!H13</f>
        <v>y</v>
      </c>
      <c r="I13" s="320">
        <f t="shared" si="3"/>
        <v>3152499.2748261052</v>
      </c>
      <c r="J13" s="7">
        <f t="shared" si="0"/>
        <v>1057881.3458328689</v>
      </c>
      <c r="K13" s="7">
        <f>SUM(I13:J13)</f>
        <v>4210380.6206589742</v>
      </c>
      <c r="L13" s="352"/>
      <c r="M13" s="7">
        <f>I13*$M$5</f>
        <v>570602.368743525</v>
      </c>
      <c r="N13" s="8" t="s">
        <v>75</v>
      </c>
      <c r="O13" s="8" t="str">
        <f t="shared" si="5"/>
        <v>N/A</v>
      </c>
      <c r="P13" s="7">
        <f t="shared" si="2"/>
        <v>45711.239484978527</v>
      </c>
      <c r="Q13" s="7">
        <f t="shared" si="6"/>
        <v>377984.64775680011</v>
      </c>
      <c r="R13" s="7">
        <f t="shared" si="7"/>
        <v>19448.100000000006</v>
      </c>
      <c r="S13" s="7">
        <f t="shared" si="8"/>
        <v>44134.989847565477</v>
      </c>
    </row>
    <row r="14" spans="1:19">
      <c r="B14" s="51"/>
      <c r="C14" s="34"/>
      <c r="D14" s="840" t="str">
        <f>'Payroll 19-20'!D14</f>
        <v>Teacher - SPED</v>
      </c>
      <c r="E14" s="840">
        <f>'Payroll 22-23'!E14*(1+'Revenue Inputs'!R$27)</f>
        <v>8.82</v>
      </c>
      <c r="F14" s="828">
        <f>'Payroll 22-23'!F14*(1+$I$4)</f>
        <v>76468.214281089618</v>
      </c>
      <c r="G14" s="322">
        <f>'Payroll 22-23'!G14</f>
        <v>12</v>
      </c>
      <c r="H14" s="319" t="str">
        <f>'Payroll 22-23'!H14</f>
        <v>y</v>
      </c>
      <c r="I14" s="320">
        <f t="shared" si="3"/>
        <v>674449.64995921042</v>
      </c>
      <c r="J14" s="7">
        <f>SUM(M14:S14)</f>
        <v>229615.59005685459</v>
      </c>
      <c r="K14" s="7">
        <f>SUM(I14:J14)</f>
        <v>904065.24001606507</v>
      </c>
      <c r="L14" s="352"/>
      <c r="M14" s="7">
        <f>I14*$M$5</f>
        <v>122075.38664261709</v>
      </c>
      <c r="N14" s="8" t="s">
        <v>75</v>
      </c>
      <c r="O14" s="8" t="str">
        <f t="shared" si="5"/>
        <v>N/A</v>
      </c>
      <c r="P14" s="7">
        <f>I14*$P$5</f>
        <v>9779.5199244085525</v>
      </c>
      <c r="Q14" s="7">
        <f t="shared" si="6"/>
        <v>83996.588390400022</v>
      </c>
      <c r="R14" s="7">
        <f t="shared" si="7"/>
        <v>4321.8000000000011</v>
      </c>
      <c r="S14" s="7">
        <f>S$5*$I14</f>
        <v>9442.2950994289458</v>
      </c>
    </row>
    <row r="15" spans="1:19">
      <c r="B15" s="51"/>
      <c r="C15" s="34"/>
      <c r="D15" s="840">
        <f>'Payroll 19-20'!D15</f>
        <v>0</v>
      </c>
      <c r="E15" s="840">
        <f>'Payroll 22-23'!E15*(1+'Revenue Inputs'!R$27)</f>
        <v>0</v>
      </c>
      <c r="F15" s="828">
        <f>'Payroll 22-23'!F15*(1+$I$4)</f>
        <v>0</v>
      </c>
      <c r="G15" s="322">
        <f>'Payroll 22-23'!G15</f>
        <v>0</v>
      </c>
      <c r="H15" s="319">
        <f>'Payroll 22-23'!H15</f>
        <v>0</v>
      </c>
      <c r="I15" s="320">
        <f t="shared" si="3"/>
        <v>0</v>
      </c>
      <c r="J15" s="7">
        <f t="shared" si="0"/>
        <v>0</v>
      </c>
      <c r="K15" s="7">
        <f>SUM(I15:J15)</f>
        <v>0</v>
      </c>
      <c r="L15" s="352"/>
      <c r="M15" s="7">
        <f>I15*$M$5</f>
        <v>0</v>
      </c>
      <c r="N15" s="8" t="s">
        <v>75</v>
      </c>
      <c r="O15" s="8" t="str">
        <f t="shared" si="5"/>
        <v>N/A</v>
      </c>
      <c r="P15" s="7">
        <f t="shared" si="2"/>
        <v>0</v>
      </c>
      <c r="Q15" s="7">
        <f t="shared" si="6"/>
        <v>0</v>
      </c>
      <c r="R15" s="7">
        <f t="shared" si="7"/>
        <v>0</v>
      </c>
      <c r="S15" s="7">
        <f t="shared" si="8"/>
        <v>0</v>
      </c>
    </row>
    <row r="16" spans="1:19">
      <c r="B16" s="51"/>
      <c r="C16" s="34"/>
      <c r="D16" s="840">
        <f>'Payroll 19-20'!D16</f>
        <v>0</v>
      </c>
      <c r="E16" s="840">
        <f>'Payroll 22-23'!E16*(1+'Revenue Inputs'!R$27)</f>
        <v>0</v>
      </c>
      <c r="F16" s="828">
        <f>'Payroll 22-23'!F16*(1+$I$4)</f>
        <v>0</v>
      </c>
      <c r="G16" s="322">
        <f>'Payroll 22-23'!G16</f>
        <v>0</v>
      </c>
      <c r="H16" s="319">
        <f>'Payroll 22-23'!H16</f>
        <v>0</v>
      </c>
      <c r="I16" s="320">
        <f t="shared" si="3"/>
        <v>0</v>
      </c>
      <c r="J16" s="7">
        <f t="shared" si="0"/>
        <v>0</v>
      </c>
      <c r="K16" s="7">
        <f t="shared" ref="K16:K17" si="11">SUM(I16:J16)</f>
        <v>0</v>
      </c>
      <c r="M16" s="7">
        <f t="shared" ref="M16:M59" si="12">I16*$M$5</f>
        <v>0</v>
      </c>
      <c r="N16" s="8" t="s">
        <v>75</v>
      </c>
      <c r="O16" s="8" t="str">
        <f t="shared" si="5"/>
        <v>N/A</v>
      </c>
      <c r="P16" s="7">
        <f t="shared" si="2"/>
        <v>0</v>
      </c>
      <c r="Q16" s="7">
        <f t="shared" si="6"/>
        <v>0</v>
      </c>
      <c r="R16" s="7">
        <f t="shared" si="7"/>
        <v>0</v>
      </c>
      <c r="S16" s="7">
        <f t="shared" si="8"/>
        <v>0</v>
      </c>
    </row>
    <row r="17" spans="2:19">
      <c r="B17" s="51"/>
      <c r="C17" s="34"/>
      <c r="D17" s="840" t="str">
        <f>'Payroll 19-20'!D17</f>
        <v>Home School Teacher</v>
      </c>
      <c r="E17" s="840">
        <f>'Payroll 22-23'!E17*(1+'Revenue Inputs'!R$27)</f>
        <v>2.2050000000000001</v>
      </c>
      <c r="F17" s="828">
        <f>'Payroll 22-23'!F17*(1+$I$4)</f>
        <v>64920.959999999999</v>
      </c>
      <c r="G17" s="322">
        <f>'Payroll 22-23'!G17</f>
        <v>12</v>
      </c>
      <c r="H17" s="319" t="str">
        <f>'Payroll 22-23'!H17</f>
        <v>y</v>
      </c>
      <c r="I17" s="320">
        <f t="shared" si="3"/>
        <v>143150.71679999999</v>
      </c>
      <c r="J17" s="7">
        <f t="shared" si="0"/>
        <v>52069.672267199996</v>
      </c>
      <c r="K17" s="7">
        <f t="shared" si="11"/>
        <v>195220.38906719998</v>
      </c>
      <c r="M17" s="7">
        <f t="shared" si="12"/>
        <v>25910.279740799997</v>
      </c>
      <c r="N17" s="8" t="s">
        <v>75</v>
      </c>
      <c r="O17" s="8" t="str">
        <f t="shared" si="5"/>
        <v>N/A</v>
      </c>
      <c r="P17" s="7">
        <f t="shared" si="2"/>
        <v>2075.6853936000002</v>
      </c>
      <c r="Q17" s="7">
        <f t="shared" si="6"/>
        <v>20999.147097600006</v>
      </c>
      <c r="R17" s="7">
        <f t="shared" si="7"/>
        <v>1080.4500000000003</v>
      </c>
      <c r="S17" s="7">
        <f t="shared" si="8"/>
        <v>2004.1100351999999</v>
      </c>
    </row>
    <row r="18" spans="2:19">
      <c r="B18" s="51"/>
      <c r="C18" s="34"/>
      <c r="D18" s="840" t="str">
        <f>'Payroll 19-20'!D18</f>
        <v>Home School Teacher</v>
      </c>
      <c r="E18" s="840">
        <f>'Payroll 22-23'!E18*(1+'Revenue Inputs'!R$27)</f>
        <v>2.2050000000000001</v>
      </c>
      <c r="F18" s="828">
        <f>'Payroll 22-23'!F18*(1+$I$4)</f>
        <v>64920.959999999999</v>
      </c>
      <c r="G18" s="322">
        <f>'Payroll 22-23'!G18</f>
        <v>13</v>
      </c>
      <c r="H18" s="319" t="str">
        <f>'Payroll 22-23'!H18</f>
        <v>y</v>
      </c>
      <c r="I18" s="320">
        <f t="shared" si="3"/>
        <v>143150.71679999999</v>
      </c>
      <c r="J18" s="7">
        <f t="shared" si="0"/>
        <v>52069.672267199996</v>
      </c>
      <c r="K18" s="7">
        <f>SUM(I18:J18)</f>
        <v>195220.38906719998</v>
      </c>
      <c r="M18" s="7">
        <f>I18*$M$5</f>
        <v>25910.279740799997</v>
      </c>
      <c r="N18" s="8" t="s">
        <v>75</v>
      </c>
      <c r="O18" s="8" t="str">
        <f t="shared" si="5"/>
        <v>N/A</v>
      </c>
      <c r="P18" s="7">
        <f t="shared" si="2"/>
        <v>2075.6853936000002</v>
      </c>
      <c r="Q18" s="7">
        <f t="shared" si="6"/>
        <v>20999.147097600006</v>
      </c>
      <c r="R18" s="7">
        <f t="shared" si="7"/>
        <v>1080.4500000000003</v>
      </c>
      <c r="S18" s="7">
        <f t="shared" si="8"/>
        <v>2004.1100351999999</v>
      </c>
    </row>
    <row r="19" spans="2:19">
      <c r="B19" s="51"/>
      <c r="C19" s="34"/>
      <c r="D19" s="840" t="str">
        <f>'Payroll 19-20'!D19</f>
        <v>SPED Teacher</v>
      </c>
      <c r="E19" s="840">
        <f>'Payroll 22-23'!E19*(1+'Revenue Inputs'!R$27)</f>
        <v>6.6150000000000011</v>
      </c>
      <c r="F19" s="828">
        <f>'Payroll 22-23'!F19*(1+$I$4)</f>
        <v>64920.959999999999</v>
      </c>
      <c r="G19" s="322">
        <f>'Payroll 22-23'!G19</f>
        <v>12</v>
      </c>
      <c r="H19" s="319" t="str">
        <f>'Payroll 22-23'!H19</f>
        <v>y</v>
      </c>
      <c r="I19" s="320">
        <f t="shared" si="3"/>
        <v>429452.15040000004</v>
      </c>
      <c r="J19" s="7">
        <f t="shared" si="0"/>
        <v>156209.01680160002</v>
      </c>
      <c r="K19" s="7">
        <f t="shared" ref="K19:K59" si="13">SUM(I19:J19)</f>
        <v>585661.16720160004</v>
      </c>
      <c r="M19" s="7">
        <f t="shared" ref="M19" si="14">I19*$M$5</f>
        <v>77730.839222399998</v>
      </c>
      <c r="N19" s="8" t="s">
        <v>75</v>
      </c>
      <c r="O19" s="8" t="str">
        <f t="shared" si="5"/>
        <v>N/A</v>
      </c>
      <c r="P19" s="7">
        <f t="shared" si="2"/>
        <v>6227.0561808000011</v>
      </c>
      <c r="Q19" s="7">
        <f t="shared" si="6"/>
        <v>62997.441292800024</v>
      </c>
      <c r="R19" s="7">
        <f t="shared" si="7"/>
        <v>3241.3500000000008</v>
      </c>
      <c r="S19" s="7">
        <f t="shared" si="8"/>
        <v>6012.3301056000009</v>
      </c>
    </row>
    <row r="20" spans="2:19">
      <c r="B20" s="51"/>
      <c r="C20" s="34"/>
      <c r="D20" s="840" t="str">
        <f>'Payroll 19-20'!D20</f>
        <v>Teacher - SPED</v>
      </c>
      <c r="E20" s="840">
        <f>'Payroll 22-23'!E20*(1+'Revenue Inputs'!R$27)</f>
        <v>1.1025</v>
      </c>
      <c r="F20" s="828">
        <f>'Payroll 22-23'!F20*(1+$I$4)</f>
        <v>64920.959999999999</v>
      </c>
      <c r="G20" s="322">
        <f>'Payroll 22-23'!G20</f>
        <v>12</v>
      </c>
      <c r="H20" s="319" t="str">
        <f>'Payroll 22-23'!H20</f>
        <v>y</v>
      </c>
      <c r="I20" s="320">
        <f t="shared" si="3"/>
        <v>71575.358399999997</v>
      </c>
      <c r="J20" s="7">
        <f t="shared" si="0"/>
        <v>26034.836133599998</v>
      </c>
      <c r="K20" s="7">
        <f t="shared" si="13"/>
        <v>97610.194533599992</v>
      </c>
      <c r="M20" s="7">
        <f t="shared" si="12"/>
        <v>12955.139870399998</v>
      </c>
      <c r="N20" s="8" t="s">
        <v>75</v>
      </c>
      <c r="O20" s="8" t="str">
        <f t="shared" si="5"/>
        <v>N/A</v>
      </c>
      <c r="P20" s="7">
        <f t="shared" si="2"/>
        <v>1037.8426968000001</v>
      </c>
      <c r="Q20" s="7">
        <f t="shared" si="6"/>
        <v>10499.573548800003</v>
      </c>
      <c r="R20" s="7">
        <f t="shared" si="7"/>
        <v>540.22500000000014</v>
      </c>
      <c r="S20" s="7">
        <f t="shared" si="8"/>
        <v>1002.0550175999999</v>
      </c>
    </row>
    <row r="21" spans="2:19">
      <c r="B21" s="51"/>
      <c r="C21" s="34"/>
      <c r="D21" s="840" t="str">
        <f>'Payroll 19-20'!D21</f>
        <v>Teacher</v>
      </c>
      <c r="E21" s="840">
        <f>'Payroll 22-23'!E21*(1+'Revenue Inputs'!R$27)</f>
        <v>62.842500000000001</v>
      </c>
      <c r="F21" s="828">
        <f>'Payroll 22-23'!F21*(1+$I$4)</f>
        <v>64920.959999999999</v>
      </c>
      <c r="G21" s="322">
        <f>'Payroll 22-23'!G21</f>
        <v>12</v>
      </c>
      <c r="H21" s="319" t="str">
        <f>'Payroll 22-23'!H21</f>
        <v>y</v>
      </c>
      <c r="I21" s="320">
        <f t="shared" si="3"/>
        <v>4079795.4287999999</v>
      </c>
      <c r="J21" s="7">
        <f t="shared" si="0"/>
        <v>1483985.6596152002</v>
      </c>
      <c r="K21" s="7">
        <f t="shared" si="13"/>
        <v>5563781.0884151999</v>
      </c>
      <c r="M21" s="7">
        <f t="shared" si="12"/>
        <v>738442.97261279996</v>
      </c>
      <c r="N21" s="8" t="s">
        <v>75</v>
      </c>
      <c r="O21" s="8" t="str">
        <f t="shared" si="5"/>
        <v>N/A</v>
      </c>
      <c r="P21" s="7">
        <f t="shared" si="2"/>
        <v>59157.033717600003</v>
      </c>
      <c r="Q21" s="7">
        <f t="shared" si="6"/>
        <v>598475.6922816002</v>
      </c>
      <c r="R21" s="7">
        <f t="shared" si="7"/>
        <v>30792.825000000004</v>
      </c>
      <c r="S21" s="7">
        <f t="shared" si="8"/>
        <v>57117.136003200001</v>
      </c>
    </row>
    <row r="22" spans="2:19">
      <c r="B22" s="51"/>
      <c r="C22" s="34"/>
      <c r="D22" s="840" t="str">
        <f>'Payroll 19-20'!D22</f>
        <v>Teacher</v>
      </c>
      <c r="E22" s="840">
        <f>'Payroll 22-23'!E22*(1+'Revenue Inputs'!R$27)</f>
        <v>5.5125000000000002</v>
      </c>
      <c r="F22" s="828">
        <f>'Payroll 22-23'!F22*(1+$I$4)</f>
        <v>64920.959999999999</v>
      </c>
      <c r="G22" s="322">
        <f>'Payroll 22-23'!G22</f>
        <v>12</v>
      </c>
      <c r="H22" s="319" t="str">
        <f>'Payroll 22-23'!H22</f>
        <v>y</v>
      </c>
      <c r="I22" s="320">
        <f t="shared" si="3"/>
        <v>357876.79200000002</v>
      </c>
      <c r="J22" s="7">
        <f t="shared" si="0"/>
        <v>130174.18066800002</v>
      </c>
      <c r="K22" s="7">
        <f t="shared" si="13"/>
        <v>488050.97266800003</v>
      </c>
      <c r="L22" s="7"/>
      <c r="M22" s="7">
        <f t="shared" si="12"/>
        <v>64775.699352000003</v>
      </c>
      <c r="N22" s="8" t="s">
        <v>75</v>
      </c>
      <c r="O22" s="8" t="str">
        <f t="shared" si="5"/>
        <v>N/A</v>
      </c>
      <c r="P22" s="7">
        <f t="shared" si="2"/>
        <v>5189.2134840000008</v>
      </c>
      <c r="Q22" s="7">
        <f t="shared" si="6"/>
        <v>52497.867744000017</v>
      </c>
      <c r="R22" s="7">
        <f t="shared" si="7"/>
        <v>2701.1250000000005</v>
      </c>
      <c r="S22" s="7">
        <f t="shared" si="8"/>
        <v>5010.2750880000003</v>
      </c>
    </row>
    <row r="23" spans="2:19">
      <c r="B23" s="51"/>
      <c r="C23" s="34"/>
      <c r="D23" s="840">
        <f>'Payroll 19-20'!D23</f>
        <v>0</v>
      </c>
      <c r="E23" s="840">
        <f>'Payroll 22-23'!E23*(1+'Revenue Inputs'!R$27)</f>
        <v>0</v>
      </c>
      <c r="F23" s="828">
        <f>'Payroll 22-23'!F23*(1+$I$4)</f>
        <v>0</v>
      </c>
      <c r="G23" s="322">
        <f>'Payroll 22-23'!G23</f>
        <v>0</v>
      </c>
      <c r="H23" s="319">
        <f>'Payroll 22-23'!H23</f>
        <v>0</v>
      </c>
      <c r="I23" s="320">
        <f t="shared" si="3"/>
        <v>0</v>
      </c>
      <c r="J23" s="7">
        <f t="shared" si="0"/>
        <v>0</v>
      </c>
      <c r="K23" s="7">
        <f t="shared" si="13"/>
        <v>0</v>
      </c>
      <c r="M23" s="7">
        <f t="shared" si="12"/>
        <v>0</v>
      </c>
      <c r="N23" s="8" t="s">
        <v>75</v>
      </c>
      <c r="O23" s="8" t="str">
        <f t="shared" si="5"/>
        <v>N/A</v>
      </c>
      <c r="P23" s="7">
        <f t="shared" si="2"/>
        <v>0</v>
      </c>
      <c r="Q23" s="7">
        <f t="shared" si="6"/>
        <v>0</v>
      </c>
      <c r="R23" s="7">
        <f>IF($I23&lt;7000,7000*R$5,$I23*R$5)*E23</f>
        <v>0</v>
      </c>
      <c r="S23" s="7">
        <f t="shared" si="8"/>
        <v>0</v>
      </c>
    </row>
    <row r="24" spans="2:19">
      <c r="B24" s="51"/>
      <c r="C24" s="34"/>
      <c r="D24" s="840">
        <f>'Payroll 19-20'!D24</f>
        <v>0</v>
      </c>
      <c r="E24" s="840">
        <f>'Payroll 22-23'!E24*(1+'Revenue Inputs'!R$27)</f>
        <v>0</v>
      </c>
      <c r="F24" s="828">
        <f>'Payroll 22-23'!F24*(1+$I$4)</f>
        <v>0</v>
      </c>
      <c r="G24" s="322">
        <f>'Payroll 22-23'!G24</f>
        <v>0</v>
      </c>
      <c r="H24" s="319">
        <f>'Payroll 22-23'!H24</f>
        <v>0</v>
      </c>
      <c r="I24" s="320">
        <f t="shared" si="3"/>
        <v>0</v>
      </c>
      <c r="J24" s="7">
        <f t="shared" si="0"/>
        <v>0</v>
      </c>
      <c r="K24" s="7">
        <f t="shared" si="13"/>
        <v>0</v>
      </c>
      <c r="M24" s="7">
        <f t="shared" si="12"/>
        <v>0</v>
      </c>
      <c r="N24" s="8" t="s">
        <v>75</v>
      </c>
      <c r="O24" s="8" t="str">
        <f t="shared" si="5"/>
        <v>N/A</v>
      </c>
      <c r="P24" s="7">
        <f t="shared" si="2"/>
        <v>0</v>
      </c>
      <c r="Q24" s="7">
        <f t="shared" si="6"/>
        <v>0</v>
      </c>
      <c r="R24" s="7">
        <f t="shared" si="7"/>
        <v>0</v>
      </c>
      <c r="S24" s="7">
        <f t="shared" si="8"/>
        <v>0</v>
      </c>
    </row>
    <row r="25" spans="2:19">
      <c r="B25" s="51"/>
      <c r="C25" s="34"/>
      <c r="D25" s="840">
        <f>'Payroll 19-20'!D25</f>
        <v>0</v>
      </c>
      <c r="E25" s="840">
        <f>'Payroll 22-23'!E25*(1+'Revenue Inputs'!R$27)</f>
        <v>0</v>
      </c>
      <c r="F25" s="828">
        <f>'Payroll 22-23'!F25*(1+$I$4)</f>
        <v>0</v>
      </c>
      <c r="G25" s="322">
        <f>'Payroll 22-23'!G25</f>
        <v>0</v>
      </c>
      <c r="H25" s="319">
        <f>'Payroll 22-23'!H25</f>
        <v>0</v>
      </c>
      <c r="I25" s="320">
        <f t="shared" si="3"/>
        <v>0</v>
      </c>
      <c r="J25" s="7">
        <f t="shared" si="0"/>
        <v>0</v>
      </c>
      <c r="K25" s="7">
        <f t="shared" si="13"/>
        <v>0</v>
      </c>
      <c r="M25" s="7">
        <f t="shared" si="12"/>
        <v>0</v>
      </c>
      <c r="N25" s="8" t="s">
        <v>75</v>
      </c>
      <c r="O25" s="8" t="str">
        <f t="shared" si="5"/>
        <v>N/A</v>
      </c>
      <c r="P25" s="7">
        <f t="shared" si="2"/>
        <v>0</v>
      </c>
      <c r="Q25" s="7">
        <f t="shared" si="6"/>
        <v>0</v>
      </c>
      <c r="R25" s="7">
        <f t="shared" si="7"/>
        <v>0</v>
      </c>
      <c r="S25" s="7">
        <f t="shared" si="8"/>
        <v>0</v>
      </c>
    </row>
    <row r="26" spans="2:19">
      <c r="B26" s="51"/>
      <c r="C26" s="34"/>
      <c r="D26" s="840">
        <f>'Payroll 19-20'!D26</f>
        <v>0</v>
      </c>
      <c r="E26" s="840">
        <f>'Payroll 22-23'!E26*(1+'Revenue Inputs'!R$27)</f>
        <v>0</v>
      </c>
      <c r="F26" s="828">
        <f>'Payroll 22-23'!F26*(1+$I$4)</f>
        <v>0</v>
      </c>
      <c r="G26" s="322">
        <f>'Payroll 22-23'!G26</f>
        <v>0</v>
      </c>
      <c r="H26" s="319">
        <f>'Payroll 22-23'!H26</f>
        <v>0</v>
      </c>
      <c r="I26" s="320">
        <f t="shared" si="3"/>
        <v>0</v>
      </c>
      <c r="J26" s="7">
        <f t="shared" ref="J26:J42" si="15">SUM(M26:S26)</f>
        <v>0</v>
      </c>
      <c r="K26" s="7">
        <f t="shared" ref="K26:K42" si="16">SUM(I26:J26)</f>
        <v>0</v>
      </c>
      <c r="M26" s="7">
        <f t="shared" ref="M26:M42" si="17">I26*$M$5</f>
        <v>0</v>
      </c>
      <c r="N26" s="8" t="s">
        <v>75</v>
      </c>
      <c r="O26" s="8" t="str">
        <f t="shared" ref="O26:O42" si="18">IF($M$5&gt;0,"N/A",$O$5*I26)</f>
        <v>N/A</v>
      </c>
      <c r="P26" s="7">
        <f t="shared" ref="P26:P42" si="19">I26*$P$5</f>
        <v>0</v>
      </c>
      <c r="Q26" s="7">
        <f t="shared" si="6"/>
        <v>0</v>
      </c>
      <c r="R26" s="7">
        <f t="shared" si="7"/>
        <v>0</v>
      </c>
      <c r="S26" s="7">
        <f t="shared" si="8"/>
        <v>0</v>
      </c>
    </row>
    <row r="27" spans="2:19">
      <c r="C27" s="34"/>
      <c r="D27" s="840" t="str">
        <f>'Payroll 19-20'!D27</f>
        <v>Andrea Anderson</v>
      </c>
      <c r="E27" s="840">
        <f>'Payroll 22-23'!E27*(1+'Revenue Inputs'!R$27)</f>
        <v>1.1025</v>
      </c>
      <c r="F27" s="828">
        <f>'Payroll 22-23'!F27*(1+$I$4)</f>
        <v>22254.805209599999</v>
      </c>
      <c r="G27" s="322">
        <f>'Payroll 22-23'!G27</f>
        <v>12</v>
      </c>
      <c r="H27" s="319" t="str">
        <f>'Payroll 22-23'!H27</f>
        <v>n</v>
      </c>
      <c r="I27" s="320">
        <f t="shared" si="3"/>
        <v>24535.922743584</v>
      </c>
      <c r="J27" s="7">
        <f t="shared" si="15"/>
        <v>5680.5008147808476</v>
      </c>
      <c r="K27" s="7">
        <f t="shared" si="16"/>
        <v>30216.423558364848</v>
      </c>
      <c r="M27" s="7">
        <f t="shared" si="17"/>
        <v>4441.0020165887036</v>
      </c>
      <c r="N27" s="8" t="s">
        <v>75</v>
      </c>
      <c r="O27" s="8" t="str">
        <f t="shared" si="18"/>
        <v>N/A</v>
      </c>
      <c r="P27" s="7">
        <f t="shared" si="19"/>
        <v>355.77087978196801</v>
      </c>
      <c r="Q27" s="7">
        <f t="shared" si="6"/>
        <v>0</v>
      </c>
      <c r="R27" s="7">
        <f t="shared" si="7"/>
        <v>540.22500000000014</v>
      </c>
      <c r="S27" s="7">
        <f t="shared" si="8"/>
        <v>343.50291841017599</v>
      </c>
    </row>
    <row r="28" spans="2:19">
      <c r="C28" s="34"/>
      <c r="D28" s="840" t="str">
        <f>'Payroll 19-20'!D28</f>
        <v>Brianna Herrera</v>
      </c>
      <c r="E28" s="840">
        <f>'Payroll 22-23'!E28*(1+'Revenue Inputs'!R$27)</f>
        <v>1.1025</v>
      </c>
      <c r="F28" s="828">
        <f>'Payroll 22-23'!F28*(1+$I$4)</f>
        <v>23607.845409599999</v>
      </c>
      <c r="G28" s="322">
        <f>'Payroll 22-23'!G28</f>
        <v>12</v>
      </c>
      <c r="H28" s="319" t="str">
        <f>'Payroll 22-23'!H28</f>
        <v>n</v>
      </c>
      <c r="I28" s="320">
        <f t="shared" si="3"/>
        <v>26027.649564084</v>
      </c>
      <c r="J28" s="7">
        <f t="shared" si="15"/>
        <v>5993.017583675598</v>
      </c>
      <c r="K28" s="7">
        <f t="shared" si="16"/>
        <v>32020.667147759599</v>
      </c>
      <c r="L28" s="7"/>
      <c r="M28" s="7">
        <f t="shared" si="17"/>
        <v>4711.0045710992035</v>
      </c>
      <c r="N28" s="8" t="s">
        <v>75</v>
      </c>
      <c r="O28" s="8" t="str">
        <f t="shared" si="18"/>
        <v>N/A</v>
      </c>
      <c r="P28" s="7">
        <f t="shared" si="19"/>
        <v>377.40091867921802</v>
      </c>
      <c r="Q28" s="7">
        <f t="shared" si="6"/>
        <v>0</v>
      </c>
      <c r="R28" s="7">
        <f t="shared" si="7"/>
        <v>540.22500000000014</v>
      </c>
      <c r="S28" s="7">
        <f t="shared" si="8"/>
        <v>364.38709389717599</v>
      </c>
    </row>
    <row r="29" spans="2:19">
      <c r="C29" s="34"/>
      <c r="D29" s="840" t="str">
        <f>'Payroll 19-20'!D29</f>
        <v>Jessica Zeegers</v>
      </c>
      <c r="E29" s="840">
        <f>'Payroll 22-23'!E29*(1+'Revenue Inputs'!R$27)</f>
        <v>1.1025</v>
      </c>
      <c r="F29" s="828">
        <f>'Payroll 22-23'!F29*(1+$I$4)</f>
        <v>27532.203205679998</v>
      </c>
      <c r="G29" s="322">
        <f>'Payroll 22-23'!G29</f>
        <v>12</v>
      </c>
      <c r="H29" s="319" t="str">
        <f>'Payroll 22-23'!H29</f>
        <v>n</v>
      </c>
      <c r="I29" s="320">
        <f t="shared" si="3"/>
        <v>30354.254034262198</v>
      </c>
      <c r="J29" s="7">
        <f t="shared" si="15"/>
        <v>6899.4412201779314</v>
      </c>
      <c r="K29" s="7">
        <f t="shared" si="16"/>
        <v>37253.695254440128</v>
      </c>
      <c r="M29" s="7">
        <f t="shared" si="17"/>
        <v>5494.119980201458</v>
      </c>
      <c r="N29" s="8" t="s">
        <v>75</v>
      </c>
      <c r="O29" s="8" t="str">
        <f t="shared" si="18"/>
        <v>N/A</v>
      </c>
      <c r="P29" s="7">
        <f t="shared" si="19"/>
        <v>440.13668349680188</v>
      </c>
      <c r="Q29" s="7">
        <f t="shared" si="6"/>
        <v>0</v>
      </c>
      <c r="R29" s="7">
        <f t="shared" si="7"/>
        <v>540.22500000000014</v>
      </c>
      <c r="S29" s="7">
        <f t="shared" si="8"/>
        <v>424.95955647967077</v>
      </c>
    </row>
    <row r="30" spans="2:19">
      <c r="C30" s="34"/>
      <c r="D30" s="840" t="str">
        <f>'Payroll 19-20'!D30</f>
        <v>Rebecca Thomas</v>
      </c>
      <c r="E30" s="840">
        <f>'Payroll 22-23'!E30*(1+'Revenue Inputs'!R$27)</f>
        <v>1.1025</v>
      </c>
      <c r="F30" s="828">
        <f>'Payroll 22-23'!F30*(1+$I$4)</f>
        <v>22254.805209599999</v>
      </c>
      <c r="G30" s="322">
        <f>'Payroll 22-23'!G30</f>
        <v>12</v>
      </c>
      <c r="H30" s="319" t="str">
        <f>'Payroll 22-23'!H30</f>
        <v>n</v>
      </c>
      <c r="I30" s="320">
        <f t="shared" si="3"/>
        <v>24535.922743584</v>
      </c>
      <c r="J30" s="7">
        <f t="shared" si="15"/>
        <v>5680.5008147808476</v>
      </c>
      <c r="K30" s="7">
        <f t="shared" si="16"/>
        <v>30216.423558364848</v>
      </c>
      <c r="M30" s="7">
        <f t="shared" si="17"/>
        <v>4441.0020165887036</v>
      </c>
      <c r="N30" s="8" t="s">
        <v>75</v>
      </c>
      <c r="O30" s="8" t="str">
        <f t="shared" si="18"/>
        <v>N/A</v>
      </c>
      <c r="P30" s="7">
        <f t="shared" si="19"/>
        <v>355.77087978196801</v>
      </c>
      <c r="Q30" s="7">
        <f t="shared" si="6"/>
        <v>0</v>
      </c>
      <c r="R30" s="7">
        <f t="shared" si="7"/>
        <v>540.22500000000014</v>
      </c>
      <c r="S30" s="7">
        <f t="shared" si="8"/>
        <v>343.50291841017599</v>
      </c>
    </row>
    <row r="31" spans="2:19">
      <c r="C31" s="34"/>
      <c r="D31" s="840" t="str">
        <f>'Payroll 19-20'!D31</f>
        <v>Esperanza Gregeola</v>
      </c>
      <c r="E31" s="840">
        <f>'Payroll 22-23'!E31*(1+'Revenue Inputs'!R$27)</f>
        <v>1.1025</v>
      </c>
      <c r="F31" s="828">
        <f>'Payroll 22-23'!F31*(1+$I$4)</f>
        <v>24284.3655096</v>
      </c>
      <c r="G31" s="322">
        <f>'Payroll 22-23'!G31</f>
        <v>12</v>
      </c>
      <c r="H31" s="319" t="str">
        <f>'Payroll 22-23'!H31</f>
        <v>n</v>
      </c>
      <c r="I31" s="320">
        <f t="shared" si="3"/>
        <v>26773.512974334</v>
      </c>
      <c r="J31" s="7">
        <f t="shared" si="15"/>
        <v>6149.2759681229736</v>
      </c>
      <c r="K31" s="7">
        <f t="shared" si="16"/>
        <v>32922.788942456973</v>
      </c>
      <c r="M31" s="7">
        <f t="shared" si="17"/>
        <v>4846.0058483544535</v>
      </c>
      <c r="N31" s="8" t="s">
        <v>75</v>
      </c>
      <c r="O31" s="8" t="str">
        <f t="shared" si="18"/>
        <v>N/A</v>
      </c>
      <c r="P31" s="7">
        <f t="shared" si="19"/>
        <v>388.215938127843</v>
      </c>
      <c r="Q31" s="7">
        <f t="shared" si="6"/>
        <v>0</v>
      </c>
      <c r="R31" s="7">
        <f t="shared" si="7"/>
        <v>540.22500000000014</v>
      </c>
      <c r="S31" s="7">
        <f t="shared" si="8"/>
        <v>374.82918164067604</v>
      </c>
    </row>
    <row r="32" spans="2:19">
      <c r="C32" s="34"/>
      <c r="D32" s="840">
        <f>'Payroll 19-20'!D32</f>
        <v>0</v>
      </c>
      <c r="E32" s="840">
        <f>'Payroll 22-23'!E32*(1+'Revenue Inputs'!R$27)</f>
        <v>0</v>
      </c>
      <c r="F32" s="828">
        <f>'Payroll 22-23'!F32*(1+$I$4)</f>
        <v>0</v>
      </c>
      <c r="G32" s="322">
        <f>'Payroll 22-23'!G32</f>
        <v>0</v>
      </c>
      <c r="H32" s="319">
        <f>'Payroll 22-23'!H32</f>
        <v>0</v>
      </c>
      <c r="I32" s="320">
        <f t="shared" si="3"/>
        <v>0</v>
      </c>
      <c r="J32" s="7">
        <f t="shared" si="15"/>
        <v>0</v>
      </c>
      <c r="K32" s="7">
        <f t="shared" si="16"/>
        <v>0</v>
      </c>
      <c r="M32" s="7">
        <f t="shared" si="17"/>
        <v>0</v>
      </c>
      <c r="N32" s="8" t="s">
        <v>75</v>
      </c>
      <c r="O32" s="8" t="str">
        <f t="shared" si="18"/>
        <v>N/A</v>
      </c>
      <c r="P32" s="7">
        <f t="shared" si="19"/>
        <v>0</v>
      </c>
      <c r="Q32" s="7">
        <f t="shared" si="6"/>
        <v>0</v>
      </c>
      <c r="R32" s="7">
        <f t="shared" si="7"/>
        <v>0</v>
      </c>
      <c r="S32" s="7">
        <f t="shared" si="8"/>
        <v>0</v>
      </c>
    </row>
    <row r="33" spans="3:23">
      <c r="C33" s="34"/>
      <c r="D33" s="840" t="str">
        <f>'Payroll 19-20'!D33</f>
        <v>TBD</v>
      </c>
      <c r="E33" s="840">
        <f>'Payroll 22-23'!E33*(1+'Revenue Inputs'!R$27)</f>
        <v>1.1025</v>
      </c>
      <c r="F33" s="828">
        <f>'Payroll 22-23'!F33*(1+$I$4)</f>
        <v>18601.596669600003</v>
      </c>
      <c r="G33" s="322">
        <f>'Payroll 22-23'!G33</f>
        <v>12</v>
      </c>
      <c r="H33" s="319" t="str">
        <f>'Payroll 22-23'!H33</f>
        <v>n</v>
      </c>
      <c r="I33" s="320">
        <f t="shared" si="3"/>
        <v>20508.260328234006</v>
      </c>
      <c r="J33" s="7">
        <f t="shared" si="15"/>
        <v>4836.7055387650253</v>
      </c>
      <c r="K33" s="7">
        <f t="shared" si="16"/>
        <v>25344.965866999031</v>
      </c>
      <c r="L33" s="7"/>
      <c r="M33" s="7">
        <f t="shared" si="17"/>
        <v>3711.9951194103551</v>
      </c>
      <c r="N33" s="8" t="s">
        <v>75</v>
      </c>
      <c r="O33" s="8" t="str">
        <f t="shared" si="18"/>
        <v>N/A</v>
      </c>
      <c r="P33" s="7">
        <f t="shared" si="19"/>
        <v>297.36977475939312</v>
      </c>
      <c r="Q33" s="7">
        <f t="shared" si="6"/>
        <v>0</v>
      </c>
      <c r="R33" s="7">
        <f t="shared" si="7"/>
        <v>540.22500000000014</v>
      </c>
      <c r="S33" s="7">
        <f t="shared" si="8"/>
        <v>287.11564459527608</v>
      </c>
    </row>
    <row r="34" spans="3:23">
      <c r="C34" s="34"/>
      <c r="D34" s="840" t="str">
        <f>'Payroll 19-20'!D34</f>
        <v>TBD</v>
      </c>
      <c r="E34" s="840">
        <f>'Payroll 22-23'!E34*(1+'Revenue Inputs'!R$27)</f>
        <v>1.1025</v>
      </c>
      <c r="F34" s="828">
        <f>'Payroll 22-23'!F34*(1+$I$4)</f>
        <v>18601.596669600003</v>
      </c>
      <c r="G34" s="322">
        <f>'Payroll 22-23'!G34</f>
        <v>12</v>
      </c>
      <c r="H34" s="319" t="str">
        <f>'Payroll 22-23'!H34</f>
        <v>n</v>
      </c>
      <c r="I34" s="320">
        <f t="shared" si="3"/>
        <v>20508.260328234006</v>
      </c>
      <c r="J34" s="7">
        <f t="shared" si="15"/>
        <v>4836.7055387650253</v>
      </c>
      <c r="K34" s="7">
        <f t="shared" si="16"/>
        <v>25344.965866999031</v>
      </c>
      <c r="M34" s="7">
        <f t="shared" si="17"/>
        <v>3711.9951194103551</v>
      </c>
      <c r="N34" s="8" t="s">
        <v>75</v>
      </c>
      <c r="O34" s="8" t="str">
        <f t="shared" si="18"/>
        <v>N/A</v>
      </c>
      <c r="P34" s="7">
        <f t="shared" si="19"/>
        <v>297.36977475939312</v>
      </c>
      <c r="Q34" s="7">
        <f t="shared" si="6"/>
        <v>0</v>
      </c>
      <c r="R34" s="7">
        <f t="shared" si="7"/>
        <v>540.22500000000014</v>
      </c>
      <c r="S34" s="7">
        <f t="shared" si="8"/>
        <v>287.11564459527608</v>
      </c>
    </row>
    <row r="35" spans="3:23">
      <c r="C35" s="34"/>
      <c r="D35" s="840">
        <f>'Payroll 19-20'!D35</f>
        <v>0</v>
      </c>
      <c r="E35" s="840">
        <f>'Payroll 22-23'!E35*(1+'Revenue Inputs'!R$27)</f>
        <v>0</v>
      </c>
      <c r="F35" s="828">
        <f>'Payroll 22-23'!F35*(1+$I$4)</f>
        <v>0</v>
      </c>
      <c r="G35" s="322">
        <f>'Payroll 22-23'!G35</f>
        <v>0</v>
      </c>
      <c r="H35" s="319">
        <f>'Payroll 22-23'!H35</f>
        <v>0</v>
      </c>
      <c r="I35" s="320">
        <f t="shared" si="3"/>
        <v>0</v>
      </c>
      <c r="J35" s="7">
        <f t="shared" si="15"/>
        <v>0</v>
      </c>
      <c r="K35" s="7">
        <f t="shared" si="16"/>
        <v>0</v>
      </c>
      <c r="M35" s="7">
        <f t="shared" si="17"/>
        <v>0</v>
      </c>
      <c r="N35" s="8" t="s">
        <v>75</v>
      </c>
      <c r="O35" s="8" t="str">
        <f t="shared" si="18"/>
        <v>N/A</v>
      </c>
      <c r="P35" s="7">
        <f t="shared" si="19"/>
        <v>0</v>
      </c>
      <c r="Q35" s="7">
        <f t="shared" si="6"/>
        <v>0</v>
      </c>
      <c r="R35" s="7">
        <f t="shared" si="7"/>
        <v>0</v>
      </c>
      <c r="S35" s="7">
        <f t="shared" si="8"/>
        <v>0</v>
      </c>
    </row>
    <row r="36" spans="3:23">
      <c r="C36" s="34"/>
      <c r="D36" s="840">
        <f>'Payroll 19-20'!D36</f>
        <v>0</v>
      </c>
      <c r="E36" s="840">
        <f>'Payroll 22-23'!E36*(1+'Revenue Inputs'!R$27)</f>
        <v>0</v>
      </c>
      <c r="F36" s="828">
        <f>'Payroll 22-23'!F36*(1+$I$4)</f>
        <v>0</v>
      </c>
      <c r="G36" s="322">
        <f>'Payroll 22-23'!G36</f>
        <v>0</v>
      </c>
      <c r="H36" s="319">
        <f>'Payroll 22-23'!H36</f>
        <v>0</v>
      </c>
      <c r="I36" s="320">
        <f t="shared" si="3"/>
        <v>0</v>
      </c>
      <c r="J36" s="7">
        <f t="shared" si="15"/>
        <v>0</v>
      </c>
      <c r="K36" s="7">
        <f t="shared" si="16"/>
        <v>0</v>
      </c>
      <c r="M36" s="7">
        <f t="shared" si="17"/>
        <v>0</v>
      </c>
      <c r="N36" s="8" t="s">
        <v>75</v>
      </c>
      <c r="O36" s="8" t="str">
        <f t="shared" si="18"/>
        <v>N/A</v>
      </c>
      <c r="P36" s="7">
        <f t="shared" si="19"/>
        <v>0</v>
      </c>
      <c r="Q36" s="7">
        <f t="shared" si="6"/>
        <v>0</v>
      </c>
      <c r="R36" s="7">
        <f t="shared" si="7"/>
        <v>0</v>
      </c>
      <c r="S36" s="7">
        <f t="shared" si="8"/>
        <v>0</v>
      </c>
    </row>
    <row r="37" spans="3:23">
      <c r="C37" s="34"/>
      <c r="D37" s="840">
        <f>'Payroll 19-20'!D37</f>
        <v>0</v>
      </c>
      <c r="E37" s="840">
        <f>'Payroll 22-23'!E37*(1+'Revenue Inputs'!R$27)</f>
        <v>0</v>
      </c>
      <c r="F37" s="828">
        <f>'Payroll 22-23'!F37*(1+$I$4)</f>
        <v>0</v>
      </c>
      <c r="G37" s="322">
        <f>'Payroll 22-23'!G37</f>
        <v>0</v>
      </c>
      <c r="H37" s="319">
        <f>'Payroll 22-23'!H37</f>
        <v>0</v>
      </c>
      <c r="I37" s="320">
        <f t="shared" si="3"/>
        <v>0</v>
      </c>
      <c r="J37" s="7">
        <f t="shared" si="15"/>
        <v>0</v>
      </c>
      <c r="K37" s="7">
        <f t="shared" si="16"/>
        <v>0</v>
      </c>
      <c r="M37" s="7">
        <f t="shared" si="17"/>
        <v>0</v>
      </c>
      <c r="N37" s="8" t="s">
        <v>75</v>
      </c>
      <c r="O37" s="8" t="str">
        <f t="shared" si="18"/>
        <v>N/A</v>
      </c>
      <c r="P37" s="7">
        <f t="shared" si="19"/>
        <v>0</v>
      </c>
      <c r="Q37" s="7">
        <f t="shared" si="6"/>
        <v>0</v>
      </c>
      <c r="R37" s="7">
        <f t="shared" si="7"/>
        <v>0</v>
      </c>
      <c r="S37" s="7">
        <f t="shared" si="8"/>
        <v>0</v>
      </c>
    </row>
    <row r="38" spans="3:23">
      <c r="C38" s="34"/>
      <c r="D38" s="840">
        <f>'Payroll 19-20'!D38</f>
        <v>0</v>
      </c>
      <c r="E38" s="840">
        <f>'Payroll 22-23'!E38*(1+'Revenue Inputs'!R$27)</f>
        <v>0</v>
      </c>
      <c r="F38" s="828">
        <f>'Payroll 22-23'!F38*(1+$I$4)</f>
        <v>0</v>
      </c>
      <c r="G38" s="322">
        <f>'Payroll 22-23'!G38</f>
        <v>0</v>
      </c>
      <c r="H38" s="319">
        <f>'Payroll 22-23'!H38</f>
        <v>0</v>
      </c>
      <c r="I38" s="320">
        <f t="shared" si="3"/>
        <v>0</v>
      </c>
      <c r="J38" s="7">
        <f t="shared" si="15"/>
        <v>0</v>
      </c>
      <c r="K38" s="7">
        <f t="shared" si="16"/>
        <v>0</v>
      </c>
      <c r="M38" s="7">
        <f t="shared" si="17"/>
        <v>0</v>
      </c>
      <c r="N38" s="8" t="s">
        <v>75</v>
      </c>
      <c r="O38" s="8" t="str">
        <f t="shared" si="18"/>
        <v>N/A</v>
      </c>
      <c r="P38" s="7">
        <f t="shared" si="19"/>
        <v>0</v>
      </c>
      <c r="Q38" s="7">
        <f t="shared" si="6"/>
        <v>0</v>
      </c>
      <c r="R38" s="7">
        <f t="shared" si="7"/>
        <v>0</v>
      </c>
      <c r="S38" s="7">
        <f t="shared" si="8"/>
        <v>0</v>
      </c>
    </row>
    <row r="39" spans="3:23">
      <c r="C39" s="34"/>
      <c r="D39" s="840">
        <f>'Payroll 19-20'!D39</f>
        <v>0</v>
      </c>
      <c r="E39" s="840">
        <f>'Payroll 22-23'!E39*(1+'Revenue Inputs'!R$27)</f>
        <v>0</v>
      </c>
      <c r="F39" s="828">
        <f>'Payroll 22-23'!F39*(1+$I$4)</f>
        <v>0</v>
      </c>
      <c r="G39" s="322">
        <f>'Payroll 22-23'!G39</f>
        <v>0</v>
      </c>
      <c r="H39" s="319">
        <f>'Payroll 22-23'!H39</f>
        <v>0</v>
      </c>
      <c r="I39" s="320">
        <f t="shared" si="3"/>
        <v>0</v>
      </c>
      <c r="J39" s="7">
        <f t="shared" si="15"/>
        <v>0</v>
      </c>
      <c r="K39" s="7">
        <f t="shared" si="16"/>
        <v>0</v>
      </c>
      <c r="L39" s="7"/>
      <c r="M39" s="7">
        <f t="shared" si="17"/>
        <v>0</v>
      </c>
      <c r="N39" s="8" t="s">
        <v>75</v>
      </c>
      <c r="O39" s="8" t="str">
        <f t="shared" si="18"/>
        <v>N/A</v>
      </c>
      <c r="P39" s="7">
        <f t="shared" si="19"/>
        <v>0</v>
      </c>
      <c r="Q39" s="7">
        <f t="shared" si="6"/>
        <v>0</v>
      </c>
      <c r="R39" s="7">
        <f t="shared" si="7"/>
        <v>0</v>
      </c>
      <c r="S39" s="7">
        <f t="shared" si="8"/>
        <v>0</v>
      </c>
      <c r="W39" s="41"/>
    </row>
    <row r="40" spans="3:23">
      <c r="C40" s="34"/>
      <c r="D40" s="840">
        <f>'Payroll 19-20'!D40</f>
        <v>0</v>
      </c>
      <c r="E40" s="840">
        <f>'Payroll 22-23'!E40*(1+'Revenue Inputs'!R$27)</f>
        <v>0</v>
      </c>
      <c r="F40" s="828">
        <f>'Payroll 22-23'!F40*(1+$I$4)</f>
        <v>0</v>
      </c>
      <c r="G40" s="322">
        <f>'Payroll 22-23'!G40</f>
        <v>0</v>
      </c>
      <c r="H40" s="319">
        <f>'Payroll 22-23'!H40</f>
        <v>0</v>
      </c>
      <c r="I40" s="320">
        <f t="shared" si="3"/>
        <v>0</v>
      </c>
      <c r="J40" s="7">
        <f t="shared" si="15"/>
        <v>0</v>
      </c>
      <c r="K40" s="7">
        <f t="shared" si="16"/>
        <v>0</v>
      </c>
      <c r="M40" s="7">
        <f t="shared" si="17"/>
        <v>0</v>
      </c>
      <c r="N40" s="8" t="s">
        <v>75</v>
      </c>
      <c r="O40" s="8" t="str">
        <f t="shared" si="18"/>
        <v>N/A</v>
      </c>
      <c r="P40" s="7">
        <f t="shared" si="19"/>
        <v>0</v>
      </c>
      <c r="Q40" s="7">
        <f t="shared" si="6"/>
        <v>0</v>
      </c>
      <c r="R40" s="7">
        <f t="shared" si="7"/>
        <v>0</v>
      </c>
      <c r="S40" s="7">
        <f t="shared" si="8"/>
        <v>0</v>
      </c>
    </row>
    <row r="41" spans="3:23">
      <c r="C41" s="34"/>
      <c r="D41" s="840">
        <f>'Payroll 19-20'!D41</f>
        <v>0</v>
      </c>
      <c r="E41" s="840">
        <f>'Payroll 22-23'!E41*(1+'Revenue Inputs'!R$27)</f>
        <v>0</v>
      </c>
      <c r="F41" s="828">
        <f>'Payroll 22-23'!F41*(1+$I$4)</f>
        <v>0</v>
      </c>
      <c r="G41" s="322">
        <f>'Payroll 22-23'!G41</f>
        <v>0</v>
      </c>
      <c r="H41" s="319">
        <f>'Payroll 22-23'!H41</f>
        <v>0</v>
      </c>
      <c r="I41" s="320">
        <f t="shared" si="3"/>
        <v>0</v>
      </c>
      <c r="J41" s="7">
        <f t="shared" si="15"/>
        <v>0</v>
      </c>
      <c r="K41" s="7">
        <f t="shared" si="16"/>
        <v>0</v>
      </c>
      <c r="M41" s="7">
        <f t="shared" si="17"/>
        <v>0</v>
      </c>
      <c r="N41" s="8" t="s">
        <v>75</v>
      </c>
      <c r="O41" s="8" t="str">
        <f t="shared" si="18"/>
        <v>N/A</v>
      </c>
      <c r="P41" s="7">
        <f t="shared" si="19"/>
        <v>0</v>
      </c>
      <c r="Q41" s="7">
        <f t="shared" si="6"/>
        <v>0</v>
      </c>
      <c r="R41" s="7">
        <f t="shared" si="7"/>
        <v>0</v>
      </c>
      <c r="S41" s="7">
        <f t="shared" si="8"/>
        <v>0</v>
      </c>
    </row>
    <row r="42" spans="3:23">
      <c r="C42" s="34"/>
      <c r="D42" s="840">
        <f>'Payroll 19-20'!D42</f>
        <v>0</v>
      </c>
      <c r="E42" s="840">
        <f>'Payroll 22-23'!E42*(1+'Revenue Inputs'!R$27)</f>
        <v>0</v>
      </c>
      <c r="F42" s="828">
        <f>'Payroll 22-23'!F42*(1+$I$4)</f>
        <v>0</v>
      </c>
      <c r="G42" s="322">
        <f>'Payroll 22-23'!G42</f>
        <v>0</v>
      </c>
      <c r="H42" s="319">
        <f>'Payroll 22-23'!H42</f>
        <v>0</v>
      </c>
      <c r="I42" s="320">
        <f t="shared" si="3"/>
        <v>0</v>
      </c>
      <c r="J42" s="7">
        <f t="shared" si="15"/>
        <v>0</v>
      </c>
      <c r="K42" s="7">
        <f t="shared" si="16"/>
        <v>0</v>
      </c>
      <c r="M42" s="7">
        <f t="shared" si="17"/>
        <v>0</v>
      </c>
      <c r="N42" s="8" t="s">
        <v>75</v>
      </c>
      <c r="O42" s="8" t="str">
        <f t="shared" si="18"/>
        <v>N/A</v>
      </c>
      <c r="P42" s="7">
        <f t="shared" si="19"/>
        <v>0</v>
      </c>
      <c r="Q42" s="7">
        <f t="shared" si="6"/>
        <v>0</v>
      </c>
      <c r="R42" s="7">
        <f t="shared" si="7"/>
        <v>0</v>
      </c>
      <c r="S42" s="7">
        <f t="shared" si="8"/>
        <v>0</v>
      </c>
    </row>
    <row r="43" spans="3:23">
      <c r="C43" s="34"/>
      <c r="D43" s="840">
        <f>'Payroll 19-20'!D43</f>
        <v>0</v>
      </c>
      <c r="E43" s="840">
        <f>'Payroll 22-23'!E43*(1+'Revenue Inputs'!R$27)</f>
        <v>0</v>
      </c>
      <c r="F43" s="828">
        <f>'Payroll 22-23'!F43*(1+$I$4)</f>
        <v>0</v>
      </c>
      <c r="G43" s="322">
        <f>'Payroll 22-23'!G43</f>
        <v>0</v>
      </c>
      <c r="H43" s="319">
        <f>'Payroll 22-23'!H43</f>
        <v>0</v>
      </c>
      <c r="I43" s="320">
        <f t="shared" si="3"/>
        <v>0</v>
      </c>
      <c r="J43" s="7">
        <f t="shared" si="0"/>
        <v>0</v>
      </c>
      <c r="K43" s="7">
        <f t="shared" si="13"/>
        <v>0</v>
      </c>
      <c r="M43" s="7">
        <f t="shared" si="12"/>
        <v>0</v>
      </c>
      <c r="N43" s="8" t="s">
        <v>75</v>
      </c>
      <c r="O43" s="8" t="str">
        <f t="shared" si="5"/>
        <v>N/A</v>
      </c>
      <c r="P43" s="7">
        <f t="shared" si="2"/>
        <v>0</v>
      </c>
      <c r="Q43" s="7">
        <f t="shared" si="6"/>
        <v>0</v>
      </c>
      <c r="R43" s="7">
        <f t="shared" si="7"/>
        <v>0</v>
      </c>
      <c r="S43" s="7">
        <f t="shared" si="8"/>
        <v>0</v>
      </c>
    </row>
    <row r="44" spans="3:23">
      <c r="C44" s="34"/>
      <c r="D44" s="840">
        <f>'Payroll 19-20'!D44</f>
        <v>0</v>
      </c>
      <c r="E44" s="840">
        <f>'Payroll 22-23'!E44*(1+'Revenue Inputs'!R$27)</f>
        <v>0</v>
      </c>
      <c r="F44" s="828">
        <f>'Payroll 22-23'!F44*(1+$I$4)</f>
        <v>0</v>
      </c>
      <c r="G44" s="322">
        <f>'Payroll 22-23'!G44</f>
        <v>0</v>
      </c>
      <c r="H44" s="319">
        <f>'Payroll 22-23'!H44</f>
        <v>0</v>
      </c>
      <c r="I44" s="320">
        <f t="shared" si="3"/>
        <v>0</v>
      </c>
      <c r="J44" s="7">
        <f t="shared" si="0"/>
        <v>0</v>
      </c>
      <c r="K44" s="7">
        <f t="shared" si="13"/>
        <v>0</v>
      </c>
      <c r="M44" s="7">
        <f t="shared" si="12"/>
        <v>0</v>
      </c>
      <c r="N44" s="8" t="s">
        <v>75</v>
      </c>
      <c r="O44" s="8" t="str">
        <f t="shared" si="5"/>
        <v>N/A</v>
      </c>
      <c r="P44" s="7">
        <f t="shared" si="2"/>
        <v>0</v>
      </c>
      <c r="Q44" s="7">
        <f t="shared" si="6"/>
        <v>0</v>
      </c>
      <c r="R44" s="7">
        <f t="shared" si="7"/>
        <v>0</v>
      </c>
      <c r="S44" s="7">
        <f t="shared" si="8"/>
        <v>0</v>
      </c>
    </row>
    <row r="45" spans="3:23">
      <c r="C45" s="34"/>
      <c r="D45" s="840">
        <f>'Payroll 19-20'!D45</f>
        <v>0</v>
      </c>
      <c r="E45" s="840">
        <f>'Payroll 22-23'!E45*(1+'Revenue Inputs'!R$27)</f>
        <v>0</v>
      </c>
      <c r="F45" s="828">
        <f>'Payroll 22-23'!F45*(1+$I$4)</f>
        <v>0</v>
      </c>
      <c r="G45" s="322">
        <f>'Payroll 22-23'!G45</f>
        <v>0</v>
      </c>
      <c r="H45" s="319">
        <f>'Payroll 22-23'!H45</f>
        <v>0</v>
      </c>
      <c r="I45" s="320">
        <f t="shared" si="3"/>
        <v>0</v>
      </c>
      <c r="J45" s="7">
        <f t="shared" si="0"/>
        <v>0</v>
      </c>
      <c r="K45" s="7">
        <f t="shared" si="13"/>
        <v>0</v>
      </c>
      <c r="L45" s="7"/>
      <c r="M45" s="7">
        <f t="shared" si="12"/>
        <v>0</v>
      </c>
      <c r="N45" s="8" t="s">
        <v>75</v>
      </c>
      <c r="O45" s="8" t="str">
        <f t="shared" si="5"/>
        <v>N/A</v>
      </c>
      <c r="P45" s="7">
        <f t="shared" si="2"/>
        <v>0</v>
      </c>
      <c r="Q45" s="7">
        <f t="shared" si="6"/>
        <v>0</v>
      </c>
      <c r="R45" s="7">
        <f t="shared" si="7"/>
        <v>0</v>
      </c>
      <c r="S45" s="7">
        <f t="shared" si="8"/>
        <v>0</v>
      </c>
    </row>
    <row r="46" spans="3:23">
      <c r="C46" s="34"/>
      <c r="D46" s="840">
        <f>'Payroll 19-20'!D46</f>
        <v>0</v>
      </c>
      <c r="E46" s="840">
        <f>'Payroll 22-23'!E46*(1+'Revenue Inputs'!R$27)</f>
        <v>0</v>
      </c>
      <c r="F46" s="828">
        <f>'Payroll 22-23'!F46*(1+$I$4)</f>
        <v>0</v>
      </c>
      <c r="G46" s="322">
        <f>'Payroll 22-23'!G46</f>
        <v>0</v>
      </c>
      <c r="H46" s="319">
        <f>'Payroll 22-23'!H46</f>
        <v>0</v>
      </c>
      <c r="I46" s="320">
        <f t="shared" si="3"/>
        <v>0</v>
      </c>
      <c r="J46" s="7">
        <f t="shared" si="0"/>
        <v>0</v>
      </c>
      <c r="K46" s="7">
        <f t="shared" si="13"/>
        <v>0</v>
      </c>
      <c r="M46" s="7">
        <f t="shared" si="12"/>
        <v>0</v>
      </c>
      <c r="N46" s="8" t="s">
        <v>75</v>
      </c>
      <c r="O46" s="8" t="str">
        <f t="shared" si="5"/>
        <v>N/A</v>
      </c>
      <c r="P46" s="7">
        <f t="shared" si="2"/>
        <v>0</v>
      </c>
      <c r="Q46" s="7">
        <f t="shared" si="6"/>
        <v>0</v>
      </c>
      <c r="R46" s="7">
        <f t="shared" si="7"/>
        <v>0</v>
      </c>
      <c r="S46" s="7">
        <f t="shared" si="8"/>
        <v>0</v>
      </c>
    </row>
    <row r="47" spans="3:23">
      <c r="C47" s="34"/>
      <c r="D47" s="840">
        <f>'Payroll 19-20'!D47</f>
        <v>0</v>
      </c>
      <c r="E47" s="840">
        <f>'Payroll 22-23'!E47*(1+'Revenue Inputs'!R$27)</f>
        <v>0</v>
      </c>
      <c r="F47" s="828">
        <f>'Payroll 22-23'!F47*(1+$I$4)</f>
        <v>0</v>
      </c>
      <c r="G47" s="322">
        <f>'Payroll 22-23'!G47</f>
        <v>0</v>
      </c>
      <c r="H47" s="319">
        <f>'Payroll 22-23'!H47</f>
        <v>0</v>
      </c>
      <c r="I47" s="320">
        <f t="shared" si="3"/>
        <v>0</v>
      </c>
      <c r="J47" s="7">
        <f t="shared" si="0"/>
        <v>0</v>
      </c>
      <c r="K47" s="7">
        <f t="shared" si="13"/>
        <v>0</v>
      </c>
      <c r="M47" s="7">
        <f t="shared" si="12"/>
        <v>0</v>
      </c>
      <c r="N47" s="8" t="s">
        <v>75</v>
      </c>
      <c r="O47" s="8" t="str">
        <f t="shared" si="5"/>
        <v>N/A</v>
      </c>
      <c r="P47" s="7">
        <f t="shared" si="2"/>
        <v>0</v>
      </c>
      <c r="Q47" s="7">
        <f t="shared" si="6"/>
        <v>0</v>
      </c>
      <c r="R47" s="7">
        <f t="shared" si="7"/>
        <v>0</v>
      </c>
      <c r="S47" s="7">
        <f t="shared" si="8"/>
        <v>0</v>
      </c>
    </row>
    <row r="48" spans="3:23">
      <c r="C48" s="34"/>
      <c r="D48" s="840">
        <f>'Payroll 19-20'!D48</f>
        <v>0</v>
      </c>
      <c r="E48" s="840">
        <f>'Payroll 22-23'!E48*(1+'Revenue Inputs'!R$27)</f>
        <v>0</v>
      </c>
      <c r="F48" s="828">
        <f>'Payroll 22-23'!F48*(1+$I$4)</f>
        <v>0</v>
      </c>
      <c r="G48" s="322">
        <f>'Payroll 22-23'!G48</f>
        <v>0</v>
      </c>
      <c r="H48" s="319">
        <f>'Payroll 22-23'!H48</f>
        <v>0</v>
      </c>
      <c r="I48" s="320">
        <f t="shared" si="3"/>
        <v>0</v>
      </c>
      <c r="J48" s="7">
        <f t="shared" si="0"/>
        <v>0</v>
      </c>
      <c r="K48" s="7">
        <f t="shared" si="13"/>
        <v>0</v>
      </c>
      <c r="M48" s="7">
        <f t="shared" si="12"/>
        <v>0</v>
      </c>
      <c r="N48" s="8" t="s">
        <v>75</v>
      </c>
      <c r="O48" s="8" t="str">
        <f t="shared" si="5"/>
        <v>N/A</v>
      </c>
      <c r="P48" s="7">
        <f t="shared" si="2"/>
        <v>0</v>
      </c>
      <c r="Q48" s="7">
        <f t="shared" si="6"/>
        <v>0</v>
      </c>
      <c r="R48" s="7">
        <f t="shared" si="7"/>
        <v>0</v>
      </c>
      <c r="S48" s="7">
        <f t="shared" si="8"/>
        <v>0</v>
      </c>
    </row>
    <row r="49" spans="3:24">
      <c r="C49" s="34"/>
      <c r="D49" s="840">
        <f>'Payroll 19-20'!D49</f>
        <v>0</v>
      </c>
      <c r="E49" s="840">
        <f>'Payroll 22-23'!E49*(1+'Revenue Inputs'!R$27)</f>
        <v>0</v>
      </c>
      <c r="F49" s="828">
        <f>'Payroll 22-23'!F49*(1+$I$4)</f>
        <v>0</v>
      </c>
      <c r="G49" s="322">
        <f>'Payroll 22-23'!G49</f>
        <v>0</v>
      </c>
      <c r="H49" s="319">
        <f>'Payroll 22-23'!H49</f>
        <v>0</v>
      </c>
      <c r="I49" s="320">
        <f t="shared" si="3"/>
        <v>0</v>
      </c>
      <c r="J49" s="7">
        <f t="shared" si="0"/>
        <v>0</v>
      </c>
      <c r="K49" s="7">
        <f t="shared" si="13"/>
        <v>0</v>
      </c>
      <c r="M49" s="7">
        <f t="shared" si="12"/>
        <v>0</v>
      </c>
      <c r="N49" s="8" t="s">
        <v>75</v>
      </c>
      <c r="O49" s="8" t="str">
        <f t="shared" si="5"/>
        <v>N/A</v>
      </c>
      <c r="P49" s="7">
        <f t="shared" si="2"/>
        <v>0</v>
      </c>
      <c r="Q49" s="7">
        <f t="shared" si="6"/>
        <v>0</v>
      </c>
      <c r="R49" s="7">
        <f t="shared" si="7"/>
        <v>0</v>
      </c>
      <c r="S49" s="7">
        <f t="shared" si="8"/>
        <v>0</v>
      </c>
    </row>
    <row r="50" spans="3:24">
      <c r="C50" s="34"/>
      <c r="D50" s="840">
        <f>'Payroll 19-20'!D50</f>
        <v>0</v>
      </c>
      <c r="E50" s="840">
        <f>'Payroll 22-23'!E50*(1+'Revenue Inputs'!R$27)</f>
        <v>0</v>
      </c>
      <c r="F50" s="828">
        <f>'Payroll 22-23'!F50*(1+$I$4)</f>
        <v>0</v>
      </c>
      <c r="G50" s="322">
        <f>'Payroll 22-23'!G50</f>
        <v>0</v>
      </c>
      <c r="H50" s="319">
        <f>'Payroll 22-23'!H50</f>
        <v>0</v>
      </c>
      <c r="I50" s="320">
        <f t="shared" si="3"/>
        <v>0</v>
      </c>
      <c r="J50" s="7">
        <f t="shared" si="0"/>
        <v>0</v>
      </c>
      <c r="K50" s="7">
        <f t="shared" si="13"/>
        <v>0</v>
      </c>
      <c r="L50" s="7"/>
      <c r="M50" s="7">
        <f t="shared" si="12"/>
        <v>0</v>
      </c>
      <c r="N50" s="8" t="s">
        <v>75</v>
      </c>
      <c r="O50" s="8" t="str">
        <f t="shared" si="5"/>
        <v>N/A</v>
      </c>
      <c r="P50" s="7">
        <f t="shared" si="2"/>
        <v>0</v>
      </c>
      <c r="Q50" s="7">
        <f t="shared" si="6"/>
        <v>0</v>
      </c>
      <c r="R50" s="7">
        <f t="shared" si="7"/>
        <v>0</v>
      </c>
      <c r="S50" s="7">
        <f t="shared" si="8"/>
        <v>0</v>
      </c>
    </row>
    <row r="51" spans="3:24">
      <c r="C51" s="34"/>
      <c r="D51" s="840">
        <f>'Payroll 19-20'!D51</f>
        <v>0</v>
      </c>
      <c r="E51" s="840">
        <f>'Payroll 22-23'!E51*(1+'Revenue Inputs'!R$27)</f>
        <v>0</v>
      </c>
      <c r="F51" s="828">
        <f>'Payroll 22-23'!F51*(1+$I$4)</f>
        <v>0</v>
      </c>
      <c r="G51" s="322">
        <f>'Payroll 22-23'!G51</f>
        <v>0</v>
      </c>
      <c r="H51" s="319">
        <f>'Payroll 22-23'!H51</f>
        <v>0</v>
      </c>
      <c r="I51" s="320">
        <f t="shared" si="3"/>
        <v>0</v>
      </c>
      <c r="J51" s="7">
        <f t="shared" si="0"/>
        <v>0</v>
      </c>
      <c r="K51" s="7">
        <f t="shared" si="13"/>
        <v>0</v>
      </c>
      <c r="M51" s="7">
        <f t="shared" si="12"/>
        <v>0</v>
      </c>
      <c r="N51" s="8" t="s">
        <v>75</v>
      </c>
      <c r="O51" s="8" t="str">
        <f t="shared" si="5"/>
        <v>N/A</v>
      </c>
      <c r="P51" s="7">
        <f t="shared" si="2"/>
        <v>0</v>
      </c>
      <c r="Q51" s="7">
        <f t="shared" si="6"/>
        <v>0</v>
      </c>
      <c r="R51" s="7">
        <f t="shared" si="7"/>
        <v>0</v>
      </c>
      <c r="S51" s="7">
        <f t="shared" si="8"/>
        <v>0</v>
      </c>
    </row>
    <row r="52" spans="3:24">
      <c r="C52" s="34"/>
      <c r="D52" s="840">
        <f>'Payroll 19-20'!D52</f>
        <v>0</v>
      </c>
      <c r="E52" s="840">
        <f>'Payroll 22-23'!E52*(1+'Revenue Inputs'!R$27)</f>
        <v>0</v>
      </c>
      <c r="F52" s="828">
        <f>'Payroll 22-23'!F52*(1+$I$4)</f>
        <v>0</v>
      </c>
      <c r="G52" s="322">
        <f>'Payroll 22-23'!G52</f>
        <v>0</v>
      </c>
      <c r="H52" s="319">
        <f>'Payroll 22-23'!H52</f>
        <v>0</v>
      </c>
      <c r="I52" s="320">
        <f t="shared" si="3"/>
        <v>0</v>
      </c>
      <c r="J52" s="7">
        <f t="shared" si="0"/>
        <v>0</v>
      </c>
      <c r="K52" s="7">
        <f t="shared" si="13"/>
        <v>0</v>
      </c>
      <c r="M52" s="7">
        <f t="shared" si="12"/>
        <v>0</v>
      </c>
      <c r="N52" s="8" t="s">
        <v>75</v>
      </c>
      <c r="O52" s="8" t="str">
        <f t="shared" si="5"/>
        <v>N/A</v>
      </c>
      <c r="P52" s="7">
        <f t="shared" si="2"/>
        <v>0</v>
      </c>
      <c r="Q52" s="7">
        <f t="shared" si="6"/>
        <v>0</v>
      </c>
      <c r="R52" s="7">
        <f t="shared" si="7"/>
        <v>0</v>
      </c>
      <c r="S52" s="7">
        <f t="shared" si="8"/>
        <v>0</v>
      </c>
    </row>
    <row r="53" spans="3:24">
      <c r="C53" s="34"/>
      <c r="D53" s="840">
        <f>'Payroll 19-20'!D53</f>
        <v>0</v>
      </c>
      <c r="E53" s="840">
        <f>'Payroll 22-23'!E53*(1+'Revenue Inputs'!R$27)</f>
        <v>0</v>
      </c>
      <c r="F53" s="828">
        <f>'Payroll 22-23'!F53*(1+$I$4)</f>
        <v>0</v>
      </c>
      <c r="G53" s="322">
        <f>'Payroll 22-23'!G53</f>
        <v>0</v>
      </c>
      <c r="H53" s="319">
        <f>'Payroll 22-23'!H53</f>
        <v>0</v>
      </c>
      <c r="I53" s="320">
        <f t="shared" si="3"/>
        <v>0</v>
      </c>
      <c r="J53" s="7">
        <f t="shared" si="0"/>
        <v>0</v>
      </c>
      <c r="K53" s="7">
        <f t="shared" si="13"/>
        <v>0</v>
      </c>
      <c r="M53" s="7">
        <f t="shared" si="12"/>
        <v>0</v>
      </c>
      <c r="N53" s="8" t="s">
        <v>75</v>
      </c>
      <c r="O53" s="8" t="str">
        <f t="shared" si="5"/>
        <v>N/A</v>
      </c>
      <c r="P53" s="7">
        <f t="shared" si="2"/>
        <v>0</v>
      </c>
      <c r="Q53" s="7">
        <f t="shared" si="6"/>
        <v>0</v>
      </c>
      <c r="R53" s="7">
        <f t="shared" si="7"/>
        <v>0</v>
      </c>
      <c r="S53" s="7">
        <f t="shared" si="8"/>
        <v>0</v>
      </c>
    </row>
    <row r="54" spans="3:24">
      <c r="C54" s="34"/>
      <c r="D54" s="840">
        <f>'Payroll 19-20'!D54</f>
        <v>0</v>
      </c>
      <c r="E54" s="840">
        <f>'Payroll 22-23'!E54*(1+'Revenue Inputs'!R$27)</f>
        <v>0</v>
      </c>
      <c r="F54" s="828">
        <f>'Payroll 22-23'!F54*(1+$I$4)</f>
        <v>0</v>
      </c>
      <c r="G54" s="322">
        <f>'Payroll 22-23'!G54</f>
        <v>0</v>
      </c>
      <c r="H54" s="319">
        <f>'Payroll 22-23'!H54</f>
        <v>0</v>
      </c>
      <c r="I54" s="320">
        <f t="shared" si="3"/>
        <v>0</v>
      </c>
      <c r="J54" s="7">
        <f t="shared" si="0"/>
        <v>0</v>
      </c>
      <c r="K54" s="7">
        <f t="shared" si="13"/>
        <v>0</v>
      </c>
      <c r="M54" s="7">
        <f t="shared" si="12"/>
        <v>0</v>
      </c>
      <c r="N54" s="8" t="s">
        <v>75</v>
      </c>
      <c r="O54" s="8" t="str">
        <f t="shared" si="5"/>
        <v>N/A</v>
      </c>
      <c r="P54" s="7">
        <f t="shared" si="2"/>
        <v>0</v>
      </c>
      <c r="Q54" s="7">
        <f t="shared" si="6"/>
        <v>0</v>
      </c>
      <c r="R54" s="7">
        <f t="shared" si="7"/>
        <v>0</v>
      </c>
      <c r="S54" s="7">
        <f t="shared" si="8"/>
        <v>0</v>
      </c>
    </row>
    <row r="55" spans="3:24">
      <c r="C55" s="34"/>
      <c r="D55" s="840">
        <f>'Payroll 19-20'!D55</f>
        <v>0</v>
      </c>
      <c r="E55" s="840">
        <f>'Payroll 22-23'!E55*(1+'Revenue Inputs'!R$27)</f>
        <v>0</v>
      </c>
      <c r="F55" s="828">
        <f>'Payroll 22-23'!F55*(1+$I$4)</f>
        <v>0</v>
      </c>
      <c r="G55" s="322">
        <f>'Payroll 22-23'!G55</f>
        <v>0</v>
      </c>
      <c r="H55" s="319">
        <f>'Payroll 22-23'!H55</f>
        <v>0</v>
      </c>
      <c r="I55" s="320">
        <f t="shared" si="3"/>
        <v>0</v>
      </c>
      <c r="J55" s="7">
        <f t="shared" si="0"/>
        <v>0</v>
      </c>
      <c r="K55" s="7">
        <f t="shared" si="13"/>
        <v>0</v>
      </c>
      <c r="M55" s="7">
        <f t="shared" si="12"/>
        <v>0</v>
      </c>
      <c r="N55" s="8" t="s">
        <v>75</v>
      </c>
      <c r="O55" s="8" t="str">
        <f t="shared" si="5"/>
        <v>N/A</v>
      </c>
      <c r="P55" s="7">
        <f t="shared" si="2"/>
        <v>0</v>
      </c>
      <c r="Q55" s="7">
        <f t="shared" si="6"/>
        <v>0</v>
      </c>
      <c r="R55" s="7">
        <f t="shared" si="7"/>
        <v>0</v>
      </c>
      <c r="S55" s="7">
        <f t="shared" si="8"/>
        <v>0</v>
      </c>
    </row>
    <row r="56" spans="3:24">
      <c r="C56" s="34"/>
      <c r="D56" s="840">
        <f>'Payroll 19-20'!D56</f>
        <v>0</v>
      </c>
      <c r="E56" s="840">
        <f>'Payroll 22-23'!E56*(1+'Revenue Inputs'!R$27)</f>
        <v>0</v>
      </c>
      <c r="F56" s="828">
        <f>'Payroll 22-23'!F56*(1+$I$4)</f>
        <v>0</v>
      </c>
      <c r="G56" s="322">
        <f>'Payroll 22-23'!G56</f>
        <v>0</v>
      </c>
      <c r="H56" s="319">
        <f>'Payroll 22-23'!H56</f>
        <v>0</v>
      </c>
      <c r="I56" s="320">
        <f t="shared" si="3"/>
        <v>0</v>
      </c>
      <c r="J56" s="7">
        <f t="shared" si="0"/>
        <v>0</v>
      </c>
      <c r="K56" s="7">
        <f t="shared" si="13"/>
        <v>0</v>
      </c>
      <c r="L56" s="7"/>
      <c r="M56" s="7">
        <f t="shared" si="12"/>
        <v>0</v>
      </c>
      <c r="N56" s="8" t="s">
        <v>75</v>
      </c>
      <c r="O56" s="8" t="str">
        <f t="shared" si="5"/>
        <v>N/A</v>
      </c>
      <c r="P56" s="7">
        <f t="shared" si="2"/>
        <v>0</v>
      </c>
      <c r="Q56" s="7">
        <f t="shared" si="6"/>
        <v>0</v>
      </c>
      <c r="R56" s="7">
        <f t="shared" si="7"/>
        <v>0</v>
      </c>
      <c r="S56" s="7">
        <f t="shared" si="8"/>
        <v>0</v>
      </c>
      <c r="W56" s="41"/>
    </row>
    <row r="57" spans="3:24">
      <c r="C57" s="34"/>
      <c r="D57" s="840">
        <f>'Payroll 19-20'!D57</f>
        <v>0</v>
      </c>
      <c r="E57" s="840">
        <f>'Payroll 22-23'!E57*(1+'Revenue Inputs'!R$27)</f>
        <v>0</v>
      </c>
      <c r="F57" s="828">
        <f>'Payroll 22-23'!F57*(1+$I$4)</f>
        <v>0</v>
      </c>
      <c r="G57" s="322">
        <f>'Payroll 22-23'!G57</f>
        <v>0</v>
      </c>
      <c r="H57" s="319">
        <f>'Payroll 22-23'!H57</f>
        <v>0</v>
      </c>
      <c r="I57" s="320">
        <f t="shared" si="3"/>
        <v>0</v>
      </c>
      <c r="J57" s="7">
        <f t="shared" si="0"/>
        <v>0</v>
      </c>
      <c r="K57" s="7">
        <f t="shared" si="13"/>
        <v>0</v>
      </c>
      <c r="M57" s="7">
        <f t="shared" si="12"/>
        <v>0</v>
      </c>
      <c r="N57" s="8" t="s">
        <v>75</v>
      </c>
      <c r="O57" s="8" t="str">
        <f t="shared" si="5"/>
        <v>N/A</v>
      </c>
      <c r="P57" s="7">
        <f t="shared" si="2"/>
        <v>0</v>
      </c>
      <c r="Q57" s="7">
        <f t="shared" si="6"/>
        <v>0</v>
      </c>
      <c r="R57" s="7">
        <f t="shared" si="7"/>
        <v>0</v>
      </c>
      <c r="S57" s="7">
        <f t="shared" si="8"/>
        <v>0</v>
      </c>
    </row>
    <row r="58" spans="3:24">
      <c r="C58" s="34"/>
      <c r="D58" s="840">
        <f>'Payroll 19-20'!D58</f>
        <v>0</v>
      </c>
      <c r="E58" s="840">
        <f>'Payroll 22-23'!E58*(1+'Revenue Inputs'!R$27)</f>
        <v>0</v>
      </c>
      <c r="F58" s="828">
        <f>'Payroll 22-23'!F58*(1+$I$4)</f>
        <v>0</v>
      </c>
      <c r="G58" s="322">
        <f>'Payroll 22-23'!G58</f>
        <v>0</v>
      </c>
      <c r="H58" s="319">
        <f>'Payroll 22-23'!H58</f>
        <v>0</v>
      </c>
      <c r="I58" s="320">
        <f t="shared" si="3"/>
        <v>0</v>
      </c>
      <c r="J58" s="7">
        <f t="shared" si="0"/>
        <v>0</v>
      </c>
      <c r="K58" s="7">
        <f t="shared" si="13"/>
        <v>0</v>
      </c>
      <c r="M58" s="7">
        <f t="shared" si="12"/>
        <v>0</v>
      </c>
      <c r="N58" s="8" t="s">
        <v>75</v>
      </c>
      <c r="O58" s="8" t="str">
        <f t="shared" si="5"/>
        <v>N/A</v>
      </c>
      <c r="P58" s="7">
        <f t="shared" si="2"/>
        <v>0</v>
      </c>
      <c r="Q58" s="7">
        <f t="shared" si="6"/>
        <v>0</v>
      </c>
      <c r="R58" s="7">
        <f t="shared" si="7"/>
        <v>0</v>
      </c>
      <c r="S58" s="7">
        <f t="shared" si="8"/>
        <v>0</v>
      </c>
    </row>
    <row r="59" spans="3:24">
      <c r="C59" s="34"/>
      <c r="D59" s="840">
        <f>'Payroll 19-20'!D59</f>
        <v>0</v>
      </c>
      <c r="E59" s="840">
        <f>'Payroll 22-23'!E59*(1+'Revenue Inputs'!R$27)</f>
        <v>0</v>
      </c>
      <c r="F59" s="828">
        <f>'Payroll 22-23'!F59*(1+$I$4)</f>
        <v>0</v>
      </c>
      <c r="G59" s="322">
        <f>'Payroll 22-23'!G59</f>
        <v>0</v>
      </c>
      <c r="H59" s="319">
        <f>'Payroll 22-23'!H59</f>
        <v>0</v>
      </c>
      <c r="I59" s="320">
        <f t="shared" si="3"/>
        <v>0</v>
      </c>
      <c r="J59" s="7">
        <f t="shared" si="0"/>
        <v>0</v>
      </c>
      <c r="K59" s="7">
        <f t="shared" si="13"/>
        <v>0</v>
      </c>
      <c r="M59" s="7">
        <f t="shared" si="12"/>
        <v>0</v>
      </c>
      <c r="N59" s="8" t="s">
        <v>75</v>
      </c>
      <c r="O59" s="8" t="str">
        <f t="shared" si="5"/>
        <v>N/A</v>
      </c>
      <c r="P59" s="7">
        <f t="shared" si="2"/>
        <v>0</v>
      </c>
      <c r="Q59" s="7">
        <f t="shared" si="6"/>
        <v>0</v>
      </c>
      <c r="R59" s="7">
        <f t="shared" si="7"/>
        <v>0</v>
      </c>
      <c r="S59" s="7">
        <f t="shared" si="8"/>
        <v>0</v>
      </c>
    </row>
    <row r="60" spans="3:24" ht="12" thickBot="1">
      <c r="C60" s="34"/>
      <c r="D60" s="833"/>
      <c r="E60" s="846"/>
      <c r="F60" s="833"/>
      <c r="G60" s="28"/>
      <c r="H60" s="8"/>
      <c r="I60" s="5"/>
      <c r="J60" s="7"/>
      <c r="K60" s="7"/>
      <c r="M60" s="7"/>
      <c r="N60" s="8"/>
      <c r="O60" s="8"/>
      <c r="P60" s="7"/>
      <c r="Q60" s="7"/>
      <c r="R60" s="7"/>
      <c r="S60" s="7"/>
    </row>
    <row r="61" spans="3:24" s="41" customFormat="1" ht="12" thickBot="1">
      <c r="C61" s="177"/>
      <c r="D61" s="834"/>
      <c r="E61" s="847"/>
      <c r="F61" s="834"/>
      <c r="G61" s="49"/>
      <c r="H61" s="333">
        <v>1100</v>
      </c>
      <c r="I61" s="10">
        <f>SUM(I7:I60)</f>
        <v>10038627.094947062</v>
      </c>
      <c r="J61" s="10">
        <f>SUM(J7:J60)</f>
        <v>3519968.1656378112</v>
      </c>
      <c r="K61" s="10">
        <f>SUM(K7:K60)</f>
        <v>13558595.260584878</v>
      </c>
      <c r="L61" s="11"/>
      <c r="M61" s="10">
        <f t="shared" ref="M61:S61" si="20">SUM(M7:M60)</f>
        <v>1816991.5041854191</v>
      </c>
      <c r="N61" s="10">
        <f t="shared" si="20"/>
        <v>0</v>
      </c>
      <c r="O61" s="10">
        <f t="shared" si="20"/>
        <v>0</v>
      </c>
      <c r="P61" s="10">
        <f t="shared" si="20"/>
        <v>145560.09287673252</v>
      </c>
      <c r="Q61" s="10">
        <f t="shared" si="20"/>
        <v>1343945.4142464004</v>
      </c>
      <c r="R61" s="10">
        <f t="shared" si="20"/>
        <v>72930.375000000058</v>
      </c>
      <c r="S61" s="10">
        <f t="shared" si="20"/>
        <v>140540.77932925895</v>
      </c>
    </row>
    <row r="62" spans="3:24" ht="12">
      <c r="C62" s="368" t="s">
        <v>143</v>
      </c>
      <c r="D62" s="835"/>
      <c r="E62" s="848"/>
      <c r="F62" s="835"/>
      <c r="G62" s="28"/>
      <c r="H62" s="35"/>
      <c r="I62" s="7"/>
      <c r="J62" s="7"/>
      <c r="K62" s="7"/>
      <c r="L62" s="7"/>
      <c r="M62" s="36"/>
      <c r="N62" s="36"/>
      <c r="O62" s="36"/>
      <c r="P62" s="36"/>
      <c r="Q62" s="36"/>
      <c r="R62" s="36"/>
      <c r="S62" s="36"/>
      <c r="X62" s="41"/>
    </row>
    <row r="63" spans="3:24">
      <c r="C63" s="37"/>
      <c r="D63" s="840">
        <f>'Payroll 19-20'!D63</f>
        <v>0</v>
      </c>
      <c r="E63" s="840">
        <f>'Payroll 22-23'!E63*(1+'Revenue Inputs'!R$27)</f>
        <v>0</v>
      </c>
      <c r="F63" s="828">
        <f>'Payroll 22-23'!F63*(1+$I$4)</f>
        <v>0</v>
      </c>
      <c r="G63" s="322">
        <f>'Payroll 22-23'!G63</f>
        <v>0</v>
      </c>
      <c r="H63" s="319">
        <f>'Payroll 22-23'!H63</f>
        <v>0</v>
      </c>
      <c r="I63" s="320">
        <f t="shared" ref="I63" si="21">F63*E63</f>
        <v>0</v>
      </c>
      <c r="J63" s="7">
        <f>SUM(M63:S63)</f>
        <v>0</v>
      </c>
      <c r="K63" s="7">
        <f>J63+I63</f>
        <v>0</v>
      </c>
      <c r="L63" s="7"/>
      <c r="M63" s="7">
        <f t="shared" ref="M63" si="22">I63*$M$5</f>
        <v>0</v>
      </c>
      <c r="N63" s="8" t="s">
        <v>75</v>
      </c>
      <c r="O63" s="8" t="str">
        <f>IF($M$5&gt;0,"N/A",$O$5*I63)</f>
        <v>N/A</v>
      </c>
      <c r="P63" s="7">
        <f>I63*$P$5</f>
        <v>0</v>
      </c>
      <c r="Q63" s="7">
        <f t="shared" ref="Q63" si="23">IF(H63="y", $Q$5*E63, 0)</f>
        <v>0</v>
      </c>
      <c r="R63" s="7">
        <f t="shared" ref="R63" si="24">IF($I63&gt;7000,7000*R$5,$I63*R$5)*E63</f>
        <v>0</v>
      </c>
      <c r="S63" s="7">
        <f t="shared" ref="S63" si="25">S$5*$I63</f>
        <v>0</v>
      </c>
      <c r="X63" s="41"/>
    </row>
    <row r="64" spans="3:24" ht="12" thickBot="1">
      <c r="C64" s="37"/>
      <c r="D64" s="835"/>
      <c r="E64" s="848"/>
      <c r="F64" s="835"/>
      <c r="G64" s="28"/>
      <c r="H64" s="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X64" s="41"/>
    </row>
    <row r="65" spans="3:19" s="41" customFormat="1" ht="12" thickBot="1">
      <c r="C65" s="177"/>
      <c r="D65" s="835"/>
      <c r="E65" s="848"/>
      <c r="F65" s="835"/>
      <c r="G65" s="49"/>
      <c r="H65" s="333">
        <v>1170</v>
      </c>
      <c r="I65" s="10">
        <f>SUM(I62:I64)</f>
        <v>0</v>
      </c>
      <c r="J65" s="10">
        <f>SUM(J62:J64)</f>
        <v>0</v>
      </c>
      <c r="K65" s="10">
        <f>SUM(K62:K64)</f>
        <v>0</v>
      </c>
      <c r="L65" s="11"/>
      <c r="M65" s="10">
        <f t="shared" ref="M65:S65" si="26">SUM(M62:M64)</f>
        <v>0</v>
      </c>
      <c r="N65" s="10">
        <f t="shared" si="26"/>
        <v>0</v>
      </c>
      <c r="O65" s="10">
        <f t="shared" si="26"/>
        <v>0</v>
      </c>
      <c r="P65" s="10">
        <f t="shared" si="26"/>
        <v>0</v>
      </c>
      <c r="Q65" s="10">
        <f t="shared" si="26"/>
        <v>0</v>
      </c>
      <c r="R65" s="10">
        <f t="shared" si="26"/>
        <v>0</v>
      </c>
      <c r="S65" s="10">
        <f t="shared" si="26"/>
        <v>0</v>
      </c>
    </row>
    <row r="66" spans="3:19" s="41" customFormat="1">
      <c r="C66" s="177"/>
      <c r="D66" s="834"/>
      <c r="E66" s="847"/>
      <c r="F66" s="834"/>
      <c r="G66" s="49"/>
      <c r="H66" s="33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3:19" ht="12">
      <c r="C67" s="368" t="s">
        <v>125</v>
      </c>
      <c r="D67" s="835"/>
      <c r="E67" s="848"/>
      <c r="F67" s="835"/>
      <c r="G67" s="28"/>
      <c r="H67" s="35"/>
      <c r="I67" s="7"/>
      <c r="J67" s="7"/>
      <c r="K67" s="7"/>
      <c r="L67" s="7"/>
      <c r="M67" s="36"/>
      <c r="N67" s="36"/>
      <c r="O67" s="36"/>
      <c r="P67" s="36"/>
      <c r="Q67" s="7">
        <f t="shared" ref="Q67:Q74" si="27">IF(H67="y", $Q$5*E67, 0)</f>
        <v>0</v>
      </c>
      <c r="R67" s="36"/>
      <c r="S67" s="36"/>
    </row>
    <row r="68" spans="3:19">
      <c r="C68" s="431"/>
      <c r="D68" s="840">
        <f>'Payroll 19-20'!D68</f>
        <v>0</v>
      </c>
      <c r="E68" s="840">
        <f>'Payroll 22-23'!E68*(1+'Revenue Inputs'!R$27)</f>
        <v>0</v>
      </c>
      <c r="F68" s="828">
        <f>'Payroll 22-23'!F68*(1+$I$4)</f>
        <v>0</v>
      </c>
      <c r="G68" s="322">
        <f>'Payroll 22-23'!G68</f>
        <v>12</v>
      </c>
      <c r="H68" s="319">
        <f>'Payroll 22-23'!H68</f>
        <v>0</v>
      </c>
      <c r="I68" s="829">
        <f>I61*'Revenue Inputs'!R30</f>
        <v>501931.35474735312</v>
      </c>
      <c r="J68" s="7">
        <f>SUM(M68:S68)</f>
        <v>105154.61881957049</v>
      </c>
      <c r="K68" s="7">
        <f>J68+I68</f>
        <v>607085.97356692364</v>
      </c>
      <c r="L68" s="7"/>
      <c r="M68" s="7">
        <f t="shared" ref="M68:M74" si="28">I68*$M$5</f>
        <v>90849.575209270915</v>
      </c>
      <c r="N68" s="8" t="s">
        <v>75</v>
      </c>
      <c r="O68" s="8" t="str">
        <f>IF($M$5&gt;0,"N/A",$O$5*I68)</f>
        <v>N/A</v>
      </c>
      <c r="P68" s="7">
        <f>I68*$P$5</f>
        <v>7278.0046438366207</v>
      </c>
      <c r="Q68" s="7">
        <f t="shared" si="27"/>
        <v>0</v>
      </c>
      <c r="R68" s="7">
        <f t="shared" ref="R68:R74" si="29">IF($I68&gt;7000,7000*R$5,$I68*R$5)*E68</f>
        <v>0</v>
      </c>
      <c r="S68" s="7">
        <f t="shared" ref="S68:S74" si="30">S$5*$I68</f>
        <v>7027.0389664629438</v>
      </c>
    </row>
    <row r="69" spans="3:19">
      <c r="C69" s="431"/>
      <c r="D69" s="840">
        <f>'Payroll 19-20'!D69</f>
        <v>0</v>
      </c>
      <c r="E69" s="840">
        <f>'Payroll 22-23'!E69*(1+'Revenue Inputs'!R$27)</f>
        <v>0</v>
      </c>
      <c r="F69" s="828">
        <f>'Payroll 22-23'!F69*(1+$I$4)</f>
        <v>0</v>
      </c>
      <c r="G69" s="322">
        <f>'Payroll 22-23'!G69</f>
        <v>0</v>
      </c>
      <c r="H69" s="319">
        <f>'Payroll 22-23'!H69</f>
        <v>0</v>
      </c>
      <c r="I69" s="320">
        <f>'Payroll 22-23'!I69*(1+$I$4)</f>
        <v>0</v>
      </c>
      <c r="J69" s="7">
        <f>SUM(M69:S69)</f>
        <v>0</v>
      </c>
      <c r="K69" s="7">
        <f>J69+I69</f>
        <v>0</v>
      </c>
      <c r="L69" s="7"/>
      <c r="M69" s="7">
        <f t="shared" si="28"/>
        <v>0</v>
      </c>
      <c r="N69" s="8" t="s">
        <v>75</v>
      </c>
      <c r="O69" s="8" t="str">
        <f>IF($M$5&gt;0,"N/A",$O$5*I69)</f>
        <v>N/A</v>
      </c>
      <c r="P69" s="7">
        <f>I69*$P$5</f>
        <v>0</v>
      </c>
      <c r="Q69" s="7">
        <f t="shared" si="27"/>
        <v>0</v>
      </c>
      <c r="R69" s="7">
        <f t="shared" si="29"/>
        <v>0</v>
      </c>
      <c r="S69" s="7">
        <f t="shared" si="30"/>
        <v>0</v>
      </c>
    </row>
    <row r="70" spans="3:19">
      <c r="C70" s="431"/>
      <c r="D70" s="840">
        <f>'Payroll 19-20'!D70</f>
        <v>0</v>
      </c>
      <c r="E70" s="840">
        <f>'Payroll 22-23'!E70*(1+'Revenue Inputs'!R$27)</f>
        <v>0</v>
      </c>
      <c r="F70" s="828">
        <f>'Payroll 22-23'!F70*(1+$I$4)</f>
        <v>0</v>
      </c>
      <c r="G70" s="322">
        <f>'Payroll 22-23'!G70</f>
        <v>0</v>
      </c>
      <c r="H70" s="319">
        <f>'Payroll 22-23'!H70</f>
        <v>0</v>
      </c>
      <c r="I70" s="320">
        <f>'Payroll 22-23'!I70*(1+$I$4)</f>
        <v>0</v>
      </c>
      <c r="J70" s="7">
        <f t="shared" ref="J70:J74" si="31">SUM(M70:S70)</f>
        <v>0</v>
      </c>
      <c r="K70" s="7">
        <f t="shared" ref="K70:K74" si="32">J70+I70</f>
        <v>0</v>
      </c>
      <c r="L70" s="7"/>
      <c r="M70" s="7">
        <f t="shared" si="28"/>
        <v>0</v>
      </c>
      <c r="N70" s="8" t="s">
        <v>75</v>
      </c>
      <c r="O70" s="8" t="str">
        <f t="shared" ref="O70:O74" si="33">IF($M$5&gt;0,"N/A",$O$5*I70)</f>
        <v>N/A</v>
      </c>
      <c r="P70" s="7">
        <f t="shared" ref="P70:P74" si="34">I70*$P$5</f>
        <v>0</v>
      </c>
      <c r="Q70" s="7">
        <f t="shared" si="27"/>
        <v>0</v>
      </c>
      <c r="R70" s="7">
        <f t="shared" si="29"/>
        <v>0</v>
      </c>
      <c r="S70" s="7">
        <f t="shared" si="30"/>
        <v>0</v>
      </c>
    </row>
    <row r="71" spans="3:19">
      <c r="C71" s="431"/>
      <c r="D71" s="840">
        <f>'Payroll 19-20'!D71</f>
        <v>0</v>
      </c>
      <c r="E71" s="840">
        <f>'Payroll 22-23'!E71*(1+'Revenue Inputs'!R$27)</f>
        <v>0</v>
      </c>
      <c r="F71" s="828">
        <f>'Payroll 22-23'!F71*(1+$I$4)</f>
        <v>0</v>
      </c>
      <c r="G71" s="322">
        <f>'Payroll 22-23'!G71</f>
        <v>0</v>
      </c>
      <c r="H71" s="319">
        <f>'Payroll 22-23'!H71</f>
        <v>0</v>
      </c>
      <c r="I71" s="320">
        <f>'Payroll 22-23'!I71*(1+$I$4)</f>
        <v>0</v>
      </c>
      <c r="J71" s="7">
        <f t="shared" si="31"/>
        <v>0</v>
      </c>
      <c r="K71" s="7">
        <f t="shared" si="32"/>
        <v>0</v>
      </c>
      <c r="L71" s="7"/>
      <c r="M71" s="7">
        <f t="shared" si="28"/>
        <v>0</v>
      </c>
      <c r="N71" s="8" t="s">
        <v>75</v>
      </c>
      <c r="O71" s="8" t="str">
        <f t="shared" si="33"/>
        <v>N/A</v>
      </c>
      <c r="P71" s="7">
        <f t="shared" si="34"/>
        <v>0</v>
      </c>
      <c r="Q71" s="7">
        <f t="shared" si="27"/>
        <v>0</v>
      </c>
      <c r="R71" s="7">
        <f t="shared" si="29"/>
        <v>0</v>
      </c>
      <c r="S71" s="7">
        <f t="shared" si="30"/>
        <v>0</v>
      </c>
    </row>
    <row r="72" spans="3:19">
      <c r="C72" s="431"/>
      <c r="D72" s="840">
        <f>'Payroll 19-20'!D72</f>
        <v>0</v>
      </c>
      <c r="E72" s="840">
        <f>'Payroll 22-23'!E72*(1+'Revenue Inputs'!R$27)</f>
        <v>0</v>
      </c>
      <c r="F72" s="828">
        <f>'Payroll 22-23'!F72*(1+$I$4)</f>
        <v>0</v>
      </c>
      <c r="G72" s="322">
        <f>'Payroll 22-23'!G72</f>
        <v>0</v>
      </c>
      <c r="H72" s="319">
        <f>'Payroll 22-23'!H72</f>
        <v>0</v>
      </c>
      <c r="I72" s="320">
        <f>'Payroll 22-23'!I72*(1+$I$4)</f>
        <v>0</v>
      </c>
      <c r="J72" s="7">
        <f t="shared" si="31"/>
        <v>0</v>
      </c>
      <c r="K72" s="7">
        <f t="shared" si="32"/>
        <v>0</v>
      </c>
      <c r="L72" s="7"/>
      <c r="M72" s="7">
        <f t="shared" si="28"/>
        <v>0</v>
      </c>
      <c r="N72" s="8" t="s">
        <v>75</v>
      </c>
      <c r="O72" s="8" t="str">
        <f t="shared" si="33"/>
        <v>N/A</v>
      </c>
      <c r="P72" s="7">
        <f t="shared" si="34"/>
        <v>0</v>
      </c>
      <c r="Q72" s="7">
        <f t="shared" si="27"/>
        <v>0</v>
      </c>
      <c r="R72" s="7">
        <f t="shared" si="29"/>
        <v>0</v>
      </c>
      <c r="S72" s="7">
        <f t="shared" si="30"/>
        <v>0</v>
      </c>
    </row>
    <row r="73" spans="3:19">
      <c r="C73" s="431"/>
      <c r="D73" s="840">
        <f>'Payroll 19-20'!D73</f>
        <v>0</v>
      </c>
      <c r="E73" s="840">
        <f>'Payroll 22-23'!E73*(1+'Revenue Inputs'!R$27)</f>
        <v>0</v>
      </c>
      <c r="F73" s="828">
        <f>'Payroll 22-23'!F73*(1+$I$4)</f>
        <v>0</v>
      </c>
      <c r="G73" s="322">
        <f>'Payroll 22-23'!G73</f>
        <v>0</v>
      </c>
      <c r="H73" s="319">
        <f>'Payroll 22-23'!H73</f>
        <v>0</v>
      </c>
      <c r="I73" s="320">
        <f>'Payroll 22-23'!I73*(1+$I$4)</f>
        <v>0</v>
      </c>
      <c r="J73" s="7">
        <f t="shared" si="31"/>
        <v>0</v>
      </c>
      <c r="K73" s="7">
        <f t="shared" si="32"/>
        <v>0</v>
      </c>
      <c r="L73" s="7"/>
      <c r="M73" s="7">
        <f t="shared" si="28"/>
        <v>0</v>
      </c>
      <c r="N73" s="8" t="s">
        <v>75</v>
      </c>
      <c r="O73" s="8" t="str">
        <f t="shared" si="33"/>
        <v>N/A</v>
      </c>
      <c r="P73" s="7">
        <f t="shared" si="34"/>
        <v>0</v>
      </c>
      <c r="Q73" s="7">
        <f t="shared" si="27"/>
        <v>0</v>
      </c>
      <c r="R73" s="7">
        <f t="shared" si="29"/>
        <v>0</v>
      </c>
      <c r="S73" s="7">
        <f t="shared" si="30"/>
        <v>0</v>
      </c>
    </row>
    <row r="74" spans="3:19">
      <c r="C74" s="431"/>
      <c r="D74" s="840">
        <f>'Payroll 19-20'!D74</f>
        <v>0</v>
      </c>
      <c r="E74" s="840">
        <f>'Payroll 22-23'!E74*(1+'Revenue Inputs'!R$27)</f>
        <v>0</v>
      </c>
      <c r="F74" s="828">
        <f>'Payroll 22-23'!F74*(1+$I$4)</f>
        <v>0</v>
      </c>
      <c r="G74" s="322">
        <f>'Payroll 22-23'!G74</f>
        <v>0</v>
      </c>
      <c r="H74" s="319">
        <f>'Payroll 22-23'!H74</f>
        <v>0</v>
      </c>
      <c r="I74" s="320">
        <f>'Payroll 22-23'!I74*(1+$I$4)</f>
        <v>0</v>
      </c>
      <c r="J74" s="7">
        <f t="shared" si="31"/>
        <v>0</v>
      </c>
      <c r="K74" s="7">
        <f t="shared" si="32"/>
        <v>0</v>
      </c>
      <c r="L74" s="7"/>
      <c r="M74" s="7">
        <f t="shared" si="28"/>
        <v>0</v>
      </c>
      <c r="N74" s="8" t="s">
        <v>75</v>
      </c>
      <c r="O74" s="8" t="str">
        <f t="shared" si="33"/>
        <v>N/A</v>
      </c>
      <c r="P74" s="7">
        <f t="shared" si="34"/>
        <v>0</v>
      </c>
      <c r="Q74" s="7">
        <f t="shared" si="27"/>
        <v>0</v>
      </c>
      <c r="R74" s="7">
        <f t="shared" si="29"/>
        <v>0</v>
      </c>
      <c r="S74" s="7">
        <f t="shared" si="30"/>
        <v>0</v>
      </c>
    </row>
    <row r="75" spans="3:19" ht="12" thickBot="1">
      <c r="C75" s="37"/>
      <c r="D75" s="849"/>
      <c r="E75" s="849"/>
      <c r="F75" s="835"/>
      <c r="G75" s="28"/>
      <c r="H75" s="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s="41" customFormat="1" ht="12" thickBot="1">
      <c r="C76" s="177"/>
      <c r="D76" s="834"/>
      <c r="E76" s="847"/>
      <c r="F76" s="834"/>
      <c r="G76" s="49"/>
      <c r="H76" s="333">
        <v>1175</v>
      </c>
      <c r="I76" s="10">
        <f>SUM(I67:I75)</f>
        <v>501931.35474735312</v>
      </c>
      <c r="J76" s="10">
        <f>SUM(J67:J75)</f>
        <v>105154.61881957049</v>
      </c>
      <c r="K76" s="10">
        <f>SUM(K67:K75)</f>
        <v>607085.97356692364</v>
      </c>
      <c r="L76" s="11"/>
      <c r="M76" s="10">
        <f t="shared" ref="M76:S76" si="35">SUM(M67:M75)</f>
        <v>90849.575209270915</v>
      </c>
      <c r="N76" s="10">
        <f t="shared" si="35"/>
        <v>0</v>
      </c>
      <c r="O76" s="10">
        <f t="shared" si="35"/>
        <v>0</v>
      </c>
      <c r="P76" s="10">
        <f t="shared" si="35"/>
        <v>7278.0046438366207</v>
      </c>
      <c r="Q76" s="10">
        <f t="shared" si="35"/>
        <v>0</v>
      </c>
      <c r="R76" s="10">
        <f t="shared" si="35"/>
        <v>0</v>
      </c>
      <c r="S76" s="10">
        <f t="shared" si="35"/>
        <v>7027.0389664629438</v>
      </c>
    </row>
    <row r="77" spans="3:19" ht="12">
      <c r="C77" s="366" t="s">
        <v>145</v>
      </c>
      <c r="D77" s="835"/>
      <c r="E77" s="848"/>
      <c r="F77" s="835"/>
      <c r="G77" s="28"/>
      <c r="H77" s="336"/>
      <c r="I77" s="7"/>
      <c r="J77" s="7"/>
      <c r="K77" s="7"/>
      <c r="L77" s="7"/>
      <c r="M77" s="12"/>
      <c r="N77" s="12"/>
      <c r="O77" s="12"/>
      <c r="P77" s="12"/>
      <c r="Q77" s="12"/>
      <c r="R77" s="12"/>
      <c r="S77" s="12"/>
    </row>
    <row r="78" spans="3:19" ht="12">
      <c r="C78" s="367"/>
      <c r="D78" s="840" t="str">
        <f>'Payroll 19-20'!D78</f>
        <v>Councelor</v>
      </c>
      <c r="E78" s="840">
        <f>'Payroll 22-23'!E78*(1+'Revenue Inputs'!R$27)</f>
        <v>0</v>
      </c>
      <c r="F78" s="828">
        <f>'Payroll 22-23'!F78*(1+$I$4)</f>
        <v>64920.959999999999</v>
      </c>
      <c r="G78" s="322">
        <f>'Payroll 22-23'!G78</f>
        <v>0</v>
      </c>
      <c r="H78" s="319">
        <f>'Payroll 22-23'!H78</f>
        <v>0</v>
      </c>
      <c r="I78" s="320">
        <f t="shared" ref="I78:I98" si="36">F78*E78</f>
        <v>0</v>
      </c>
      <c r="J78" s="7">
        <f t="shared" ref="J78:J98" si="37">SUM(M78:S78)</f>
        <v>0</v>
      </c>
      <c r="K78" s="7">
        <f t="shared" ref="K78:K93" si="38">SUM(I78:J78)</f>
        <v>0</v>
      </c>
      <c r="L78" s="7"/>
      <c r="M78" s="7">
        <f t="shared" ref="M78:M98" si="39">I78*$M$5</f>
        <v>0</v>
      </c>
      <c r="N78" s="8" t="s">
        <v>75</v>
      </c>
      <c r="O78" s="8" t="str">
        <f t="shared" ref="O78:O98" si="40">IF($M$5&gt;0,"N/A",$O$5*I78)</f>
        <v>N/A</v>
      </c>
      <c r="P78" s="7">
        <f t="shared" ref="P78:P98" si="41">I78*$P$5</f>
        <v>0</v>
      </c>
      <c r="Q78" s="7">
        <f t="shared" ref="Q78:Q98" si="42">IF(H78="y", $Q$5*E78, 0)</f>
        <v>0</v>
      </c>
      <c r="R78" s="7">
        <f t="shared" ref="R78:R98" si="43">IF($I78&gt;7000,7000*R$5,$I78*R$5)*E78</f>
        <v>0</v>
      </c>
      <c r="S78" s="7">
        <f t="shared" ref="S78:S98" si="44">S$5*$I78</f>
        <v>0</v>
      </c>
    </row>
    <row r="79" spans="3:19">
      <c r="C79" s="34"/>
      <c r="D79" s="840" t="str">
        <f>'Payroll 19-20'!D79</f>
        <v>Daniel P. Favela</v>
      </c>
      <c r="E79" s="840">
        <f>'Payroll 22-23'!E79*(1+'Revenue Inputs'!R$27)</f>
        <v>1.1025</v>
      </c>
      <c r="F79" s="828">
        <f>'Payroll 22-23'!F79*(1+$I$4)</f>
        <v>63051.586725427209</v>
      </c>
      <c r="G79" s="322">
        <f>'Payroll 22-23'!G79</f>
        <v>12</v>
      </c>
      <c r="H79" s="319" t="str">
        <f>'Payroll 22-23'!H79</f>
        <v>y</v>
      </c>
      <c r="I79" s="320">
        <f t="shared" si="36"/>
        <v>69514.374364783507</v>
      </c>
      <c r="J79" s="7">
        <f>SUM(M79:S79)</f>
        <v>25603.059978222147</v>
      </c>
      <c r="K79" s="7">
        <f>SUM(I79:J79)</f>
        <v>95117.434343005647</v>
      </c>
      <c r="M79" s="7">
        <f>I79*$M$5</f>
        <v>12582.101760025815</v>
      </c>
      <c r="N79" s="8" t="s">
        <v>75</v>
      </c>
      <c r="O79" s="8" t="str">
        <f>IF($M$5&gt;0,"N/A",$O$5*I79)</f>
        <v>N/A</v>
      </c>
      <c r="P79" s="7">
        <f>I79*$P$5</f>
        <v>1007.9584282893609</v>
      </c>
      <c r="Q79" s="7">
        <f t="shared" si="42"/>
        <v>10499.573548800003</v>
      </c>
      <c r="R79" s="7">
        <f t="shared" si="43"/>
        <v>540.22500000000014</v>
      </c>
      <c r="S79" s="7">
        <f>S$5*$I79</f>
        <v>973.20124110696906</v>
      </c>
    </row>
    <row r="80" spans="3:19" ht="12">
      <c r="C80" s="367"/>
      <c r="D80" s="840" t="str">
        <f>'Payroll 19-20'!D80</f>
        <v>Psychologist</v>
      </c>
      <c r="E80" s="840">
        <f>'Payroll 22-23'!E80*(1+'Revenue Inputs'!R$27)</f>
        <v>0</v>
      </c>
      <c r="F80" s="828">
        <f>'Payroll 22-23'!F80*(1+$I$4)</f>
        <v>0</v>
      </c>
      <c r="G80" s="322">
        <f>'Payroll 22-23'!G80</f>
        <v>0</v>
      </c>
      <c r="H80" s="319">
        <f>'Payroll 22-23'!H80</f>
        <v>0</v>
      </c>
      <c r="I80" s="320">
        <f t="shared" si="36"/>
        <v>0</v>
      </c>
      <c r="J80" s="7">
        <f t="shared" ref="J80:J88" si="45">SUM(M80:S80)</f>
        <v>0</v>
      </c>
      <c r="K80" s="7">
        <f t="shared" ref="K80:K83" si="46">SUM(I80:J80)</f>
        <v>0</v>
      </c>
      <c r="L80" s="7"/>
      <c r="M80" s="7">
        <f t="shared" ref="M80:M88" si="47">I80*$M$5</f>
        <v>0</v>
      </c>
      <c r="N80" s="8" t="s">
        <v>75</v>
      </c>
      <c r="O80" s="8" t="str">
        <f t="shared" ref="O80:O88" si="48">IF($M$5&gt;0,"N/A",$O$5*I80)</f>
        <v>N/A</v>
      </c>
      <c r="P80" s="7">
        <f t="shared" ref="P80:P88" si="49">I80*$P$5</f>
        <v>0</v>
      </c>
      <c r="Q80" s="7">
        <f t="shared" si="42"/>
        <v>0</v>
      </c>
      <c r="R80" s="7">
        <f t="shared" si="43"/>
        <v>0</v>
      </c>
      <c r="S80" s="7">
        <f t="shared" si="44"/>
        <v>0</v>
      </c>
    </row>
    <row r="81" spans="3:19" ht="12">
      <c r="C81" s="367"/>
      <c r="D81" s="840" t="str">
        <f>'Payroll 19-20'!D81</f>
        <v>June R. Salazar</v>
      </c>
      <c r="E81" s="840">
        <f>'Payroll 22-23'!E81*(1+'Revenue Inputs'!R$27)</f>
        <v>1.1025</v>
      </c>
      <c r="F81" s="828">
        <f>'Payroll 22-23'!F81*(1+$I$4)</f>
        <v>18245.779569964798</v>
      </c>
      <c r="G81" s="322">
        <f>'Payroll 22-23'!G81</f>
        <v>12</v>
      </c>
      <c r="H81" s="319" t="str">
        <f>'Payroll 22-23'!H81</f>
        <v>y</v>
      </c>
      <c r="I81" s="320">
        <f t="shared" si="36"/>
        <v>20115.97197588619</v>
      </c>
      <c r="J81" s="7">
        <f t="shared" si="45"/>
        <v>15254.094677748159</v>
      </c>
      <c r="K81" s="7">
        <f t="shared" si="46"/>
        <v>35370.066653634349</v>
      </c>
      <c r="L81" s="7"/>
      <c r="M81" s="7">
        <f t="shared" si="47"/>
        <v>3640.9909276354001</v>
      </c>
      <c r="N81" s="8" t="s">
        <v>75</v>
      </c>
      <c r="O81" s="8" t="str">
        <f t="shared" si="48"/>
        <v>N/A</v>
      </c>
      <c r="P81" s="7">
        <f t="shared" si="49"/>
        <v>291.68159365034978</v>
      </c>
      <c r="Q81" s="7">
        <f t="shared" si="42"/>
        <v>10499.573548800003</v>
      </c>
      <c r="R81" s="7">
        <f t="shared" si="43"/>
        <v>540.22500000000014</v>
      </c>
      <c r="S81" s="7">
        <f t="shared" si="44"/>
        <v>281.62360766240664</v>
      </c>
    </row>
    <row r="82" spans="3:19" ht="12">
      <c r="C82" s="366"/>
      <c r="D82" s="840" t="str">
        <f>'Payroll 19-20'!D82</f>
        <v>Speech Specialist</v>
      </c>
      <c r="E82" s="840">
        <f>'Payroll 22-23'!E82*(1+'Revenue Inputs'!R$27)</f>
        <v>0</v>
      </c>
      <c r="F82" s="828">
        <f>'Payroll 22-23'!F82*(1+$I$4)</f>
        <v>0</v>
      </c>
      <c r="G82" s="322">
        <f>'Payroll 22-23'!G82</f>
        <v>0</v>
      </c>
      <c r="H82" s="319">
        <f>'Payroll 22-23'!H82</f>
        <v>0</v>
      </c>
      <c r="I82" s="320">
        <f t="shared" si="36"/>
        <v>0</v>
      </c>
      <c r="J82" s="7">
        <f t="shared" si="45"/>
        <v>0</v>
      </c>
      <c r="K82" s="7">
        <f t="shared" si="46"/>
        <v>0</v>
      </c>
      <c r="L82" s="7"/>
      <c r="M82" s="7">
        <f t="shared" si="47"/>
        <v>0</v>
      </c>
      <c r="N82" s="8" t="s">
        <v>75</v>
      </c>
      <c r="O82" s="8" t="str">
        <f t="shared" si="48"/>
        <v>N/A</v>
      </c>
      <c r="P82" s="7">
        <f t="shared" si="49"/>
        <v>0</v>
      </c>
      <c r="Q82" s="7">
        <f t="shared" si="42"/>
        <v>0</v>
      </c>
      <c r="R82" s="7">
        <f t="shared" si="43"/>
        <v>0</v>
      </c>
      <c r="S82" s="7">
        <f t="shared" si="44"/>
        <v>0</v>
      </c>
    </row>
    <row r="83" spans="3:19" ht="12">
      <c r="C83" s="366"/>
      <c r="D83" s="840" t="str">
        <f>'Payroll 19-20'!D83</f>
        <v>Erica L. Gibson</v>
      </c>
      <c r="E83" s="840">
        <f>'Payroll 22-23'!E83*(1+'Revenue Inputs'!R$27)</f>
        <v>1.1025</v>
      </c>
      <c r="F83" s="828">
        <f>'Payroll 22-23'!F83*(1+$I$4)</f>
        <v>93609.945520819208</v>
      </c>
      <c r="G83" s="322">
        <f>'Payroll 22-23'!G83</f>
        <v>12</v>
      </c>
      <c r="H83" s="319" t="str">
        <f>'Payroll 22-23'!H83</f>
        <v>y</v>
      </c>
      <c r="I83" s="320">
        <f t="shared" si="36"/>
        <v>103204.96493670318</v>
      </c>
      <c r="J83" s="7">
        <f t="shared" si="45"/>
        <v>32661.238703039315</v>
      </c>
      <c r="K83" s="7">
        <f t="shared" si="46"/>
        <v>135866.20363974251</v>
      </c>
      <c r="L83" s="7"/>
      <c r="M83" s="7">
        <f t="shared" si="47"/>
        <v>18680.098653543275</v>
      </c>
      <c r="N83" s="8" t="s">
        <v>75</v>
      </c>
      <c r="O83" s="8" t="str">
        <f t="shared" si="48"/>
        <v>N/A</v>
      </c>
      <c r="P83" s="7">
        <f t="shared" si="49"/>
        <v>1496.4719915821961</v>
      </c>
      <c r="Q83" s="7">
        <f t="shared" si="42"/>
        <v>10499.573548800003</v>
      </c>
      <c r="R83" s="7">
        <f t="shared" si="43"/>
        <v>540.22500000000014</v>
      </c>
      <c r="S83" s="7">
        <f t="shared" si="44"/>
        <v>1444.8695091138445</v>
      </c>
    </row>
    <row r="84" spans="3:19" ht="12">
      <c r="C84" s="366"/>
      <c r="D84" s="840">
        <f>'Payroll 19-20'!D84</f>
        <v>0</v>
      </c>
      <c r="E84" s="840">
        <f>'Payroll 22-23'!E84*(1+'Revenue Inputs'!R$27)</f>
        <v>0</v>
      </c>
      <c r="F84" s="828">
        <f>'Payroll 22-23'!F84*(1+$I$4)</f>
        <v>0</v>
      </c>
      <c r="G84" s="322">
        <f>'Payroll 22-23'!G84</f>
        <v>0</v>
      </c>
      <c r="H84" s="319">
        <f>'Payroll 22-23'!H84</f>
        <v>0</v>
      </c>
      <c r="I84" s="320">
        <f t="shared" si="36"/>
        <v>0</v>
      </c>
      <c r="J84" s="7">
        <f t="shared" si="45"/>
        <v>0</v>
      </c>
      <c r="K84" s="7">
        <f t="shared" ref="K84:K88" si="50">SUM(I84:J84)</f>
        <v>0</v>
      </c>
      <c r="L84" s="7"/>
      <c r="M84" s="7">
        <f t="shared" si="47"/>
        <v>0</v>
      </c>
      <c r="N84" s="8" t="s">
        <v>75</v>
      </c>
      <c r="O84" s="8" t="str">
        <f t="shared" si="48"/>
        <v>N/A</v>
      </c>
      <c r="P84" s="7">
        <f t="shared" si="49"/>
        <v>0</v>
      </c>
      <c r="Q84" s="7">
        <f t="shared" si="42"/>
        <v>0</v>
      </c>
      <c r="R84" s="7">
        <f t="shared" si="43"/>
        <v>0</v>
      </c>
      <c r="S84" s="7">
        <f t="shared" si="44"/>
        <v>0</v>
      </c>
    </row>
    <row r="85" spans="3:19" ht="12">
      <c r="C85" s="366"/>
      <c r="D85" s="840">
        <f>'Payroll 19-20'!D85</f>
        <v>0</v>
      </c>
      <c r="E85" s="840">
        <f>'Payroll 22-23'!E85*(1+'Revenue Inputs'!R$27)</f>
        <v>0</v>
      </c>
      <c r="F85" s="828">
        <f>'Payroll 22-23'!F85*(1+$I$4)</f>
        <v>0</v>
      </c>
      <c r="G85" s="322">
        <f>'Payroll 22-23'!G85</f>
        <v>0</v>
      </c>
      <c r="H85" s="319">
        <f>'Payroll 22-23'!H85</f>
        <v>0</v>
      </c>
      <c r="I85" s="320">
        <f t="shared" si="36"/>
        <v>0</v>
      </c>
      <c r="J85" s="7">
        <f t="shared" si="45"/>
        <v>0</v>
      </c>
      <c r="K85" s="7">
        <f t="shared" si="50"/>
        <v>0</v>
      </c>
      <c r="L85" s="7"/>
      <c r="M85" s="7">
        <f t="shared" si="47"/>
        <v>0</v>
      </c>
      <c r="N85" s="8" t="s">
        <v>75</v>
      </c>
      <c r="O85" s="8" t="str">
        <f t="shared" si="48"/>
        <v>N/A</v>
      </c>
      <c r="P85" s="7">
        <f t="shared" si="49"/>
        <v>0</v>
      </c>
      <c r="Q85" s="7">
        <f t="shared" si="42"/>
        <v>0</v>
      </c>
      <c r="R85" s="7">
        <f t="shared" si="43"/>
        <v>0</v>
      </c>
      <c r="S85" s="7">
        <f t="shared" si="44"/>
        <v>0</v>
      </c>
    </row>
    <row r="86" spans="3:19" ht="12">
      <c r="C86" s="366"/>
      <c r="D86" s="840">
        <f>'Payroll 19-20'!D86</f>
        <v>0</v>
      </c>
      <c r="E86" s="840">
        <f>'Payroll 22-23'!E86*(1+'Revenue Inputs'!R$27)</f>
        <v>0</v>
      </c>
      <c r="F86" s="828">
        <f>'Payroll 22-23'!F86*(1+$I$4)</f>
        <v>0</v>
      </c>
      <c r="G86" s="322">
        <f>'Payroll 22-23'!G86</f>
        <v>0</v>
      </c>
      <c r="H86" s="319">
        <f>'Payroll 22-23'!H86</f>
        <v>0</v>
      </c>
      <c r="I86" s="320">
        <f t="shared" si="36"/>
        <v>0</v>
      </c>
      <c r="J86" s="7">
        <f t="shared" si="45"/>
        <v>0</v>
      </c>
      <c r="K86" s="7">
        <f t="shared" si="50"/>
        <v>0</v>
      </c>
      <c r="L86" s="7"/>
      <c r="M86" s="7">
        <f t="shared" si="47"/>
        <v>0</v>
      </c>
      <c r="N86" s="8" t="s">
        <v>75</v>
      </c>
      <c r="O86" s="8" t="str">
        <f t="shared" si="48"/>
        <v>N/A</v>
      </c>
      <c r="P86" s="7">
        <f t="shared" si="49"/>
        <v>0</v>
      </c>
      <c r="Q86" s="7">
        <f t="shared" si="42"/>
        <v>0</v>
      </c>
      <c r="R86" s="7">
        <f t="shared" si="43"/>
        <v>0</v>
      </c>
      <c r="S86" s="7">
        <f t="shared" si="44"/>
        <v>0</v>
      </c>
    </row>
    <row r="87" spans="3:19" ht="12">
      <c r="C87" s="366"/>
      <c r="D87" s="840">
        <f>'Payroll 19-20'!D87</f>
        <v>0</v>
      </c>
      <c r="E87" s="840">
        <f>'Payroll 22-23'!E87*(1+'Revenue Inputs'!R$27)</f>
        <v>0</v>
      </c>
      <c r="F87" s="828">
        <f>'Payroll 22-23'!F87*(1+$I$4)</f>
        <v>0</v>
      </c>
      <c r="G87" s="322">
        <f>'Payroll 22-23'!G87</f>
        <v>0</v>
      </c>
      <c r="H87" s="319">
        <f>'Payroll 22-23'!H87</f>
        <v>0</v>
      </c>
      <c r="I87" s="320">
        <f t="shared" si="36"/>
        <v>0</v>
      </c>
      <c r="J87" s="7">
        <f t="shared" si="45"/>
        <v>0</v>
      </c>
      <c r="K87" s="7">
        <f t="shared" si="50"/>
        <v>0</v>
      </c>
      <c r="L87" s="7"/>
      <c r="M87" s="7">
        <f t="shared" si="47"/>
        <v>0</v>
      </c>
      <c r="N87" s="8" t="s">
        <v>75</v>
      </c>
      <c r="O87" s="8" t="str">
        <f t="shared" si="48"/>
        <v>N/A</v>
      </c>
      <c r="P87" s="7">
        <f t="shared" si="49"/>
        <v>0</v>
      </c>
      <c r="Q87" s="7">
        <f t="shared" si="42"/>
        <v>0</v>
      </c>
      <c r="R87" s="7">
        <f t="shared" si="43"/>
        <v>0</v>
      </c>
      <c r="S87" s="7">
        <f t="shared" si="44"/>
        <v>0</v>
      </c>
    </row>
    <row r="88" spans="3:19" ht="12">
      <c r="C88" s="366"/>
      <c r="D88" s="840">
        <f>'Payroll 19-20'!D88</f>
        <v>0</v>
      </c>
      <c r="E88" s="840">
        <f>'Payroll 22-23'!E88*(1+'Revenue Inputs'!R$27)</f>
        <v>0</v>
      </c>
      <c r="F88" s="828">
        <f>'Payroll 22-23'!F88*(1+$I$4)</f>
        <v>0</v>
      </c>
      <c r="G88" s="322">
        <f>'Payroll 22-23'!G88</f>
        <v>0</v>
      </c>
      <c r="H88" s="319">
        <f>'Payroll 22-23'!H88</f>
        <v>0</v>
      </c>
      <c r="I88" s="320">
        <f t="shared" si="36"/>
        <v>0</v>
      </c>
      <c r="J88" s="7">
        <f t="shared" si="45"/>
        <v>0</v>
      </c>
      <c r="K88" s="7">
        <f t="shared" si="50"/>
        <v>0</v>
      </c>
      <c r="L88" s="7"/>
      <c r="M88" s="7">
        <f t="shared" si="47"/>
        <v>0</v>
      </c>
      <c r="N88" s="8" t="s">
        <v>75</v>
      </c>
      <c r="O88" s="8" t="str">
        <f t="shared" si="48"/>
        <v>N/A</v>
      </c>
      <c r="P88" s="7">
        <f t="shared" si="49"/>
        <v>0</v>
      </c>
      <c r="Q88" s="7">
        <f t="shared" si="42"/>
        <v>0</v>
      </c>
      <c r="R88" s="7">
        <f t="shared" si="43"/>
        <v>0</v>
      </c>
      <c r="S88" s="7">
        <f t="shared" si="44"/>
        <v>0</v>
      </c>
    </row>
    <row r="89" spans="3:19">
      <c r="C89" s="34"/>
      <c r="D89" s="840">
        <f>'Payroll 19-20'!D89</f>
        <v>0</v>
      </c>
      <c r="E89" s="840">
        <f>'Payroll 22-23'!E89*(1+'Revenue Inputs'!R$27)</f>
        <v>0</v>
      </c>
      <c r="F89" s="828">
        <f>'Payroll 22-23'!F89*(1+$I$4)</f>
        <v>0</v>
      </c>
      <c r="G89" s="322">
        <f>'Payroll 22-23'!G89</f>
        <v>0</v>
      </c>
      <c r="H89" s="319">
        <f>'Payroll 22-23'!H89</f>
        <v>0</v>
      </c>
      <c r="I89" s="320">
        <f t="shared" si="36"/>
        <v>0</v>
      </c>
      <c r="J89" s="7">
        <f>SUM(M89:S89)</f>
        <v>0</v>
      </c>
      <c r="K89" s="7">
        <f>SUM(I89:J89)</f>
        <v>0</v>
      </c>
      <c r="M89" s="7">
        <f>I89*$M$5</f>
        <v>0</v>
      </c>
      <c r="N89" s="8" t="s">
        <v>75</v>
      </c>
      <c r="O89" s="8" t="str">
        <f>IF($M$5&gt;0,"N/A",$O$5*I89)</f>
        <v>N/A</v>
      </c>
      <c r="P89" s="7">
        <f>I89*$P$5</f>
        <v>0</v>
      </c>
      <c r="Q89" s="7">
        <f t="shared" si="42"/>
        <v>0</v>
      </c>
      <c r="R89" s="7">
        <f t="shared" si="43"/>
        <v>0</v>
      </c>
      <c r="S89" s="7">
        <f>S$5*$I89</f>
        <v>0</v>
      </c>
    </row>
    <row r="90" spans="3:19" ht="12">
      <c r="C90" s="367"/>
      <c r="D90" s="840">
        <f>'Payroll 19-20'!D90</f>
        <v>0</v>
      </c>
      <c r="E90" s="840">
        <f>'Payroll 22-23'!E90*(1+'Revenue Inputs'!R$27)</f>
        <v>0</v>
      </c>
      <c r="F90" s="828">
        <f>'Payroll 22-23'!F90*(1+$I$4)</f>
        <v>0</v>
      </c>
      <c r="G90" s="322">
        <f>'Payroll 22-23'!G90</f>
        <v>0</v>
      </c>
      <c r="H90" s="319">
        <f>'Payroll 22-23'!H90</f>
        <v>0</v>
      </c>
      <c r="I90" s="320">
        <f t="shared" si="36"/>
        <v>0</v>
      </c>
      <c r="J90" s="7">
        <f t="shared" si="37"/>
        <v>0</v>
      </c>
      <c r="K90" s="7">
        <f t="shared" si="38"/>
        <v>0</v>
      </c>
      <c r="L90" s="7"/>
      <c r="M90" s="7">
        <f t="shared" si="39"/>
        <v>0</v>
      </c>
      <c r="N90" s="8" t="s">
        <v>75</v>
      </c>
      <c r="O90" s="8" t="str">
        <f t="shared" si="40"/>
        <v>N/A</v>
      </c>
      <c r="P90" s="7">
        <f t="shared" si="41"/>
        <v>0</v>
      </c>
      <c r="Q90" s="7">
        <f t="shared" si="42"/>
        <v>0</v>
      </c>
      <c r="R90" s="7">
        <f t="shared" si="43"/>
        <v>0</v>
      </c>
      <c r="S90" s="7">
        <f t="shared" si="44"/>
        <v>0</v>
      </c>
    </row>
    <row r="91" spans="3:19" ht="12">
      <c r="C91" s="367"/>
      <c r="D91" s="840">
        <f>'Payroll 19-20'!D91</f>
        <v>0</v>
      </c>
      <c r="E91" s="840">
        <f>'Payroll 22-23'!E91*(1+'Revenue Inputs'!R$27)</f>
        <v>0</v>
      </c>
      <c r="F91" s="828">
        <f>'Payroll 22-23'!F91*(1+$I$4)</f>
        <v>0</v>
      </c>
      <c r="G91" s="322">
        <f>'Payroll 22-23'!G91</f>
        <v>0</v>
      </c>
      <c r="H91" s="319">
        <f>'Payroll 22-23'!H91</f>
        <v>0</v>
      </c>
      <c r="I91" s="320">
        <f t="shared" si="36"/>
        <v>0</v>
      </c>
      <c r="J91" s="7">
        <f t="shared" si="37"/>
        <v>0</v>
      </c>
      <c r="K91" s="7">
        <f t="shared" si="38"/>
        <v>0</v>
      </c>
      <c r="L91" s="7"/>
      <c r="M91" s="7">
        <f t="shared" si="39"/>
        <v>0</v>
      </c>
      <c r="N91" s="8" t="s">
        <v>75</v>
      </c>
      <c r="O91" s="8" t="str">
        <f t="shared" si="40"/>
        <v>N/A</v>
      </c>
      <c r="P91" s="7">
        <f t="shared" si="41"/>
        <v>0</v>
      </c>
      <c r="Q91" s="7">
        <f t="shared" si="42"/>
        <v>0</v>
      </c>
      <c r="R91" s="7">
        <f t="shared" si="43"/>
        <v>0</v>
      </c>
      <c r="S91" s="7">
        <f t="shared" si="44"/>
        <v>0</v>
      </c>
    </row>
    <row r="92" spans="3:19" ht="12">
      <c r="C92" s="366"/>
      <c r="D92" s="840">
        <f>'Payroll 19-20'!D92</f>
        <v>0</v>
      </c>
      <c r="E92" s="840">
        <f>'Payroll 22-23'!E92*(1+'Revenue Inputs'!R$27)</f>
        <v>0</v>
      </c>
      <c r="F92" s="828">
        <f>'Payroll 22-23'!F92*(1+$I$4)</f>
        <v>0</v>
      </c>
      <c r="G92" s="322">
        <f>'Payroll 22-23'!G92</f>
        <v>0</v>
      </c>
      <c r="H92" s="319">
        <f>'Payroll 22-23'!H92</f>
        <v>0</v>
      </c>
      <c r="I92" s="320">
        <f t="shared" si="36"/>
        <v>0</v>
      </c>
      <c r="J92" s="7">
        <f t="shared" si="37"/>
        <v>0</v>
      </c>
      <c r="K92" s="7">
        <f t="shared" si="38"/>
        <v>0</v>
      </c>
      <c r="L92" s="7"/>
      <c r="M92" s="7">
        <f t="shared" si="39"/>
        <v>0</v>
      </c>
      <c r="N92" s="8" t="s">
        <v>75</v>
      </c>
      <c r="O92" s="8" t="str">
        <f t="shared" si="40"/>
        <v>N/A</v>
      </c>
      <c r="P92" s="7">
        <f t="shared" si="41"/>
        <v>0</v>
      </c>
      <c r="Q92" s="7">
        <f t="shared" si="42"/>
        <v>0</v>
      </c>
      <c r="R92" s="7">
        <f t="shared" si="43"/>
        <v>0</v>
      </c>
      <c r="S92" s="7">
        <f t="shared" si="44"/>
        <v>0</v>
      </c>
    </row>
    <row r="93" spans="3:19" ht="12">
      <c r="C93" s="366"/>
      <c r="D93" s="840">
        <f>'Payroll 19-20'!D93</f>
        <v>0</v>
      </c>
      <c r="E93" s="840">
        <f>'Payroll 22-23'!E93*(1+'Revenue Inputs'!R$27)</f>
        <v>0</v>
      </c>
      <c r="F93" s="828">
        <f>'Payroll 22-23'!F93*(1+$I$4)</f>
        <v>0</v>
      </c>
      <c r="G93" s="322">
        <f>'Payroll 22-23'!G93</f>
        <v>0</v>
      </c>
      <c r="H93" s="319">
        <f>'Payroll 22-23'!H93</f>
        <v>0</v>
      </c>
      <c r="I93" s="320">
        <f t="shared" si="36"/>
        <v>0</v>
      </c>
      <c r="J93" s="7">
        <f t="shared" si="37"/>
        <v>0</v>
      </c>
      <c r="K93" s="7">
        <f t="shared" si="38"/>
        <v>0</v>
      </c>
      <c r="L93" s="7"/>
      <c r="M93" s="7">
        <f t="shared" si="39"/>
        <v>0</v>
      </c>
      <c r="N93" s="8" t="s">
        <v>75</v>
      </c>
      <c r="O93" s="8" t="str">
        <f t="shared" si="40"/>
        <v>N/A</v>
      </c>
      <c r="P93" s="7">
        <f t="shared" si="41"/>
        <v>0</v>
      </c>
      <c r="Q93" s="7">
        <f t="shared" si="42"/>
        <v>0</v>
      </c>
      <c r="R93" s="7">
        <f t="shared" si="43"/>
        <v>0</v>
      </c>
      <c r="S93" s="7">
        <f t="shared" si="44"/>
        <v>0</v>
      </c>
    </row>
    <row r="94" spans="3:19" ht="12">
      <c r="C94" s="366"/>
      <c r="D94" s="840">
        <f>'Payroll 19-20'!D94</f>
        <v>0</v>
      </c>
      <c r="E94" s="840">
        <f>'Payroll 22-23'!E94*(1+'Revenue Inputs'!R$27)</f>
        <v>0</v>
      </c>
      <c r="F94" s="828">
        <f>'Payroll 22-23'!F94*(1+$I$4)</f>
        <v>0</v>
      </c>
      <c r="G94" s="322">
        <f>'Payroll 22-23'!G94</f>
        <v>0</v>
      </c>
      <c r="H94" s="319">
        <f>'Payroll 22-23'!H94</f>
        <v>0</v>
      </c>
      <c r="I94" s="320">
        <f t="shared" si="36"/>
        <v>0</v>
      </c>
      <c r="J94" s="7">
        <f t="shared" si="37"/>
        <v>0</v>
      </c>
      <c r="K94" s="7">
        <f t="shared" ref="K94:K98" si="51">SUM(I94:J94)</f>
        <v>0</v>
      </c>
      <c r="L94" s="7"/>
      <c r="M94" s="7">
        <f t="shared" si="39"/>
        <v>0</v>
      </c>
      <c r="N94" s="8" t="s">
        <v>75</v>
      </c>
      <c r="O94" s="8" t="str">
        <f t="shared" si="40"/>
        <v>N/A</v>
      </c>
      <c r="P94" s="7">
        <f t="shared" si="41"/>
        <v>0</v>
      </c>
      <c r="Q94" s="7">
        <f t="shared" si="42"/>
        <v>0</v>
      </c>
      <c r="R94" s="7">
        <f t="shared" si="43"/>
        <v>0</v>
      </c>
      <c r="S94" s="7">
        <f t="shared" si="44"/>
        <v>0</v>
      </c>
    </row>
    <row r="95" spans="3:19" ht="12">
      <c r="C95" s="366"/>
      <c r="D95" s="840">
        <f>'Payroll 19-20'!D95</f>
        <v>0</v>
      </c>
      <c r="E95" s="840">
        <f>'Payroll 22-23'!E95*(1+'Revenue Inputs'!R$27)</f>
        <v>0</v>
      </c>
      <c r="F95" s="828">
        <f>'Payroll 22-23'!F95*(1+$I$4)</f>
        <v>0</v>
      </c>
      <c r="G95" s="322">
        <f>'Payroll 22-23'!G95</f>
        <v>0</v>
      </c>
      <c r="H95" s="319">
        <f>'Payroll 22-23'!H95</f>
        <v>0</v>
      </c>
      <c r="I95" s="320">
        <f t="shared" si="36"/>
        <v>0</v>
      </c>
      <c r="J95" s="7">
        <f t="shared" si="37"/>
        <v>0</v>
      </c>
      <c r="K95" s="7">
        <f t="shared" si="51"/>
        <v>0</v>
      </c>
      <c r="L95" s="7"/>
      <c r="M95" s="7">
        <f t="shared" si="39"/>
        <v>0</v>
      </c>
      <c r="N95" s="8" t="s">
        <v>75</v>
      </c>
      <c r="O95" s="8" t="str">
        <f t="shared" si="40"/>
        <v>N/A</v>
      </c>
      <c r="P95" s="7">
        <f t="shared" si="41"/>
        <v>0</v>
      </c>
      <c r="Q95" s="7">
        <f t="shared" si="42"/>
        <v>0</v>
      </c>
      <c r="R95" s="7">
        <f t="shared" si="43"/>
        <v>0</v>
      </c>
      <c r="S95" s="7">
        <f t="shared" si="44"/>
        <v>0</v>
      </c>
    </row>
    <row r="96" spans="3:19" ht="12">
      <c r="C96" s="366"/>
      <c r="D96" s="840">
        <f>'Payroll 19-20'!D96</f>
        <v>0</v>
      </c>
      <c r="E96" s="840">
        <f>'Payroll 22-23'!E96*(1+'Revenue Inputs'!R$27)</f>
        <v>0</v>
      </c>
      <c r="F96" s="828">
        <f>'Payroll 22-23'!F96*(1+$I$4)</f>
        <v>0</v>
      </c>
      <c r="G96" s="322">
        <f>'Payroll 22-23'!G96</f>
        <v>0</v>
      </c>
      <c r="H96" s="319">
        <f>'Payroll 22-23'!H96</f>
        <v>0</v>
      </c>
      <c r="I96" s="320">
        <f t="shared" si="36"/>
        <v>0</v>
      </c>
      <c r="J96" s="7">
        <f t="shared" si="37"/>
        <v>0</v>
      </c>
      <c r="K96" s="7">
        <f t="shared" si="51"/>
        <v>0</v>
      </c>
      <c r="L96" s="7"/>
      <c r="M96" s="7">
        <f t="shared" si="39"/>
        <v>0</v>
      </c>
      <c r="N96" s="8" t="s">
        <v>75</v>
      </c>
      <c r="O96" s="8" t="str">
        <f t="shared" si="40"/>
        <v>N/A</v>
      </c>
      <c r="P96" s="7">
        <f t="shared" si="41"/>
        <v>0</v>
      </c>
      <c r="Q96" s="7">
        <f t="shared" si="42"/>
        <v>0</v>
      </c>
      <c r="R96" s="7">
        <f t="shared" si="43"/>
        <v>0</v>
      </c>
      <c r="S96" s="7">
        <f t="shared" si="44"/>
        <v>0</v>
      </c>
    </row>
    <row r="97" spans="3:19" ht="12">
      <c r="C97" s="366"/>
      <c r="D97" s="840">
        <f>'Payroll 19-20'!D97</f>
        <v>0</v>
      </c>
      <c r="E97" s="840">
        <f>'Payroll 22-23'!E97*(1+'Revenue Inputs'!R$27)</f>
        <v>0</v>
      </c>
      <c r="F97" s="828">
        <f>'Payroll 22-23'!F97*(1+$I$4)</f>
        <v>0</v>
      </c>
      <c r="G97" s="322">
        <f>'Payroll 22-23'!G97</f>
        <v>0</v>
      </c>
      <c r="H97" s="319">
        <f>'Payroll 22-23'!H97</f>
        <v>0</v>
      </c>
      <c r="I97" s="320">
        <f t="shared" si="36"/>
        <v>0</v>
      </c>
      <c r="J97" s="7">
        <f t="shared" si="37"/>
        <v>0</v>
      </c>
      <c r="K97" s="7">
        <f t="shared" si="51"/>
        <v>0</v>
      </c>
      <c r="L97" s="7"/>
      <c r="M97" s="7">
        <f t="shared" si="39"/>
        <v>0</v>
      </c>
      <c r="N97" s="8" t="s">
        <v>75</v>
      </c>
      <c r="O97" s="8" t="str">
        <f t="shared" si="40"/>
        <v>N/A</v>
      </c>
      <c r="P97" s="7">
        <f t="shared" si="41"/>
        <v>0</v>
      </c>
      <c r="Q97" s="7">
        <f t="shared" si="42"/>
        <v>0</v>
      </c>
      <c r="R97" s="7">
        <f t="shared" si="43"/>
        <v>0</v>
      </c>
      <c r="S97" s="7">
        <f t="shared" si="44"/>
        <v>0</v>
      </c>
    </row>
    <row r="98" spans="3:19" ht="12">
      <c r="C98" s="366"/>
      <c r="D98" s="840">
        <f>'Payroll 19-20'!D98</f>
        <v>0</v>
      </c>
      <c r="E98" s="840">
        <f>'Payroll 22-23'!E98*(1+'Revenue Inputs'!R$27)</f>
        <v>0</v>
      </c>
      <c r="F98" s="828">
        <f>'Payroll 22-23'!F98*(1+$I$4)</f>
        <v>0</v>
      </c>
      <c r="G98" s="322">
        <f>'Payroll 22-23'!G98</f>
        <v>0</v>
      </c>
      <c r="H98" s="319">
        <f>'Payroll 22-23'!H98</f>
        <v>0</v>
      </c>
      <c r="I98" s="320">
        <f t="shared" si="36"/>
        <v>0</v>
      </c>
      <c r="J98" s="7">
        <f t="shared" si="37"/>
        <v>0</v>
      </c>
      <c r="K98" s="7">
        <f t="shared" si="51"/>
        <v>0</v>
      </c>
      <c r="L98" s="7"/>
      <c r="M98" s="7">
        <f t="shared" si="39"/>
        <v>0</v>
      </c>
      <c r="N98" s="8" t="s">
        <v>75</v>
      </c>
      <c r="O98" s="8" t="str">
        <f t="shared" si="40"/>
        <v>N/A</v>
      </c>
      <c r="P98" s="7">
        <f t="shared" si="41"/>
        <v>0</v>
      </c>
      <c r="Q98" s="7">
        <f t="shared" si="42"/>
        <v>0</v>
      </c>
      <c r="R98" s="7">
        <f t="shared" si="43"/>
        <v>0</v>
      </c>
      <c r="S98" s="7">
        <f t="shared" si="44"/>
        <v>0</v>
      </c>
    </row>
    <row r="99" spans="3:19" ht="13" thickBot="1">
      <c r="C99" s="368"/>
      <c r="D99" s="841"/>
      <c r="E99" s="841"/>
      <c r="F99" s="841"/>
      <c r="G99" s="28"/>
      <c r="H99" s="427"/>
      <c r="I99" s="337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3:19" s="41" customFormat="1" ht="13" thickBot="1">
      <c r="C100" s="368"/>
      <c r="D100" s="834"/>
      <c r="E100" s="847"/>
      <c r="F100" s="834"/>
      <c r="G100" s="49"/>
      <c r="H100" s="333">
        <v>1200</v>
      </c>
      <c r="I100" s="10">
        <f>SUM(I78:I99)</f>
        <v>192835.31127737288</v>
      </c>
      <c r="J100" s="10">
        <f>SUM(J78:J99)</f>
        <v>73518.393359009613</v>
      </c>
      <c r="K100" s="10">
        <f>SUM(K78:K99)</f>
        <v>266353.70463638252</v>
      </c>
      <c r="L100" s="11"/>
      <c r="M100" s="10">
        <f t="shared" ref="M100:S100" si="52">SUM(M78:M99)</f>
        <v>34903.191341204489</v>
      </c>
      <c r="N100" s="10">
        <f t="shared" si="52"/>
        <v>0</v>
      </c>
      <c r="O100" s="10">
        <f t="shared" si="52"/>
        <v>0</v>
      </c>
      <c r="P100" s="10">
        <f t="shared" si="52"/>
        <v>2796.1120135219066</v>
      </c>
      <c r="Q100" s="10">
        <f t="shared" si="52"/>
        <v>31498.720646400008</v>
      </c>
      <c r="R100" s="10">
        <f t="shared" si="52"/>
        <v>1620.6750000000004</v>
      </c>
      <c r="S100" s="10">
        <f t="shared" si="52"/>
        <v>2699.6943578832202</v>
      </c>
    </row>
    <row r="101" spans="3:19" ht="12">
      <c r="C101" s="366" t="s">
        <v>18</v>
      </c>
      <c r="D101" s="835"/>
      <c r="E101" s="848"/>
      <c r="F101" s="835"/>
      <c r="G101" s="28"/>
      <c r="H101" s="35"/>
      <c r="I101" s="7"/>
      <c r="J101" s="7"/>
      <c r="K101" s="7"/>
      <c r="L101" s="7"/>
      <c r="M101" s="36"/>
      <c r="N101" s="36"/>
      <c r="O101" s="36"/>
      <c r="P101" s="36"/>
      <c r="Q101" s="36"/>
      <c r="R101" s="36"/>
      <c r="S101" s="36"/>
    </row>
    <row r="102" spans="3:19" ht="12">
      <c r="C102" s="366"/>
      <c r="D102" s="840" t="str">
        <f>'Payroll 19-20'!D102</f>
        <v>Chantelle Crespo</v>
      </c>
      <c r="E102" s="840">
        <f>'Payroll 22-23'!E102*(1+'Revenue Inputs'!R$27)</f>
        <v>1.1025</v>
      </c>
      <c r="F102" s="828">
        <f>'Payroll 22-23'!F102*(1+$I$4)</f>
        <v>92006.820194572807</v>
      </c>
      <c r="G102" s="322">
        <f>'Payroll 22-23'!G102</f>
        <v>12</v>
      </c>
      <c r="H102" s="319" t="str">
        <f>'Payroll 22-23'!H102</f>
        <v>y</v>
      </c>
      <c r="I102" s="320">
        <f t="shared" ref="I102:I120" si="53">F102*E102</f>
        <v>101437.51926451652</v>
      </c>
      <c r="J102" s="7">
        <f t="shared" ref="J102:J120" si="54">SUM(M102:S102)</f>
        <v>32290.958834716213</v>
      </c>
      <c r="K102" s="7">
        <f t="shared" ref="K102:K120" si="55">SUM(I102:J102)</f>
        <v>133728.47809923274</v>
      </c>
      <c r="L102" s="7"/>
      <c r="M102" s="7">
        <f t="shared" ref="M102:M120" si="56">I102*$M$5</f>
        <v>18360.190986877489</v>
      </c>
      <c r="N102" s="8" t="s">
        <v>75</v>
      </c>
      <c r="O102" s="8" t="str">
        <f t="shared" ref="O102:O120" si="57">IF($M$5&gt;0,"N/A",$O$5*I102)</f>
        <v>N/A</v>
      </c>
      <c r="P102" s="7">
        <f t="shared" ref="P102:P120" si="58">I102*$P$5</f>
        <v>1470.8440293354897</v>
      </c>
      <c r="Q102" s="7">
        <f t="shared" ref="Q102:Q120" si="59">IF(H102="y", $Q$5*E102, 0)</f>
        <v>10499.573548800003</v>
      </c>
      <c r="R102" s="7">
        <f t="shared" ref="R102:R120" si="60">IF($I102&gt;7000,7000*R$5,$I102*R$5)*E102</f>
        <v>540.22500000000014</v>
      </c>
      <c r="S102" s="7">
        <f t="shared" ref="S102:S120" si="61">S$5*$I102</f>
        <v>1420.1252697032314</v>
      </c>
    </row>
    <row r="103" spans="3:19" ht="12">
      <c r="C103" s="366"/>
      <c r="D103" s="840" t="str">
        <f>'Payroll 19-20'!D103</f>
        <v>Charlotte Hodgson</v>
      </c>
      <c r="E103" s="840">
        <f>'Payroll 22-23'!E103*(1+'Revenue Inputs'!R$27)</f>
        <v>1.1025</v>
      </c>
      <c r="F103" s="828">
        <f>'Payroll 22-23'!F103*(1+$I$4)</f>
        <v>92006.820194572807</v>
      </c>
      <c r="G103" s="322">
        <f>'Payroll 22-23'!G103</f>
        <v>12</v>
      </c>
      <c r="H103" s="319" t="str">
        <f>'Payroll 22-23'!H103</f>
        <v>y</v>
      </c>
      <c r="I103" s="320">
        <f t="shared" si="53"/>
        <v>101437.51926451652</v>
      </c>
      <c r="J103" s="7">
        <f t="shared" ref="J103:J111" si="62">SUM(M103:S103)</f>
        <v>32290.958834716213</v>
      </c>
      <c r="K103" s="7">
        <f t="shared" ref="K103:K111" si="63">SUM(I103:J103)</f>
        <v>133728.47809923274</v>
      </c>
      <c r="L103" s="7"/>
      <c r="M103" s="7">
        <f t="shared" ref="M103:M111" si="64">I103*$M$5</f>
        <v>18360.190986877489</v>
      </c>
      <c r="N103" s="8" t="s">
        <v>75</v>
      </c>
      <c r="O103" s="8" t="str">
        <f t="shared" ref="O103:O111" si="65">IF($M$5&gt;0,"N/A",$O$5*I103)</f>
        <v>N/A</v>
      </c>
      <c r="P103" s="7">
        <f t="shared" ref="P103:P111" si="66">I103*$P$5</f>
        <v>1470.8440293354897</v>
      </c>
      <c r="Q103" s="7">
        <f t="shared" si="59"/>
        <v>10499.573548800003</v>
      </c>
      <c r="R103" s="7">
        <f t="shared" si="60"/>
        <v>540.22500000000014</v>
      </c>
      <c r="S103" s="7">
        <f t="shared" si="61"/>
        <v>1420.1252697032314</v>
      </c>
    </row>
    <row r="104" spans="3:19" ht="12">
      <c r="C104" s="366"/>
      <c r="D104" s="840" t="str">
        <f>'Payroll 19-20'!D104</f>
        <v>Diane Beran</v>
      </c>
      <c r="E104" s="840">
        <f>'Payroll 22-23'!E104*(1+'Revenue Inputs'!R$27)</f>
        <v>1.1025</v>
      </c>
      <c r="F104" s="828">
        <f>'Payroll 22-23'!F104*(1+$I$4)</f>
        <v>95254.030080000011</v>
      </c>
      <c r="G104" s="322">
        <f>'Payroll 22-23'!G104</f>
        <v>12</v>
      </c>
      <c r="H104" s="319" t="str">
        <f>'Payroll 22-23'!H104</f>
        <v>y</v>
      </c>
      <c r="I104" s="320">
        <f t="shared" si="53"/>
        <v>105017.56816320002</v>
      </c>
      <c r="J104" s="7">
        <f t="shared" si="62"/>
        <v>33040.9790789904</v>
      </c>
      <c r="K104" s="7">
        <f t="shared" si="63"/>
        <v>138058.54724219043</v>
      </c>
      <c r="L104" s="7"/>
      <c r="M104" s="7">
        <f t="shared" si="64"/>
        <v>19008.179837539203</v>
      </c>
      <c r="N104" s="8" t="s">
        <v>75</v>
      </c>
      <c r="O104" s="8" t="str">
        <f t="shared" si="65"/>
        <v>N/A</v>
      </c>
      <c r="P104" s="7">
        <f t="shared" si="66"/>
        <v>1522.7547383664003</v>
      </c>
      <c r="Q104" s="7">
        <f t="shared" si="59"/>
        <v>10499.573548800003</v>
      </c>
      <c r="R104" s="7">
        <f t="shared" si="60"/>
        <v>540.22500000000014</v>
      </c>
      <c r="S104" s="7">
        <f t="shared" si="61"/>
        <v>1470.2459542848003</v>
      </c>
    </row>
    <row r="105" spans="3:19" ht="12">
      <c r="C105" s="366"/>
      <c r="D105" s="840" t="str">
        <f>'Payroll 19-20'!D105</f>
        <v>Jenny Fazio</v>
      </c>
      <c r="E105" s="840">
        <f>'Payroll 22-23'!E105*(1+'Revenue Inputs'!R$27)</f>
        <v>1.1025</v>
      </c>
      <c r="F105" s="828">
        <f>'Payroll 22-23'!F105*(1+$I$4)</f>
        <v>122313.75164784001</v>
      </c>
      <c r="G105" s="322">
        <f>'Payroll 22-23'!G105</f>
        <v>12</v>
      </c>
      <c r="H105" s="319" t="str">
        <f>'Payroll 22-23'!H105</f>
        <v>y</v>
      </c>
      <c r="I105" s="320">
        <f t="shared" si="53"/>
        <v>134850.91119174362</v>
      </c>
      <c r="J105" s="7">
        <f t="shared" si="62"/>
        <v>39291.064443470292</v>
      </c>
      <c r="K105" s="7">
        <f t="shared" si="63"/>
        <v>174141.97563521392</v>
      </c>
      <c r="L105" s="7"/>
      <c r="M105" s="7">
        <f t="shared" si="64"/>
        <v>24408.014925705596</v>
      </c>
      <c r="N105" s="8" t="s">
        <v>75</v>
      </c>
      <c r="O105" s="8" t="str">
        <f t="shared" si="65"/>
        <v>N/A</v>
      </c>
      <c r="P105" s="7">
        <f t="shared" si="66"/>
        <v>1955.3382122802827</v>
      </c>
      <c r="Q105" s="7">
        <f t="shared" si="59"/>
        <v>10499.573548800003</v>
      </c>
      <c r="R105" s="7">
        <f t="shared" si="60"/>
        <v>540.22500000000014</v>
      </c>
      <c r="S105" s="7">
        <f t="shared" si="61"/>
        <v>1887.9127566844109</v>
      </c>
    </row>
    <row r="106" spans="3:19" ht="12">
      <c r="C106" s="368"/>
      <c r="D106" s="840" t="str">
        <f>'Payroll 19-20'!D106</f>
        <v>Celia N. Ewing</v>
      </c>
      <c r="E106" s="840">
        <f>'Payroll 22-23'!E106*(1+'Revenue Inputs'!R$27)</f>
        <v>1.1025</v>
      </c>
      <c r="F106" s="828">
        <f>'Payroll 22-23'!F106*(1+$I$4)</f>
        <v>64920.959999999999</v>
      </c>
      <c r="G106" s="322">
        <f>'Payroll 22-23'!G106</f>
        <v>12</v>
      </c>
      <c r="H106" s="319" t="str">
        <f>'Payroll 22-23'!H106</f>
        <v>y</v>
      </c>
      <c r="I106" s="320">
        <f t="shared" si="53"/>
        <v>71575.358399999997</v>
      </c>
      <c r="J106" s="7">
        <f t="shared" si="62"/>
        <v>26034.836133599998</v>
      </c>
      <c r="K106" s="7">
        <f t="shared" si="63"/>
        <v>97610.194533599992</v>
      </c>
      <c r="L106" s="7"/>
      <c r="M106" s="7">
        <f t="shared" si="64"/>
        <v>12955.139870399998</v>
      </c>
      <c r="N106" s="8" t="s">
        <v>75</v>
      </c>
      <c r="O106" s="8" t="str">
        <f t="shared" si="65"/>
        <v>N/A</v>
      </c>
      <c r="P106" s="7">
        <f t="shared" si="66"/>
        <v>1037.8426968000001</v>
      </c>
      <c r="Q106" s="7">
        <f t="shared" si="59"/>
        <v>10499.573548800003</v>
      </c>
      <c r="R106" s="7">
        <f t="shared" si="60"/>
        <v>540.22500000000014</v>
      </c>
      <c r="S106" s="7">
        <f t="shared" si="61"/>
        <v>1002.0550175999999</v>
      </c>
    </row>
    <row r="107" spans="3:19" ht="12">
      <c r="C107" s="366"/>
      <c r="D107" s="840" t="str">
        <f>'Payroll 19-20'!D107</f>
        <v>Jessica L. Ronquillo</v>
      </c>
      <c r="E107" s="840">
        <f>'Payroll 22-23'!E107*(1+'Revenue Inputs'!R$27)</f>
        <v>1.1025</v>
      </c>
      <c r="F107" s="828">
        <f>'Payroll 22-23'!F107*(1+$I$4)</f>
        <v>122313.75164784001</v>
      </c>
      <c r="G107" s="322">
        <f>'Payroll 22-23'!G107</f>
        <v>12</v>
      </c>
      <c r="H107" s="319" t="str">
        <f>'Payroll 22-23'!H107</f>
        <v>y</v>
      </c>
      <c r="I107" s="320">
        <f t="shared" si="53"/>
        <v>134850.91119174362</v>
      </c>
      <c r="J107" s="7">
        <f t="shared" si="62"/>
        <v>39291.064443470292</v>
      </c>
      <c r="K107" s="7">
        <f t="shared" si="63"/>
        <v>174141.97563521392</v>
      </c>
      <c r="L107" s="7"/>
      <c r="M107" s="7">
        <f t="shared" si="64"/>
        <v>24408.014925705596</v>
      </c>
      <c r="N107" s="8" t="s">
        <v>75</v>
      </c>
      <c r="O107" s="8" t="str">
        <f t="shared" si="65"/>
        <v>N/A</v>
      </c>
      <c r="P107" s="7">
        <f t="shared" si="66"/>
        <v>1955.3382122802827</v>
      </c>
      <c r="Q107" s="7">
        <f t="shared" si="59"/>
        <v>10499.573548800003</v>
      </c>
      <c r="R107" s="7">
        <f t="shared" si="60"/>
        <v>540.22500000000014</v>
      </c>
      <c r="S107" s="7">
        <f t="shared" si="61"/>
        <v>1887.9127566844109</v>
      </c>
    </row>
    <row r="108" spans="3:19" ht="12">
      <c r="C108" s="366"/>
      <c r="D108" s="840" t="str">
        <f>'Payroll 19-20'!D108</f>
        <v>Rupinder Boyd</v>
      </c>
      <c r="E108" s="840">
        <f>'Payroll 22-23'!E108*(1+'Revenue Inputs'!R$27)</f>
        <v>1.1025</v>
      </c>
      <c r="F108" s="828">
        <f>'Payroll 22-23'!F108*(1+$I$4)</f>
        <v>59533.768800000005</v>
      </c>
      <c r="G108" s="322">
        <f>'Payroll 22-23'!G108</f>
        <v>12</v>
      </c>
      <c r="H108" s="319" t="str">
        <f>'Payroll 22-23'!H108</f>
        <v>y</v>
      </c>
      <c r="I108" s="320">
        <f t="shared" si="53"/>
        <v>65635.980102000001</v>
      </c>
      <c r="J108" s="7">
        <f t="shared" si="62"/>
        <v>24790.536380169</v>
      </c>
      <c r="K108" s="7">
        <f t="shared" si="63"/>
        <v>90426.516482168998</v>
      </c>
      <c r="L108" s="7"/>
      <c r="M108" s="7">
        <f t="shared" si="64"/>
        <v>11880.112398461999</v>
      </c>
      <c r="N108" s="8" t="s">
        <v>75</v>
      </c>
      <c r="O108" s="8" t="str">
        <f t="shared" si="65"/>
        <v>N/A</v>
      </c>
      <c r="P108" s="7">
        <f t="shared" si="66"/>
        <v>951.72171147900008</v>
      </c>
      <c r="Q108" s="7">
        <f t="shared" si="59"/>
        <v>10499.573548800003</v>
      </c>
      <c r="R108" s="7">
        <f t="shared" si="60"/>
        <v>540.22500000000014</v>
      </c>
      <c r="S108" s="7">
        <f t="shared" si="61"/>
        <v>918.90372142800004</v>
      </c>
    </row>
    <row r="109" spans="3:19" ht="12">
      <c r="C109" s="366"/>
      <c r="D109" s="840" t="str">
        <f>'Payroll 19-20'!D109</f>
        <v>Ana Mejia</v>
      </c>
      <c r="E109" s="840">
        <f>'Payroll 22-23'!E109*(1+'Revenue Inputs'!R$27)</f>
        <v>1.1025</v>
      </c>
      <c r="F109" s="828">
        <f>'Payroll 22-23'!F109*(1+$I$4)</f>
        <v>146993.20489584003</v>
      </c>
      <c r="G109" s="322">
        <f>'Payroll 22-23'!G109</f>
        <v>12</v>
      </c>
      <c r="H109" s="319" t="str">
        <f>'Payroll 22-23'!H109</f>
        <v>y</v>
      </c>
      <c r="I109" s="320">
        <f t="shared" si="53"/>
        <v>162060.00839766362</v>
      </c>
      <c r="J109" s="7">
        <f t="shared" si="62"/>
        <v>44991.370308110527</v>
      </c>
      <c r="K109" s="7">
        <f t="shared" si="63"/>
        <v>207051.37870577414</v>
      </c>
      <c r="L109" s="7"/>
      <c r="M109" s="7">
        <f t="shared" si="64"/>
        <v>29332.861519977116</v>
      </c>
      <c r="N109" s="8" t="s">
        <v>75</v>
      </c>
      <c r="O109" s="8" t="str">
        <f t="shared" si="65"/>
        <v>N/A</v>
      </c>
      <c r="P109" s="7">
        <f t="shared" si="66"/>
        <v>2349.8701217661228</v>
      </c>
      <c r="Q109" s="7">
        <f t="shared" si="59"/>
        <v>10499.573548800003</v>
      </c>
      <c r="R109" s="7">
        <f t="shared" si="60"/>
        <v>540.22500000000014</v>
      </c>
      <c r="S109" s="7">
        <f t="shared" si="61"/>
        <v>2268.8401175672907</v>
      </c>
    </row>
    <row r="110" spans="3:19" ht="12">
      <c r="C110" s="366"/>
      <c r="D110" s="840" t="str">
        <f>'Payroll 19-20'!D110</f>
        <v>Kristy N. Philips</v>
      </c>
      <c r="E110" s="840">
        <f>'Payroll 22-23'!E110*(1+'Revenue Inputs'!R$27)</f>
        <v>1.1025</v>
      </c>
      <c r="F110" s="828">
        <f>'Payroll 22-23'!F110*(1+$I$4)</f>
        <v>153487.79785584001</v>
      </c>
      <c r="G110" s="322">
        <f>'Payroll 22-23'!G110</f>
        <v>12</v>
      </c>
      <c r="H110" s="319" t="str">
        <f>'Payroll 22-23'!H110</f>
        <v>y</v>
      </c>
      <c r="I110" s="320">
        <f t="shared" si="53"/>
        <v>169220.2971360636</v>
      </c>
      <c r="J110" s="7">
        <f t="shared" si="62"/>
        <v>46491.450798805316</v>
      </c>
      <c r="K110" s="7">
        <f t="shared" si="63"/>
        <v>215711.74793486891</v>
      </c>
      <c r="L110" s="7"/>
      <c r="M110" s="7">
        <f t="shared" si="64"/>
        <v>30628.87378162751</v>
      </c>
      <c r="N110" s="8" t="s">
        <v>75</v>
      </c>
      <c r="O110" s="8" t="str">
        <f t="shared" si="65"/>
        <v>N/A</v>
      </c>
      <c r="P110" s="7">
        <f t="shared" si="66"/>
        <v>2453.6943084729223</v>
      </c>
      <c r="Q110" s="7">
        <f t="shared" si="59"/>
        <v>10499.573548800003</v>
      </c>
      <c r="R110" s="7">
        <f t="shared" si="60"/>
        <v>540.22500000000014</v>
      </c>
      <c r="S110" s="7">
        <f t="shared" si="61"/>
        <v>2369.0841599048904</v>
      </c>
    </row>
    <row r="111" spans="3:19" ht="12">
      <c r="C111" s="368"/>
      <c r="D111" s="840" t="str">
        <f>'Payroll 19-20'!D111</f>
        <v>Deborah J. Cruthers</v>
      </c>
      <c r="E111" s="840">
        <f>'Payroll 22-23'!E111*(1+'Revenue Inputs'!R$27)</f>
        <v>1.1025</v>
      </c>
      <c r="F111" s="828">
        <f>'Payroll 22-23'!F111*(1+$I$4)</f>
        <v>64920.959999999999</v>
      </c>
      <c r="G111" s="322">
        <f>'Payroll 22-23'!G111</f>
        <v>12</v>
      </c>
      <c r="H111" s="319" t="str">
        <f>'Payroll 22-23'!H111</f>
        <v>y</v>
      </c>
      <c r="I111" s="320">
        <f t="shared" si="53"/>
        <v>71575.358399999997</v>
      </c>
      <c r="J111" s="7">
        <f t="shared" si="62"/>
        <v>26034.836133599998</v>
      </c>
      <c r="K111" s="7">
        <f t="shared" si="63"/>
        <v>97610.194533599992</v>
      </c>
      <c r="L111" s="7"/>
      <c r="M111" s="7">
        <f t="shared" si="64"/>
        <v>12955.139870399998</v>
      </c>
      <c r="N111" s="8" t="s">
        <v>75</v>
      </c>
      <c r="O111" s="8" t="str">
        <f t="shared" si="65"/>
        <v>N/A</v>
      </c>
      <c r="P111" s="7">
        <f t="shared" si="66"/>
        <v>1037.8426968000001</v>
      </c>
      <c r="Q111" s="7">
        <f t="shared" si="59"/>
        <v>10499.573548800003</v>
      </c>
      <c r="R111" s="7">
        <f t="shared" si="60"/>
        <v>540.22500000000014</v>
      </c>
      <c r="S111" s="7">
        <f t="shared" si="61"/>
        <v>1002.0550175999999</v>
      </c>
    </row>
    <row r="112" spans="3:19" ht="12">
      <c r="C112" s="366"/>
      <c r="D112" s="840" t="str">
        <f>'Payroll 19-20'!D112</f>
        <v>Amy Thompson</v>
      </c>
      <c r="E112" s="840">
        <f>'Payroll 22-23'!E112*(1+'Revenue Inputs'!R$27)</f>
        <v>1.1025</v>
      </c>
      <c r="F112" s="828">
        <f>'Payroll 22-23'!F112*(1+$I$4)</f>
        <v>134221.58784000002</v>
      </c>
      <c r="G112" s="322">
        <f>'Payroll 22-23'!G112</f>
        <v>12</v>
      </c>
      <c r="H112" s="319" t="str">
        <f>'Payroll 22-23'!H112</f>
        <v>y</v>
      </c>
      <c r="I112" s="320">
        <f t="shared" si="53"/>
        <v>147979.30059360003</v>
      </c>
      <c r="J112" s="7">
        <f t="shared" si="54"/>
        <v>42041.462023159213</v>
      </c>
      <c r="K112" s="7">
        <f t="shared" si="55"/>
        <v>190020.76261675922</v>
      </c>
      <c r="L112" s="7"/>
      <c r="M112" s="7">
        <f t="shared" si="56"/>
        <v>26784.253407441603</v>
      </c>
      <c r="N112" s="8" t="s">
        <v>75</v>
      </c>
      <c r="O112" s="8" t="str">
        <f t="shared" si="57"/>
        <v>N/A</v>
      </c>
      <c r="P112" s="7">
        <f t="shared" si="58"/>
        <v>2145.6998586072004</v>
      </c>
      <c r="Q112" s="7">
        <f t="shared" si="59"/>
        <v>10499.573548800003</v>
      </c>
      <c r="R112" s="7">
        <f t="shared" si="60"/>
        <v>540.22500000000014</v>
      </c>
      <c r="S112" s="7">
        <f t="shared" si="61"/>
        <v>2071.7102083104005</v>
      </c>
    </row>
    <row r="113" spans="3:19" ht="12">
      <c r="C113" s="366"/>
      <c r="D113" s="840" t="str">
        <f>'Payroll 19-20'!D113</f>
        <v>Brook MacMillan</v>
      </c>
      <c r="E113" s="840">
        <f>'Payroll 22-23'!E113*(1+'Revenue Inputs'!R$27)</f>
        <v>1.1025</v>
      </c>
      <c r="F113" s="828">
        <f>'Payroll 22-23'!F113*(1+$I$4)</f>
        <v>179900.224992</v>
      </c>
      <c r="G113" s="322">
        <f>'Payroll 22-23'!G113</f>
        <v>12</v>
      </c>
      <c r="H113" s="319" t="str">
        <f>'Payroll 22-23'!H113</f>
        <v>y</v>
      </c>
      <c r="I113" s="320">
        <f t="shared" si="53"/>
        <v>198339.99805368</v>
      </c>
      <c r="J113" s="7">
        <f t="shared" si="54"/>
        <v>52592.02814104595</v>
      </c>
      <c r="K113" s="7">
        <f t="shared" si="55"/>
        <v>250932.02619472594</v>
      </c>
      <c r="L113" s="7"/>
      <c r="M113" s="7">
        <f t="shared" si="56"/>
        <v>35899.539647716076</v>
      </c>
      <c r="N113" s="8" t="s">
        <v>75</v>
      </c>
      <c r="O113" s="8" t="str">
        <f t="shared" si="57"/>
        <v>N/A</v>
      </c>
      <c r="P113" s="7">
        <f t="shared" si="58"/>
        <v>2875.9299717783601</v>
      </c>
      <c r="Q113" s="7">
        <f t="shared" si="59"/>
        <v>10499.573548800003</v>
      </c>
      <c r="R113" s="7">
        <f t="shared" si="60"/>
        <v>540.22500000000014</v>
      </c>
      <c r="S113" s="7">
        <f t="shared" si="61"/>
        <v>2776.7599727515199</v>
      </c>
    </row>
    <row r="114" spans="3:19" ht="12">
      <c r="C114" s="366"/>
      <c r="D114" s="840" t="str">
        <f>'Payroll 19-20'!D114</f>
        <v>Anna Lindahl</v>
      </c>
      <c r="E114" s="840">
        <f>'Payroll 22-23'!E114*(1+'Revenue Inputs'!R$27)</f>
        <v>1.1025</v>
      </c>
      <c r="F114" s="828">
        <f>'Payroll 22-23'!F114*(1+$I$4)</f>
        <v>59533.768800000005</v>
      </c>
      <c r="G114" s="322">
        <f>'Payroll 22-23'!G114</f>
        <v>12</v>
      </c>
      <c r="H114" s="319" t="str">
        <f>'Payroll 22-23'!H114</f>
        <v>y</v>
      </c>
      <c r="I114" s="320">
        <f t="shared" si="53"/>
        <v>65635.980102000001</v>
      </c>
      <c r="J114" s="7">
        <f t="shared" si="54"/>
        <v>29315.768144540853</v>
      </c>
      <c r="K114" s="7">
        <f t="shared" si="55"/>
        <v>94951.748246540854</v>
      </c>
      <c r="L114" s="7"/>
      <c r="M114" s="7">
        <f t="shared" si="56"/>
        <v>11880.112398461999</v>
      </c>
      <c r="N114" s="8" t="s">
        <v>75</v>
      </c>
      <c r="O114" s="8" t="str">
        <f t="shared" si="57"/>
        <v>N/A</v>
      </c>
      <c r="P114" s="7">
        <f t="shared" si="58"/>
        <v>951.72171147900008</v>
      </c>
      <c r="Q114" s="7">
        <f t="shared" si="59"/>
        <v>10499.573548800003</v>
      </c>
      <c r="R114" s="7">
        <f>IF($I114&lt;7000,7000*R$5,$I114*R$5)*E114</f>
        <v>5065.4567643718501</v>
      </c>
      <c r="S114" s="7">
        <f t="shared" si="61"/>
        <v>918.90372142800004</v>
      </c>
    </row>
    <row r="115" spans="3:19" ht="12">
      <c r="C115" s="368"/>
      <c r="D115" s="840" t="str">
        <f>'Payroll 19-20'!D115</f>
        <v>Steven R. James</v>
      </c>
      <c r="E115" s="840">
        <f>'Payroll 22-23'!E115*(1+'Revenue Inputs'!R$27)</f>
        <v>1.1025</v>
      </c>
      <c r="F115" s="828">
        <f>'Payroll 22-23'!F115*(1+$I$4)</f>
        <v>78463.342414080005</v>
      </c>
      <c r="G115" s="322">
        <f>'Payroll 22-23'!G115</f>
        <v>12</v>
      </c>
      <c r="H115" s="319" t="str">
        <f>'Payroll 22-23'!H115</f>
        <v>y</v>
      </c>
      <c r="I115" s="320">
        <f t="shared" si="53"/>
        <v>86505.835011523202</v>
      </c>
      <c r="J115" s="7">
        <f t="shared" si="54"/>
        <v>29162.770983714112</v>
      </c>
      <c r="K115" s="7">
        <f t="shared" si="55"/>
        <v>115668.60599523732</v>
      </c>
      <c r="L115" s="7"/>
      <c r="M115" s="7">
        <f t="shared" si="56"/>
        <v>15657.556137085699</v>
      </c>
      <c r="N115" s="8" t="s">
        <v>75</v>
      </c>
      <c r="O115" s="8" t="str">
        <f t="shared" si="57"/>
        <v>N/A</v>
      </c>
      <c r="P115" s="7">
        <f t="shared" si="58"/>
        <v>1254.3346076670864</v>
      </c>
      <c r="Q115" s="7">
        <f t="shared" si="59"/>
        <v>10499.573548800003</v>
      </c>
      <c r="R115" s="7">
        <f t="shared" si="60"/>
        <v>540.22500000000014</v>
      </c>
      <c r="S115" s="7">
        <f t="shared" si="61"/>
        <v>1211.0816901613248</v>
      </c>
    </row>
    <row r="116" spans="3:19" ht="12">
      <c r="C116" s="366"/>
      <c r="D116" s="840">
        <f>'Payroll 19-20'!D116</f>
        <v>0</v>
      </c>
      <c r="E116" s="840">
        <f>'Payroll 22-23'!E116*(1+'Revenue Inputs'!R$27)</f>
        <v>0</v>
      </c>
      <c r="F116" s="828">
        <f>'Payroll 22-23'!F116*(1+$I$4)</f>
        <v>0</v>
      </c>
      <c r="G116" s="322">
        <f>'Payroll 22-23'!G116</f>
        <v>0</v>
      </c>
      <c r="H116" s="319">
        <f>'Payroll 22-23'!H116</f>
        <v>0</v>
      </c>
      <c r="I116" s="320">
        <f t="shared" si="53"/>
        <v>0</v>
      </c>
      <c r="J116" s="7">
        <f t="shared" si="54"/>
        <v>0</v>
      </c>
      <c r="K116" s="7">
        <f t="shared" si="55"/>
        <v>0</v>
      </c>
      <c r="L116" s="7"/>
      <c r="M116" s="7">
        <f t="shared" si="56"/>
        <v>0</v>
      </c>
      <c r="N116" s="8" t="s">
        <v>75</v>
      </c>
      <c r="O116" s="8" t="str">
        <f t="shared" si="57"/>
        <v>N/A</v>
      </c>
      <c r="P116" s="7">
        <f t="shared" si="58"/>
        <v>0</v>
      </c>
      <c r="Q116" s="7">
        <f t="shared" si="59"/>
        <v>0</v>
      </c>
      <c r="R116" s="7">
        <f t="shared" si="60"/>
        <v>0</v>
      </c>
      <c r="S116" s="7">
        <f t="shared" si="61"/>
        <v>0</v>
      </c>
    </row>
    <row r="117" spans="3:19" ht="12">
      <c r="C117" s="366"/>
      <c r="D117" s="840">
        <f>'Payroll 19-20'!D117</f>
        <v>0</v>
      </c>
      <c r="E117" s="840">
        <f>'Payroll 22-23'!E117*(1+'Revenue Inputs'!R$27)</f>
        <v>0</v>
      </c>
      <c r="F117" s="828">
        <f>'Payroll 22-23'!F117*(1+$I$4)</f>
        <v>0</v>
      </c>
      <c r="G117" s="322">
        <f>'Payroll 22-23'!G117</f>
        <v>0</v>
      </c>
      <c r="H117" s="319">
        <f>'Payroll 22-23'!H117</f>
        <v>0</v>
      </c>
      <c r="I117" s="320">
        <f t="shared" si="53"/>
        <v>0</v>
      </c>
      <c r="J117" s="7">
        <f t="shared" si="54"/>
        <v>0</v>
      </c>
      <c r="K117" s="7">
        <f t="shared" si="55"/>
        <v>0</v>
      </c>
      <c r="L117" s="7"/>
      <c r="M117" s="7">
        <f t="shared" si="56"/>
        <v>0</v>
      </c>
      <c r="N117" s="8" t="s">
        <v>75</v>
      </c>
      <c r="O117" s="8" t="str">
        <f t="shared" si="57"/>
        <v>N/A</v>
      </c>
      <c r="P117" s="7">
        <f t="shared" si="58"/>
        <v>0</v>
      </c>
      <c r="Q117" s="7">
        <f t="shared" si="59"/>
        <v>0</v>
      </c>
      <c r="R117" s="7">
        <f t="shared" si="60"/>
        <v>0</v>
      </c>
      <c r="S117" s="7">
        <f t="shared" si="61"/>
        <v>0</v>
      </c>
    </row>
    <row r="118" spans="3:19" ht="12">
      <c r="C118" s="366"/>
      <c r="D118" s="840">
        <f>'Payroll 19-20'!D118</f>
        <v>0</v>
      </c>
      <c r="E118" s="840">
        <f>'Payroll 22-23'!E118*(1+'Revenue Inputs'!R$27)</f>
        <v>0</v>
      </c>
      <c r="F118" s="828">
        <f>'Payroll 22-23'!F118*(1+$I$4)</f>
        <v>0</v>
      </c>
      <c r="G118" s="322">
        <f>'Payroll 22-23'!G118</f>
        <v>0</v>
      </c>
      <c r="H118" s="319">
        <f>'Payroll 22-23'!H118</f>
        <v>0</v>
      </c>
      <c r="I118" s="320">
        <f t="shared" si="53"/>
        <v>0</v>
      </c>
      <c r="J118" s="7">
        <f t="shared" si="54"/>
        <v>0</v>
      </c>
      <c r="K118" s="7">
        <f t="shared" si="55"/>
        <v>0</v>
      </c>
      <c r="L118" s="7"/>
      <c r="M118" s="7">
        <f t="shared" si="56"/>
        <v>0</v>
      </c>
      <c r="N118" s="8" t="s">
        <v>75</v>
      </c>
      <c r="O118" s="8" t="str">
        <f t="shared" si="57"/>
        <v>N/A</v>
      </c>
      <c r="P118" s="7">
        <f t="shared" si="58"/>
        <v>0</v>
      </c>
      <c r="Q118" s="7">
        <f t="shared" si="59"/>
        <v>0</v>
      </c>
      <c r="R118" s="7">
        <f t="shared" si="60"/>
        <v>0</v>
      </c>
      <c r="S118" s="7">
        <f t="shared" si="61"/>
        <v>0</v>
      </c>
    </row>
    <row r="119" spans="3:19" ht="12">
      <c r="C119" s="366"/>
      <c r="D119" s="840">
        <f>'Payroll 19-20'!D119</f>
        <v>0</v>
      </c>
      <c r="E119" s="840">
        <f>'Payroll 22-23'!E119*(1+'Revenue Inputs'!R$27)</f>
        <v>0</v>
      </c>
      <c r="F119" s="828">
        <f>'Payroll 22-23'!F119*(1+$I$4)</f>
        <v>0</v>
      </c>
      <c r="G119" s="322">
        <f>'Payroll 22-23'!G119</f>
        <v>0</v>
      </c>
      <c r="H119" s="319">
        <f>'Payroll 22-23'!H119</f>
        <v>0</v>
      </c>
      <c r="I119" s="320">
        <f t="shared" si="53"/>
        <v>0</v>
      </c>
      <c r="J119" s="7">
        <f t="shared" si="54"/>
        <v>0</v>
      </c>
      <c r="K119" s="7">
        <f t="shared" si="55"/>
        <v>0</v>
      </c>
      <c r="L119" s="7"/>
      <c r="M119" s="7">
        <f t="shared" si="56"/>
        <v>0</v>
      </c>
      <c r="N119" s="8" t="s">
        <v>75</v>
      </c>
      <c r="O119" s="8" t="str">
        <f t="shared" si="57"/>
        <v>N/A</v>
      </c>
      <c r="P119" s="7">
        <f t="shared" si="58"/>
        <v>0</v>
      </c>
      <c r="Q119" s="7">
        <f t="shared" si="59"/>
        <v>0</v>
      </c>
      <c r="R119" s="7">
        <f t="shared" si="60"/>
        <v>0</v>
      </c>
      <c r="S119" s="7">
        <f t="shared" si="61"/>
        <v>0</v>
      </c>
    </row>
    <row r="120" spans="3:19" ht="12">
      <c r="C120" s="368"/>
      <c r="D120" s="840">
        <f>'Payroll 19-20'!D120</f>
        <v>0</v>
      </c>
      <c r="E120" s="840">
        <f>'Payroll 22-23'!E120*(1+'Revenue Inputs'!R$27)</f>
        <v>0</v>
      </c>
      <c r="F120" s="828">
        <f>'Payroll 22-23'!F120*(1+$I$4)</f>
        <v>0</v>
      </c>
      <c r="G120" s="322">
        <f>'Payroll 22-23'!G120</f>
        <v>0</v>
      </c>
      <c r="H120" s="319">
        <f>'Payroll 22-23'!H120</f>
        <v>0</v>
      </c>
      <c r="I120" s="320">
        <f t="shared" si="53"/>
        <v>0</v>
      </c>
      <c r="J120" s="7">
        <f t="shared" si="54"/>
        <v>0</v>
      </c>
      <c r="K120" s="7">
        <f t="shared" si="55"/>
        <v>0</v>
      </c>
      <c r="L120" s="7"/>
      <c r="M120" s="7">
        <f t="shared" si="56"/>
        <v>0</v>
      </c>
      <c r="N120" s="8" t="s">
        <v>75</v>
      </c>
      <c r="O120" s="8" t="str">
        <f t="shared" si="57"/>
        <v>N/A</v>
      </c>
      <c r="P120" s="7">
        <f t="shared" si="58"/>
        <v>0</v>
      </c>
      <c r="Q120" s="7">
        <f t="shared" si="59"/>
        <v>0</v>
      </c>
      <c r="R120" s="7">
        <f t="shared" si="60"/>
        <v>0</v>
      </c>
      <c r="S120" s="7">
        <f t="shared" si="61"/>
        <v>0</v>
      </c>
    </row>
    <row r="121" spans="3:19" ht="13" thickBot="1">
      <c r="C121" s="368"/>
      <c r="D121" s="841"/>
      <c r="E121" s="841"/>
      <c r="F121" s="841"/>
      <c r="G121" s="28"/>
      <c r="H121" s="427"/>
      <c r="I121" s="337"/>
      <c r="J121" s="40"/>
      <c r="K121" s="40"/>
      <c r="L121" s="40"/>
      <c r="M121" s="40"/>
      <c r="N121" s="40"/>
      <c r="O121" s="40"/>
      <c r="P121" s="40"/>
      <c r="Q121" s="40"/>
      <c r="R121" s="40"/>
      <c r="S121" s="40"/>
    </row>
    <row r="122" spans="3:19" s="41" customFormat="1" ht="13" thickBot="1">
      <c r="C122" s="368"/>
      <c r="D122" s="834"/>
      <c r="E122" s="847"/>
      <c r="F122" s="834"/>
      <c r="G122" s="49"/>
      <c r="H122" s="333">
        <v>1300</v>
      </c>
      <c r="I122" s="10">
        <f>SUM(I102:I121)</f>
        <v>1616122.5452722507</v>
      </c>
      <c r="J122" s="10">
        <f>SUM(J102:J121)</f>
        <v>497660.08468210837</v>
      </c>
      <c r="K122" s="10">
        <f>SUM(K102:K121)</f>
        <v>2113782.6299543586</v>
      </c>
      <c r="L122" s="11"/>
      <c r="M122" s="10">
        <f t="shared" ref="M122:S122" si="67">SUM(M102:M121)</f>
        <v>292518.1806942774</v>
      </c>
      <c r="N122" s="10">
        <f t="shared" si="67"/>
        <v>0</v>
      </c>
      <c r="O122" s="10">
        <f t="shared" si="67"/>
        <v>0</v>
      </c>
      <c r="P122" s="10">
        <f t="shared" si="67"/>
        <v>23433.776906447642</v>
      </c>
      <c r="Q122" s="10">
        <f t="shared" si="67"/>
        <v>146994.02968320006</v>
      </c>
      <c r="R122" s="10">
        <f t="shared" si="67"/>
        <v>12088.381764371854</v>
      </c>
      <c r="S122" s="10">
        <f t="shared" si="67"/>
        <v>22625.715633811509</v>
      </c>
    </row>
    <row r="123" spans="3:19" ht="12">
      <c r="C123" s="366" t="s">
        <v>19</v>
      </c>
      <c r="D123" s="835"/>
      <c r="E123" s="848"/>
      <c r="F123" s="835"/>
      <c r="G123" s="28"/>
      <c r="H123" s="35"/>
      <c r="I123" s="7"/>
      <c r="J123" s="7"/>
      <c r="K123" s="7"/>
      <c r="L123" s="7"/>
      <c r="M123" s="36"/>
      <c r="N123" s="36"/>
      <c r="O123" s="36"/>
      <c r="P123" s="36"/>
      <c r="Q123" s="36"/>
      <c r="R123" s="36"/>
      <c r="S123" s="36"/>
    </row>
    <row r="124" spans="3:19" ht="12">
      <c r="C124" s="366"/>
      <c r="D124" s="840">
        <f>'Payroll 19-20'!D124</f>
        <v>0</v>
      </c>
      <c r="E124" s="840">
        <f>'Payroll 22-23'!E124*(1+'Revenue Inputs'!R$27)</f>
        <v>0</v>
      </c>
      <c r="F124" s="828">
        <f>'Payroll 22-23'!F124*(1+$I$4)</f>
        <v>0</v>
      </c>
      <c r="G124" s="322">
        <f>'Payroll 22-23'!G124</f>
        <v>0</v>
      </c>
      <c r="H124" s="319">
        <f>'Payroll 22-23'!H124</f>
        <v>0</v>
      </c>
      <c r="I124" s="320">
        <f t="shared" ref="I124:I142" si="68">F124*E124</f>
        <v>0</v>
      </c>
      <c r="J124" s="7">
        <f t="shared" ref="J124:J142" si="69">SUM(M124:S124)</f>
        <v>0</v>
      </c>
      <c r="K124" s="7">
        <f t="shared" ref="K124:K142" si="70">SUM(I124:J124)</f>
        <v>0</v>
      </c>
      <c r="L124" s="7"/>
      <c r="M124" s="7">
        <f t="shared" ref="M124:M142" si="71">I124*$M$5</f>
        <v>0</v>
      </c>
      <c r="N124" s="8" t="s">
        <v>75</v>
      </c>
      <c r="O124" s="8" t="str">
        <f t="shared" ref="O124:O142" si="72">IF($M$5&gt;0,"N/A",$O$5*I124)</f>
        <v>N/A</v>
      </c>
      <c r="P124" s="7">
        <f t="shared" ref="P124:P142" si="73">I124*$P$5</f>
        <v>0</v>
      </c>
      <c r="Q124" s="7">
        <f t="shared" ref="Q124:Q142" si="74">IF(H124="y", $Q$5*E124, 0)</f>
        <v>0</v>
      </c>
      <c r="R124" s="7">
        <f t="shared" ref="R124:R142" si="75">IF($I124&gt;7000,7000*R$5,$I124*R$5)*E124</f>
        <v>0</v>
      </c>
      <c r="S124" s="7">
        <f t="shared" ref="S124:S142" si="76">S$5*$I124</f>
        <v>0</v>
      </c>
    </row>
    <row r="125" spans="3:19" ht="12">
      <c r="C125" s="366"/>
      <c r="D125" s="840">
        <f>'Payroll 19-20'!D125</f>
        <v>0</v>
      </c>
      <c r="E125" s="840">
        <f>'Payroll 22-23'!E125*(1+'Revenue Inputs'!R$27)</f>
        <v>0</v>
      </c>
      <c r="F125" s="828">
        <f>'Payroll 22-23'!F125*(1+$I$4)</f>
        <v>0</v>
      </c>
      <c r="G125" s="322">
        <f>'Payroll 22-23'!G125</f>
        <v>0</v>
      </c>
      <c r="H125" s="319">
        <f>'Payroll 22-23'!H125</f>
        <v>0</v>
      </c>
      <c r="I125" s="320">
        <f t="shared" si="68"/>
        <v>0</v>
      </c>
      <c r="J125" s="7">
        <f t="shared" ref="J125:J133" si="77">SUM(M125:S125)</f>
        <v>0</v>
      </c>
      <c r="K125" s="7">
        <f t="shared" ref="K125:K133" si="78">SUM(I125:J125)</f>
        <v>0</v>
      </c>
      <c r="L125" s="7"/>
      <c r="M125" s="7">
        <f t="shared" ref="M125:M133" si="79">I125*$M$5</f>
        <v>0</v>
      </c>
      <c r="N125" s="8" t="s">
        <v>75</v>
      </c>
      <c r="O125" s="8" t="str">
        <f t="shared" ref="O125:O133" si="80">IF($M$5&gt;0,"N/A",$O$5*I125)</f>
        <v>N/A</v>
      </c>
      <c r="P125" s="7">
        <f t="shared" ref="P125:P133" si="81">I125*$P$5</f>
        <v>0</v>
      </c>
      <c r="Q125" s="7">
        <f t="shared" si="74"/>
        <v>0</v>
      </c>
      <c r="R125" s="7">
        <f t="shared" si="75"/>
        <v>0</v>
      </c>
      <c r="S125" s="7">
        <f t="shared" si="76"/>
        <v>0</v>
      </c>
    </row>
    <row r="126" spans="3:19" ht="12" customHeight="1">
      <c r="C126" s="366"/>
      <c r="D126" s="840">
        <f>'Payroll 19-20'!D126</f>
        <v>0</v>
      </c>
      <c r="E126" s="840">
        <f>'Payroll 22-23'!E126*(1+'Revenue Inputs'!R$27)</f>
        <v>0</v>
      </c>
      <c r="F126" s="828">
        <f>'Payroll 22-23'!F126*(1+$I$4)</f>
        <v>0</v>
      </c>
      <c r="G126" s="322">
        <f>'Payroll 22-23'!G126</f>
        <v>0</v>
      </c>
      <c r="H126" s="319">
        <f>'Payroll 22-23'!H126</f>
        <v>0</v>
      </c>
      <c r="I126" s="320">
        <f t="shared" si="68"/>
        <v>0</v>
      </c>
      <c r="J126" s="7">
        <f t="shared" si="77"/>
        <v>0</v>
      </c>
      <c r="K126" s="7">
        <f t="shared" si="78"/>
        <v>0</v>
      </c>
      <c r="L126" s="7"/>
      <c r="M126" s="7">
        <f t="shared" si="79"/>
        <v>0</v>
      </c>
      <c r="N126" s="8" t="s">
        <v>75</v>
      </c>
      <c r="O126" s="8" t="str">
        <f t="shared" si="80"/>
        <v>N/A</v>
      </c>
      <c r="P126" s="7">
        <f t="shared" si="81"/>
        <v>0</v>
      </c>
      <c r="Q126" s="7">
        <f t="shared" si="74"/>
        <v>0</v>
      </c>
      <c r="R126" s="7">
        <f t="shared" si="75"/>
        <v>0</v>
      </c>
      <c r="S126" s="7">
        <f t="shared" si="76"/>
        <v>0</v>
      </c>
    </row>
    <row r="127" spans="3:19" ht="10.25" customHeight="1">
      <c r="C127" s="366"/>
      <c r="D127" s="840">
        <f>'Payroll 19-20'!D127</f>
        <v>0</v>
      </c>
      <c r="E127" s="840">
        <f>'Payroll 22-23'!E127*(1+'Revenue Inputs'!R$27)</f>
        <v>0</v>
      </c>
      <c r="F127" s="828">
        <f>'Payroll 22-23'!F127*(1+$I$4)</f>
        <v>0</v>
      </c>
      <c r="G127" s="322">
        <f>'Payroll 22-23'!G127</f>
        <v>0</v>
      </c>
      <c r="H127" s="319">
        <f>'Payroll 22-23'!H127</f>
        <v>0</v>
      </c>
      <c r="I127" s="320">
        <f t="shared" si="68"/>
        <v>0</v>
      </c>
      <c r="J127" s="7">
        <f t="shared" si="77"/>
        <v>0</v>
      </c>
      <c r="K127" s="7">
        <f t="shared" si="78"/>
        <v>0</v>
      </c>
      <c r="L127" s="7"/>
      <c r="M127" s="7">
        <f t="shared" si="79"/>
        <v>0</v>
      </c>
      <c r="N127" s="8" t="s">
        <v>75</v>
      </c>
      <c r="O127" s="8" t="str">
        <f t="shared" si="80"/>
        <v>N/A</v>
      </c>
      <c r="P127" s="7">
        <f t="shared" si="81"/>
        <v>0</v>
      </c>
      <c r="Q127" s="7">
        <f t="shared" si="74"/>
        <v>0</v>
      </c>
      <c r="R127" s="7">
        <f t="shared" si="75"/>
        <v>0</v>
      </c>
      <c r="S127" s="7">
        <f t="shared" si="76"/>
        <v>0</v>
      </c>
    </row>
    <row r="128" spans="3:19" ht="12">
      <c r="C128" s="368"/>
      <c r="D128" s="840">
        <f>'Payroll 19-20'!D128</f>
        <v>0</v>
      </c>
      <c r="E128" s="840">
        <f>'Payroll 22-23'!E128*(1+'Revenue Inputs'!R$27)</f>
        <v>0</v>
      </c>
      <c r="F128" s="828">
        <f>'Payroll 22-23'!F128*(1+$I$4)</f>
        <v>0</v>
      </c>
      <c r="G128" s="322">
        <f>'Payroll 22-23'!G128</f>
        <v>0</v>
      </c>
      <c r="H128" s="319">
        <f>'Payroll 22-23'!H128</f>
        <v>0</v>
      </c>
      <c r="I128" s="320">
        <f t="shared" si="68"/>
        <v>0</v>
      </c>
      <c r="J128" s="7">
        <f t="shared" si="77"/>
        <v>0</v>
      </c>
      <c r="K128" s="7">
        <f t="shared" si="78"/>
        <v>0</v>
      </c>
      <c r="L128" s="7"/>
      <c r="M128" s="7">
        <f t="shared" si="79"/>
        <v>0</v>
      </c>
      <c r="N128" s="8" t="s">
        <v>75</v>
      </c>
      <c r="O128" s="8" t="str">
        <f t="shared" si="80"/>
        <v>N/A</v>
      </c>
      <c r="P128" s="7">
        <f t="shared" si="81"/>
        <v>0</v>
      </c>
      <c r="Q128" s="7">
        <f t="shared" si="74"/>
        <v>0</v>
      </c>
      <c r="R128" s="7">
        <f t="shared" si="75"/>
        <v>0</v>
      </c>
      <c r="S128" s="7">
        <f t="shared" si="76"/>
        <v>0</v>
      </c>
    </row>
    <row r="129" spans="3:19" ht="12">
      <c r="C129" s="366"/>
      <c r="D129" s="840">
        <f>'Payroll 19-20'!D129</f>
        <v>0</v>
      </c>
      <c r="E129" s="840">
        <f>'Payroll 22-23'!E129*(1+'Revenue Inputs'!R$27)</f>
        <v>0</v>
      </c>
      <c r="F129" s="828">
        <f>'Payroll 22-23'!F129*(1+$I$4)</f>
        <v>0</v>
      </c>
      <c r="G129" s="322">
        <f>'Payroll 22-23'!G129</f>
        <v>0</v>
      </c>
      <c r="H129" s="319">
        <f>'Payroll 22-23'!H129</f>
        <v>0</v>
      </c>
      <c r="I129" s="320">
        <f t="shared" si="68"/>
        <v>0</v>
      </c>
      <c r="J129" s="7">
        <f t="shared" si="77"/>
        <v>0</v>
      </c>
      <c r="K129" s="7">
        <f t="shared" si="78"/>
        <v>0</v>
      </c>
      <c r="L129" s="7"/>
      <c r="M129" s="7">
        <f t="shared" si="79"/>
        <v>0</v>
      </c>
      <c r="N129" s="8" t="s">
        <v>75</v>
      </c>
      <c r="O129" s="8" t="str">
        <f t="shared" si="80"/>
        <v>N/A</v>
      </c>
      <c r="P129" s="7">
        <f t="shared" si="81"/>
        <v>0</v>
      </c>
      <c r="Q129" s="7">
        <f t="shared" si="74"/>
        <v>0</v>
      </c>
      <c r="R129" s="7">
        <f t="shared" si="75"/>
        <v>0</v>
      </c>
      <c r="S129" s="7">
        <f t="shared" si="76"/>
        <v>0</v>
      </c>
    </row>
    <row r="130" spans="3:19" ht="12">
      <c r="C130" s="366"/>
      <c r="D130" s="840">
        <f>'Payroll 19-20'!D130</f>
        <v>0</v>
      </c>
      <c r="E130" s="840">
        <f>'Payroll 22-23'!E130*(1+'Revenue Inputs'!R$27)</f>
        <v>0</v>
      </c>
      <c r="F130" s="828">
        <f>'Payroll 22-23'!F130*(1+$I$4)</f>
        <v>0</v>
      </c>
      <c r="G130" s="322">
        <f>'Payroll 22-23'!G130</f>
        <v>0</v>
      </c>
      <c r="H130" s="319">
        <f>'Payroll 22-23'!H130</f>
        <v>0</v>
      </c>
      <c r="I130" s="320">
        <f t="shared" si="68"/>
        <v>0</v>
      </c>
      <c r="J130" s="7">
        <f t="shared" si="77"/>
        <v>0</v>
      </c>
      <c r="K130" s="7">
        <f t="shared" si="78"/>
        <v>0</v>
      </c>
      <c r="L130" s="7"/>
      <c r="M130" s="7">
        <f t="shared" si="79"/>
        <v>0</v>
      </c>
      <c r="N130" s="8" t="s">
        <v>75</v>
      </c>
      <c r="O130" s="8" t="str">
        <f t="shared" si="80"/>
        <v>N/A</v>
      </c>
      <c r="P130" s="7">
        <f t="shared" si="81"/>
        <v>0</v>
      </c>
      <c r="Q130" s="7">
        <f t="shared" si="74"/>
        <v>0</v>
      </c>
      <c r="R130" s="7">
        <f t="shared" si="75"/>
        <v>0</v>
      </c>
      <c r="S130" s="7">
        <f t="shared" si="76"/>
        <v>0</v>
      </c>
    </row>
    <row r="131" spans="3:19" ht="12">
      <c r="C131" s="366"/>
      <c r="D131" s="840">
        <f>'Payroll 19-20'!D131</f>
        <v>0</v>
      </c>
      <c r="E131" s="840">
        <f>'Payroll 22-23'!E131*(1+'Revenue Inputs'!R$27)</f>
        <v>0</v>
      </c>
      <c r="F131" s="828">
        <f>'Payroll 22-23'!F131*(1+$I$4)</f>
        <v>0</v>
      </c>
      <c r="G131" s="322">
        <f>'Payroll 22-23'!G131</f>
        <v>0</v>
      </c>
      <c r="H131" s="319">
        <f>'Payroll 22-23'!H131</f>
        <v>0</v>
      </c>
      <c r="I131" s="320">
        <f t="shared" si="68"/>
        <v>0</v>
      </c>
      <c r="J131" s="7">
        <f t="shared" si="77"/>
        <v>0</v>
      </c>
      <c r="K131" s="7">
        <f t="shared" si="78"/>
        <v>0</v>
      </c>
      <c r="L131" s="7"/>
      <c r="M131" s="7">
        <f t="shared" si="79"/>
        <v>0</v>
      </c>
      <c r="N131" s="8" t="s">
        <v>75</v>
      </c>
      <c r="O131" s="8" t="str">
        <f t="shared" si="80"/>
        <v>N/A</v>
      </c>
      <c r="P131" s="7">
        <f t="shared" si="81"/>
        <v>0</v>
      </c>
      <c r="Q131" s="7">
        <f t="shared" si="74"/>
        <v>0</v>
      </c>
      <c r="R131" s="7">
        <f t="shared" si="75"/>
        <v>0</v>
      </c>
      <c r="S131" s="7">
        <f t="shared" si="76"/>
        <v>0</v>
      </c>
    </row>
    <row r="132" spans="3:19" ht="12">
      <c r="C132" s="366"/>
      <c r="D132" s="840">
        <f>'Payroll 19-20'!D132</f>
        <v>0</v>
      </c>
      <c r="E132" s="840">
        <f>'Payroll 22-23'!E132*(1+'Revenue Inputs'!R$27)</f>
        <v>0</v>
      </c>
      <c r="F132" s="828">
        <f>'Payroll 22-23'!F132*(1+$I$4)</f>
        <v>0</v>
      </c>
      <c r="G132" s="322">
        <f>'Payroll 22-23'!G132</f>
        <v>0</v>
      </c>
      <c r="H132" s="319">
        <f>'Payroll 22-23'!H132</f>
        <v>0</v>
      </c>
      <c r="I132" s="320">
        <f t="shared" si="68"/>
        <v>0</v>
      </c>
      <c r="J132" s="7">
        <f t="shared" si="77"/>
        <v>0</v>
      </c>
      <c r="K132" s="7">
        <f t="shared" si="78"/>
        <v>0</v>
      </c>
      <c r="L132" s="7"/>
      <c r="M132" s="7">
        <f t="shared" si="79"/>
        <v>0</v>
      </c>
      <c r="N132" s="8" t="s">
        <v>75</v>
      </c>
      <c r="O132" s="8" t="str">
        <f t="shared" si="80"/>
        <v>N/A</v>
      </c>
      <c r="P132" s="7">
        <f t="shared" si="81"/>
        <v>0</v>
      </c>
      <c r="Q132" s="7">
        <f t="shared" si="74"/>
        <v>0</v>
      </c>
      <c r="R132" s="7">
        <f t="shared" si="75"/>
        <v>0</v>
      </c>
      <c r="S132" s="7">
        <f t="shared" si="76"/>
        <v>0</v>
      </c>
    </row>
    <row r="133" spans="3:19" ht="12">
      <c r="C133" s="368"/>
      <c r="D133" s="840">
        <f>'Payroll 19-20'!D133</f>
        <v>0</v>
      </c>
      <c r="E133" s="840">
        <f>'Payroll 22-23'!E133*(1+'Revenue Inputs'!R$27)</f>
        <v>0</v>
      </c>
      <c r="F133" s="828">
        <f>'Payroll 22-23'!F133*(1+$I$4)</f>
        <v>0</v>
      </c>
      <c r="G133" s="322">
        <f>'Payroll 22-23'!G133</f>
        <v>0</v>
      </c>
      <c r="H133" s="319">
        <f>'Payroll 22-23'!H133</f>
        <v>0</v>
      </c>
      <c r="I133" s="320">
        <f t="shared" si="68"/>
        <v>0</v>
      </c>
      <c r="J133" s="7">
        <f t="shared" si="77"/>
        <v>0</v>
      </c>
      <c r="K133" s="7">
        <f t="shared" si="78"/>
        <v>0</v>
      </c>
      <c r="L133" s="7"/>
      <c r="M133" s="7">
        <f t="shared" si="79"/>
        <v>0</v>
      </c>
      <c r="N133" s="8" t="s">
        <v>75</v>
      </c>
      <c r="O133" s="8" t="str">
        <f t="shared" si="80"/>
        <v>N/A</v>
      </c>
      <c r="P133" s="7">
        <f t="shared" si="81"/>
        <v>0</v>
      </c>
      <c r="Q133" s="7">
        <f t="shared" si="74"/>
        <v>0</v>
      </c>
      <c r="R133" s="7">
        <f t="shared" si="75"/>
        <v>0</v>
      </c>
      <c r="S133" s="7">
        <f t="shared" si="76"/>
        <v>0</v>
      </c>
    </row>
    <row r="134" spans="3:19" ht="12">
      <c r="C134" s="366"/>
      <c r="D134" s="840">
        <f>'Payroll 19-20'!D134</f>
        <v>0</v>
      </c>
      <c r="E134" s="840">
        <f>'Payroll 22-23'!E134*(1+'Revenue Inputs'!R$27)</f>
        <v>0</v>
      </c>
      <c r="F134" s="828">
        <f>'Payroll 22-23'!F134*(1+$I$4)</f>
        <v>0</v>
      </c>
      <c r="G134" s="322">
        <f>'Payroll 22-23'!G134</f>
        <v>0</v>
      </c>
      <c r="H134" s="319">
        <f>'Payroll 22-23'!H134</f>
        <v>0</v>
      </c>
      <c r="I134" s="320">
        <f t="shared" si="68"/>
        <v>0</v>
      </c>
      <c r="J134" s="7">
        <f t="shared" si="69"/>
        <v>0</v>
      </c>
      <c r="K134" s="7">
        <f t="shared" si="70"/>
        <v>0</v>
      </c>
      <c r="L134" s="7"/>
      <c r="M134" s="7">
        <f t="shared" si="71"/>
        <v>0</v>
      </c>
      <c r="N134" s="8" t="s">
        <v>75</v>
      </c>
      <c r="O134" s="8" t="str">
        <f t="shared" si="72"/>
        <v>N/A</v>
      </c>
      <c r="P134" s="7">
        <f t="shared" si="73"/>
        <v>0</v>
      </c>
      <c r="Q134" s="7">
        <f t="shared" si="74"/>
        <v>0</v>
      </c>
      <c r="R134" s="7">
        <f t="shared" si="75"/>
        <v>0</v>
      </c>
      <c r="S134" s="7">
        <f t="shared" si="76"/>
        <v>0</v>
      </c>
    </row>
    <row r="135" spans="3:19" ht="12" customHeight="1">
      <c r="C135" s="366"/>
      <c r="D135" s="840">
        <f>'Payroll 19-20'!D135</f>
        <v>0</v>
      </c>
      <c r="E135" s="840">
        <f>'Payroll 22-23'!E135*(1+'Revenue Inputs'!R$27)</f>
        <v>0</v>
      </c>
      <c r="F135" s="828">
        <f>'Payroll 22-23'!F135*(1+$I$4)</f>
        <v>0</v>
      </c>
      <c r="G135" s="322">
        <f>'Payroll 22-23'!G135</f>
        <v>0</v>
      </c>
      <c r="H135" s="319">
        <f>'Payroll 22-23'!H135</f>
        <v>0</v>
      </c>
      <c r="I135" s="320">
        <f t="shared" si="68"/>
        <v>0</v>
      </c>
      <c r="J135" s="7">
        <f t="shared" si="69"/>
        <v>0</v>
      </c>
      <c r="K135" s="7">
        <f t="shared" si="70"/>
        <v>0</v>
      </c>
      <c r="L135" s="7"/>
      <c r="M135" s="7">
        <f t="shared" si="71"/>
        <v>0</v>
      </c>
      <c r="N135" s="8" t="s">
        <v>75</v>
      </c>
      <c r="O135" s="8" t="str">
        <f t="shared" si="72"/>
        <v>N/A</v>
      </c>
      <c r="P135" s="7">
        <f t="shared" si="73"/>
        <v>0</v>
      </c>
      <c r="Q135" s="7">
        <f t="shared" si="74"/>
        <v>0</v>
      </c>
      <c r="R135" s="7">
        <f t="shared" si="75"/>
        <v>0</v>
      </c>
      <c r="S135" s="7">
        <f t="shared" si="76"/>
        <v>0</v>
      </c>
    </row>
    <row r="136" spans="3:19" ht="10.25" customHeight="1">
      <c r="C136" s="366"/>
      <c r="D136" s="840">
        <f>'Payroll 19-20'!D136</f>
        <v>0</v>
      </c>
      <c r="E136" s="840">
        <f>'Payroll 22-23'!E136*(1+'Revenue Inputs'!R$27)</f>
        <v>0</v>
      </c>
      <c r="F136" s="828">
        <f>'Payroll 22-23'!F136*(1+$I$4)</f>
        <v>0</v>
      </c>
      <c r="G136" s="322">
        <f>'Payroll 22-23'!G136</f>
        <v>0</v>
      </c>
      <c r="H136" s="319">
        <f>'Payroll 22-23'!H136</f>
        <v>0</v>
      </c>
      <c r="I136" s="320">
        <f t="shared" si="68"/>
        <v>0</v>
      </c>
      <c r="J136" s="7">
        <f t="shared" si="69"/>
        <v>0</v>
      </c>
      <c r="K136" s="7">
        <f t="shared" si="70"/>
        <v>0</v>
      </c>
      <c r="L136" s="7"/>
      <c r="M136" s="7">
        <f t="shared" si="71"/>
        <v>0</v>
      </c>
      <c r="N136" s="8" t="s">
        <v>75</v>
      </c>
      <c r="O136" s="8" t="str">
        <f t="shared" si="72"/>
        <v>N/A</v>
      </c>
      <c r="P136" s="7">
        <f t="shared" si="73"/>
        <v>0</v>
      </c>
      <c r="Q136" s="7">
        <f t="shared" si="74"/>
        <v>0</v>
      </c>
      <c r="R136" s="7">
        <f t="shared" si="75"/>
        <v>0</v>
      </c>
      <c r="S136" s="7">
        <f t="shared" si="76"/>
        <v>0</v>
      </c>
    </row>
    <row r="137" spans="3:19" ht="12">
      <c r="C137" s="368"/>
      <c r="D137" s="840">
        <f>'Payroll 19-20'!D137</f>
        <v>0</v>
      </c>
      <c r="E137" s="840">
        <f>'Payroll 22-23'!E137*(1+'Revenue Inputs'!R$27)</f>
        <v>0</v>
      </c>
      <c r="F137" s="828">
        <f>'Payroll 22-23'!F137*(1+$I$4)</f>
        <v>0</v>
      </c>
      <c r="G137" s="322">
        <f>'Payroll 22-23'!G137</f>
        <v>0</v>
      </c>
      <c r="H137" s="319">
        <f>'Payroll 22-23'!H137</f>
        <v>0</v>
      </c>
      <c r="I137" s="320">
        <f t="shared" si="68"/>
        <v>0</v>
      </c>
      <c r="J137" s="7">
        <f t="shared" si="69"/>
        <v>0</v>
      </c>
      <c r="K137" s="7">
        <f t="shared" si="70"/>
        <v>0</v>
      </c>
      <c r="L137" s="7"/>
      <c r="M137" s="7">
        <f t="shared" si="71"/>
        <v>0</v>
      </c>
      <c r="N137" s="8" t="s">
        <v>75</v>
      </c>
      <c r="O137" s="8" t="str">
        <f t="shared" si="72"/>
        <v>N/A</v>
      </c>
      <c r="P137" s="7">
        <f t="shared" si="73"/>
        <v>0</v>
      </c>
      <c r="Q137" s="7">
        <f t="shared" si="74"/>
        <v>0</v>
      </c>
      <c r="R137" s="7">
        <f t="shared" si="75"/>
        <v>0</v>
      </c>
      <c r="S137" s="7">
        <f t="shared" si="76"/>
        <v>0</v>
      </c>
    </row>
    <row r="138" spans="3:19" ht="12">
      <c r="C138" s="366"/>
      <c r="D138" s="840">
        <f>'Payroll 19-20'!D138</f>
        <v>0</v>
      </c>
      <c r="E138" s="840">
        <f>'Payroll 22-23'!E138*(1+'Revenue Inputs'!R$27)</f>
        <v>0</v>
      </c>
      <c r="F138" s="828">
        <f>'Payroll 22-23'!F138*(1+$I$4)</f>
        <v>0</v>
      </c>
      <c r="G138" s="322">
        <f>'Payroll 22-23'!G138</f>
        <v>0</v>
      </c>
      <c r="H138" s="319">
        <f>'Payroll 22-23'!H138</f>
        <v>0</v>
      </c>
      <c r="I138" s="320">
        <f t="shared" si="68"/>
        <v>0</v>
      </c>
      <c r="J138" s="7">
        <f t="shared" si="69"/>
        <v>0</v>
      </c>
      <c r="K138" s="7">
        <f t="shared" si="70"/>
        <v>0</v>
      </c>
      <c r="L138" s="7"/>
      <c r="M138" s="7">
        <f t="shared" si="71"/>
        <v>0</v>
      </c>
      <c r="N138" s="8" t="s">
        <v>75</v>
      </c>
      <c r="O138" s="8" t="str">
        <f t="shared" si="72"/>
        <v>N/A</v>
      </c>
      <c r="P138" s="7">
        <f t="shared" si="73"/>
        <v>0</v>
      </c>
      <c r="Q138" s="7">
        <f t="shared" si="74"/>
        <v>0</v>
      </c>
      <c r="R138" s="7">
        <f t="shared" si="75"/>
        <v>0</v>
      </c>
      <c r="S138" s="7">
        <f t="shared" si="76"/>
        <v>0</v>
      </c>
    </row>
    <row r="139" spans="3:19" ht="12">
      <c r="C139" s="366"/>
      <c r="D139" s="840">
        <f>'Payroll 19-20'!D139</f>
        <v>0</v>
      </c>
      <c r="E139" s="840">
        <f>'Payroll 22-23'!E139*(1+'Revenue Inputs'!R$27)</f>
        <v>0</v>
      </c>
      <c r="F139" s="828">
        <f>'Payroll 22-23'!F139*(1+$I$4)</f>
        <v>0</v>
      </c>
      <c r="G139" s="322">
        <f>'Payroll 22-23'!G139</f>
        <v>0</v>
      </c>
      <c r="H139" s="319">
        <f>'Payroll 22-23'!H139</f>
        <v>0</v>
      </c>
      <c r="I139" s="320">
        <f t="shared" si="68"/>
        <v>0</v>
      </c>
      <c r="J139" s="7">
        <f t="shared" si="69"/>
        <v>0</v>
      </c>
      <c r="K139" s="7">
        <f t="shared" si="70"/>
        <v>0</v>
      </c>
      <c r="L139" s="7"/>
      <c r="M139" s="7">
        <f t="shared" si="71"/>
        <v>0</v>
      </c>
      <c r="N139" s="8" t="s">
        <v>75</v>
      </c>
      <c r="O139" s="8" t="str">
        <f t="shared" si="72"/>
        <v>N/A</v>
      </c>
      <c r="P139" s="7">
        <f t="shared" si="73"/>
        <v>0</v>
      </c>
      <c r="Q139" s="7">
        <f t="shared" si="74"/>
        <v>0</v>
      </c>
      <c r="R139" s="7">
        <f t="shared" si="75"/>
        <v>0</v>
      </c>
      <c r="S139" s="7">
        <f t="shared" si="76"/>
        <v>0</v>
      </c>
    </row>
    <row r="140" spans="3:19" ht="12">
      <c r="C140" s="366"/>
      <c r="D140" s="840">
        <f>'Payroll 19-20'!D140</f>
        <v>0</v>
      </c>
      <c r="E140" s="840">
        <f>'Payroll 22-23'!E140*(1+'Revenue Inputs'!R$27)</f>
        <v>0</v>
      </c>
      <c r="F140" s="828">
        <f>'Payroll 22-23'!F140*(1+$I$4)</f>
        <v>0</v>
      </c>
      <c r="G140" s="322">
        <f>'Payroll 22-23'!G140</f>
        <v>0</v>
      </c>
      <c r="H140" s="319">
        <f>'Payroll 22-23'!H140</f>
        <v>0</v>
      </c>
      <c r="I140" s="320">
        <f t="shared" si="68"/>
        <v>0</v>
      </c>
      <c r="J140" s="7">
        <f t="shared" si="69"/>
        <v>0</v>
      </c>
      <c r="K140" s="7">
        <f t="shared" si="70"/>
        <v>0</v>
      </c>
      <c r="L140" s="7"/>
      <c r="M140" s="7">
        <f t="shared" si="71"/>
        <v>0</v>
      </c>
      <c r="N140" s="8" t="s">
        <v>75</v>
      </c>
      <c r="O140" s="8" t="str">
        <f t="shared" si="72"/>
        <v>N/A</v>
      </c>
      <c r="P140" s="7">
        <f t="shared" si="73"/>
        <v>0</v>
      </c>
      <c r="Q140" s="7">
        <f t="shared" si="74"/>
        <v>0</v>
      </c>
      <c r="R140" s="7">
        <f t="shared" si="75"/>
        <v>0</v>
      </c>
      <c r="S140" s="7">
        <f t="shared" si="76"/>
        <v>0</v>
      </c>
    </row>
    <row r="141" spans="3:19" ht="12">
      <c r="C141" s="366"/>
      <c r="D141" s="840">
        <f>'Payroll 19-20'!D141</f>
        <v>0</v>
      </c>
      <c r="E141" s="840">
        <f>'Payroll 22-23'!E141*(1+'Revenue Inputs'!R$27)</f>
        <v>0</v>
      </c>
      <c r="F141" s="828">
        <f>'Payroll 22-23'!F141*(1+$I$4)</f>
        <v>0</v>
      </c>
      <c r="G141" s="322">
        <f>'Payroll 22-23'!G141</f>
        <v>0</v>
      </c>
      <c r="H141" s="319">
        <f>'Payroll 22-23'!H141</f>
        <v>0</v>
      </c>
      <c r="I141" s="320">
        <f t="shared" si="68"/>
        <v>0</v>
      </c>
      <c r="J141" s="7">
        <f t="shared" si="69"/>
        <v>0</v>
      </c>
      <c r="K141" s="7">
        <f t="shared" si="70"/>
        <v>0</v>
      </c>
      <c r="L141" s="7"/>
      <c r="M141" s="7">
        <f t="shared" si="71"/>
        <v>0</v>
      </c>
      <c r="N141" s="8" t="s">
        <v>75</v>
      </c>
      <c r="O141" s="8" t="str">
        <f t="shared" si="72"/>
        <v>N/A</v>
      </c>
      <c r="P141" s="7">
        <f t="shared" si="73"/>
        <v>0</v>
      </c>
      <c r="Q141" s="7">
        <f t="shared" si="74"/>
        <v>0</v>
      </c>
      <c r="R141" s="7">
        <f t="shared" si="75"/>
        <v>0</v>
      </c>
      <c r="S141" s="7">
        <f t="shared" si="76"/>
        <v>0</v>
      </c>
    </row>
    <row r="142" spans="3:19" ht="12">
      <c r="C142" s="368"/>
      <c r="D142" s="840">
        <f>'Payroll 19-20'!D142</f>
        <v>0</v>
      </c>
      <c r="E142" s="840">
        <f>'Payroll 22-23'!E142*(1+'Revenue Inputs'!R$27)</f>
        <v>0</v>
      </c>
      <c r="F142" s="828">
        <f>'Payroll 22-23'!F142*(1+$I$4)</f>
        <v>0</v>
      </c>
      <c r="G142" s="322">
        <f>'Payroll 22-23'!G142</f>
        <v>0</v>
      </c>
      <c r="H142" s="319">
        <f>'Payroll 22-23'!H142</f>
        <v>0</v>
      </c>
      <c r="I142" s="320">
        <f t="shared" si="68"/>
        <v>0</v>
      </c>
      <c r="J142" s="7">
        <f t="shared" si="69"/>
        <v>0</v>
      </c>
      <c r="K142" s="7">
        <f t="shared" si="70"/>
        <v>0</v>
      </c>
      <c r="L142" s="7"/>
      <c r="M142" s="7">
        <f t="shared" si="71"/>
        <v>0</v>
      </c>
      <c r="N142" s="8" t="s">
        <v>75</v>
      </c>
      <c r="O142" s="8" t="str">
        <f t="shared" si="72"/>
        <v>N/A</v>
      </c>
      <c r="P142" s="7">
        <f t="shared" si="73"/>
        <v>0</v>
      </c>
      <c r="Q142" s="7">
        <f t="shared" si="74"/>
        <v>0</v>
      </c>
      <c r="R142" s="7">
        <f t="shared" si="75"/>
        <v>0</v>
      </c>
      <c r="S142" s="7">
        <f t="shared" si="76"/>
        <v>0</v>
      </c>
    </row>
    <row r="143" spans="3:19" ht="13" thickBot="1">
      <c r="C143" s="368"/>
      <c r="D143" s="841"/>
      <c r="E143" s="841"/>
      <c r="F143" s="841"/>
      <c r="G143" s="28"/>
      <c r="H143" s="427"/>
      <c r="I143" s="337"/>
      <c r="J143" s="40"/>
      <c r="K143" s="40"/>
      <c r="L143" s="40"/>
      <c r="M143" s="40"/>
      <c r="N143" s="40"/>
      <c r="O143" s="40"/>
      <c r="P143" s="40"/>
      <c r="Q143" s="40"/>
      <c r="R143" s="40"/>
      <c r="S143" s="40"/>
    </row>
    <row r="144" spans="3:19" s="41" customFormat="1" ht="13" thickBot="1">
      <c r="C144" s="368"/>
      <c r="D144" s="834"/>
      <c r="E144" s="847"/>
      <c r="F144" s="834"/>
      <c r="G144" s="49"/>
      <c r="H144" s="333">
        <v>1900</v>
      </c>
      <c r="I144" s="15">
        <f>SUM(I124:I143)</f>
        <v>0</v>
      </c>
      <c r="J144" s="15">
        <f>SUM(J124:J143)</f>
        <v>0</v>
      </c>
      <c r="K144" s="15">
        <f>SUM(K124:K143)</f>
        <v>0</v>
      </c>
      <c r="L144" s="16"/>
      <c r="M144" s="15">
        <f t="shared" ref="M144:S144" si="82">SUM(M124:M143)</f>
        <v>0</v>
      </c>
      <c r="N144" s="15">
        <f t="shared" si="82"/>
        <v>0</v>
      </c>
      <c r="O144" s="15">
        <f t="shared" si="82"/>
        <v>0</v>
      </c>
      <c r="P144" s="15">
        <f t="shared" si="82"/>
        <v>0</v>
      </c>
      <c r="Q144" s="15">
        <f t="shared" si="82"/>
        <v>0</v>
      </c>
      <c r="R144" s="15">
        <f t="shared" si="82"/>
        <v>0</v>
      </c>
      <c r="S144" s="15">
        <f t="shared" si="82"/>
        <v>0</v>
      </c>
    </row>
    <row r="145" spans="3:19" ht="12">
      <c r="C145" s="369" t="s">
        <v>20</v>
      </c>
      <c r="D145" s="835"/>
      <c r="E145" s="848"/>
      <c r="F145" s="835"/>
      <c r="G145" s="28"/>
      <c r="H145" s="35"/>
      <c r="I145" s="7"/>
      <c r="J145" s="7"/>
      <c r="K145" s="7"/>
      <c r="L145" s="7"/>
      <c r="M145" s="36"/>
      <c r="N145" s="36"/>
      <c r="O145" s="36"/>
      <c r="P145" s="36"/>
      <c r="Q145" s="36"/>
      <c r="R145" s="36"/>
      <c r="S145" s="36"/>
    </row>
    <row r="146" spans="3:19" ht="12">
      <c r="C146" s="369"/>
      <c r="D146" s="840" t="str">
        <f>'Payroll 19-20'!D146</f>
        <v>April M. Tilden</v>
      </c>
      <c r="E146" s="840">
        <f>'Payroll 22-23'!E146*(1+'Revenue Inputs'!R$27)</f>
        <v>1.1025</v>
      </c>
      <c r="F146" s="828">
        <f>'Payroll 22-23'!F146*(1+$I$4)</f>
        <v>63698.5780761024</v>
      </c>
      <c r="G146" s="322">
        <f>'Payroll 22-23'!G146</f>
        <v>12</v>
      </c>
      <c r="H146" s="319" t="str">
        <f>'Payroll 22-23'!H146</f>
        <v>y</v>
      </c>
      <c r="I146" s="320">
        <f t="shared" ref="I146:I164" si="83">F146*E146</f>
        <v>70227.682328902898</v>
      </c>
      <c r="J146" s="7">
        <f t="shared" ref="J146:J164" si="84">SUM(M146:S146)</f>
        <v>17395.403799565713</v>
      </c>
      <c r="K146" s="7">
        <f t="shared" ref="K146:K164" si="85">SUM(I146:J146)</f>
        <v>87623.086128468611</v>
      </c>
      <c r="L146" s="7"/>
      <c r="M146" s="8" t="s">
        <v>75</v>
      </c>
      <c r="N146" s="7">
        <f t="shared" ref="N146:N164" si="86">I146*$N$5</f>
        <v>0</v>
      </c>
      <c r="O146" s="8">
        <f>I146*$O$5</f>
        <v>4354.1163043919796</v>
      </c>
      <c r="P146" s="7">
        <f t="shared" ref="P146:P164" si="87">I146*$P$5</f>
        <v>1018.3013937690921</v>
      </c>
      <c r="Q146" s="7">
        <f t="shared" ref="Q146:Q164" si="88">IF(H146="y", $Q$5*E146, 0)</f>
        <v>10499.573548800003</v>
      </c>
      <c r="R146" s="7">
        <f t="shared" ref="R146:R164" si="89">IF($I146&gt;7000,7000*R$5,$I146*R$5)*E146</f>
        <v>540.22500000000014</v>
      </c>
      <c r="S146" s="7">
        <f t="shared" ref="S146:S164" si="90">S$5*$I146</f>
        <v>983.18755260464059</v>
      </c>
    </row>
    <row r="147" spans="3:19" ht="12">
      <c r="C147" s="369"/>
      <c r="D147" s="840" t="str">
        <f>'Payroll 19-20'!D147</f>
        <v>Christina D. McGuigan</v>
      </c>
      <c r="E147" s="840">
        <f>'Payroll 22-23'!E147*(1+'Revenue Inputs'!R$27)</f>
        <v>1.1025</v>
      </c>
      <c r="F147" s="828">
        <f>'Payroll 22-23'!F147*(1+$I$4)</f>
        <v>64920.959999999999</v>
      </c>
      <c r="G147" s="322">
        <f>'Payroll 22-23'!G147</f>
        <v>12</v>
      </c>
      <c r="H147" s="319" t="str">
        <f>'Payroll 22-23'!H147</f>
        <v>y</v>
      </c>
      <c r="I147" s="320">
        <f t="shared" si="83"/>
        <v>71575.358399999997</v>
      </c>
      <c r="J147" s="7">
        <f t="shared" ref="J147:J155" si="91">SUM(M147:S147)</f>
        <v>17517.368484000002</v>
      </c>
      <c r="K147" s="7">
        <f t="shared" ref="K147:K155" si="92">SUM(I147:J147)</f>
        <v>89092.726884000003</v>
      </c>
      <c r="L147" s="7"/>
      <c r="M147" s="8" t="s">
        <v>75</v>
      </c>
      <c r="N147" s="7">
        <f t="shared" ref="N147:N155" si="93">I147*$N$5</f>
        <v>0</v>
      </c>
      <c r="O147" s="8">
        <f t="shared" ref="O147:O150" si="94">I147*$O$5</f>
        <v>4437.6722208000001</v>
      </c>
      <c r="P147" s="7">
        <f t="shared" ref="P147:P155" si="95">I147*$P$5</f>
        <v>1037.8426968000001</v>
      </c>
      <c r="Q147" s="7">
        <f t="shared" si="88"/>
        <v>10499.573548800003</v>
      </c>
      <c r="R147" s="7">
        <f t="shared" si="89"/>
        <v>540.22500000000014</v>
      </c>
      <c r="S147" s="7">
        <f t="shared" si="90"/>
        <v>1002.0550175999999</v>
      </c>
    </row>
    <row r="148" spans="3:19" ht="12">
      <c r="C148" s="369"/>
      <c r="D148" s="840" t="str">
        <f>'Payroll 19-20'!D148</f>
        <v>Hughes J. Cano</v>
      </c>
      <c r="E148" s="840">
        <f>'Payroll 22-23'!E148*(1+'Revenue Inputs'!R$27)</f>
        <v>1.1025</v>
      </c>
      <c r="F148" s="828">
        <f>'Payroll 22-23'!F148*(1+$I$4)</f>
        <v>64920.959999999999</v>
      </c>
      <c r="G148" s="322">
        <f>'Payroll 22-23'!G148</f>
        <v>12</v>
      </c>
      <c r="H148" s="319" t="str">
        <f>'Payroll 22-23'!H148</f>
        <v>y</v>
      </c>
      <c r="I148" s="320">
        <f t="shared" si="83"/>
        <v>71575.358399999997</v>
      </c>
      <c r="J148" s="7">
        <f t="shared" si="91"/>
        <v>17517.368484000002</v>
      </c>
      <c r="K148" s="7">
        <f t="shared" si="92"/>
        <v>89092.726884000003</v>
      </c>
      <c r="L148" s="7"/>
      <c r="M148" s="8" t="s">
        <v>75</v>
      </c>
      <c r="N148" s="7">
        <f t="shared" si="93"/>
        <v>0</v>
      </c>
      <c r="O148" s="8">
        <f t="shared" si="94"/>
        <v>4437.6722208000001</v>
      </c>
      <c r="P148" s="7">
        <f t="shared" si="95"/>
        <v>1037.8426968000001</v>
      </c>
      <c r="Q148" s="7">
        <f t="shared" si="88"/>
        <v>10499.573548800003</v>
      </c>
      <c r="R148" s="7">
        <f t="shared" si="89"/>
        <v>540.22500000000014</v>
      </c>
      <c r="S148" s="7">
        <f>S$5*$I148</f>
        <v>1002.0550175999999</v>
      </c>
    </row>
    <row r="149" spans="3:19" ht="12">
      <c r="C149" s="369"/>
      <c r="D149" s="840" t="str">
        <f>'Payroll 19-20'!D149</f>
        <v>Jonathan J. Quijas</v>
      </c>
      <c r="E149" s="840">
        <f>'Payroll 22-23'!E149*(1+'Revenue Inputs'!R$27)</f>
        <v>1.1025</v>
      </c>
      <c r="F149" s="828">
        <f>'Payroll 22-23'!F149*(1+$I$4)</f>
        <v>64920.959999999999</v>
      </c>
      <c r="G149" s="322">
        <f>'Payroll 22-23'!G149</f>
        <v>12</v>
      </c>
      <c r="H149" s="319" t="str">
        <f>'Payroll 22-23'!H149</f>
        <v>y</v>
      </c>
      <c r="I149" s="320">
        <f t="shared" si="83"/>
        <v>71575.358399999997</v>
      </c>
      <c r="J149" s="7">
        <f t="shared" si="91"/>
        <v>17517.368484000002</v>
      </c>
      <c r="K149" s="7">
        <f t="shared" si="92"/>
        <v>89092.726884000003</v>
      </c>
      <c r="L149" s="7"/>
      <c r="M149" s="8" t="s">
        <v>75</v>
      </c>
      <c r="N149" s="7">
        <f t="shared" si="93"/>
        <v>0</v>
      </c>
      <c r="O149" s="8">
        <f t="shared" si="94"/>
        <v>4437.6722208000001</v>
      </c>
      <c r="P149" s="7">
        <f t="shared" si="95"/>
        <v>1037.8426968000001</v>
      </c>
      <c r="Q149" s="7">
        <f t="shared" si="88"/>
        <v>10499.573548800003</v>
      </c>
      <c r="R149" s="7">
        <f t="shared" si="89"/>
        <v>540.22500000000014</v>
      </c>
      <c r="S149" s="7">
        <f>S$5*$I149</f>
        <v>1002.0550175999999</v>
      </c>
    </row>
    <row r="150" spans="3:19" ht="12">
      <c r="C150" s="368"/>
      <c r="D150" s="840" t="str">
        <f>'Payroll 19-20'!D150</f>
        <v>Angela Churilla</v>
      </c>
      <c r="E150" s="840">
        <f>'Payroll 22-23'!E150*(1+'Revenue Inputs'!R$27)</f>
        <v>1.1025</v>
      </c>
      <c r="F150" s="828">
        <f>'Payroll 22-23'!F150*(1+$I$4)</f>
        <v>40664.984576025607</v>
      </c>
      <c r="G150" s="322">
        <f>'Payroll 22-23'!G150</f>
        <v>12</v>
      </c>
      <c r="H150" s="319" t="str">
        <f>'Payroll 22-23'!H150</f>
        <v>y</v>
      </c>
      <c r="I150" s="320">
        <f t="shared" si="83"/>
        <v>44833.145495068231</v>
      </c>
      <c r="J150" s="7">
        <f t="shared" si="91"/>
        <v>15097.198216103678</v>
      </c>
      <c r="K150" s="7">
        <f t="shared" si="92"/>
        <v>59930.34371117191</v>
      </c>
      <c r="L150" s="7"/>
      <c r="M150" s="8" t="s">
        <v>75</v>
      </c>
      <c r="N150" s="7">
        <f t="shared" si="93"/>
        <v>0</v>
      </c>
      <c r="O150" s="8">
        <f t="shared" si="94"/>
        <v>2779.6550206942302</v>
      </c>
      <c r="P150" s="7">
        <f t="shared" si="95"/>
        <v>650.0806096784894</v>
      </c>
      <c r="Q150" s="7">
        <f t="shared" si="88"/>
        <v>10499.573548800003</v>
      </c>
      <c r="R150" s="7">
        <f t="shared" si="89"/>
        <v>540.22500000000014</v>
      </c>
      <c r="S150" s="7">
        <f t="shared" si="90"/>
        <v>627.66403693095526</v>
      </c>
    </row>
    <row r="151" spans="3:19" ht="12">
      <c r="C151" s="369"/>
      <c r="D151" s="840" t="str">
        <f>'Payroll 19-20'!D151</f>
        <v>Melinda K. Radsliff</v>
      </c>
      <c r="E151" s="840">
        <f>'Payroll 22-23'!E151*(1+'Revenue Inputs'!R$27)</f>
        <v>1.1025</v>
      </c>
      <c r="F151" s="828">
        <f>'Payroll 22-23'!F151*(1+$I$4)</f>
        <v>64920.959999999999</v>
      </c>
      <c r="G151" s="322">
        <f>'Payroll 22-23'!G151</f>
        <v>12</v>
      </c>
      <c r="H151" s="319" t="str">
        <f>'Payroll 22-23'!H151</f>
        <v>y</v>
      </c>
      <c r="I151" s="320">
        <f t="shared" si="83"/>
        <v>71575.358399999997</v>
      </c>
      <c r="J151" s="7">
        <f t="shared" si="91"/>
        <v>17517.368484000002</v>
      </c>
      <c r="K151" s="7">
        <f t="shared" si="92"/>
        <v>89092.726884000003</v>
      </c>
      <c r="L151" s="7"/>
      <c r="M151" s="8" t="s">
        <v>75</v>
      </c>
      <c r="N151" s="7">
        <f t="shared" si="93"/>
        <v>0</v>
      </c>
      <c r="O151" s="8">
        <f>I151*$O$5</f>
        <v>4437.6722208000001</v>
      </c>
      <c r="P151" s="7">
        <f t="shared" si="95"/>
        <v>1037.8426968000001</v>
      </c>
      <c r="Q151" s="7">
        <f t="shared" si="88"/>
        <v>10499.573548800003</v>
      </c>
      <c r="R151" s="7">
        <f t="shared" si="89"/>
        <v>540.22500000000014</v>
      </c>
      <c r="S151" s="7">
        <f t="shared" si="90"/>
        <v>1002.0550175999999</v>
      </c>
    </row>
    <row r="152" spans="3:19" ht="12">
      <c r="C152" s="369"/>
      <c r="D152" s="840">
        <f>'Payroll 19-20'!D152</f>
        <v>0</v>
      </c>
      <c r="E152" s="840">
        <f>'Payroll 22-23'!E152*(1+'Revenue Inputs'!R$27)</f>
        <v>0</v>
      </c>
      <c r="F152" s="828">
        <f>'Payroll 22-23'!F152*(1+$I$4)</f>
        <v>0</v>
      </c>
      <c r="G152" s="322">
        <f>'Payroll 22-23'!G152</f>
        <v>0</v>
      </c>
      <c r="H152" s="319">
        <f>'Payroll 22-23'!H152</f>
        <v>0</v>
      </c>
      <c r="I152" s="320">
        <f t="shared" si="83"/>
        <v>0</v>
      </c>
      <c r="J152" s="7">
        <f t="shared" si="91"/>
        <v>0</v>
      </c>
      <c r="K152" s="7">
        <f t="shared" si="92"/>
        <v>0</v>
      </c>
      <c r="L152" s="7"/>
      <c r="M152" s="8" t="s">
        <v>75</v>
      </c>
      <c r="N152" s="7">
        <f t="shared" si="93"/>
        <v>0</v>
      </c>
      <c r="O152" s="8">
        <f t="shared" ref="O152:O155" si="96">I152*$O$5</f>
        <v>0</v>
      </c>
      <c r="P152" s="7">
        <f t="shared" si="95"/>
        <v>0</v>
      </c>
      <c r="Q152" s="7">
        <f t="shared" si="88"/>
        <v>0</v>
      </c>
      <c r="R152" s="7">
        <f t="shared" si="89"/>
        <v>0</v>
      </c>
      <c r="S152" s="7">
        <f t="shared" si="90"/>
        <v>0</v>
      </c>
    </row>
    <row r="153" spans="3:19" ht="12">
      <c r="C153" s="369"/>
      <c r="D153" s="840">
        <f>'Payroll 19-20'!D153</f>
        <v>0</v>
      </c>
      <c r="E153" s="840">
        <f>'Payroll 22-23'!E153*(1+'Revenue Inputs'!R$27)</f>
        <v>0</v>
      </c>
      <c r="F153" s="828">
        <f>'Payroll 22-23'!F153*(1+$I$4)</f>
        <v>0</v>
      </c>
      <c r="G153" s="322">
        <f>'Payroll 22-23'!G153</f>
        <v>0</v>
      </c>
      <c r="H153" s="319">
        <f>'Payroll 22-23'!H153</f>
        <v>0</v>
      </c>
      <c r="I153" s="320">
        <f t="shared" si="83"/>
        <v>0</v>
      </c>
      <c r="J153" s="7">
        <f t="shared" si="91"/>
        <v>0</v>
      </c>
      <c r="K153" s="7">
        <f t="shared" si="92"/>
        <v>0</v>
      </c>
      <c r="L153" s="7"/>
      <c r="M153" s="8" t="s">
        <v>75</v>
      </c>
      <c r="N153" s="7">
        <f t="shared" si="93"/>
        <v>0</v>
      </c>
      <c r="O153" s="8">
        <f t="shared" si="96"/>
        <v>0</v>
      </c>
      <c r="P153" s="7">
        <f t="shared" si="95"/>
        <v>0</v>
      </c>
      <c r="Q153" s="7">
        <f t="shared" si="88"/>
        <v>0</v>
      </c>
      <c r="R153" s="7">
        <f t="shared" si="89"/>
        <v>0</v>
      </c>
      <c r="S153" s="7">
        <f>S$5*$I153</f>
        <v>0</v>
      </c>
    </row>
    <row r="154" spans="3:19" ht="12">
      <c r="C154" s="369"/>
      <c r="D154" s="840">
        <f>'Payroll 19-20'!D154</f>
        <v>0</v>
      </c>
      <c r="E154" s="840">
        <f>'Payroll 22-23'!E154*(1+'Revenue Inputs'!R$27)</f>
        <v>0</v>
      </c>
      <c r="F154" s="828">
        <f>'Payroll 22-23'!F154*(1+$I$4)</f>
        <v>0</v>
      </c>
      <c r="G154" s="322">
        <f>'Payroll 22-23'!G154</f>
        <v>0</v>
      </c>
      <c r="H154" s="319">
        <f>'Payroll 22-23'!H154</f>
        <v>0</v>
      </c>
      <c r="I154" s="320">
        <f t="shared" si="83"/>
        <v>0</v>
      </c>
      <c r="J154" s="7">
        <f t="shared" si="91"/>
        <v>0</v>
      </c>
      <c r="K154" s="7">
        <f t="shared" si="92"/>
        <v>0</v>
      </c>
      <c r="L154" s="7"/>
      <c r="M154" s="8" t="s">
        <v>75</v>
      </c>
      <c r="N154" s="7">
        <f t="shared" si="93"/>
        <v>0</v>
      </c>
      <c r="O154" s="8">
        <f t="shared" si="96"/>
        <v>0</v>
      </c>
      <c r="P154" s="7">
        <f t="shared" si="95"/>
        <v>0</v>
      </c>
      <c r="Q154" s="7">
        <f t="shared" si="88"/>
        <v>0</v>
      </c>
      <c r="R154" s="7">
        <f t="shared" si="89"/>
        <v>0</v>
      </c>
      <c r="S154" s="7">
        <f>S$5*$I154</f>
        <v>0</v>
      </c>
    </row>
    <row r="155" spans="3:19" ht="12">
      <c r="C155" s="368"/>
      <c r="D155" s="840">
        <f>'Payroll 19-20'!D155</f>
        <v>0</v>
      </c>
      <c r="E155" s="840">
        <f>'Payroll 22-23'!E155*(1+'Revenue Inputs'!R$27)</f>
        <v>0</v>
      </c>
      <c r="F155" s="828">
        <f>'Payroll 22-23'!F155*(1+$I$4)</f>
        <v>0</v>
      </c>
      <c r="G155" s="322">
        <f>'Payroll 22-23'!G155</f>
        <v>0</v>
      </c>
      <c r="H155" s="319">
        <f>'Payroll 22-23'!H155</f>
        <v>0</v>
      </c>
      <c r="I155" s="320">
        <f t="shared" si="83"/>
        <v>0</v>
      </c>
      <c r="J155" s="7">
        <f t="shared" si="91"/>
        <v>0</v>
      </c>
      <c r="K155" s="7">
        <f t="shared" si="92"/>
        <v>0</v>
      </c>
      <c r="L155" s="7"/>
      <c r="M155" s="8" t="s">
        <v>75</v>
      </c>
      <c r="N155" s="7">
        <f t="shared" si="93"/>
        <v>0</v>
      </c>
      <c r="O155" s="8">
        <f t="shared" si="96"/>
        <v>0</v>
      </c>
      <c r="P155" s="7">
        <f t="shared" si="95"/>
        <v>0</v>
      </c>
      <c r="Q155" s="7">
        <f t="shared" si="88"/>
        <v>0</v>
      </c>
      <c r="R155" s="7">
        <f>IF($I155&lt;7000,7000*R$5,$I155*R$5)*E155</f>
        <v>0</v>
      </c>
      <c r="S155" s="7">
        <f t="shared" si="90"/>
        <v>0</v>
      </c>
    </row>
    <row r="156" spans="3:19" ht="12">
      <c r="C156" s="369"/>
      <c r="D156" s="840">
        <f>'Payroll 19-20'!D156</f>
        <v>0</v>
      </c>
      <c r="E156" s="840">
        <f>'Payroll 22-23'!E156*(1+'Revenue Inputs'!R$27)</f>
        <v>0</v>
      </c>
      <c r="F156" s="828">
        <f>'Payroll 22-23'!F156*(1+$I$4)</f>
        <v>0</v>
      </c>
      <c r="G156" s="322">
        <f>'Payroll 22-23'!G156</f>
        <v>0</v>
      </c>
      <c r="H156" s="319">
        <f>'Payroll 22-23'!H156</f>
        <v>0</v>
      </c>
      <c r="I156" s="320">
        <f t="shared" si="83"/>
        <v>0</v>
      </c>
      <c r="J156" s="7">
        <f t="shared" si="84"/>
        <v>0</v>
      </c>
      <c r="K156" s="7">
        <f t="shared" si="85"/>
        <v>0</v>
      </c>
      <c r="L156" s="7"/>
      <c r="M156" s="8" t="s">
        <v>75</v>
      </c>
      <c r="N156" s="7">
        <f t="shared" si="86"/>
        <v>0</v>
      </c>
      <c r="O156" s="8">
        <f t="shared" ref="O156:O159" si="97">I156*$O$5</f>
        <v>0</v>
      </c>
      <c r="P156" s="7">
        <f t="shared" si="87"/>
        <v>0</v>
      </c>
      <c r="Q156" s="7">
        <f t="shared" si="88"/>
        <v>0</v>
      </c>
      <c r="R156" s="7">
        <f t="shared" si="89"/>
        <v>0</v>
      </c>
      <c r="S156" s="7">
        <f t="shared" si="90"/>
        <v>0</v>
      </c>
    </row>
    <row r="157" spans="3:19" ht="12">
      <c r="C157" s="369"/>
      <c r="D157" s="840">
        <f>'Payroll 19-20'!D157</f>
        <v>0</v>
      </c>
      <c r="E157" s="840">
        <f>'Payroll 22-23'!E157*(1+'Revenue Inputs'!R$27)</f>
        <v>0</v>
      </c>
      <c r="F157" s="828">
        <f>'Payroll 22-23'!F157*(1+$I$4)</f>
        <v>0</v>
      </c>
      <c r="G157" s="322">
        <f>'Payroll 22-23'!G157</f>
        <v>0</v>
      </c>
      <c r="H157" s="319">
        <f>'Payroll 22-23'!H157</f>
        <v>0</v>
      </c>
      <c r="I157" s="320">
        <f t="shared" si="83"/>
        <v>0</v>
      </c>
      <c r="J157" s="7">
        <f t="shared" si="84"/>
        <v>0</v>
      </c>
      <c r="K157" s="7">
        <f t="shared" si="85"/>
        <v>0</v>
      </c>
      <c r="L157" s="7"/>
      <c r="M157" s="8" t="s">
        <v>75</v>
      </c>
      <c r="N157" s="7">
        <f t="shared" si="86"/>
        <v>0</v>
      </c>
      <c r="O157" s="8">
        <f t="shared" si="97"/>
        <v>0</v>
      </c>
      <c r="P157" s="7">
        <f t="shared" si="87"/>
        <v>0</v>
      </c>
      <c r="Q157" s="7">
        <f t="shared" si="88"/>
        <v>0</v>
      </c>
      <c r="R157" s="7">
        <f t="shared" si="89"/>
        <v>0</v>
      </c>
      <c r="S157" s="7">
        <f>S$5*$I157</f>
        <v>0</v>
      </c>
    </row>
    <row r="158" spans="3:19" ht="12">
      <c r="C158" s="369"/>
      <c r="D158" s="840">
        <f>'Payroll 19-20'!D158</f>
        <v>0</v>
      </c>
      <c r="E158" s="840">
        <f>'Payroll 22-23'!E158*(1+'Revenue Inputs'!R$27)</f>
        <v>0</v>
      </c>
      <c r="F158" s="828">
        <f>'Payroll 22-23'!F158*(1+$I$4)</f>
        <v>0</v>
      </c>
      <c r="G158" s="322">
        <f>'Payroll 22-23'!G158</f>
        <v>0</v>
      </c>
      <c r="H158" s="319">
        <f>'Payroll 22-23'!H158</f>
        <v>0</v>
      </c>
      <c r="I158" s="320">
        <f t="shared" si="83"/>
        <v>0</v>
      </c>
      <c r="J158" s="7">
        <f t="shared" si="84"/>
        <v>0</v>
      </c>
      <c r="K158" s="7">
        <f t="shared" si="85"/>
        <v>0</v>
      </c>
      <c r="L158" s="7"/>
      <c r="M158" s="8" t="s">
        <v>75</v>
      </c>
      <c r="N158" s="7">
        <f t="shared" si="86"/>
        <v>0</v>
      </c>
      <c r="O158" s="8">
        <f t="shared" si="97"/>
        <v>0</v>
      </c>
      <c r="P158" s="7">
        <f t="shared" si="87"/>
        <v>0</v>
      </c>
      <c r="Q158" s="7">
        <f t="shared" si="88"/>
        <v>0</v>
      </c>
      <c r="R158" s="7">
        <f t="shared" si="89"/>
        <v>0</v>
      </c>
      <c r="S158" s="7">
        <f>S$5*$I158</f>
        <v>0</v>
      </c>
    </row>
    <row r="159" spans="3:19" ht="12">
      <c r="C159" s="368"/>
      <c r="D159" s="840">
        <f>'Payroll 19-20'!D159</f>
        <v>0</v>
      </c>
      <c r="E159" s="840">
        <f>'Payroll 22-23'!E159*(1+'Revenue Inputs'!R$27)</f>
        <v>0</v>
      </c>
      <c r="F159" s="828">
        <f>'Payroll 22-23'!F159*(1+$I$4)</f>
        <v>0</v>
      </c>
      <c r="G159" s="322">
        <f>'Payroll 22-23'!G159</f>
        <v>0</v>
      </c>
      <c r="H159" s="319">
        <f>'Payroll 22-23'!H159</f>
        <v>0</v>
      </c>
      <c r="I159" s="320">
        <f t="shared" si="83"/>
        <v>0</v>
      </c>
      <c r="J159" s="7">
        <f t="shared" si="84"/>
        <v>0</v>
      </c>
      <c r="K159" s="7">
        <f t="shared" si="85"/>
        <v>0</v>
      </c>
      <c r="L159" s="7"/>
      <c r="M159" s="8" t="s">
        <v>75</v>
      </c>
      <c r="N159" s="7">
        <f t="shared" si="86"/>
        <v>0</v>
      </c>
      <c r="O159" s="8">
        <f t="shared" si="97"/>
        <v>0</v>
      </c>
      <c r="P159" s="7">
        <f t="shared" si="87"/>
        <v>0</v>
      </c>
      <c r="Q159" s="7">
        <f t="shared" si="88"/>
        <v>0</v>
      </c>
      <c r="R159" s="7">
        <f t="shared" si="89"/>
        <v>0</v>
      </c>
      <c r="S159" s="7">
        <f t="shared" si="90"/>
        <v>0</v>
      </c>
    </row>
    <row r="160" spans="3:19" ht="12">
      <c r="C160" s="369"/>
      <c r="D160" s="840">
        <f>'Payroll 19-20'!D160</f>
        <v>0</v>
      </c>
      <c r="E160" s="840">
        <f>'Payroll 22-23'!E160*(1+'Revenue Inputs'!R$27)</f>
        <v>0</v>
      </c>
      <c r="F160" s="828">
        <f>'Payroll 22-23'!F160*(1+$I$4)</f>
        <v>0</v>
      </c>
      <c r="G160" s="322">
        <f>'Payroll 22-23'!G160</f>
        <v>0</v>
      </c>
      <c r="H160" s="319">
        <f>'Payroll 22-23'!H160</f>
        <v>0</v>
      </c>
      <c r="I160" s="320">
        <f t="shared" si="83"/>
        <v>0</v>
      </c>
      <c r="J160" s="7">
        <f t="shared" si="84"/>
        <v>0</v>
      </c>
      <c r="K160" s="7">
        <f t="shared" si="85"/>
        <v>0</v>
      </c>
      <c r="L160" s="7"/>
      <c r="M160" s="8" t="s">
        <v>75</v>
      </c>
      <c r="N160" s="7">
        <f t="shared" si="86"/>
        <v>0</v>
      </c>
      <c r="O160" s="8">
        <f>I160*$O$5</f>
        <v>0</v>
      </c>
      <c r="P160" s="7">
        <f t="shared" si="87"/>
        <v>0</v>
      </c>
      <c r="Q160" s="7">
        <f t="shared" si="88"/>
        <v>0</v>
      </c>
      <c r="R160" s="7">
        <f t="shared" si="89"/>
        <v>0</v>
      </c>
      <c r="S160" s="7">
        <f t="shared" si="90"/>
        <v>0</v>
      </c>
    </row>
    <row r="161" spans="3:19" ht="12">
      <c r="C161" s="369"/>
      <c r="D161" s="840">
        <f>'Payroll 19-20'!D161</f>
        <v>0</v>
      </c>
      <c r="E161" s="840">
        <f>'Payroll 22-23'!E161*(1+'Revenue Inputs'!R$27)</f>
        <v>0</v>
      </c>
      <c r="F161" s="828">
        <f>'Payroll 22-23'!F161*(1+$I$4)</f>
        <v>0</v>
      </c>
      <c r="G161" s="322">
        <f>'Payroll 22-23'!G161</f>
        <v>0</v>
      </c>
      <c r="H161" s="319">
        <f>'Payroll 22-23'!H161</f>
        <v>0</v>
      </c>
      <c r="I161" s="320">
        <f t="shared" si="83"/>
        <v>0</v>
      </c>
      <c r="J161" s="7">
        <f t="shared" si="84"/>
        <v>0</v>
      </c>
      <c r="K161" s="7">
        <f t="shared" si="85"/>
        <v>0</v>
      </c>
      <c r="L161" s="7"/>
      <c r="M161" s="8" t="s">
        <v>75</v>
      </c>
      <c r="N161" s="7">
        <f t="shared" si="86"/>
        <v>0</v>
      </c>
      <c r="O161" s="8">
        <f t="shared" ref="O161:O164" si="98">I161*$O$5</f>
        <v>0</v>
      </c>
      <c r="P161" s="7">
        <f t="shared" si="87"/>
        <v>0</v>
      </c>
      <c r="Q161" s="7">
        <f t="shared" si="88"/>
        <v>0</v>
      </c>
      <c r="R161" s="7">
        <f t="shared" si="89"/>
        <v>0</v>
      </c>
      <c r="S161" s="7">
        <f t="shared" si="90"/>
        <v>0</v>
      </c>
    </row>
    <row r="162" spans="3:19" ht="12">
      <c r="C162" s="369"/>
      <c r="D162" s="840">
        <f>'Payroll 19-20'!D162</f>
        <v>0</v>
      </c>
      <c r="E162" s="840">
        <f>'Payroll 22-23'!E162*(1+'Revenue Inputs'!R$27)</f>
        <v>0</v>
      </c>
      <c r="F162" s="828">
        <f>'Payroll 22-23'!F162*(1+$I$4)</f>
        <v>0</v>
      </c>
      <c r="G162" s="322">
        <f>'Payroll 22-23'!G162</f>
        <v>0</v>
      </c>
      <c r="H162" s="319">
        <f>'Payroll 22-23'!H162</f>
        <v>0</v>
      </c>
      <c r="I162" s="320">
        <f t="shared" si="83"/>
        <v>0</v>
      </c>
      <c r="J162" s="7">
        <f t="shared" si="84"/>
        <v>0</v>
      </c>
      <c r="K162" s="7">
        <f t="shared" si="85"/>
        <v>0</v>
      </c>
      <c r="L162" s="7"/>
      <c r="M162" s="8" t="s">
        <v>75</v>
      </c>
      <c r="N162" s="7">
        <f t="shared" si="86"/>
        <v>0</v>
      </c>
      <c r="O162" s="8">
        <f t="shared" si="98"/>
        <v>0</v>
      </c>
      <c r="P162" s="7">
        <f t="shared" si="87"/>
        <v>0</v>
      </c>
      <c r="Q162" s="7">
        <f t="shared" si="88"/>
        <v>0</v>
      </c>
      <c r="R162" s="7">
        <f t="shared" si="89"/>
        <v>0</v>
      </c>
      <c r="S162" s="7">
        <f>S$5*$I162</f>
        <v>0</v>
      </c>
    </row>
    <row r="163" spans="3:19" ht="12">
      <c r="C163" s="369"/>
      <c r="D163" s="840">
        <f>'Payroll 19-20'!D163</f>
        <v>0</v>
      </c>
      <c r="E163" s="840">
        <f>'Payroll 22-23'!E163*(1+'Revenue Inputs'!R$27)</f>
        <v>0</v>
      </c>
      <c r="F163" s="828">
        <f>'Payroll 22-23'!F163*(1+$I$4)</f>
        <v>0</v>
      </c>
      <c r="G163" s="322">
        <f>'Payroll 22-23'!G163</f>
        <v>0</v>
      </c>
      <c r="H163" s="319">
        <f>'Payroll 22-23'!H163</f>
        <v>0</v>
      </c>
      <c r="I163" s="320">
        <f t="shared" si="83"/>
        <v>0</v>
      </c>
      <c r="J163" s="7">
        <f t="shared" si="84"/>
        <v>0</v>
      </c>
      <c r="K163" s="7">
        <f t="shared" si="85"/>
        <v>0</v>
      </c>
      <c r="L163" s="7"/>
      <c r="M163" s="8" t="s">
        <v>75</v>
      </c>
      <c r="N163" s="7">
        <f t="shared" si="86"/>
        <v>0</v>
      </c>
      <c r="O163" s="8">
        <f t="shared" si="98"/>
        <v>0</v>
      </c>
      <c r="P163" s="7">
        <f t="shared" si="87"/>
        <v>0</v>
      </c>
      <c r="Q163" s="7">
        <f t="shared" si="88"/>
        <v>0</v>
      </c>
      <c r="R163" s="7">
        <f t="shared" si="89"/>
        <v>0</v>
      </c>
      <c r="S163" s="7">
        <f>S$5*$I163</f>
        <v>0</v>
      </c>
    </row>
    <row r="164" spans="3:19" ht="12">
      <c r="C164" s="368"/>
      <c r="D164" s="840">
        <f>'Payroll 19-20'!D164</f>
        <v>0</v>
      </c>
      <c r="E164" s="840">
        <f>'Payroll 22-23'!E164*(1+'Revenue Inputs'!R$27)</f>
        <v>0</v>
      </c>
      <c r="F164" s="828">
        <f>'Payroll 22-23'!F164*(1+$I$4)</f>
        <v>0</v>
      </c>
      <c r="G164" s="322">
        <f>'Payroll 22-23'!G164</f>
        <v>0</v>
      </c>
      <c r="H164" s="319">
        <f>'Payroll 22-23'!H164</f>
        <v>0</v>
      </c>
      <c r="I164" s="320">
        <f t="shared" si="83"/>
        <v>0</v>
      </c>
      <c r="J164" s="7">
        <f t="shared" si="84"/>
        <v>0</v>
      </c>
      <c r="K164" s="7">
        <f t="shared" si="85"/>
        <v>0</v>
      </c>
      <c r="L164" s="7"/>
      <c r="M164" s="8" t="s">
        <v>75</v>
      </c>
      <c r="N164" s="7">
        <f t="shared" si="86"/>
        <v>0</v>
      </c>
      <c r="O164" s="8">
        <f t="shared" si="98"/>
        <v>0</v>
      </c>
      <c r="P164" s="7">
        <f t="shared" si="87"/>
        <v>0</v>
      </c>
      <c r="Q164" s="7">
        <f t="shared" si="88"/>
        <v>0</v>
      </c>
      <c r="R164" s="7">
        <f t="shared" si="89"/>
        <v>0</v>
      </c>
      <c r="S164" s="7">
        <f t="shared" si="90"/>
        <v>0</v>
      </c>
    </row>
    <row r="165" spans="3:19" ht="13" thickBot="1">
      <c r="C165" s="368"/>
      <c r="D165" s="841"/>
      <c r="E165" s="841"/>
      <c r="F165" s="841"/>
      <c r="G165" s="28"/>
      <c r="H165" s="427"/>
      <c r="I165" s="337"/>
      <c r="J165" s="40"/>
      <c r="K165" s="40"/>
      <c r="L165" s="40"/>
      <c r="M165" s="40"/>
      <c r="N165" s="40"/>
      <c r="O165" s="40"/>
      <c r="P165" s="40"/>
      <c r="Q165" s="40"/>
      <c r="R165" s="40"/>
      <c r="S165" s="40"/>
    </row>
    <row r="166" spans="3:19" s="41" customFormat="1" ht="13" thickBot="1">
      <c r="C166" s="368"/>
      <c r="D166" s="847"/>
      <c r="E166" s="847"/>
      <c r="F166" s="834"/>
      <c r="G166" s="49"/>
      <c r="H166" s="333">
        <v>2100</v>
      </c>
      <c r="I166" s="10">
        <f>SUM(I146:I165)</f>
        <v>401362.26142397115</v>
      </c>
      <c r="J166" s="10">
        <f>SUM(J146:J165)</f>
        <v>102562.07595166941</v>
      </c>
      <c r="K166" s="10">
        <f>SUM(K146:K165)</f>
        <v>503924.33737564052</v>
      </c>
      <c r="L166" s="11"/>
      <c r="M166" s="10">
        <f t="shared" ref="M166:S166" si="99">SUM(M146:M165)</f>
        <v>0</v>
      </c>
      <c r="N166" s="10">
        <f t="shared" si="99"/>
        <v>0</v>
      </c>
      <c r="O166" s="10">
        <f t="shared" si="99"/>
        <v>24884.460208286207</v>
      </c>
      <c r="P166" s="10">
        <f t="shared" si="99"/>
        <v>5819.7527906475825</v>
      </c>
      <c r="Q166" s="10">
        <f t="shared" si="99"/>
        <v>62997.441292800024</v>
      </c>
      <c r="R166" s="10">
        <f t="shared" si="99"/>
        <v>3241.3500000000013</v>
      </c>
      <c r="S166" s="10">
        <f t="shared" si="99"/>
        <v>5619.0716599355956</v>
      </c>
    </row>
    <row r="167" spans="3:19" ht="12" customHeight="1">
      <c r="C167" s="369" t="s">
        <v>21</v>
      </c>
      <c r="D167" s="848"/>
      <c r="E167" s="848"/>
      <c r="F167" s="835"/>
      <c r="G167" s="28"/>
      <c r="H167" s="35"/>
      <c r="I167" s="7"/>
      <c r="J167" s="7"/>
      <c r="K167" s="7"/>
      <c r="L167" s="7"/>
      <c r="M167" s="36"/>
      <c r="N167" s="36"/>
      <c r="O167" s="36"/>
      <c r="P167" s="36"/>
      <c r="Q167" s="36"/>
      <c r="R167" s="36"/>
      <c r="S167" s="36"/>
    </row>
    <row r="168" spans="3:19" ht="12">
      <c r="C168" s="369"/>
      <c r="D168" s="840">
        <f>'Payroll 19-20'!D168</f>
        <v>0</v>
      </c>
      <c r="E168" s="840">
        <f>'Payroll 22-23'!E168*(1+'Revenue Inputs'!R$27)</f>
        <v>0</v>
      </c>
      <c r="F168" s="828">
        <f>'Payroll 22-23'!F168*(1+$I$4)</f>
        <v>0</v>
      </c>
      <c r="G168" s="322">
        <f>'Payroll 22-23'!G168</f>
        <v>0</v>
      </c>
      <c r="H168" s="319">
        <f>'Payroll 22-23'!H168</f>
        <v>0</v>
      </c>
      <c r="I168" s="320">
        <f t="shared" ref="I168:I186" si="100">F168*E168</f>
        <v>0</v>
      </c>
      <c r="J168" s="7">
        <f t="shared" ref="J168:J186" si="101">SUM(M168:S168)</f>
        <v>0</v>
      </c>
      <c r="K168" s="7">
        <f t="shared" ref="K168:K186" si="102">SUM(I168:J168)</f>
        <v>0</v>
      </c>
      <c r="L168" s="7"/>
      <c r="M168" s="8" t="s">
        <v>75</v>
      </c>
      <c r="N168" s="7">
        <f t="shared" ref="N168:N186" si="103">I168*$N$5</f>
        <v>0</v>
      </c>
      <c r="O168" s="8">
        <f t="shared" ref="O168:O186" si="104">I168*$O$5</f>
        <v>0</v>
      </c>
      <c r="P168" s="7">
        <f t="shared" ref="P168:P186" si="105">I168*$P$5</f>
        <v>0</v>
      </c>
      <c r="Q168" s="7">
        <f t="shared" ref="Q168:Q186" si="106">IF(H168="y", $Q$5*E168, 0)</f>
        <v>0</v>
      </c>
      <c r="R168" s="7">
        <f t="shared" ref="R168:R186" si="107">IF($I168&gt;7000,7000*R$5,$I168*R$5)*E168</f>
        <v>0</v>
      </c>
      <c r="S168" s="7">
        <f t="shared" ref="S168:S186" si="108">S$5*$I168</f>
        <v>0</v>
      </c>
    </row>
    <row r="169" spans="3:19" ht="12">
      <c r="C169" s="369"/>
      <c r="D169" s="840">
        <f>'Payroll 19-20'!D169</f>
        <v>0</v>
      </c>
      <c r="E169" s="840">
        <f>'Payroll 22-23'!E169*(1+'Revenue Inputs'!R$27)</f>
        <v>0</v>
      </c>
      <c r="F169" s="828">
        <f>'Payroll 22-23'!F169*(1+$I$4)</f>
        <v>0</v>
      </c>
      <c r="G169" s="322">
        <f>'Payroll 22-23'!G169</f>
        <v>0</v>
      </c>
      <c r="H169" s="319">
        <f>'Payroll 22-23'!H169</f>
        <v>0</v>
      </c>
      <c r="I169" s="320">
        <f t="shared" si="100"/>
        <v>0</v>
      </c>
      <c r="J169" s="7">
        <f t="shared" ref="J169:J177" si="109">SUM(M169:S169)</f>
        <v>0</v>
      </c>
      <c r="K169" s="7">
        <f t="shared" ref="K169:K177" si="110">SUM(I169:J169)</f>
        <v>0</v>
      </c>
      <c r="L169" s="7"/>
      <c r="M169" s="8" t="s">
        <v>75</v>
      </c>
      <c r="N169" s="7">
        <f t="shared" ref="N169:N177" si="111">I169*$N$5</f>
        <v>0</v>
      </c>
      <c r="O169" s="8">
        <f t="shared" ref="O169:O177" si="112">I169*$O$5</f>
        <v>0</v>
      </c>
      <c r="P169" s="7">
        <f t="shared" ref="P169:P177" si="113">I169*$P$5</f>
        <v>0</v>
      </c>
      <c r="Q169" s="7">
        <f t="shared" si="106"/>
        <v>0</v>
      </c>
      <c r="R169" s="7">
        <f t="shared" si="107"/>
        <v>0</v>
      </c>
      <c r="S169" s="7">
        <f t="shared" si="108"/>
        <v>0</v>
      </c>
    </row>
    <row r="170" spans="3:19" ht="12">
      <c r="C170" s="369"/>
      <c r="D170" s="840">
        <f>'Payroll 19-20'!D170</f>
        <v>0</v>
      </c>
      <c r="E170" s="840">
        <f>'Payroll 22-23'!E170*(1+'Revenue Inputs'!R$27)</f>
        <v>0</v>
      </c>
      <c r="F170" s="828">
        <f>'Payroll 22-23'!F170*(1+$I$4)</f>
        <v>0</v>
      </c>
      <c r="G170" s="322">
        <f>'Payroll 22-23'!G170</f>
        <v>0</v>
      </c>
      <c r="H170" s="319">
        <f>'Payroll 22-23'!H170</f>
        <v>0</v>
      </c>
      <c r="I170" s="320">
        <f t="shared" si="100"/>
        <v>0</v>
      </c>
      <c r="J170" s="7">
        <f t="shared" si="109"/>
        <v>0</v>
      </c>
      <c r="K170" s="7">
        <f t="shared" si="110"/>
        <v>0</v>
      </c>
      <c r="L170" s="7"/>
      <c r="M170" s="8" t="s">
        <v>75</v>
      </c>
      <c r="N170" s="7">
        <f t="shared" si="111"/>
        <v>0</v>
      </c>
      <c r="O170" s="8">
        <f t="shared" si="112"/>
        <v>0</v>
      </c>
      <c r="P170" s="7">
        <f t="shared" si="113"/>
        <v>0</v>
      </c>
      <c r="Q170" s="7">
        <f t="shared" si="106"/>
        <v>0</v>
      </c>
      <c r="R170" s="7">
        <f t="shared" si="107"/>
        <v>0</v>
      </c>
      <c r="S170" s="7">
        <f t="shared" si="108"/>
        <v>0</v>
      </c>
    </row>
    <row r="171" spans="3:19" ht="12">
      <c r="C171" s="369"/>
      <c r="D171" s="840">
        <f>'Payroll 19-20'!D171</f>
        <v>0</v>
      </c>
      <c r="E171" s="840">
        <f>'Payroll 22-23'!E171*(1+'Revenue Inputs'!R$27)</f>
        <v>0</v>
      </c>
      <c r="F171" s="828">
        <f>'Payroll 22-23'!F171*(1+$I$4)</f>
        <v>0</v>
      </c>
      <c r="G171" s="322">
        <f>'Payroll 22-23'!G171</f>
        <v>0</v>
      </c>
      <c r="H171" s="319">
        <f>'Payroll 22-23'!H171</f>
        <v>0</v>
      </c>
      <c r="I171" s="320">
        <f t="shared" si="100"/>
        <v>0</v>
      </c>
      <c r="J171" s="7">
        <f t="shared" si="109"/>
        <v>0</v>
      </c>
      <c r="K171" s="7">
        <f t="shared" si="110"/>
        <v>0</v>
      </c>
      <c r="L171" s="7"/>
      <c r="M171" s="8" t="s">
        <v>75</v>
      </c>
      <c r="N171" s="7">
        <f t="shared" si="111"/>
        <v>0</v>
      </c>
      <c r="O171" s="8">
        <f t="shared" si="112"/>
        <v>0</v>
      </c>
      <c r="P171" s="7">
        <f t="shared" si="113"/>
        <v>0</v>
      </c>
      <c r="Q171" s="7">
        <f t="shared" si="106"/>
        <v>0</v>
      </c>
      <c r="R171" s="7">
        <f t="shared" si="107"/>
        <v>0</v>
      </c>
      <c r="S171" s="7">
        <f t="shared" si="108"/>
        <v>0</v>
      </c>
    </row>
    <row r="172" spans="3:19" ht="12">
      <c r="C172" s="368"/>
      <c r="D172" s="840">
        <f>'Payroll 19-20'!D172</f>
        <v>0</v>
      </c>
      <c r="E172" s="840">
        <f>'Payroll 22-23'!E172*(1+'Revenue Inputs'!R$27)</f>
        <v>0</v>
      </c>
      <c r="F172" s="828">
        <f>'Payroll 22-23'!F172*(1+$I$4)</f>
        <v>0</v>
      </c>
      <c r="G172" s="322">
        <f>'Payroll 22-23'!G172</f>
        <v>0</v>
      </c>
      <c r="H172" s="319">
        <f>'Payroll 22-23'!H172</f>
        <v>0</v>
      </c>
      <c r="I172" s="320">
        <f t="shared" si="100"/>
        <v>0</v>
      </c>
      <c r="J172" s="7">
        <f t="shared" si="109"/>
        <v>0</v>
      </c>
      <c r="K172" s="7">
        <f t="shared" si="110"/>
        <v>0</v>
      </c>
      <c r="L172" s="7"/>
      <c r="M172" s="8" t="s">
        <v>75</v>
      </c>
      <c r="N172" s="7">
        <f t="shared" si="111"/>
        <v>0</v>
      </c>
      <c r="O172" s="8">
        <f t="shared" si="112"/>
        <v>0</v>
      </c>
      <c r="P172" s="7">
        <f t="shared" si="113"/>
        <v>0</v>
      </c>
      <c r="Q172" s="7">
        <f t="shared" si="106"/>
        <v>0</v>
      </c>
      <c r="R172" s="7">
        <f t="shared" si="107"/>
        <v>0</v>
      </c>
      <c r="S172" s="7">
        <f t="shared" si="108"/>
        <v>0</v>
      </c>
    </row>
    <row r="173" spans="3:19" ht="12">
      <c r="C173" s="369"/>
      <c r="D173" s="840">
        <f>'Payroll 19-20'!D173</f>
        <v>0</v>
      </c>
      <c r="E173" s="840">
        <f>'Payroll 22-23'!E173*(1+'Revenue Inputs'!R$27)</f>
        <v>0</v>
      </c>
      <c r="F173" s="828">
        <f>'Payroll 22-23'!F173*(1+$I$4)</f>
        <v>0</v>
      </c>
      <c r="G173" s="322">
        <f>'Payroll 22-23'!G173</f>
        <v>0</v>
      </c>
      <c r="H173" s="319">
        <f>'Payroll 22-23'!H173</f>
        <v>0</v>
      </c>
      <c r="I173" s="320">
        <f t="shared" si="100"/>
        <v>0</v>
      </c>
      <c r="J173" s="7">
        <f t="shared" si="109"/>
        <v>0</v>
      </c>
      <c r="K173" s="7">
        <f t="shared" si="110"/>
        <v>0</v>
      </c>
      <c r="L173" s="7"/>
      <c r="M173" s="8" t="s">
        <v>75</v>
      </c>
      <c r="N173" s="7">
        <f t="shared" si="111"/>
        <v>0</v>
      </c>
      <c r="O173" s="8">
        <f t="shared" si="112"/>
        <v>0</v>
      </c>
      <c r="P173" s="7">
        <f t="shared" si="113"/>
        <v>0</v>
      </c>
      <c r="Q173" s="7">
        <f t="shared" si="106"/>
        <v>0</v>
      </c>
      <c r="R173" s="7">
        <f t="shared" si="107"/>
        <v>0</v>
      </c>
      <c r="S173" s="7">
        <f t="shared" si="108"/>
        <v>0</v>
      </c>
    </row>
    <row r="174" spans="3:19" ht="12">
      <c r="C174" s="369"/>
      <c r="D174" s="840">
        <f>'Payroll 19-20'!D174</f>
        <v>0</v>
      </c>
      <c r="E174" s="840">
        <f>'Payroll 22-23'!E174*(1+'Revenue Inputs'!R$27)</f>
        <v>0</v>
      </c>
      <c r="F174" s="828">
        <f>'Payroll 22-23'!F174*(1+$I$4)</f>
        <v>0</v>
      </c>
      <c r="G174" s="322">
        <f>'Payroll 22-23'!G174</f>
        <v>0</v>
      </c>
      <c r="H174" s="319">
        <f>'Payroll 22-23'!H174</f>
        <v>0</v>
      </c>
      <c r="I174" s="320">
        <f t="shared" si="100"/>
        <v>0</v>
      </c>
      <c r="J174" s="7">
        <f t="shared" si="109"/>
        <v>0</v>
      </c>
      <c r="K174" s="7">
        <f t="shared" si="110"/>
        <v>0</v>
      </c>
      <c r="L174" s="7"/>
      <c r="M174" s="8" t="s">
        <v>75</v>
      </c>
      <c r="N174" s="7">
        <f t="shared" si="111"/>
        <v>0</v>
      </c>
      <c r="O174" s="8">
        <f t="shared" si="112"/>
        <v>0</v>
      </c>
      <c r="P174" s="7">
        <f t="shared" si="113"/>
        <v>0</v>
      </c>
      <c r="Q174" s="7">
        <f t="shared" si="106"/>
        <v>0</v>
      </c>
      <c r="R174" s="7">
        <f t="shared" si="107"/>
        <v>0</v>
      </c>
      <c r="S174" s="7">
        <f t="shared" si="108"/>
        <v>0</v>
      </c>
    </row>
    <row r="175" spans="3:19" ht="12">
      <c r="C175" s="369"/>
      <c r="D175" s="840">
        <f>'Payroll 19-20'!D175</f>
        <v>0</v>
      </c>
      <c r="E175" s="840">
        <f>'Payroll 22-23'!E175*(1+'Revenue Inputs'!R$27)</f>
        <v>0</v>
      </c>
      <c r="F175" s="828">
        <f>'Payroll 22-23'!F175*(1+$I$4)</f>
        <v>0</v>
      </c>
      <c r="G175" s="322">
        <f>'Payroll 22-23'!G175</f>
        <v>0</v>
      </c>
      <c r="H175" s="319">
        <f>'Payroll 22-23'!H175</f>
        <v>0</v>
      </c>
      <c r="I175" s="320">
        <f t="shared" si="100"/>
        <v>0</v>
      </c>
      <c r="J175" s="7">
        <f t="shared" si="109"/>
        <v>0</v>
      </c>
      <c r="K175" s="7">
        <f t="shared" si="110"/>
        <v>0</v>
      </c>
      <c r="L175" s="7"/>
      <c r="M175" s="8" t="s">
        <v>75</v>
      </c>
      <c r="N175" s="7">
        <f t="shared" si="111"/>
        <v>0</v>
      </c>
      <c r="O175" s="8">
        <f t="shared" si="112"/>
        <v>0</v>
      </c>
      <c r="P175" s="7">
        <f t="shared" si="113"/>
        <v>0</v>
      </c>
      <c r="Q175" s="7">
        <f t="shared" si="106"/>
        <v>0</v>
      </c>
      <c r="R175" s="7">
        <f t="shared" si="107"/>
        <v>0</v>
      </c>
      <c r="S175" s="7">
        <f t="shared" si="108"/>
        <v>0</v>
      </c>
    </row>
    <row r="176" spans="3:19" ht="12">
      <c r="C176" s="369"/>
      <c r="D176" s="840">
        <f>'Payroll 19-20'!D176</f>
        <v>0</v>
      </c>
      <c r="E176" s="840">
        <f>'Payroll 22-23'!E176*(1+'Revenue Inputs'!R$27)</f>
        <v>0</v>
      </c>
      <c r="F176" s="828">
        <f>'Payroll 22-23'!F176*(1+$I$4)</f>
        <v>0</v>
      </c>
      <c r="G176" s="322">
        <f>'Payroll 22-23'!G176</f>
        <v>0</v>
      </c>
      <c r="H176" s="319">
        <f>'Payroll 22-23'!H176</f>
        <v>0</v>
      </c>
      <c r="I176" s="320">
        <f t="shared" si="100"/>
        <v>0</v>
      </c>
      <c r="J176" s="7">
        <f t="shared" si="109"/>
        <v>0</v>
      </c>
      <c r="K176" s="7">
        <f t="shared" si="110"/>
        <v>0</v>
      </c>
      <c r="L176" s="7"/>
      <c r="M176" s="8" t="s">
        <v>75</v>
      </c>
      <c r="N176" s="7">
        <f t="shared" si="111"/>
        <v>0</v>
      </c>
      <c r="O176" s="8">
        <f t="shared" si="112"/>
        <v>0</v>
      </c>
      <c r="P176" s="7">
        <f t="shared" si="113"/>
        <v>0</v>
      </c>
      <c r="Q176" s="7">
        <f t="shared" si="106"/>
        <v>0</v>
      </c>
      <c r="R176" s="7">
        <f t="shared" si="107"/>
        <v>0</v>
      </c>
      <c r="S176" s="7">
        <f t="shared" si="108"/>
        <v>0</v>
      </c>
    </row>
    <row r="177" spans="3:19" ht="12">
      <c r="C177" s="368"/>
      <c r="D177" s="840">
        <f>'Payroll 19-20'!D177</f>
        <v>0</v>
      </c>
      <c r="E177" s="840">
        <f>'Payroll 22-23'!E177*(1+'Revenue Inputs'!R$27)</f>
        <v>0</v>
      </c>
      <c r="F177" s="828">
        <f>'Payroll 22-23'!F177*(1+$I$4)</f>
        <v>0</v>
      </c>
      <c r="G177" s="322">
        <f>'Payroll 22-23'!G177</f>
        <v>0</v>
      </c>
      <c r="H177" s="319">
        <f>'Payroll 22-23'!H177</f>
        <v>0</v>
      </c>
      <c r="I177" s="320">
        <f t="shared" si="100"/>
        <v>0</v>
      </c>
      <c r="J177" s="7">
        <f t="shared" si="109"/>
        <v>0</v>
      </c>
      <c r="K177" s="7">
        <f t="shared" si="110"/>
        <v>0</v>
      </c>
      <c r="L177" s="7"/>
      <c r="M177" s="8" t="s">
        <v>75</v>
      </c>
      <c r="N177" s="7">
        <f t="shared" si="111"/>
        <v>0</v>
      </c>
      <c r="O177" s="8">
        <f t="shared" si="112"/>
        <v>0</v>
      </c>
      <c r="P177" s="7">
        <f t="shared" si="113"/>
        <v>0</v>
      </c>
      <c r="Q177" s="7">
        <f t="shared" si="106"/>
        <v>0</v>
      </c>
      <c r="R177" s="7">
        <f t="shared" si="107"/>
        <v>0</v>
      </c>
      <c r="S177" s="7">
        <f t="shared" si="108"/>
        <v>0</v>
      </c>
    </row>
    <row r="178" spans="3:19" ht="12">
      <c r="C178" s="369"/>
      <c r="D178" s="840">
        <f>'Payroll 19-20'!D178</f>
        <v>0</v>
      </c>
      <c r="E178" s="840">
        <f>'Payroll 22-23'!E178*(1+'Revenue Inputs'!R$27)</f>
        <v>0</v>
      </c>
      <c r="F178" s="828">
        <f>'Payroll 22-23'!F178*(1+$I$4)</f>
        <v>0</v>
      </c>
      <c r="G178" s="322">
        <f>'Payroll 22-23'!G178</f>
        <v>0</v>
      </c>
      <c r="H178" s="319">
        <f>'Payroll 22-23'!H178</f>
        <v>0</v>
      </c>
      <c r="I178" s="320">
        <f t="shared" si="100"/>
        <v>0</v>
      </c>
      <c r="J178" s="7">
        <f t="shared" si="101"/>
        <v>0</v>
      </c>
      <c r="K178" s="7">
        <f t="shared" si="102"/>
        <v>0</v>
      </c>
      <c r="L178" s="7"/>
      <c r="M178" s="8" t="s">
        <v>75</v>
      </c>
      <c r="N178" s="7">
        <f t="shared" si="103"/>
        <v>0</v>
      </c>
      <c r="O178" s="8">
        <f t="shared" si="104"/>
        <v>0</v>
      </c>
      <c r="P178" s="7">
        <f t="shared" si="105"/>
        <v>0</v>
      </c>
      <c r="Q178" s="7">
        <f t="shared" si="106"/>
        <v>0</v>
      </c>
      <c r="R178" s="7">
        <f t="shared" si="107"/>
        <v>0</v>
      </c>
      <c r="S178" s="7">
        <f t="shared" si="108"/>
        <v>0</v>
      </c>
    </row>
    <row r="179" spans="3:19" ht="12">
      <c r="C179" s="369"/>
      <c r="D179" s="840">
        <f>'Payroll 19-20'!D179</f>
        <v>0</v>
      </c>
      <c r="E179" s="840">
        <f>'Payroll 22-23'!E179*(1+'Revenue Inputs'!R$27)</f>
        <v>0</v>
      </c>
      <c r="F179" s="828">
        <f>'Payroll 22-23'!F179*(1+$I$4)</f>
        <v>0</v>
      </c>
      <c r="G179" s="322">
        <f>'Payroll 22-23'!G179</f>
        <v>0</v>
      </c>
      <c r="H179" s="319">
        <f>'Payroll 22-23'!H179</f>
        <v>0</v>
      </c>
      <c r="I179" s="320">
        <f t="shared" si="100"/>
        <v>0</v>
      </c>
      <c r="J179" s="7">
        <f t="shared" si="101"/>
        <v>0</v>
      </c>
      <c r="K179" s="7">
        <f t="shared" si="102"/>
        <v>0</v>
      </c>
      <c r="L179" s="7"/>
      <c r="M179" s="8" t="s">
        <v>75</v>
      </c>
      <c r="N179" s="7">
        <f t="shared" si="103"/>
        <v>0</v>
      </c>
      <c r="O179" s="8">
        <f t="shared" si="104"/>
        <v>0</v>
      </c>
      <c r="P179" s="7">
        <f t="shared" si="105"/>
        <v>0</v>
      </c>
      <c r="Q179" s="7">
        <f t="shared" si="106"/>
        <v>0</v>
      </c>
      <c r="R179" s="7">
        <f t="shared" si="107"/>
        <v>0</v>
      </c>
      <c r="S179" s="7">
        <f t="shared" si="108"/>
        <v>0</v>
      </c>
    </row>
    <row r="180" spans="3:19" ht="12">
      <c r="C180" s="369"/>
      <c r="D180" s="840">
        <f>'Payroll 19-20'!D180</f>
        <v>0</v>
      </c>
      <c r="E180" s="840">
        <f>'Payroll 22-23'!E180*(1+'Revenue Inputs'!R$27)</f>
        <v>0</v>
      </c>
      <c r="F180" s="828">
        <f>'Payroll 22-23'!F180*(1+$I$4)</f>
        <v>0</v>
      </c>
      <c r="G180" s="322">
        <f>'Payroll 22-23'!G180</f>
        <v>0</v>
      </c>
      <c r="H180" s="319">
        <f>'Payroll 22-23'!H180</f>
        <v>0</v>
      </c>
      <c r="I180" s="320">
        <f t="shared" si="100"/>
        <v>0</v>
      </c>
      <c r="J180" s="7">
        <f t="shared" si="101"/>
        <v>0</v>
      </c>
      <c r="K180" s="7">
        <f t="shared" si="102"/>
        <v>0</v>
      </c>
      <c r="L180" s="7"/>
      <c r="M180" s="8" t="s">
        <v>75</v>
      </c>
      <c r="N180" s="7">
        <f t="shared" si="103"/>
        <v>0</v>
      </c>
      <c r="O180" s="8">
        <f t="shared" si="104"/>
        <v>0</v>
      </c>
      <c r="P180" s="7">
        <f t="shared" si="105"/>
        <v>0</v>
      </c>
      <c r="Q180" s="7">
        <f t="shared" si="106"/>
        <v>0</v>
      </c>
      <c r="R180" s="7">
        <f t="shared" si="107"/>
        <v>0</v>
      </c>
      <c r="S180" s="7">
        <f t="shared" si="108"/>
        <v>0</v>
      </c>
    </row>
    <row r="181" spans="3:19" ht="12">
      <c r="C181" s="368"/>
      <c r="D181" s="840">
        <f>'Payroll 19-20'!D181</f>
        <v>0</v>
      </c>
      <c r="E181" s="840">
        <f>'Payroll 22-23'!E181*(1+'Revenue Inputs'!R$27)</f>
        <v>0</v>
      </c>
      <c r="F181" s="828">
        <f>'Payroll 22-23'!F181*(1+$I$4)</f>
        <v>0</v>
      </c>
      <c r="G181" s="322">
        <f>'Payroll 22-23'!G181</f>
        <v>0</v>
      </c>
      <c r="H181" s="319">
        <f>'Payroll 22-23'!H181</f>
        <v>0</v>
      </c>
      <c r="I181" s="320">
        <f t="shared" si="100"/>
        <v>0</v>
      </c>
      <c r="J181" s="7">
        <f t="shared" si="101"/>
        <v>0</v>
      </c>
      <c r="K181" s="7">
        <f t="shared" si="102"/>
        <v>0</v>
      </c>
      <c r="L181" s="7"/>
      <c r="M181" s="8" t="s">
        <v>75</v>
      </c>
      <c r="N181" s="7">
        <f t="shared" si="103"/>
        <v>0</v>
      </c>
      <c r="O181" s="8">
        <f t="shared" si="104"/>
        <v>0</v>
      </c>
      <c r="P181" s="7">
        <f t="shared" si="105"/>
        <v>0</v>
      </c>
      <c r="Q181" s="7">
        <f t="shared" si="106"/>
        <v>0</v>
      </c>
      <c r="R181" s="7">
        <f t="shared" si="107"/>
        <v>0</v>
      </c>
      <c r="S181" s="7">
        <f t="shared" si="108"/>
        <v>0</v>
      </c>
    </row>
    <row r="182" spans="3:19" ht="12">
      <c r="C182" s="369"/>
      <c r="D182" s="840">
        <f>'Payroll 19-20'!D182</f>
        <v>0</v>
      </c>
      <c r="E182" s="840">
        <f>'Payroll 22-23'!E182*(1+'Revenue Inputs'!R$27)</f>
        <v>0</v>
      </c>
      <c r="F182" s="828">
        <f>'Payroll 22-23'!F182*(1+$I$4)</f>
        <v>0</v>
      </c>
      <c r="G182" s="322">
        <f>'Payroll 22-23'!G182</f>
        <v>0</v>
      </c>
      <c r="H182" s="319">
        <f>'Payroll 22-23'!H182</f>
        <v>0</v>
      </c>
      <c r="I182" s="320">
        <f t="shared" si="100"/>
        <v>0</v>
      </c>
      <c r="J182" s="7">
        <f t="shared" si="101"/>
        <v>0</v>
      </c>
      <c r="K182" s="7">
        <f t="shared" si="102"/>
        <v>0</v>
      </c>
      <c r="L182" s="7"/>
      <c r="M182" s="8" t="s">
        <v>75</v>
      </c>
      <c r="N182" s="7">
        <f t="shared" si="103"/>
        <v>0</v>
      </c>
      <c r="O182" s="8">
        <f t="shared" si="104"/>
        <v>0</v>
      </c>
      <c r="P182" s="7">
        <f t="shared" si="105"/>
        <v>0</v>
      </c>
      <c r="Q182" s="7">
        <f t="shared" si="106"/>
        <v>0</v>
      </c>
      <c r="R182" s="7">
        <f t="shared" si="107"/>
        <v>0</v>
      </c>
      <c r="S182" s="7">
        <f t="shared" si="108"/>
        <v>0</v>
      </c>
    </row>
    <row r="183" spans="3:19" ht="12">
      <c r="C183" s="369"/>
      <c r="D183" s="840">
        <f>'Payroll 19-20'!D183</f>
        <v>0</v>
      </c>
      <c r="E183" s="840">
        <f>'Payroll 22-23'!E183*(1+'Revenue Inputs'!R$27)</f>
        <v>0</v>
      </c>
      <c r="F183" s="828">
        <f>'Payroll 22-23'!F183*(1+$I$4)</f>
        <v>0</v>
      </c>
      <c r="G183" s="322">
        <f>'Payroll 22-23'!G183</f>
        <v>0</v>
      </c>
      <c r="H183" s="319">
        <f>'Payroll 22-23'!H183</f>
        <v>0</v>
      </c>
      <c r="I183" s="320">
        <f t="shared" si="100"/>
        <v>0</v>
      </c>
      <c r="J183" s="7">
        <f t="shared" si="101"/>
        <v>0</v>
      </c>
      <c r="K183" s="7">
        <f t="shared" si="102"/>
        <v>0</v>
      </c>
      <c r="L183" s="7"/>
      <c r="M183" s="8" t="s">
        <v>75</v>
      </c>
      <c r="N183" s="7">
        <f t="shared" si="103"/>
        <v>0</v>
      </c>
      <c r="O183" s="8">
        <f t="shared" si="104"/>
        <v>0</v>
      </c>
      <c r="P183" s="7">
        <f t="shared" si="105"/>
        <v>0</v>
      </c>
      <c r="Q183" s="7">
        <f t="shared" si="106"/>
        <v>0</v>
      </c>
      <c r="R183" s="7">
        <f t="shared" si="107"/>
        <v>0</v>
      </c>
      <c r="S183" s="7">
        <f t="shared" si="108"/>
        <v>0</v>
      </c>
    </row>
    <row r="184" spans="3:19" ht="12">
      <c r="C184" s="369"/>
      <c r="D184" s="840">
        <f>'Payroll 19-20'!D184</f>
        <v>0</v>
      </c>
      <c r="E184" s="840">
        <f>'Payroll 22-23'!E184*(1+'Revenue Inputs'!R$27)</f>
        <v>0</v>
      </c>
      <c r="F184" s="828">
        <f>'Payroll 22-23'!F184*(1+$I$4)</f>
        <v>0</v>
      </c>
      <c r="G184" s="322">
        <f>'Payroll 22-23'!G184</f>
        <v>0</v>
      </c>
      <c r="H184" s="319">
        <f>'Payroll 22-23'!H184</f>
        <v>0</v>
      </c>
      <c r="I184" s="320">
        <f t="shared" si="100"/>
        <v>0</v>
      </c>
      <c r="J184" s="7">
        <f t="shared" si="101"/>
        <v>0</v>
      </c>
      <c r="K184" s="7">
        <f t="shared" si="102"/>
        <v>0</v>
      </c>
      <c r="L184" s="7"/>
      <c r="M184" s="8" t="s">
        <v>75</v>
      </c>
      <c r="N184" s="7">
        <f t="shared" si="103"/>
        <v>0</v>
      </c>
      <c r="O184" s="8">
        <f t="shared" si="104"/>
        <v>0</v>
      </c>
      <c r="P184" s="7">
        <f t="shared" si="105"/>
        <v>0</v>
      </c>
      <c r="Q184" s="7">
        <f t="shared" si="106"/>
        <v>0</v>
      </c>
      <c r="R184" s="7">
        <f t="shared" si="107"/>
        <v>0</v>
      </c>
      <c r="S184" s="7">
        <f t="shared" si="108"/>
        <v>0</v>
      </c>
    </row>
    <row r="185" spans="3:19" ht="12">
      <c r="C185" s="369"/>
      <c r="D185" s="840">
        <f>'Payroll 19-20'!D185</f>
        <v>0</v>
      </c>
      <c r="E185" s="840">
        <f>'Payroll 22-23'!E185*(1+'Revenue Inputs'!R$27)</f>
        <v>0</v>
      </c>
      <c r="F185" s="828">
        <f>'Payroll 22-23'!F185*(1+$I$4)</f>
        <v>0</v>
      </c>
      <c r="G185" s="322">
        <f>'Payroll 22-23'!G185</f>
        <v>0</v>
      </c>
      <c r="H185" s="319">
        <f>'Payroll 22-23'!H185</f>
        <v>0</v>
      </c>
      <c r="I185" s="320">
        <f t="shared" si="100"/>
        <v>0</v>
      </c>
      <c r="J185" s="7">
        <f t="shared" si="101"/>
        <v>0</v>
      </c>
      <c r="K185" s="7">
        <f t="shared" si="102"/>
        <v>0</v>
      </c>
      <c r="L185" s="7"/>
      <c r="M185" s="8" t="s">
        <v>75</v>
      </c>
      <c r="N185" s="7">
        <f t="shared" si="103"/>
        <v>0</v>
      </c>
      <c r="O185" s="8">
        <f t="shared" si="104"/>
        <v>0</v>
      </c>
      <c r="P185" s="7">
        <f t="shared" si="105"/>
        <v>0</v>
      </c>
      <c r="Q185" s="7">
        <f t="shared" si="106"/>
        <v>0</v>
      </c>
      <c r="R185" s="7">
        <f t="shared" si="107"/>
        <v>0</v>
      </c>
      <c r="S185" s="7">
        <f t="shared" si="108"/>
        <v>0</v>
      </c>
    </row>
    <row r="186" spans="3:19" ht="12">
      <c r="C186" s="368"/>
      <c r="D186" s="840">
        <f>'Payroll 19-20'!D186</f>
        <v>0</v>
      </c>
      <c r="E186" s="840">
        <f>'Payroll 22-23'!E186*(1+'Revenue Inputs'!R$27)</f>
        <v>0</v>
      </c>
      <c r="F186" s="828">
        <f>'Payroll 22-23'!F186*(1+$I$4)</f>
        <v>0</v>
      </c>
      <c r="G186" s="322">
        <f>'Payroll 22-23'!G186</f>
        <v>0</v>
      </c>
      <c r="H186" s="319">
        <f>'Payroll 22-23'!H186</f>
        <v>0</v>
      </c>
      <c r="I186" s="320">
        <f t="shared" si="100"/>
        <v>0</v>
      </c>
      <c r="J186" s="7">
        <f t="shared" si="101"/>
        <v>0</v>
      </c>
      <c r="K186" s="7">
        <f t="shared" si="102"/>
        <v>0</v>
      </c>
      <c r="L186" s="7"/>
      <c r="M186" s="8" t="s">
        <v>75</v>
      </c>
      <c r="N186" s="7">
        <f t="shared" si="103"/>
        <v>0</v>
      </c>
      <c r="O186" s="8">
        <f t="shared" si="104"/>
        <v>0</v>
      </c>
      <c r="P186" s="7">
        <f t="shared" si="105"/>
        <v>0</v>
      </c>
      <c r="Q186" s="7">
        <f t="shared" si="106"/>
        <v>0</v>
      </c>
      <c r="R186" s="7">
        <f t="shared" si="107"/>
        <v>0</v>
      </c>
      <c r="S186" s="7">
        <f t="shared" si="108"/>
        <v>0</v>
      </c>
    </row>
    <row r="187" spans="3:19" ht="13" thickBot="1">
      <c r="C187" s="368"/>
      <c r="D187" s="841"/>
      <c r="E187" s="841"/>
      <c r="F187" s="841"/>
      <c r="G187" s="28"/>
      <c r="H187" s="427"/>
      <c r="I187" s="337"/>
      <c r="J187" s="40"/>
      <c r="K187" s="40"/>
      <c r="L187" s="40"/>
      <c r="M187" s="40"/>
      <c r="N187" s="40"/>
      <c r="O187" s="40"/>
      <c r="P187" s="40"/>
      <c r="Q187" s="40"/>
      <c r="R187" s="40"/>
      <c r="S187" s="40"/>
    </row>
    <row r="188" spans="3:19" s="41" customFormat="1" ht="13" thickBot="1">
      <c r="C188" s="368"/>
      <c r="D188" s="834"/>
      <c r="E188" s="847"/>
      <c r="F188" s="834"/>
      <c r="G188" s="49"/>
      <c r="H188" s="17">
        <v>2200</v>
      </c>
      <c r="I188" s="10">
        <f>SUM(I168:I187)</f>
        <v>0</v>
      </c>
      <c r="J188" s="10">
        <f>SUM(J168:J187)</f>
        <v>0</v>
      </c>
      <c r="K188" s="10">
        <f>SUM(K168:K187)</f>
        <v>0</v>
      </c>
      <c r="L188" s="11"/>
      <c r="M188" s="10">
        <f t="shared" ref="M188:S188" si="114">SUM(M168:M187)</f>
        <v>0</v>
      </c>
      <c r="N188" s="10">
        <f t="shared" si="114"/>
        <v>0</v>
      </c>
      <c r="O188" s="10">
        <f t="shared" si="114"/>
        <v>0</v>
      </c>
      <c r="P188" s="10">
        <f t="shared" si="114"/>
        <v>0</v>
      </c>
      <c r="Q188" s="10">
        <f t="shared" si="114"/>
        <v>0</v>
      </c>
      <c r="R188" s="10">
        <f t="shared" si="114"/>
        <v>0</v>
      </c>
      <c r="S188" s="10">
        <f t="shared" si="114"/>
        <v>0</v>
      </c>
    </row>
    <row r="189" spans="3:19" ht="12">
      <c r="C189" s="369" t="s">
        <v>22</v>
      </c>
      <c r="D189" s="835"/>
      <c r="E189" s="848"/>
      <c r="F189" s="835"/>
      <c r="G189" s="28"/>
      <c r="H189" s="35"/>
      <c r="I189" s="7"/>
      <c r="J189" s="7"/>
      <c r="K189" s="7"/>
      <c r="L189" s="7"/>
      <c r="M189" s="36"/>
      <c r="N189" s="36"/>
      <c r="O189" s="36"/>
      <c r="P189" s="36"/>
      <c r="Q189" s="36"/>
      <c r="R189" s="36"/>
      <c r="S189" s="36"/>
    </row>
    <row r="190" spans="3:19" ht="12">
      <c r="C190" s="369"/>
      <c r="D190" s="840">
        <f>'Payroll 19-20'!D190</f>
        <v>0</v>
      </c>
      <c r="E190" s="840">
        <f>'Payroll 22-23'!E190*(1+'Revenue Inputs'!R$27)</f>
        <v>0</v>
      </c>
      <c r="F190" s="828">
        <f>'Payroll 22-23'!F190*(1+$I$4)</f>
        <v>0</v>
      </c>
      <c r="G190" s="322">
        <f>'Payroll 22-23'!G190</f>
        <v>0</v>
      </c>
      <c r="H190" s="319">
        <f>'Payroll 22-23'!H190</f>
        <v>0</v>
      </c>
      <c r="I190" s="320">
        <f t="shared" ref="I190:I198" si="115">F190*E190</f>
        <v>0</v>
      </c>
      <c r="J190" s="7">
        <f t="shared" ref="J190:J198" si="116">SUM(M190:S190)</f>
        <v>0</v>
      </c>
      <c r="K190" s="7">
        <f t="shared" ref="K190:K198" si="117">SUM(I190:J190)</f>
        <v>0</v>
      </c>
      <c r="L190" s="7"/>
      <c r="M190" s="8" t="s">
        <v>75</v>
      </c>
      <c r="N190" s="7">
        <f t="shared" ref="N190:N198" si="118">I190*$N$5</f>
        <v>0</v>
      </c>
      <c r="O190" s="8">
        <f t="shared" ref="O190:O198" si="119">I190*$O$5</f>
        <v>0</v>
      </c>
      <c r="P190" s="7">
        <f t="shared" ref="P190:P198" si="120">I190*$P$5</f>
        <v>0</v>
      </c>
      <c r="Q190" s="7">
        <f t="shared" ref="Q190:Q198" si="121">IF(H190="y", $Q$5*E190, 0)</f>
        <v>0</v>
      </c>
      <c r="R190" s="7">
        <f t="shared" ref="R190:R198" si="122">IF($I190&gt;7000,7000*R$5,$I190*R$5)*E190</f>
        <v>0</v>
      </c>
      <c r="S190" s="7">
        <f t="shared" ref="S190:S198" si="123">S$5*$I190</f>
        <v>0</v>
      </c>
    </row>
    <row r="191" spans="3:19" ht="12">
      <c r="C191" s="369"/>
      <c r="D191" s="840">
        <f>'Payroll 19-20'!D191</f>
        <v>0</v>
      </c>
      <c r="E191" s="840">
        <f>'Payroll 22-23'!E191*(1+'Revenue Inputs'!R$27)</f>
        <v>0</v>
      </c>
      <c r="F191" s="828">
        <f>'Payroll 22-23'!F191*(1+$I$4)</f>
        <v>0</v>
      </c>
      <c r="G191" s="322">
        <f>'Payroll 22-23'!G191</f>
        <v>0</v>
      </c>
      <c r="H191" s="319">
        <f>'Payroll 22-23'!H191</f>
        <v>0</v>
      </c>
      <c r="I191" s="320">
        <f t="shared" si="115"/>
        <v>0</v>
      </c>
      <c r="J191" s="7">
        <f t="shared" ref="J191:J194" si="124">SUM(M191:S191)</f>
        <v>0</v>
      </c>
      <c r="K191" s="7">
        <f t="shared" ref="K191:K194" si="125">SUM(I191:J191)</f>
        <v>0</v>
      </c>
      <c r="L191" s="7"/>
      <c r="M191" s="8" t="s">
        <v>75</v>
      </c>
      <c r="N191" s="7">
        <f t="shared" ref="N191:N194" si="126">I191*$N$5</f>
        <v>0</v>
      </c>
      <c r="O191" s="8">
        <f t="shared" ref="O191:O194" si="127">I191*$O$5</f>
        <v>0</v>
      </c>
      <c r="P191" s="7">
        <f t="shared" ref="P191:P194" si="128">I191*$P$5</f>
        <v>0</v>
      </c>
      <c r="Q191" s="7">
        <f t="shared" si="121"/>
        <v>0</v>
      </c>
      <c r="R191" s="7">
        <f t="shared" si="122"/>
        <v>0</v>
      </c>
      <c r="S191" s="7">
        <f t="shared" si="123"/>
        <v>0</v>
      </c>
    </row>
    <row r="192" spans="3:19" ht="12">
      <c r="C192" s="369"/>
      <c r="D192" s="840">
        <f>'Payroll 19-20'!D192</f>
        <v>0</v>
      </c>
      <c r="E192" s="840">
        <f>'Payroll 22-23'!E192*(1+'Revenue Inputs'!R$27)</f>
        <v>0</v>
      </c>
      <c r="F192" s="828">
        <f>'Payroll 22-23'!F192*(1+$I$4)</f>
        <v>0</v>
      </c>
      <c r="G192" s="322">
        <f>'Payroll 22-23'!G192</f>
        <v>0</v>
      </c>
      <c r="H192" s="319">
        <f>'Payroll 22-23'!H192</f>
        <v>0</v>
      </c>
      <c r="I192" s="320">
        <f t="shared" si="115"/>
        <v>0</v>
      </c>
      <c r="J192" s="7">
        <f t="shared" si="124"/>
        <v>0</v>
      </c>
      <c r="K192" s="7">
        <f t="shared" si="125"/>
        <v>0</v>
      </c>
      <c r="L192" s="7"/>
      <c r="M192" s="8" t="s">
        <v>75</v>
      </c>
      <c r="N192" s="7">
        <f t="shared" si="126"/>
        <v>0</v>
      </c>
      <c r="O192" s="8">
        <f t="shared" si="127"/>
        <v>0</v>
      </c>
      <c r="P192" s="7">
        <f t="shared" si="128"/>
        <v>0</v>
      </c>
      <c r="Q192" s="7">
        <f t="shared" si="121"/>
        <v>0</v>
      </c>
      <c r="R192" s="7">
        <f t="shared" si="122"/>
        <v>0</v>
      </c>
      <c r="S192" s="7">
        <f t="shared" si="123"/>
        <v>0</v>
      </c>
    </row>
    <row r="193" spans="3:19" ht="12">
      <c r="C193" s="369"/>
      <c r="D193" s="840">
        <f>'Payroll 19-20'!D193</f>
        <v>0</v>
      </c>
      <c r="E193" s="840">
        <f>'Payroll 22-23'!E193*(1+'Revenue Inputs'!R$27)</f>
        <v>0</v>
      </c>
      <c r="F193" s="828">
        <f>'Payroll 22-23'!F193*(1+$I$4)</f>
        <v>0</v>
      </c>
      <c r="G193" s="322">
        <f>'Payroll 22-23'!G193</f>
        <v>0</v>
      </c>
      <c r="H193" s="319">
        <f>'Payroll 22-23'!H193</f>
        <v>0</v>
      </c>
      <c r="I193" s="320">
        <f t="shared" si="115"/>
        <v>0</v>
      </c>
      <c r="J193" s="7">
        <f t="shared" si="124"/>
        <v>0</v>
      </c>
      <c r="K193" s="7">
        <f t="shared" si="125"/>
        <v>0</v>
      </c>
      <c r="L193" s="7"/>
      <c r="M193" s="8" t="s">
        <v>75</v>
      </c>
      <c r="N193" s="7">
        <f t="shared" si="126"/>
        <v>0</v>
      </c>
      <c r="O193" s="8">
        <f t="shared" si="127"/>
        <v>0</v>
      </c>
      <c r="P193" s="7">
        <f t="shared" si="128"/>
        <v>0</v>
      </c>
      <c r="Q193" s="7">
        <f t="shared" si="121"/>
        <v>0</v>
      </c>
      <c r="R193" s="7">
        <f t="shared" si="122"/>
        <v>0</v>
      </c>
      <c r="S193" s="7">
        <f t="shared" si="123"/>
        <v>0</v>
      </c>
    </row>
    <row r="194" spans="3:19" ht="12">
      <c r="C194" s="368"/>
      <c r="D194" s="840">
        <f>'Payroll 19-20'!D194</f>
        <v>0</v>
      </c>
      <c r="E194" s="840">
        <f>'Payroll 22-23'!E194*(1+'Revenue Inputs'!R$27)</f>
        <v>0</v>
      </c>
      <c r="F194" s="828">
        <f>'Payroll 22-23'!F194*(1+$I$4)</f>
        <v>0</v>
      </c>
      <c r="G194" s="322">
        <f>'Payroll 22-23'!G194</f>
        <v>0</v>
      </c>
      <c r="H194" s="319">
        <f>'Payroll 22-23'!H194</f>
        <v>0</v>
      </c>
      <c r="I194" s="320">
        <f t="shared" si="115"/>
        <v>0</v>
      </c>
      <c r="J194" s="7">
        <f t="shared" si="124"/>
        <v>0</v>
      </c>
      <c r="K194" s="7">
        <f t="shared" si="125"/>
        <v>0</v>
      </c>
      <c r="L194" s="7"/>
      <c r="M194" s="8" t="s">
        <v>75</v>
      </c>
      <c r="N194" s="7">
        <f t="shared" si="126"/>
        <v>0</v>
      </c>
      <c r="O194" s="8">
        <f t="shared" si="127"/>
        <v>0</v>
      </c>
      <c r="P194" s="7">
        <f t="shared" si="128"/>
        <v>0</v>
      </c>
      <c r="Q194" s="7">
        <f t="shared" si="121"/>
        <v>0</v>
      </c>
      <c r="R194" s="7">
        <f t="shared" si="122"/>
        <v>0</v>
      </c>
      <c r="S194" s="7">
        <f t="shared" si="123"/>
        <v>0</v>
      </c>
    </row>
    <row r="195" spans="3:19" ht="12">
      <c r="C195" s="369"/>
      <c r="D195" s="840">
        <f>'Payroll 19-20'!D195</f>
        <v>0</v>
      </c>
      <c r="E195" s="840">
        <f>'Payroll 22-23'!E195*(1+'Revenue Inputs'!R$27)</f>
        <v>0</v>
      </c>
      <c r="F195" s="828">
        <f>'Payroll 22-23'!F195*(1+$I$4)</f>
        <v>0</v>
      </c>
      <c r="G195" s="322">
        <f>'Payroll 22-23'!G195</f>
        <v>0</v>
      </c>
      <c r="H195" s="319">
        <f>'Payroll 22-23'!H195</f>
        <v>0</v>
      </c>
      <c r="I195" s="320">
        <f t="shared" si="115"/>
        <v>0</v>
      </c>
      <c r="J195" s="7">
        <f t="shared" si="116"/>
        <v>0</v>
      </c>
      <c r="K195" s="7">
        <f t="shared" si="117"/>
        <v>0</v>
      </c>
      <c r="L195" s="7"/>
      <c r="M195" s="8" t="s">
        <v>75</v>
      </c>
      <c r="N195" s="7">
        <f t="shared" si="118"/>
        <v>0</v>
      </c>
      <c r="O195" s="8">
        <f t="shared" si="119"/>
        <v>0</v>
      </c>
      <c r="P195" s="7">
        <f t="shared" si="120"/>
        <v>0</v>
      </c>
      <c r="Q195" s="7">
        <f t="shared" si="121"/>
        <v>0</v>
      </c>
      <c r="R195" s="7">
        <f t="shared" si="122"/>
        <v>0</v>
      </c>
      <c r="S195" s="7">
        <f t="shared" si="123"/>
        <v>0</v>
      </c>
    </row>
    <row r="196" spans="3:19" ht="12">
      <c r="C196" s="369"/>
      <c r="D196" s="840">
        <f>'Payroll 19-20'!D196</f>
        <v>0</v>
      </c>
      <c r="E196" s="840">
        <f>'Payroll 22-23'!E196*(1+'Revenue Inputs'!R$27)</f>
        <v>0</v>
      </c>
      <c r="F196" s="828">
        <f>'Payroll 22-23'!F196*(1+$I$4)</f>
        <v>0</v>
      </c>
      <c r="G196" s="322">
        <f>'Payroll 22-23'!G196</f>
        <v>0</v>
      </c>
      <c r="H196" s="319">
        <f>'Payroll 22-23'!H196</f>
        <v>0</v>
      </c>
      <c r="I196" s="320">
        <f t="shared" si="115"/>
        <v>0</v>
      </c>
      <c r="J196" s="7">
        <f t="shared" si="116"/>
        <v>0</v>
      </c>
      <c r="K196" s="7">
        <f t="shared" si="117"/>
        <v>0</v>
      </c>
      <c r="L196" s="7"/>
      <c r="M196" s="8" t="s">
        <v>75</v>
      </c>
      <c r="N196" s="7">
        <f t="shared" si="118"/>
        <v>0</v>
      </c>
      <c r="O196" s="8">
        <f t="shared" si="119"/>
        <v>0</v>
      </c>
      <c r="P196" s="7">
        <f t="shared" si="120"/>
        <v>0</v>
      </c>
      <c r="Q196" s="7">
        <f t="shared" si="121"/>
        <v>0</v>
      </c>
      <c r="R196" s="7">
        <f t="shared" si="122"/>
        <v>0</v>
      </c>
      <c r="S196" s="7">
        <f t="shared" si="123"/>
        <v>0</v>
      </c>
    </row>
    <row r="197" spans="3:19" ht="12">
      <c r="C197" s="369"/>
      <c r="D197" s="840">
        <f>'Payroll 19-20'!D197</f>
        <v>0</v>
      </c>
      <c r="E197" s="840">
        <f>'Payroll 22-23'!E197*(1+'Revenue Inputs'!R$27)</f>
        <v>0</v>
      </c>
      <c r="F197" s="828">
        <f>'Payroll 22-23'!F197*(1+$I$4)</f>
        <v>0</v>
      </c>
      <c r="G197" s="322">
        <f>'Payroll 22-23'!G197</f>
        <v>0</v>
      </c>
      <c r="H197" s="319">
        <f>'Payroll 22-23'!H197</f>
        <v>0</v>
      </c>
      <c r="I197" s="320">
        <f t="shared" si="115"/>
        <v>0</v>
      </c>
      <c r="J197" s="7">
        <f t="shared" si="116"/>
        <v>0</v>
      </c>
      <c r="K197" s="7">
        <f t="shared" si="117"/>
        <v>0</v>
      </c>
      <c r="L197" s="7"/>
      <c r="M197" s="8" t="s">
        <v>75</v>
      </c>
      <c r="N197" s="7">
        <f t="shared" si="118"/>
        <v>0</v>
      </c>
      <c r="O197" s="8">
        <f t="shared" si="119"/>
        <v>0</v>
      </c>
      <c r="P197" s="7">
        <f t="shared" si="120"/>
        <v>0</v>
      </c>
      <c r="Q197" s="7">
        <f t="shared" si="121"/>
        <v>0</v>
      </c>
      <c r="R197" s="7">
        <f t="shared" si="122"/>
        <v>0</v>
      </c>
      <c r="S197" s="7">
        <f t="shared" si="123"/>
        <v>0</v>
      </c>
    </row>
    <row r="198" spans="3:19" ht="12">
      <c r="C198" s="368"/>
      <c r="D198" s="840">
        <f>'Payroll 19-20'!D198</f>
        <v>0</v>
      </c>
      <c r="E198" s="840">
        <f>'Payroll 22-23'!E198*(1+'Revenue Inputs'!R$27)</f>
        <v>0</v>
      </c>
      <c r="F198" s="828">
        <f>'Payroll 22-23'!F198*(1+$I$4)</f>
        <v>0</v>
      </c>
      <c r="G198" s="322">
        <f>'Payroll 22-23'!G198</f>
        <v>0</v>
      </c>
      <c r="H198" s="319">
        <f>'Payroll 22-23'!H198</f>
        <v>0</v>
      </c>
      <c r="I198" s="320">
        <f t="shared" si="115"/>
        <v>0</v>
      </c>
      <c r="J198" s="7">
        <f t="shared" si="116"/>
        <v>0</v>
      </c>
      <c r="K198" s="7">
        <f t="shared" si="117"/>
        <v>0</v>
      </c>
      <c r="L198" s="7"/>
      <c r="M198" s="8" t="s">
        <v>75</v>
      </c>
      <c r="N198" s="7">
        <f t="shared" si="118"/>
        <v>0</v>
      </c>
      <c r="O198" s="8">
        <f t="shared" si="119"/>
        <v>0</v>
      </c>
      <c r="P198" s="7">
        <f t="shared" si="120"/>
        <v>0</v>
      </c>
      <c r="Q198" s="7">
        <f t="shared" si="121"/>
        <v>0</v>
      </c>
      <c r="R198" s="7">
        <f t="shared" si="122"/>
        <v>0</v>
      </c>
      <c r="S198" s="7">
        <f t="shared" si="123"/>
        <v>0</v>
      </c>
    </row>
    <row r="199" spans="3:19" ht="13" thickBot="1">
      <c r="C199" s="368"/>
      <c r="D199" s="841"/>
      <c r="E199" s="841"/>
      <c r="F199" s="841"/>
      <c r="G199" s="28"/>
      <c r="H199" s="427"/>
      <c r="I199" s="337"/>
      <c r="J199" s="40"/>
      <c r="K199" s="40"/>
      <c r="L199" s="40"/>
      <c r="M199" s="40"/>
      <c r="N199" s="40"/>
      <c r="O199" s="40"/>
      <c r="P199" s="40"/>
      <c r="Q199" s="40"/>
      <c r="R199" s="40"/>
      <c r="S199" s="40"/>
    </row>
    <row r="200" spans="3:19" s="41" customFormat="1" ht="13" thickBot="1">
      <c r="C200" s="368"/>
      <c r="D200" s="850"/>
      <c r="E200" s="850"/>
      <c r="F200" s="834"/>
      <c r="G200" s="49"/>
      <c r="H200" s="333">
        <v>2300</v>
      </c>
      <c r="I200" s="10">
        <f>SUM(I190:I199)</f>
        <v>0</v>
      </c>
      <c r="J200" s="10">
        <f>SUM(J190:J199)</f>
        <v>0</v>
      </c>
      <c r="K200" s="10">
        <f>SUM(K190:K199)</f>
        <v>0</v>
      </c>
      <c r="L200" s="11"/>
      <c r="M200" s="10">
        <f t="shared" ref="M200:S200" si="129">SUM(M190:M199)</f>
        <v>0</v>
      </c>
      <c r="N200" s="10">
        <f t="shared" si="129"/>
        <v>0</v>
      </c>
      <c r="O200" s="10">
        <f t="shared" si="129"/>
        <v>0</v>
      </c>
      <c r="P200" s="10">
        <f t="shared" si="129"/>
        <v>0</v>
      </c>
      <c r="Q200" s="10">
        <f t="shared" si="129"/>
        <v>0</v>
      </c>
      <c r="R200" s="10">
        <f t="shared" si="129"/>
        <v>0</v>
      </c>
      <c r="S200" s="10">
        <f t="shared" si="129"/>
        <v>0</v>
      </c>
    </row>
    <row r="201" spans="3:19" ht="12">
      <c r="C201" s="369" t="s">
        <v>23</v>
      </c>
      <c r="D201" s="851"/>
      <c r="E201" s="851"/>
      <c r="F201" s="835"/>
      <c r="G201" s="28"/>
      <c r="H201" s="35"/>
      <c r="I201" s="7"/>
      <c r="J201" s="7"/>
      <c r="K201" s="7"/>
      <c r="L201" s="7"/>
      <c r="M201" s="36"/>
      <c r="N201" s="36"/>
      <c r="O201" s="36"/>
      <c r="P201" s="36"/>
      <c r="Q201" s="36"/>
      <c r="R201" s="36"/>
      <c r="S201" s="36"/>
    </row>
    <row r="202" spans="3:19" ht="12">
      <c r="C202" s="369"/>
      <c r="D202" s="840" t="str">
        <f>'Payroll 19-20'!D202</f>
        <v>administrative assistant</v>
      </c>
      <c r="E202" s="840">
        <f>'Payroll 22-23'!E202*(1+'Revenue Inputs'!R$27)</f>
        <v>1.1025</v>
      </c>
      <c r="F202" s="828">
        <f>'Payroll 22-23'!F202*(1+$I$4)</f>
        <v>65947.136050713598</v>
      </c>
      <c r="G202" s="322">
        <f>'Payroll 22-23'!G202</f>
        <v>12</v>
      </c>
      <c r="H202" s="319" t="str">
        <f>'Payroll 22-23'!H202</f>
        <v>y</v>
      </c>
      <c r="I202" s="320">
        <f t="shared" ref="I202:I212" si="130">F202*E202</f>
        <v>72706.71749591174</v>
      </c>
      <c r="J202" s="7">
        <f t="shared" ref="J202:J212" si="131">SUM(M202:S202)</f>
        <v>17619.756482180015</v>
      </c>
      <c r="K202" s="7">
        <f t="shared" ref="K202:K212" si="132">SUM(I202:J202)</f>
        <v>90326.473978091759</v>
      </c>
      <c r="L202" s="7"/>
      <c r="M202" s="8" t="s">
        <v>75</v>
      </c>
      <c r="N202" s="7">
        <f t="shared" ref="N202:N208" si="133">I202*$N$5</f>
        <v>0</v>
      </c>
      <c r="O202" s="8">
        <f t="shared" ref="O202:O212" si="134">I202*$O$5</f>
        <v>4507.8164847465277</v>
      </c>
      <c r="P202" s="7">
        <f t="shared" ref="P202:P212" si="135">I202*$P$5</f>
        <v>1054.2474036907204</v>
      </c>
      <c r="Q202" s="7">
        <f t="shared" ref="Q202:Q212" si="136">IF(H202="y", $Q$5*E202, 0)</f>
        <v>10499.573548800003</v>
      </c>
      <c r="R202" s="7">
        <f t="shared" ref="R202:R212" si="137">IF($I202&gt;7000,7000*R$5,$I202*R$5)*E202</f>
        <v>540.22500000000014</v>
      </c>
      <c r="S202" s="7">
        <f t="shared" ref="S202:S212" si="138">S$5*$I202</f>
        <v>1017.8940449427644</v>
      </c>
    </row>
    <row r="203" spans="3:19" ht="12">
      <c r="C203" s="369"/>
      <c r="D203" s="840" t="str">
        <f>'Payroll 19-20'!D203</f>
        <v>School Acct Assistant</v>
      </c>
      <c r="E203" s="840">
        <f>'Payroll 22-23'!E203*(1+'Revenue Inputs'!R$27)</f>
        <v>1.1025</v>
      </c>
      <c r="F203" s="828">
        <f>'Payroll 22-23'!F203*(1+$I$4)</f>
        <v>43188.393724704001</v>
      </c>
      <c r="G203" s="322">
        <f>'Payroll 22-23'!G203</f>
        <v>12</v>
      </c>
      <c r="H203" s="319" t="str">
        <f>'Payroll 22-23'!H203</f>
        <v>y</v>
      </c>
      <c r="I203" s="320">
        <f t="shared" si="130"/>
        <v>47615.204081486161</v>
      </c>
      <c r="J203" s="7">
        <f t="shared" ref="J203:J207" si="139">SUM(M203:S203)</f>
        <v>15348.974518174502</v>
      </c>
      <c r="K203" s="7">
        <f t="shared" ref="K203:K207" si="140">SUM(I203:J203)</f>
        <v>62964.178599660663</v>
      </c>
      <c r="L203" s="7"/>
      <c r="M203" s="8" t="s">
        <v>75</v>
      </c>
      <c r="N203" s="7">
        <f t="shared" ref="N203" si="141">I203*$N$5</f>
        <v>0</v>
      </c>
      <c r="O203" s="8">
        <f t="shared" ref="O203:O207" si="142">I203*$O$5</f>
        <v>2952.1426530521421</v>
      </c>
      <c r="P203" s="7">
        <f t="shared" ref="P203:P207" si="143">I203*$P$5</f>
        <v>690.4204591815494</v>
      </c>
      <c r="Q203" s="7">
        <f t="shared" si="136"/>
        <v>10499.573548800003</v>
      </c>
      <c r="R203" s="7">
        <f t="shared" si="137"/>
        <v>540.22500000000014</v>
      </c>
      <c r="S203" s="7">
        <f t="shared" si="138"/>
        <v>666.61285714080623</v>
      </c>
    </row>
    <row r="204" spans="3:19" ht="12">
      <c r="C204" s="369"/>
      <c r="D204" s="840">
        <f>'Payroll 19-20'!D204</f>
        <v>0</v>
      </c>
      <c r="E204" s="840">
        <f>'Payroll 22-23'!E204*(1+'Revenue Inputs'!R$27)</f>
        <v>0</v>
      </c>
      <c r="F204" s="828">
        <f>'Payroll 22-23'!F204*(1+$I$4)</f>
        <v>0</v>
      </c>
      <c r="G204" s="322">
        <f>'Payroll 22-23'!G204</f>
        <v>0</v>
      </c>
      <c r="H204" s="319">
        <f>'Payroll 22-23'!H204</f>
        <v>0</v>
      </c>
      <c r="I204" s="320">
        <f t="shared" si="130"/>
        <v>0</v>
      </c>
      <c r="J204" s="7">
        <f t="shared" si="139"/>
        <v>0</v>
      </c>
      <c r="K204" s="7">
        <f t="shared" si="140"/>
        <v>0</v>
      </c>
      <c r="L204" s="7"/>
      <c r="M204" s="8" t="s">
        <v>75</v>
      </c>
      <c r="N204" s="7">
        <f>I204*$N$5</f>
        <v>0</v>
      </c>
      <c r="O204" s="8">
        <f t="shared" si="142"/>
        <v>0</v>
      </c>
      <c r="P204" s="7">
        <f t="shared" si="143"/>
        <v>0</v>
      </c>
      <c r="Q204" s="7">
        <f t="shared" si="136"/>
        <v>0</v>
      </c>
      <c r="R204" s="7">
        <f t="shared" si="137"/>
        <v>0</v>
      </c>
      <c r="S204" s="7">
        <f t="shared" si="138"/>
        <v>0</v>
      </c>
    </row>
    <row r="205" spans="3:19" ht="12">
      <c r="C205" s="369"/>
      <c r="D205" s="840">
        <f>'Payroll 19-20'!D205</f>
        <v>0</v>
      </c>
      <c r="E205" s="840">
        <f>'Payroll 22-23'!E205*(1+'Revenue Inputs'!R$27)</f>
        <v>0</v>
      </c>
      <c r="F205" s="828">
        <f>'Payroll 22-23'!F205*(1+$I$4)</f>
        <v>0</v>
      </c>
      <c r="G205" s="322">
        <f>'Payroll 22-23'!G205</f>
        <v>0</v>
      </c>
      <c r="H205" s="319">
        <f>'Payroll 22-23'!H205</f>
        <v>0</v>
      </c>
      <c r="I205" s="320">
        <f t="shared" si="130"/>
        <v>0</v>
      </c>
      <c r="J205" s="7">
        <f t="shared" si="139"/>
        <v>0</v>
      </c>
      <c r="K205" s="7">
        <f t="shared" si="140"/>
        <v>0</v>
      </c>
      <c r="L205" s="7"/>
      <c r="M205" s="8" t="s">
        <v>75</v>
      </c>
      <c r="N205" s="7">
        <f>I205*$N$5</f>
        <v>0</v>
      </c>
      <c r="O205" s="8">
        <f t="shared" si="142"/>
        <v>0</v>
      </c>
      <c r="P205" s="7">
        <f t="shared" si="143"/>
        <v>0</v>
      </c>
      <c r="Q205" s="7">
        <f t="shared" si="136"/>
        <v>0</v>
      </c>
      <c r="R205" s="7">
        <f t="shared" si="137"/>
        <v>0</v>
      </c>
      <c r="S205" s="7">
        <f t="shared" si="138"/>
        <v>0</v>
      </c>
    </row>
    <row r="206" spans="3:19" ht="12">
      <c r="C206" s="368"/>
      <c r="D206" s="840">
        <f>'Payroll 19-20'!D206</f>
        <v>0</v>
      </c>
      <c r="E206" s="840">
        <f>'Payroll 22-23'!E206*(1+'Revenue Inputs'!R$27)</f>
        <v>0</v>
      </c>
      <c r="F206" s="828">
        <f>'Payroll 22-23'!F206*(1+$I$4)</f>
        <v>0</v>
      </c>
      <c r="G206" s="322">
        <f>'Payroll 22-23'!G206</f>
        <v>0</v>
      </c>
      <c r="H206" s="319">
        <f>'Payroll 22-23'!H206</f>
        <v>0</v>
      </c>
      <c r="I206" s="320">
        <f t="shared" si="130"/>
        <v>0</v>
      </c>
      <c r="J206" s="7">
        <f t="shared" si="139"/>
        <v>0</v>
      </c>
      <c r="K206" s="7">
        <f t="shared" si="140"/>
        <v>0</v>
      </c>
      <c r="L206" s="7"/>
      <c r="M206" s="8" t="s">
        <v>75</v>
      </c>
      <c r="N206" s="7">
        <f t="shared" ref="N206:N207" si="144">I206*$N$5</f>
        <v>0</v>
      </c>
      <c r="O206" s="8">
        <f t="shared" si="142"/>
        <v>0</v>
      </c>
      <c r="P206" s="7">
        <f t="shared" si="143"/>
        <v>0</v>
      </c>
      <c r="Q206" s="7">
        <f t="shared" si="136"/>
        <v>0</v>
      </c>
      <c r="R206" s="7">
        <f t="shared" si="137"/>
        <v>0</v>
      </c>
      <c r="S206" s="7">
        <f t="shared" si="138"/>
        <v>0</v>
      </c>
    </row>
    <row r="207" spans="3:19" ht="12">
      <c r="C207" s="369"/>
      <c r="D207" s="840">
        <f>'Payroll 19-20'!D207</f>
        <v>0</v>
      </c>
      <c r="E207" s="840">
        <f>'Payroll 22-23'!E207*(1+'Revenue Inputs'!R$27)</f>
        <v>0</v>
      </c>
      <c r="F207" s="828">
        <f>'Payroll 22-23'!F207*(1+$I$4)</f>
        <v>0</v>
      </c>
      <c r="G207" s="322">
        <f>'Payroll 22-23'!G207</f>
        <v>0</v>
      </c>
      <c r="H207" s="319">
        <f>'Payroll 22-23'!H207</f>
        <v>0</v>
      </c>
      <c r="I207" s="320">
        <f t="shared" si="130"/>
        <v>0</v>
      </c>
      <c r="J207" s="7">
        <f t="shared" si="139"/>
        <v>0</v>
      </c>
      <c r="K207" s="7">
        <f t="shared" si="140"/>
        <v>0</v>
      </c>
      <c r="L207" s="7"/>
      <c r="M207" s="8" t="s">
        <v>75</v>
      </c>
      <c r="N207" s="7">
        <f t="shared" si="144"/>
        <v>0</v>
      </c>
      <c r="O207" s="8">
        <f t="shared" si="142"/>
        <v>0</v>
      </c>
      <c r="P207" s="7">
        <f t="shared" si="143"/>
        <v>0</v>
      </c>
      <c r="Q207" s="7">
        <f t="shared" si="136"/>
        <v>0</v>
      </c>
      <c r="R207" s="7">
        <f t="shared" si="137"/>
        <v>0</v>
      </c>
      <c r="S207" s="7">
        <f t="shared" si="138"/>
        <v>0</v>
      </c>
    </row>
    <row r="208" spans="3:19" ht="12">
      <c r="C208" s="369"/>
      <c r="D208" s="840">
        <f>'Payroll 19-20'!D208</f>
        <v>0</v>
      </c>
      <c r="E208" s="840">
        <f>'Payroll 22-23'!E208*(1+'Revenue Inputs'!R$27)</f>
        <v>0</v>
      </c>
      <c r="F208" s="828">
        <f>'Payroll 22-23'!F208*(1+$I$4)</f>
        <v>0</v>
      </c>
      <c r="G208" s="322">
        <f>'Payroll 22-23'!G208</f>
        <v>0</v>
      </c>
      <c r="H208" s="319">
        <f>'Payroll 22-23'!H208</f>
        <v>0</v>
      </c>
      <c r="I208" s="320">
        <f t="shared" si="130"/>
        <v>0</v>
      </c>
      <c r="J208" s="7">
        <f t="shared" si="131"/>
        <v>0</v>
      </c>
      <c r="K208" s="7">
        <f t="shared" si="132"/>
        <v>0</v>
      </c>
      <c r="L208" s="7"/>
      <c r="M208" s="8" t="s">
        <v>75</v>
      </c>
      <c r="N208" s="7">
        <f t="shared" si="133"/>
        <v>0</v>
      </c>
      <c r="O208" s="8">
        <f t="shared" si="134"/>
        <v>0</v>
      </c>
      <c r="P208" s="7">
        <f t="shared" si="135"/>
        <v>0</v>
      </c>
      <c r="Q208" s="7">
        <f t="shared" si="136"/>
        <v>0</v>
      </c>
      <c r="R208" s="7">
        <f t="shared" si="137"/>
        <v>0</v>
      </c>
      <c r="S208" s="7">
        <f t="shared" si="138"/>
        <v>0</v>
      </c>
    </row>
    <row r="209" spans="3:19" ht="12">
      <c r="C209" s="369"/>
      <c r="D209" s="840">
        <f>'Payroll 19-20'!D209</f>
        <v>0</v>
      </c>
      <c r="E209" s="840">
        <f>'Payroll 22-23'!E209*(1+'Revenue Inputs'!R$27)</f>
        <v>0</v>
      </c>
      <c r="F209" s="828">
        <f>'Payroll 22-23'!F209*(1+$I$4)</f>
        <v>0</v>
      </c>
      <c r="G209" s="322">
        <f>'Payroll 22-23'!G209</f>
        <v>0</v>
      </c>
      <c r="H209" s="319">
        <f>'Payroll 22-23'!H209</f>
        <v>0</v>
      </c>
      <c r="I209" s="320">
        <f t="shared" si="130"/>
        <v>0</v>
      </c>
      <c r="J209" s="7">
        <f t="shared" si="131"/>
        <v>0</v>
      </c>
      <c r="K209" s="7">
        <f t="shared" si="132"/>
        <v>0</v>
      </c>
      <c r="L209" s="7"/>
      <c r="M209" s="8" t="s">
        <v>75</v>
      </c>
      <c r="N209" s="7">
        <f>I209*$N$5</f>
        <v>0</v>
      </c>
      <c r="O209" s="8">
        <f t="shared" si="134"/>
        <v>0</v>
      </c>
      <c r="P209" s="7">
        <f t="shared" si="135"/>
        <v>0</v>
      </c>
      <c r="Q209" s="7">
        <f t="shared" si="136"/>
        <v>0</v>
      </c>
      <c r="R209" s="7">
        <f t="shared" si="137"/>
        <v>0</v>
      </c>
      <c r="S209" s="7">
        <f t="shared" si="138"/>
        <v>0</v>
      </c>
    </row>
    <row r="210" spans="3:19" ht="12">
      <c r="C210" s="369"/>
      <c r="D210" s="840">
        <f>'Payroll 19-20'!D210</f>
        <v>0</v>
      </c>
      <c r="E210" s="840">
        <f>'Payroll 22-23'!E210*(1+'Revenue Inputs'!R$27)</f>
        <v>0</v>
      </c>
      <c r="F210" s="828">
        <f>'Payroll 22-23'!F210*(1+$I$4)</f>
        <v>0</v>
      </c>
      <c r="G210" s="322">
        <f>'Payroll 22-23'!G210</f>
        <v>0</v>
      </c>
      <c r="H210" s="319">
        <f>'Payroll 22-23'!H210</f>
        <v>0</v>
      </c>
      <c r="I210" s="320">
        <f t="shared" si="130"/>
        <v>0</v>
      </c>
      <c r="J210" s="7">
        <f t="shared" si="131"/>
        <v>0</v>
      </c>
      <c r="K210" s="7">
        <f t="shared" si="132"/>
        <v>0</v>
      </c>
      <c r="L210" s="7"/>
      <c r="M210" s="8" t="s">
        <v>75</v>
      </c>
      <c r="N210" s="7">
        <f>I210*$N$5</f>
        <v>0</v>
      </c>
      <c r="O210" s="8">
        <f t="shared" si="134"/>
        <v>0</v>
      </c>
      <c r="P210" s="7">
        <f t="shared" si="135"/>
        <v>0</v>
      </c>
      <c r="Q210" s="7">
        <f t="shared" si="136"/>
        <v>0</v>
      </c>
      <c r="R210" s="7">
        <f t="shared" si="137"/>
        <v>0</v>
      </c>
      <c r="S210" s="7">
        <f t="shared" si="138"/>
        <v>0</v>
      </c>
    </row>
    <row r="211" spans="3:19" ht="12">
      <c r="C211" s="368"/>
      <c r="D211" s="840">
        <f>'Payroll 19-20'!D211</f>
        <v>0</v>
      </c>
      <c r="E211" s="840">
        <f>'Payroll 22-23'!E211*(1+'Revenue Inputs'!R$27)</f>
        <v>0</v>
      </c>
      <c r="F211" s="828">
        <f>'Payroll 22-23'!F211*(1+$I$4)</f>
        <v>0</v>
      </c>
      <c r="G211" s="322">
        <f>'Payroll 22-23'!G211</f>
        <v>0</v>
      </c>
      <c r="H211" s="319">
        <f>'Payroll 22-23'!H211</f>
        <v>0</v>
      </c>
      <c r="I211" s="320">
        <f t="shared" si="130"/>
        <v>0</v>
      </c>
      <c r="J211" s="7">
        <f t="shared" si="131"/>
        <v>0</v>
      </c>
      <c r="K211" s="7">
        <f t="shared" si="132"/>
        <v>0</v>
      </c>
      <c r="L211" s="7"/>
      <c r="M211" s="8" t="s">
        <v>75</v>
      </c>
      <c r="N211" s="7">
        <f t="shared" ref="N211:N212" si="145">I211*$N$5</f>
        <v>0</v>
      </c>
      <c r="O211" s="8">
        <f t="shared" si="134"/>
        <v>0</v>
      </c>
      <c r="P211" s="7">
        <f t="shared" si="135"/>
        <v>0</v>
      </c>
      <c r="Q211" s="7">
        <f t="shared" si="136"/>
        <v>0</v>
      </c>
      <c r="R211" s="7">
        <f t="shared" si="137"/>
        <v>0</v>
      </c>
      <c r="S211" s="7">
        <f t="shared" si="138"/>
        <v>0</v>
      </c>
    </row>
    <row r="212" spans="3:19" ht="12">
      <c r="C212" s="369"/>
      <c r="D212" s="840">
        <f>'Payroll 19-20'!D212</f>
        <v>0</v>
      </c>
      <c r="E212" s="840">
        <f>'Payroll 22-23'!E212*(1+'Revenue Inputs'!R$27)</f>
        <v>0</v>
      </c>
      <c r="F212" s="828">
        <f>'Payroll 22-23'!F212*(1+$I$4)</f>
        <v>0</v>
      </c>
      <c r="G212" s="322">
        <f>'Payroll 22-23'!G212</f>
        <v>0</v>
      </c>
      <c r="H212" s="319">
        <f>'Payroll 22-23'!H212</f>
        <v>0</v>
      </c>
      <c r="I212" s="320">
        <f t="shared" si="130"/>
        <v>0</v>
      </c>
      <c r="J212" s="7">
        <f t="shared" si="131"/>
        <v>0</v>
      </c>
      <c r="K212" s="7">
        <f t="shared" si="132"/>
        <v>0</v>
      </c>
      <c r="L212" s="7"/>
      <c r="M212" s="8" t="s">
        <v>75</v>
      </c>
      <c r="N212" s="7">
        <f t="shared" si="145"/>
        <v>0</v>
      </c>
      <c r="O212" s="8">
        <f t="shared" si="134"/>
        <v>0</v>
      </c>
      <c r="P212" s="7">
        <f t="shared" si="135"/>
        <v>0</v>
      </c>
      <c r="Q212" s="7">
        <f t="shared" si="136"/>
        <v>0</v>
      </c>
      <c r="R212" s="7">
        <f t="shared" si="137"/>
        <v>0</v>
      </c>
      <c r="S212" s="7">
        <f t="shared" si="138"/>
        <v>0</v>
      </c>
    </row>
    <row r="213" spans="3:19" ht="12.5" customHeight="1" thickBot="1">
      <c r="C213" s="368"/>
      <c r="D213" s="841"/>
      <c r="E213" s="841"/>
      <c r="F213" s="841"/>
      <c r="G213" s="28"/>
      <c r="H213" s="427"/>
      <c r="I213" s="337"/>
      <c r="J213" s="40"/>
      <c r="K213" s="40"/>
      <c r="L213" s="40"/>
      <c r="M213" s="40"/>
      <c r="N213" s="40"/>
      <c r="O213" s="40"/>
      <c r="P213" s="7"/>
      <c r="Q213" s="7"/>
      <c r="R213" s="7"/>
      <c r="S213" s="7"/>
    </row>
    <row r="214" spans="3:19" s="41" customFormat="1" ht="13" thickBot="1">
      <c r="C214" s="368"/>
      <c r="D214" s="834"/>
      <c r="E214" s="847"/>
      <c r="F214" s="834"/>
      <c r="G214" s="49"/>
      <c r="H214" s="17">
        <v>2400</v>
      </c>
      <c r="I214" s="10">
        <f>SUM(I202:I213)</f>
        <v>120321.92157739791</v>
      </c>
      <c r="J214" s="10">
        <f>SUM(J202:J213)</f>
        <v>32968.731000354514</v>
      </c>
      <c r="K214" s="10">
        <f>SUM(K202:K213)</f>
        <v>153290.65257775242</v>
      </c>
      <c r="L214" s="11"/>
      <c r="M214" s="10">
        <f t="shared" ref="M214:S214" si="146">SUM(M202:M213)</f>
        <v>0</v>
      </c>
      <c r="N214" s="10">
        <f t="shared" si="146"/>
        <v>0</v>
      </c>
      <c r="O214" s="10">
        <f t="shared" si="146"/>
        <v>7459.9591377986699</v>
      </c>
      <c r="P214" s="10">
        <f t="shared" si="146"/>
        <v>1744.6678628722698</v>
      </c>
      <c r="Q214" s="10">
        <f t="shared" si="146"/>
        <v>20999.147097600006</v>
      </c>
      <c r="R214" s="10">
        <f t="shared" si="146"/>
        <v>1080.4500000000003</v>
      </c>
      <c r="S214" s="10">
        <f t="shared" si="146"/>
        <v>1684.5069020835706</v>
      </c>
    </row>
    <row r="215" spans="3:19" ht="12">
      <c r="C215" s="369" t="s">
        <v>24</v>
      </c>
      <c r="D215" s="835"/>
      <c r="E215" s="848"/>
      <c r="F215" s="835"/>
      <c r="G215" s="28"/>
      <c r="H215" s="35"/>
      <c r="I215" s="7"/>
      <c r="J215" s="7"/>
      <c r="K215" s="7"/>
      <c r="L215" s="7"/>
      <c r="M215" s="36"/>
      <c r="N215" s="36"/>
      <c r="O215" s="36"/>
      <c r="P215" s="36"/>
      <c r="Q215" s="36"/>
      <c r="R215" s="36"/>
      <c r="S215" s="36"/>
    </row>
    <row r="216" spans="3:19" ht="12">
      <c r="C216" s="369"/>
      <c r="D216" s="840" t="str">
        <f>'Payroll 19-20'!D216</f>
        <v>Admin Assistant</v>
      </c>
      <c r="E216" s="840">
        <f>'Payroll 22-23'!E216*(1+'Revenue Inputs'!R$27)</f>
        <v>1.1025</v>
      </c>
      <c r="F216" s="828">
        <f>'Payroll 22-23'!F216*(1+$I$4)</f>
        <v>45365.0349066048</v>
      </c>
      <c r="G216" s="322">
        <f>'Payroll 22-23'!G216</f>
        <v>12</v>
      </c>
      <c r="H216" s="319" t="str">
        <f>'Payroll 22-23'!H216</f>
        <v>y</v>
      </c>
      <c r="I216" s="320">
        <f>'Payroll 22-23'!I216*(1+$I$4)</f>
        <v>45365.0349066048</v>
      </c>
      <c r="J216" s="7">
        <f t="shared" ref="J216:J227" si="147">SUM(M216:S216)</f>
        <v>15145.334207847738</v>
      </c>
      <c r="K216" s="7">
        <f t="shared" ref="K216:K226" si="148">SUM(I216:J216)</f>
        <v>60510.369114452536</v>
      </c>
      <c r="L216" s="7"/>
      <c r="M216" s="8" t="s">
        <v>75</v>
      </c>
      <c r="N216" s="7">
        <f t="shared" ref="N216:N227" si="149">I216*$N$5</f>
        <v>0</v>
      </c>
      <c r="O216" s="8">
        <f t="shared" ref="O216:O227" si="150">I216*$O$5</f>
        <v>2812.6321642094977</v>
      </c>
      <c r="P216" s="7">
        <f t="shared" ref="P216:P227" si="151">I216*$P$5</f>
        <v>657.7930061457696</v>
      </c>
      <c r="Q216" s="7">
        <f t="shared" ref="Q216:Q227" si="152">IF(H216="y", $Q$5*E216, 0)</f>
        <v>10499.573548800003</v>
      </c>
      <c r="R216" s="7">
        <f t="shared" ref="R216:R227" si="153">IF($I216&gt;7000,7000*R$5,$I216*R$5)*E216</f>
        <v>540.22500000000014</v>
      </c>
      <c r="S216" s="7">
        <f t="shared" ref="S216:S227" si="154">S$5*$I216</f>
        <v>635.11048869246724</v>
      </c>
    </row>
    <row r="217" spans="3:19" ht="12">
      <c r="C217" s="369"/>
      <c r="D217" s="840">
        <f>'Payroll 19-20'!D217</f>
        <v>0</v>
      </c>
      <c r="E217" s="840">
        <f>'Payroll 22-23'!E217*(1+'Revenue Inputs'!R$27)</f>
        <v>0</v>
      </c>
      <c r="F217" s="828">
        <f>'Payroll 22-23'!F217*(1+$I$4)</f>
        <v>0</v>
      </c>
      <c r="G217" s="322">
        <f>'Payroll 22-23'!G217</f>
        <v>0</v>
      </c>
      <c r="H217" s="319">
        <f>'Payroll 22-23'!H217</f>
        <v>0</v>
      </c>
      <c r="I217" s="320">
        <f>'Payroll 22-23'!I217*(1+$I$4)</f>
        <v>0</v>
      </c>
      <c r="J217" s="7">
        <f t="shared" ref="J217:J224" si="155">SUM(M217:S217)</f>
        <v>0</v>
      </c>
      <c r="K217" s="7">
        <f t="shared" ref="K217:K223" si="156">SUM(I217:J217)</f>
        <v>0</v>
      </c>
      <c r="L217" s="7"/>
      <c r="M217" s="8" t="s">
        <v>75</v>
      </c>
      <c r="N217" s="7">
        <f t="shared" ref="N217:N224" si="157">I217*$N$5</f>
        <v>0</v>
      </c>
      <c r="O217" s="8">
        <f t="shared" ref="O217:O224" si="158">I217*$O$5</f>
        <v>0</v>
      </c>
      <c r="P217" s="7">
        <f t="shared" ref="P217:P224" si="159">I217*$P$5</f>
        <v>0</v>
      </c>
      <c r="Q217" s="7">
        <f t="shared" si="152"/>
        <v>0</v>
      </c>
      <c r="R217" s="7">
        <f t="shared" si="153"/>
        <v>0</v>
      </c>
      <c r="S217" s="7">
        <f t="shared" si="154"/>
        <v>0</v>
      </c>
    </row>
    <row r="218" spans="3:19" ht="12">
      <c r="C218" s="369"/>
      <c r="D218" s="840">
        <f>'Payroll 19-20'!D218</f>
        <v>0</v>
      </c>
      <c r="E218" s="840">
        <f>'Payroll 22-23'!E218*(1+'Revenue Inputs'!R$27)</f>
        <v>0</v>
      </c>
      <c r="F218" s="828">
        <f>'Payroll 22-23'!F218*(1+$I$4)</f>
        <v>0</v>
      </c>
      <c r="G218" s="322">
        <f>'Payroll 22-23'!G218</f>
        <v>0</v>
      </c>
      <c r="H218" s="319">
        <f>'Payroll 22-23'!H218</f>
        <v>0</v>
      </c>
      <c r="I218" s="320">
        <f>'Payroll 22-23'!I218*(1+$I$4)</f>
        <v>0</v>
      </c>
      <c r="J218" s="7">
        <f t="shared" ref="J218:J222" si="160">SUM(M218:S218)</f>
        <v>0</v>
      </c>
      <c r="K218" s="7">
        <f t="shared" ref="K218" si="161">SUM(I218:J218)</f>
        <v>0</v>
      </c>
      <c r="L218" s="7"/>
      <c r="M218" s="8" t="s">
        <v>75</v>
      </c>
      <c r="N218" s="7">
        <f t="shared" ref="N218:N222" si="162">I218*$N$5</f>
        <v>0</v>
      </c>
      <c r="O218" s="8">
        <f t="shared" ref="O218:O222" si="163">I218*$O$5</f>
        <v>0</v>
      </c>
      <c r="P218" s="7">
        <f t="shared" ref="P218:P222" si="164">I218*$P$5</f>
        <v>0</v>
      </c>
      <c r="Q218" s="7">
        <f t="shared" si="152"/>
        <v>0</v>
      </c>
      <c r="R218" s="7">
        <f t="shared" si="153"/>
        <v>0</v>
      </c>
      <c r="S218" s="7">
        <f t="shared" si="154"/>
        <v>0</v>
      </c>
    </row>
    <row r="219" spans="3:19" ht="12">
      <c r="C219" s="369"/>
      <c r="D219" s="840">
        <f>'Payroll 19-20'!D219</f>
        <v>0</v>
      </c>
      <c r="E219" s="840">
        <f>'Payroll 22-23'!E219*(1+'Revenue Inputs'!R$27)</f>
        <v>0</v>
      </c>
      <c r="F219" s="828">
        <f>'Payroll 22-23'!F219*(1+$I$4)</f>
        <v>0</v>
      </c>
      <c r="G219" s="322">
        <f>'Payroll 22-23'!G219</f>
        <v>0</v>
      </c>
      <c r="H219" s="319">
        <f>'Payroll 22-23'!H219</f>
        <v>0</v>
      </c>
      <c r="I219" s="320">
        <f>'Payroll 22-23'!I219*(1+$I$4)</f>
        <v>0</v>
      </c>
      <c r="J219" s="7">
        <f t="shared" si="160"/>
        <v>0</v>
      </c>
      <c r="K219" s="7">
        <f t="shared" ref="K219" si="165">SUM(I219:J219)</f>
        <v>0</v>
      </c>
      <c r="L219" s="7"/>
      <c r="M219" s="8" t="s">
        <v>75</v>
      </c>
      <c r="N219" s="7">
        <f t="shared" si="162"/>
        <v>0</v>
      </c>
      <c r="O219" s="8">
        <f t="shared" si="163"/>
        <v>0</v>
      </c>
      <c r="P219" s="7">
        <f t="shared" si="164"/>
        <v>0</v>
      </c>
      <c r="Q219" s="7">
        <f t="shared" si="152"/>
        <v>0</v>
      </c>
      <c r="R219" s="7">
        <f t="shared" si="153"/>
        <v>0</v>
      </c>
      <c r="S219" s="7">
        <f t="shared" si="154"/>
        <v>0</v>
      </c>
    </row>
    <row r="220" spans="3:19" ht="12">
      <c r="C220" s="369"/>
      <c r="D220" s="840">
        <f>'Payroll 19-20'!D220</f>
        <v>0</v>
      </c>
      <c r="E220" s="840">
        <f>'Payroll 22-23'!E220*(1+'Revenue Inputs'!R$27)</f>
        <v>0</v>
      </c>
      <c r="F220" s="828">
        <f>'Payroll 22-23'!F220*(1+$I$4)</f>
        <v>0</v>
      </c>
      <c r="G220" s="322">
        <f>'Payroll 22-23'!G220</f>
        <v>0</v>
      </c>
      <c r="H220" s="319">
        <f>'Payroll 22-23'!H220</f>
        <v>0</v>
      </c>
      <c r="I220" s="320">
        <f>'Payroll 22-23'!I220*(1+$I$4)</f>
        <v>0</v>
      </c>
      <c r="J220" s="7">
        <f t="shared" si="160"/>
        <v>0</v>
      </c>
      <c r="K220" s="7">
        <f t="shared" ref="K220:K221" si="166">SUM(I220:J220)</f>
        <v>0</v>
      </c>
      <c r="L220" s="7"/>
      <c r="M220" s="8" t="s">
        <v>75</v>
      </c>
      <c r="N220" s="7">
        <f t="shared" si="162"/>
        <v>0</v>
      </c>
      <c r="O220" s="8">
        <f t="shared" si="163"/>
        <v>0</v>
      </c>
      <c r="P220" s="7">
        <f t="shared" si="164"/>
        <v>0</v>
      </c>
      <c r="Q220" s="7">
        <f t="shared" si="152"/>
        <v>0</v>
      </c>
      <c r="R220" s="7">
        <f t="shared" si="153"/>
        <v>0</v>
      </c>
      <c r="S220" s="7">
        <f t="shared" si="154"/>
        <v>0</v>
      </c>
    </row>
    <row r="221" spans="3:19" ht="12">
      <c r="C221" s="369"/>
      <c r="D221" s="840">
        <f>'Payroll 19-20'!D221</f>
        <v>0</v>
      </c>
      <c r="E221" s="840">
        <f>'Payroll 22-23'!E221*(1+'Revenue Inputs'!R$27)</f>
        <v>0</v>
      </c>
      <c r="F221" s="828">
        <f>'Payroll 22-23'!F221*(1+$I$4)</f>
        <v>0</v>
      </c>
      <c r="G221" s="322">
        <f>'Payroll 22-23'!G221</f>
        <v>0</v>
      </c>
      <c r="H221" s="319">
        <f>'Payroll 22-23'!H221</f>
        <v>0</v>
      </c>
      <c r="I221" s="320">
        <f>'Payroll 22-23'!I221*(1+$I$4)</f>
        <v>0</v>
      </c>
      <c r="J221" s="7">
        <f t="shared" si="160"/>
        <v>0</v>
      </c>
      <c r="K221" s="7">
        <f t="shared" si="166"/>
        <v>0</v>
      </c>
      <c r="L221" s="7"/>
      <c r="M221" s="8" t="s">
        <v>75</v>
      </c>
      <c r="N221" s="7">
        <f t="shared" si="162"/>
        <v>0</v>
      </c>
      <c r="O221" s="8">
        <f t="shared" si="163"/>
        <v>0</v>
      </c>
      <c r="P221" s="7">
        <f t="shared" si="164"/>
        <v>0</v>
      </c>
      <c r="Q221" s="7">
        <f t="shared" si="152"/>
        <v>0</v>
      </c>
      <c r="R221" s="7">
        <f t="shared" si="153"/>
        <v>0</v>
      </c>
      <c r="S221" s="7">
        <f t="shared" si="154"/>
        <v>0</v>
      </c>
    </row>
    <row r="222" spans="3:19" ht="12">
      <c r="C222" s="369"/>
      <c r="D222" s="840">
        <f>'Payroll 19-20'!D222</f>
        <v>0</v>
      </c>
      <c r="E222" s="840">
        <f>'Payroll 22-23'!E222*(1+'Revenue Inputs'!R$27)</f>
        <v>0</v>
      </c>
      <c r="F222" s="828">
        <f>'Payroll 22-23'!F222*(1+$I$4)</f>
        <v>0</v>
      </c>
      <c r="G222" s="322">
        <f>'Payroll 22-23'!G222</f>
        <v>0</v>
      </c>
      <c r="H222" s="319">
        <f>'Payroll 22-23'!H222</f>
        <v>0</v>
      </c>
      <c r="I222" s="320">
        <f>'Payroll 22-23'!I222*(1+$I$4)</f>
        <v>0</v>
      </c>
      <c r="J222" s="7">
        <f t="shared" si="160"/>
        <v>0</v>
      </c>
      <c r="K222" s="7">
        <f t="shared" ref="K222" si="167">SUM(I222:J222)</f>
        <v>0</v>
      </c>
      <c r="L222" s="7"/>
      <c r="M222" s="8" t="s">
        <v>75</v>
      </c>
      <c r="N222" s="7">
        <f t="shared" si="162"/>
        <v>0</v>
      </c>
      <c r="O222" s="8">
        <f t="shared" si="163"/>
        <v>0</v>
      </c>
      <c r="P222" s="7">
        <f t="shared" si="164"/>
        <v>0</v>
      </c>
      <c r="Q222" s="7">
        <f t="shared" si="152"/>
        <v>0</v>
      </c>
      <c r="R222" s="7">
        <f t="shared" si="153"/>
        <v>0</v>
      </c>
      <c r="S222" s="7">
        <f t="shared" si="154"/>
        <v>0</v>
      </c>
    </row>
    <row r="223" spans="3:19" ht="12">
      <c r="C223" s="369"/>
      <c r="D223" s="840">
        <f>'Payroll 19-20'!D223</f>
        <v>0</v>
      </c>
      <c r="E223" s="840">
        <f>'Payroll 22-23'!E223*(1+'Revenue Inputs'!R$27)</f>
        <v>0</v>
      </c>
      <c r="F223" s="828">
        <f>'Payroll 22-23'!F223*(1+$I$4)</f>
        <v>0</v>
      </c>
      <c r="G223" s="322">
        <f>'Payroll 22-23'!G223</f>
        <v>0</v>
      </c>
      <c r="H223" s="319">
        <f>'Payroll 22-23'!H223</f>
        <v>0</v>
      </c>
      <c r="I223" s="320">
        <f>'Payroll 22-23'!I223*(1+$I$4)</f>
        <v>0</v>
      </c>
      <c r="J223" s="7">
        <f t="shared" si="155"/>
        <v>0</v>
      </c>
      <c r="K223" s="7">
        <f t="shared" si="156"/>
        <v>0</v>
      </c>
      <c r="L223" s="7"/>
      <c r="M223" s="8" t="s">
        <v>75</v>
      </c>
      <c r="N223" s="7">
        <f t="shared" si="157"/>
        <v>0</v>
      </c>
      <c r="O223" s="8">
        <f t="shared" si="158"/>
        <v>0</v>
      </c>
      <c r="P223" s="7">
        <f t="shared" si="159"/>
        <v>0</v>
      </c>
      <c r="Q223" s="7">
        <f t="shared" si="152"/>
        <v>0</v>
      </c>
      <c r="R223" s="7">
        <f t="shared" si="153"/>
        <v>0</v>
      </c>
      <c r="S223" s="7">
        <f t="shared" si="154"/>
        <v>0</v>
      </c>
    </row>
    <row r="224" spans="3:19" ht="12">
      <c r="C224" s="369"/>
      <c r="D224" s="840">
        <f>'Payroll 19-20'!D224</f>
        <v>0</v>
      </c>
      <c r="E224" s="840">
        <f>'Payroll 22-23'!E224*(1+'Revenue Inputs'!R$27)</f>
        <v>0</v>
      </c>
      <c r="F224" s="828">
        <f>'Payroll 22-23'!F224*(1+$I$4)</f>
        <v>0</v>
      </c>
      <c r="G224" s="322">
        <f>'Payroll 22-23'!G224</f>
        <v>0</v>
      </c>
      <c r="H224" s="319">
        <f>'Payroll 22-23'!H224</f>
        <v>0</v>
      </c>
      <c r="I224" s="320">
        <f>'Payroll 22-23'!I224*(1+$I$4)</f>
        <v>0</v>
      </c>
      <c r="J224" s="7">
        <f t="shared" si="155"/>
        <v>0</v>
      </c>
      <c r="K224" s="7">
        <f t="shared" ref="K224" si="168">SUM(I224:J224)</f>
        <v>0</v>
      </c>
      <c r="L224" s="7"/>
      <c r="M224" s="8" t="s">
        <v>75</v>
      </c>
      <c r="N224" s="7">
        <f t="shared" si="157"/>
        <v>0</v>
      </c>
      <c r="O224" s="8">
        <f t="shared" si="158"/>
        <v>0</v>
      </c>
      <c r="P224" s="7">
        <f t="shared" si="159"/>
        <v>0</v>
      </c>
      <c r="Q224" s="7">
        <f t="shared" si="152"/>
        <v>0</v>
      </c>
      <c r="R224" s="7">
        <f t="shared" si="153"/>
        <v>0</v>
      </c>
      <c r="S224" s="7">
        <f t="shared" si="154"/>
        <v>0</v>
      </c>
    </row>
    <row r="225" spans="3:19" ht="12">
      <c r="C225" s="369"/>
      <c r="D225" s="840">
        <f>'Payroll 19-20'!D225</f>
        <v>0</v>
      </c>
      <c r="E225" s="840">
        <f>'Payroll 22-23'!E225*(1+'Revenue Inputs'!R$27)</f>
        <v>0</v>
      </c>
      <c r="F225" s="828">
        <f>'Payroll 22-23'!F225*(1+$I$4)</f>
        <v>0</v>
      </c>
      <c r="G225" s="322">
        <f>'Payroll 22-23'!G225</f>
        <v>0</v>
      </c>
      <c r="H225" s="319">
        <f>'Payroll 22-23'!H225</f>
        <v>0</v>
      </c>
      <c r="I225" s="320">
        <f>'Payroll 22-23'!I225*(1+$I$4)</f>
        <v>0</v>
      </c>
      <c r="J225" s="7">
        <f t="shared" si="147"/>
        <v>0</v>
      </c>
      <c r="K225" s="7">
        <f t="shared" si="148"/>
        <v>0</v>
      </c>
      <c r="L225" s="7"/>
      <c r="M225" s="8" t="s">
        <v>75</v>
      </c>
      <c r="N225" s="7">
        <f t="shared" si="149"/>
        <v>0</v>
      </c>
      <c r="O225" s="8">
        <f t="shared" si="150"/>
        <v>0</v>
      </c>
      <c r="P225" s="7">
        <f t="shared" si="151"/>
        <v>0</v>
      </c>
      <c r="Q225" s="7">
        <f t="shared" si="152"/>
        <v>0</v>
      </c>
      <c r="R225" s="7">
        <f t="shared" si="153"/>
        <v>0</v>
      </c>
      <c r="S225" s="7">
        <f t="shared" si="154"/>
        <v>0</v>
      </c>
    </row>
    <row r="226" spans="3:19" ht="12">
      <c r="C226" s="369"/>
      <c r="D226" s="840">
        <f>'Payroll 19-20'!D226</f>
        <v>0</v>
      </c>
      <c r="E226" s="840">
        <f>'Payroll 22-23'!E226*(1+'Revenue Inputs'!R$27)</f>
        <v>0</v>
      </c>
      <c r="F226" s="828">
        <f>'Payroll 22-23'!F226*(1+$I$4)</f>
        <v>0</v>
      </c>
      <c r="G226" s="322">
        <f>'Payroll 22-23'!G226</f>
        <v>0</v>
      </c>
      <c r="H226" s="319">
        <f>'Payroll 22-23'!H226</f>
        <v>0</v>
      </c>
      <c r="I226" s="320">
        <f>'Payroll 22-23'!I226*(1+$I$4)</f>
        <v>0</v>
      </c>
      <c r="J226" s="7">
        <f t="shared" si="147"/>
        <v>0</v>
      </c>
      <c r="K226" s="7">
        <f t="shared" si="148"/>
        <v>0</v>
      </c>
      <c r="L226" s="7"/>
      <c r="M226" s="8" t="s">
        <v>75</v>
      </c>
      <c r="N226" s="7">
        <f t="shared" si="149"/>
        <v>0</v>
      </c>
      <c r="O226" s="8">
        <f t="shared" si="150"/>
        <v>0</v>
      </c>
      <c r="P226" s="7">
        <f t="shared" si="151"/>
        <v>0</v>
      </c>
      <c r="Q226" s="7">
        <f t="shared" si="152"/>
        <v>0</v>
      </c>
      <c r="R226" s="7">
        <f t="shared" si="153"/>
        <v>0</v>
      </c>
      <c r="S226" s="7">
        <f t="shared" si="154"/>
        <v>0</v>
      </c>
    </row>
    <row r="227" spans="3:19" ht="12">
      <c r="C227" s="369"/>
      <c r="D227" s="840">
        <f>'Payroll 19-20'!D227</f>
        <v>0</v>
      </c>
      <c r="E227" s="840">
        <f>'Payroll 22-23'!E227*(1+'Revenue Inputs'!R$27)</f>
        <v>0</v>
      </c>
      <c r="F227" s="828">
        <f>'Payroll 22-23'!F227*(1+$I$4)</f>
        <v>0</v>
      </c>
      <c r="G227" s="322">
        <f>'Payroll 22-23'!G227</f>
        <v>0</v>
      </c>
      <c r="H227" s="319">
        <f>'Payroll 22-23'!H227</f>
        <v>0</v>
      </c>
      <c r="I227" s="320">
        <f>'Payroll 22-23'!I227*(1+$I$4)</f>
        <v>0</v>
      </c>
      <c r="J227" s="7">
        <f t="shared" si="147"/>
        <v>0</v>
      </c>
      <c r="K227" s="7">
        <f t="shared" ref="K227" si="169">SUM(I227:J227)</f>
        <v>0</v>
      </c>
      <c r="L227" s="7"/>
      <c r="M227" s="8" t="s">
        <v>75</v>
      </c>
      <c r="N227" s="7">
        <f t="shared" si="149"/>
        <v>0</v>
      </c>
      <c r="O227" s="8">
        <f t="shared" si="150"/>
        <v>0</v>
      </c>
      <c r="P227" s="7">
        <f t="shared" si="151"/>
        <v>0</v>
      </c>
      <c r="Q227" s="7">
        <f t="shared" si="152"/>
        <v>0</v>
      </c>
      <c r="R227" s="7">
        <f t="shared" si="153"/>
        <v>0</v>
      </c>
      <c r="S227" s="7">
        <f t="shared" si="154"/>
        <v>0</v>
      </c>
    </row>
    <row r="228" spans="3:19" ht="12.5" customHeight="1" thickBot="1">
      <c r="C228" s="369"/>
      <c r="D228" s="841"/>
      <c r="E228" s="841"/>
      <c r="F228" s="841"/>
      <c r="G228" s="28"/>
      <c r="H228" s="427"/>
      <c r="I228" s="337"/>
      <c r="J228" s="40"/>
      <c r="K228" s="40"/>
      <c r="L228" s="40"/>
      <c r="M228" s="40"/>
      <c r="N228" s="40"/>
      <c r="O228" s="40"/>
      <c r="P228" s="7"/>
      <c r="Q228" s="7"/>
      <c r="R228" s="7"/>
      <c r="S228" s="7"/>
    </row>
    <row r="229" spans="3:19" s="41" customFormat="1" ht="13" thickBot="1">
      <c r="C229" s="369"/>
      <c r="D229" s="852"/>
      <c r="E229" s="852"/>
      <c r="F229" s="835"/>
      <c r="G229" s="28"/>
      <c r="H229" s="17">
        <v>2900</v>
      </c>
      <c r="I229" s="10">
        <f>SUM(I216:I228)</f>
        <v>45365.0349066048</v>
      </c>
      <c r="J229" s="10">
        <f>SUM(J216:J228)</f>
        <v>15145.334207847738</v>
      </c>
      <c r="K229" s="10">
        <f>SUM(K216:K228)</f>
        <v>60510.369114452536</v>
      </c>
      <c r="L229" s="11"/>
      <c r="M229" s="10">
        <f t="shared" ref="M229:S229" si="170">SUM(M216:M228)</f>
        <v>0</v>
      </c>
      <c r="N229" s="10">
        <f t="shared" si="170"/>
        <v>0</v>
      </c>
      <c r="O229" s="10">
        <f t="shared" si="170"/>
        <v>2812.6321642094977</v>
      </c>
      <c r="P229" s="10">
        <f t="shared" si="170"/>
        <v>657.7930061457696</v>
      </c>
      <c r="Q229" s="10">
        <f t="shared" si="170"/>
        <v>10499.573548800003</v>
      </c>
      <c r="R229" s="10">
        <f t="shared" si="170"/>
        <v>540.22500000000014</v>
      </c>
      <c r="S229" s="10">
        <f t="shared" si="170"/>
        <v>635.11048869246724</v>
      </c>
    </row>
    <row r="230" spans="3:19" ht="12">
      <c r="C230" s="369"/>
      <c r="D230" s="852"/>
      <c r="E230" s="852"/>
      <c r="F230" s="841"/>
      <c r="G230" s="28"/>
      <c r="H230" s="427"/>
      <c r="I230" s="337"/>
      <c r="J230" s="7"/>
      <c r="K230" s="7"/>
      <c r="L230" s="7"/>
      <c r="M230" s="36"/>
      <c r="N230" s="36"/>
      <c r="O230" s="36"/>
      <c r="P230" s="36"/>
      <c r="Q230" s="36"/>
      <c r="R230" s="36"/>
      <c r="S230" s="36"/>
    </row>
    <row r="231" spans="3:19" s="42" customFormat="1" ht="13" thickBot="1">
      <c r="C231" s="370"/>
      <c r="D231" s="852"/>
      <c r="E231" s="852"/>
      <c r="F231" s="843"/>
      <c r="G231" s="50"/>
      <c r="H231" s="20"/>
      <c r="I231" s="21">
        <f>SUM(I61,I229,I188,I214,I200,I166,I144,I122,I76,I65,I100)</f>
        <v>12916565.524152014</v>
      </c>
      <c r="J231" s="21">
        <f>SUM(J61,J229,J188,J214,J200,J166,J144,J122,J76,J65,J100)</f>
        <v>4346977.4036583705</v>
      </c>
      <c r="K231" s="21">
        <f>SUM(K61,K229,K188,K214,K200,K166,K144,K122,K76,K65,K100)</f>
        <v>17263542.92781039</v>
      </c>
      <c r="L231" s="22"/>
      <c r="M231" s="21">
        <f t="shared" ref="M231:S231" si="171">SUM(M61,M229,M188,M214,M200,M166,M144,M122,M76,M65,M100)</f>
        <v>2235262.4514301717</v>
      </c>
      <c r="N231" s="21">
        <f t="shared" si="171"/>
        <v>0</v>
      </c>
      <c r="O231" s="21">
        <f t="shared" si="171"/>
        <v>35157.051510294375</v>
      </c>
      <c r="P231" s="21">
        <f t="shared" si="171"/>
        <v>187290.2001002043</v>
      </c>
      <c r="Q231" s="21">
        <f t="shared" si="171"/>
        <v>1616934.3265152005</v>
      </c>
      <c r="R231" s="21">
        <f t="shared" si="171"/>
        <v>91501.45676437192</v>
      </c>
      <c r="S231" s="21">
        <f t="shared" si="171"/>
        <v>180831.91733812829</v>
      </c>
    </row>
    <row r="232" spans="3:19" ht="13" thickTop="1">
      <c r="C232" s="370"/>
      <c r="D232" s="36"/>
      <c r="E232" s="36"/>
      <c r="F232" s="36"/>
      <c r="G232" s="28"/>
      <c r="H232" s="7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3:19" ht="12">
      <c r="C233" s="369"/>
      <c r="D233" s="36"/>
      <c r="E233" s="36"/>
      <c r="F233" s="36"/>
      <c r="G233" s="28"/>
      <c r="I233" s="36"/>
      <c r="J233" s="36"/>
      <c r="K233" s="36"/>
      <c r="M233" s="36"/>
      <c r="N233" s="36"/>
      <c r="O233" s="36"/>
      <c r="P233" s="36"/>
      <c r="Q233" s="36"/>
      <c r="R233" s="7"/>
      <c r="S233" s="7"/>
    </row>
    <row r="234" spans="3:19" ht="12">
      <c r="C234" s="369"/>
    </row>
    <row r="235" spans="3:19" ht="12">
      <c r="C235" s="369"/>
    </row>
    <row r="236" spans="3:19" ht="12">
      <c r="C236" s="369"/>
    </row>
    <row r="237" spans="3:19" ht="12">
      <c r="C237" s="369"/>
    </row>
    <row r="238" spans="3:19" ht="12">
      <c r="C238" s="369"/>
    </row>
    <row r="239" spans="3:19" ht="12">
      <c r="C239" s="369"/>
    </row>
    <row r="240" spans="3:19" ht="12">
      <c r="C240" s="369"/>
    </row>
    <row r="241" spans="1:26" ht="12">
      <c r="C241" s="369"/>
    </row>
    <row r="242" spans="1:26" ht="12">
      <c r="C242" s="369"/>
    </row>
    <row r="244" spans="1:26" s="46" customFormat="1">
      <c r="A244" s="27"/>
      <c r="B244" s="27"/>
      <c r="C244" s="27"/>
      <c r="D244" s="844"/>
      <c r="E244" s="844"/>
      <c r="F244" s="844"/>
      <c r="G244" s="45"/>
      <c r="H244" s="45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s="46" customFormat="1">
      <c r="A245" s="27"/>
      <c r="B245" s="27"/>
      <c r="C245" s="27"/>
      <c r="D245" s="844"/>
      <c r="E245" s="844"/>
      <c r="F245" s="844"/>
      <c r="G245" s="45"/>
      <c r="H245" s="45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s="46" customFormat="1">
      <c r="A246" s="27"/>
      <c r="B246" s="27"/>
      <c r="C246" s="27"/>
      <c r="D246" s="844"/>
      <c r="E246" s="844"/>
      <c r="F246" s="844"/>
      <c r="G246" s="45"/>
      <c r="H246" s="45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s="46" customFormat="1">
      <c r="A247" s="27"/>
      <c r="B247" s="27"/>
      <c r="C247" s="27"/>
      <c r="D247" s="844"/>
      <c r="E247" s="844"/>
      <c r="F247" s="844"/>
      <c r="G247" s="45"/>
      <c r="H247" s="45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s="46" customFormat="1">
      <c r="A248" s="27"/>
      <c r="B248" s="27"/>
      <c r="C248" s="27"/>
      <c r="D248" s="844"/>
      <c r="E248" s="844"/>
      <c r="F248" s="844"/>
      <c r="G248" s="45"/>
      <c r="H248" s="45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s="46" customFormat="1">
      <c r="A249" s="27"/>
      <c r="B249" s="27"/>
      <c r="C249" s="27"/>
      <c r="D249" s="844"/>
      <c r="E249" s="844"/>
      <c r="F249" s="844"/>
      <c r="G249" s="45"/>
      <c r="H249" s="45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s="46" customFormat="1">
      <c r="A250" s="27"/>
      <c r="B250" s="27"/>
      <c r="C250" s="27"/>
      <c r="D250" s="844"/>
      <c r="E250" s="844"/>
      <c r="F250" s="844"/>
      <c r="G250" s="45"/>
      <c r="H250" s="45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s="46" customFormat="1">
      <c r="A251" s="27"/>
      <c r="B251" s="27"/>
      <c r="C251" s="27"/>
      <c r="D251" s="844"/>
      <c r="E251" s="844"/>
      <c r="F251" s="844"/>
      <c r="G251" s="45"/>
      <c r="H251" s="45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s="46" customFormat="1">
      <c r="A252" s="27"/>
      <c r="B252" s="27"/>
      <c r="C252" s="27"/>
      <c r="D252" s="844"/>
      <c r="E252" s="844"/>
      <c r="F252" s="844"/>
      <c r="G252" s="45"/>
      <c r="H252" s="45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s="46" customFormat="1">
      <c r="A253" s="27"/>
      <c r="B253" s="27"/>
      <c r="C253" s="27"/>
      <c r="D253" s="844"/>
      <c r="E253" s="844"/>
      <c r="F253" s="844"/>
      <c r="G253" s="45"/>
      <c r="H253" s="45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s="46" customFormat="1">
      <c r="A254" s="27"/>
      <c r="B254" s="27"/>
      <c r="C254" s="27"/>
      <c r="D254" s="844"/>
      <c r="E254" s="844"/>
      <c r="F254" s="844"/>
      <c r="G254" s="45"/>
      <c r="H254" s="45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s="46" customFormat="1">
      <c r="A255" s="27"/>
      <c r="B255" s="27"/>
      <c r="C255" s="27"/>
      <c r="D255" s="844"/>
      <c r="E255" s="844"/>
      <c r="F255" s="844"/>
      <c r="G255" s="45"/>
      <c r="H255" s="45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s="46" customFormat="1">
      <c r="A256" s="27"/>
      <c r="B256" s="27"/>
      <c r="C256" s="27"/>
      <c r="D256" s="844"/>
      <c r="E256" s="844"/>
      <c r="F256" s="844"/>
      <c r="G256" s="45"/>
      <c r="H256" s="45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</sheetData>
  <sheetProtection insertColumns="0" insertRows="0" deleteColumns="0" deleteRows="0"/>
  <printOptions horizontalCentered="1"/>
  <pageMargins left="0.25" right="0.25" top="0.25" bottom="0.25" header="0.3" footer="0.3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A06-2DDD-4FCB-826A-348DBE2D6FC4}">
  <sheetPr>
    <tabColor rgb="FF002060"/>
    <pageSetUpPr fitToPage="1"/>
  </sheetPr>
  <dimension ref="A1:Z317"/>
  <sheetViews>
    <sheetView topLeftCell="A244" zoomScale="85" zoomScaleNormal="85" workbookViewId="0">
      <selection activeCell="AA28" sqref="AA28"/>
    </sheetView>
  </sheetViews>
  <sheetFormatPr baseColWidth="10" defaultColWidth="8.83203125" defaultRowHeight="15"/>
  <cols>
    <col min="2" max="2" width="44.1640625" customWidth="1"/>
    <col min="3" max="3" width="12.6640625" customWidth="1"/>
    <col min="4" max="4" width="1.33203125" customWidth="1"/>
    <col min="5" max="5" width="13.33203125" customWidth="1"/>
    <col min="6" max="6" width="1.33203125" customWidth="1"/>
    <col min="7" max="7" width="13.33203125" customWidth="1"/>
    <col min="8" max="8" width="1.33203125" customWidth="1"/>
    <col min="9" max="9" width="13.33203125" customWidth="1"/>
    <col min="10" max="10" width="1.33203125" customWidth="1"/>
    <col min="11" max="11" width="13.33203125" customWidth="1"/>
    <col min="12" max="12" width="1.33203125" customWidth="1"/>
    <col min="13" max="13" width="13.33203125" customWidth="1"/>
    <col min="16" max="16" width="1.33203125" customWidth="1"/>
    <col min="17" max="17" width="9" customWidth="1"/>
    <col min="18" max="18" width="1.33203125" customWidth="1"/>
    <col min="20" max="20" width="1.33203125" customWidth="1"/>
    <col min="22" max="22" width="1.33203125" customWidth="1"/>
    <col min="24" max="24" width="1.33203125" customWidth="1"/>
  </cols>
  <sheetData>
    <row r="1" spans="1:13" ht="16">
      <c r="A1" s="747" t="s">
        <v>410</v>
      </c>
      <c r="B1" s="790"/>
      <c r="C1" s="770"/>
      <c r="D1" s="770"/>
      <c r="E1" s="770"/>
      <c r="F1" s="770"/>
      <c r="G1" s="770"/>
      <c r="H1" s="770"/>
      <c r="I1" s="770"/>
      <c r="J1" s="770"/>
      <c r="K1" s="770"/>
      <c r="L1" s="770"/>
      <c r="M1" s="770"/>
    </row>
    <row r="2" spans="1:13" ht="16">
      <c r="A2" s="747"/>
      <c r="B2" s="735"/>
      <c r="C2" s="714" t="s">
        <v>221</v>
      </c>
      <c r="D2" s="714"/>
      <c r="E2" s="714" t="s">
        <v>253</v>
      </c>
      <c r="F2" s="714"/>
      <c r="G2" s="714" t="s">
        <v>323</v>
      </c>
      <c r="H2" s="714"/>
      <c r="I2" s="714" t="s">
        <v>332</v>
      </c>
      <c r="J2" s="714"/>
      <c r="K2" s="714" t="s">
        <v>340</v>
      </c>
      <c r="L2" s="714"/>
      <c r="M2" s="752" t="s">
        <v>406</v>
      </c>
    </row>
    <row r="3" spans="1:13">
      <c r="A3" s="778"/>
      <c r="B3" s="732"/>
      <c r="C3" s="711" t="s">
        <v>411</v>
      </c>
      <c r="D3" s="711"/>
      <c r="E3" s="711" t="s">
        <v>412</v>
      </c>
      <c r="F3" s="711"/>
      <c r="G3" s="711" t="s">
        <v>413</v>
      </c>
      <c r="H3" s="711"/>
      <c r="I3" s="711" t="s">
        <v>414</v>
      </c>
      <c r="J3" s="711"/>
      <c r="K3" s="711" t="s">
        <v>415</v>
      </c>
      <c r="L3" s="711"/>
      <c r="M3" s="701" t="s">
        <v>416</v>
      </c>
    </row>
    <row r="4" spans="1:13" ht="16">
      <c r="A4" s="706" t="s">
        <v>417</v>
      </c>
      <c r="B4" s="789" t="s">
        <v>418</v>
      </c>
      <c r="C4" s="769"/>
      <c r="D4" s="769"/>
      <c r="E4" s="769"/>
      <c r="F4" s="769"/>
      <c r="G4" s="769"/>
      <c r="H4" s="769"/>
      <c r="I4" s="769"/>
      <c r="J4" s="769"/>
      <c r="K4" s="769"/>
      <c r="L4" s="769"/>
      <c r="M4" s="727"/>
    </row>
    <row r="5" spans="1:13" ht="16">
      <c r="A5" s="747"/>
      <c r="B5" s="719" t="s">
        <v>419</v>
      </c>
      <c r="C5" s="775">
        <v>0</v>
      </c>
      <c r="D5" s="757"/>
      <c r="E5" s="757">
        <f>'Revenue Inputs'!C43</f>
        <v>0</v>
      </c>
      <c r="F5" s="757"/>
      <c r="G5" s="775">
        <f>E5</f>
        <v>0</v>
      </c>
      <c r="H5" s="757"/>
      <c r="I5" s="775">
        <f>G5</f>
        <v>0</v>
      </c>
      <c r="J5" s="757"/>
      <c r="K5" s="775">
        <f>I5</f>
        <v>0</v>
      </c>
      <c r="L5" s="757"/>
      <c r="M5" s="805">
        <f>K5</f>
        <v>0</v>
      </c>
    </row>
    <row r="6" spans="1:13" ht="16">
      <c r="A6" s="747"/>
      <c r="B6" s="719" t="s">
        <v>420</v>
      </c>
      <c r="C6" s="775">
        <v>0</v>
      </c>
      <c r="D6" s="757"/>
      <c r="E6" s="757"/>
      <c r="F6" s="757"/>
      <c r="G6" s="775">
        <f t="shared" ref="G6:K17" si="0">E6</f>
        <v>0</v>
      </c>
      <c r="H6" s="757"/>
      <c r="I6" s="775">
        <f t="shared" si="0"/>
        <v>0</v>
      </c>
      <c r="J6" s="757"/>
      <c r="K6" s="775">
        <f t="shared" si="0"/>
        <v>0</v>
      </c>
      <c r="L6" s="757"/>
      <c r="M6" s="805">
        <f t="shared" ref="M6:M17" si="1">K6</f>
        <v>0</v>
      </c>
    </row>
    <row r="7" spans="1:13" ht="16">
      <c r="A7" s="747"/>
      <c r="B7" s="719" t="s">
        <v>421</v>
      </c>
      <c r="C7" s="775">
        <v>0</v>
      </c>
      <c r="D7" s="757"/>
      <c r="E7" s="757"/>
      <c r="F7" s="757"/>
      <c r="G7" s="775">
        <f t="shared" si="0"/>
        <v>0</v>
      </c>
      <c r="H7" s="757"/>
      <c r="I7" s="775">
        <f t="shared" si="0"/>
        <v>0</v>
      </c>
      <c r="J7" s="757"/>
      <c r="K7" s="775">
        <f t="shared" si="0"/>
        <v>0</v>
      </c>
      <c r="L7" s="757"/>
      <c r="M7" s="805">
        <f t="shared" si="1"/>
        <v>0</v>
      </c>
    </row>
    <row r="8" spans="1:13" ht="16">
      <c r="A8" s="747"/>
      <c r="B8" s="719" t="s">
        <v>422</v>
      </c>
      <c r="C8" s="775">
        <v>0</v>
      </c>
      <c r="D8" s="757"/>
      <c r="E8" s="757">
        <f>'Revenue Inputs'!C34</f>
        <v>1419</v>
      </c>
      <c r="F8" s="757"/>
      <c r="G8" s="775">
        <f t="shared" si="0"/>
        <v>1419</v>
      </c>
      <c r="H8" s="757"/>
      <c r="I8" s="775">
        <f t="shared" si="0"/>
        <v>1419</v>
      </c>
      <c r="J8" s="757"/>
      <c r="K8" s="775">
        <f t="shared" si="0"/>
        <v>1419</v>
      </c>
      <c r="L8" s="757"/>
      <c r="M8" s="805">
        <f t="shared" si="1"/>
        <v>1419</v>
      </c>
    </row>
    <row r="9" spans="1:13" ht="16">
      <c r="A9" s="747"/>
      <c r="B9" s="719" t="s">
        <v>423</v>
      </c>
      <c r="C9" s="775">
        <v>0</v>
      </c>
      <c r="D9" s="757"/>
      <c r="E9" s="757"/>
      <c r="F9" s="757"/>
      <c r="G9" s="775">
        <f t="shared" si="0"/>
        <v>0</v>
      </c>
      <c r="H9" s="757"/>
      <c r="I9" s="775">
        <f t="shared" si="0"/>
        <v>0</v>
      </c>
      <c r="J9" s="757"/>
      <c r="K9" s="775">
        <f t="shared" si="0"/>
        <v>0</v>
      </c>
      <c r="L9" s="757"/>
      <c r="M9" s="805">
        <f t="shared" si="1"/>
        <v>0</v>
      </c>
    </row>
    <row r="10" spans="1:13" ht="16">
      <c r="A10" s="747"/>
      <c r="B10" s="719" t="s">
        <v>424</v>
      </c>
      <c r="C10" s="775">
        <v>0</v>
      </c>
      <c r="D10" s="757"/>
      <c r="E10" s="757">
        <f>'Revenue Inputs'!C44</f>
        <v>0</v>
      </c>
      <c r="F10" s="757"/>
      <c r="G10" s="775">
        <f t="shared" si="0"/>
        <v>0</v>
      </c>
      <c r="H10" s="757"/>
      <c r="I10" s="775">
        <f t="shared" si="0"/>
        <v>0</v>
      </c>
      <c r="J10" s="757"/>
      <c r="K10" s="775">
        <f t="shared" si="0"/>
        <v>0</v>
      </c>
      <c r="L10" s="757"/>
      <c r="M10" s="805">
        <f t="shared" si="1"/>
        <v>0</v>
      </c>
    </row>
    <row r="11" spans="1:13" ht="16">
      <c r="A11" s="747"/>
      <c r="B11" s="719" t="s">
        <v>425</v>
      </c>
      <c r="C11" s="775">
        <v>0</v>
      </c>
      <c r="D11" s="757"/>
      <c r="E11" s="757">
        <f>'Revenue Inputs'!C45</f>
        <v>940</v>
      </c>
      <c r="F11" s="757"/>
      <c r="G11" s="775">
        <f t="shared" si="0"/>
        <v>940</v>
      </c>
      <c r="H11" s="757"/>
      <c r="I11" s="775">
        <f t="shared" si="0"/>
        <v>940</v>
      </c>
      <c r="J11" s="757"/>
      <c r="K11" s="775">
        <f t="shared" si="0"/>
        <v>940</v>
      </c>
      <c r="L11" s="757"/>
      <c r="M11" s="805">
        <f t="shared" si="1"/>
        <v>940</v>
      </c>
    </row>
    <row r="12" spans="1:13" ht="16">
      <c r="A12" s="747"/>
      <c r="B12" s="719" t="s">
        <v>426</v>
      </c>
      <c r="C12" s="775">
        <v>0</v>
      </c>
      <c r="D12" s="757"/>
      <c r="E12" s="757">
        <f>'Revenue Inputs'!C46</f>
        <v>520</v>
      </c>
      <c r="F12" s="757"/>
      <c r="G12" s="775">
        <f t="shared" si="0"/>
        <v>520</v>
      </c>
      <c r="H12" s="757"/>
      <c r="I12" s="775">
        <f t="shared" si="0"/>
        <v>520</v>
      </c>
      <c r="J12" s="757"/>
      <c r="K12" s="775">
        <f t="shared" si="0"/>
        <v>520</v>
      </c>
      <c r="L12" s="757"/>
      <c r="M12" s="805">
        <f t="shared" si="1"/>
        <v>520</v>
      </c>
    </row>
    <row r="13" spans="1:13" ht="16">
      <c r="A13" s="747"/>
      <c r="B13" s="719" t="s">
        <v>427</v>
      </c>
      <c r="C13" s="775">
        <v>0</v>
      </c>
      <c r="D13" s="757"/>
      <c r="E13" s="757">
        <f>'Revenue Inputs'!C47</f>
        <v>280</v>
      </c>
      <c r="F13" s="757"/>
      <c r="G13" s="775">
        <f t="shared" si="0"/>
        <v>280</v>
      </c>
      <c r="H13" s="757"/>
      <c r="I13" s="775">
        <f t="shared" si="0"/>
        <v>280</v>
      </c>
      <c r="J13" s="757"/>
      <c r="K13" s="775">
        <f t="shared" si="0"/>
        <v>280</v>
      </c>
      <c r="L13" s="757"/>
      <c r="M13" s="805">
        <f t="shared" si="1"/>
        <v>280</v>
      </c>
    </row>
    <row r="14" spans="1:13" ht="16">
      <c r="A14" s="747"/>
      <c r="B14" s="719" t="s">
        <v>428</v>
      </c>
      <c r="C14" s="775">
        <v>0</v>
      </c>
      <c r="D14" s="757"/>
      <c r="E14" s="757">
        <f>'Revenue Inputs'!C48</f>
        <v>260</v>
      </c>
      <c r="F14" s="757"/>
      <c r="G14" s="775">
        <f t="shared" si="0"/>
        <v>260</v>
      </c>
      <c r="H14" s="757"/>
      <c r="I14" s="775">
        <f t="shared" si="0"/>
        <v>260</v>
      </c>
      <c r="J14" s="757"/>
      <c r="K14" s="775">
        <f t="shared" si="0"/>
        <v>260</v>
      </c>
      <c r="L14" s="757"/>
      <c r="M14" s="805">
        <f t="shared" si="1"/>
        <v>260</v>
      </c>
    </row>
    <row r="15" spans="1:13" ht="16">
      <c r="A15" s="747"/>
      <c r="B15" s="719" t="s">
        <v>429</v>
      </c>
      <c r="C15" s="775">
        <v>0</v>
      </c>
      <c r="D15" s="757"/>
      <c r="E15" s="757">
        <f>'Revenue Inputs'!C49</f>
        <v>2000</v>
      </c>
      <c r="F15" s="757"/>
      <c r="G15" s="775">
        <f t="shared" si="0"/>
        <v>2000</v>
      </c>
      <c r="H15" s="757"/>
      <c r="I15" s="775">
        <f t="shared" si="0"/>
        <v>2000</v>
      </c>
      <c r="J15" s="757"/>
      <c r="K15" s="775">
        <f t="shared" si="0"/>
        <v>2000</v>
      </c>
      <c r="L15" s="757"/>
      <c r="M15" s="805">
        <f t="shared" si="1"/>
        <v>2000</v>
      </c>
    </row>
    <row r="16" spans="1:13" ht="16">
      <c r="A16" s="747"/>
      <c r="B16" s="719" t="s">
        <v>430</v>
      </c>
      <c r="C16" s="775">
        <v>0</v>
      </c>
      <c r="D16" s="757"/>
      <c r="E16" s="757">
        <f>'Revenue Inputs'!C54</f>
        <v>889.17</v>
      </c>
      <c r="F16" s="757"/>
      <c r="G16" s="775">
        <f t="shared" si="0"/>
        <v>889.17</v>
      </c>
      <c r="H16" s="757"/>
      <c r="I16" s="775">
        <f t="shared" si="0"/>
        <v>889.17</v>
      </c>
      <c r="J16" s="757"/>
      <c r="K16" s="775">
        <f t="shared" si="0"/>
        <v>889.17</v>
      </c>
      <c r="L16" s="757"/>
      <c r="M16" s="805">
        <f t="shared" si="1"/>
        <v>889.17</v>
      </c>
    </row>
    <row r="17" spans="1:25" ht="16">
      <c r="A17" s="747"/>
      <c r="B17" s="719" t="s">
        <v>431</v>
      </c>
      <c r="C17" s="775">
        <v>0</v>
      </c>
      <c r="D17" s="757"/>
      <c r="E17" s="757">
        <f>'Revenue Inputs'!C55</f>
        <v>481.82</v>
      </c>
      <c r="F17" s="757"/>
      <c r="G17" s="775">
        <f t="shared" si="0"/>
        <v>481.82</v>
      </c>
      <c r="H17" s="757"/>
      <c r="I17" s="775">
        <f t="shared" si="0"/>
        <v>481.82</v>
      </c>
      <c r="J17" s="757"/>
      <c r="K17" s="775">
        <f t="shared" si="0"/>
        <v>481.82</v>
      </c>
      <c r="L17" s="757"/>
      <c r="M17" s="805">
        <f t="shared" si="1"/>
        <v>481.82</v>
      </c>
      <c r="O17" t="s">
        <v>505</v>
      </c>
    </row>
    <row r="18" spans="1:25" ht="16">
      <c r="A18" s="747"/>
      <c r="B18" s="777" t="s">
        <v>432</v>
      </c>
      <c r="C18" s="731">
        <f>SUM(C5:C17)</f>
        <v>0</v>
      </c>
      <c r="D18" s="731"/>
      <c r="E18" s="731">
        <f>SUM(E5:E17)</f>
        <v>6789.99</v>
      </c>
      <c r="F18" s="731"/>
      <c r="G18" s="731">
        <f>SUM(G5:G17)</f>
        <v>6789.99</v>
      </c>
      <c r="H18" s="731"/>
      <c r="I18" s="731">
        <f>SUM(I5:I17)</f>
        <v>6789.99</v>
      </c>
      <c r="J18" s="731"/>
      <c r="K18" s="731">
        <f>SUM(K5:K17)</f>
        <v>6789.99</v>
      </c>
      <c r="L18" s="731"/>
      <c r="M18" s="710">
        <f>SUM(M5:M17)</f>
        <v>6789.99</v>
      </c>
      <c r="O18" s="755">
        <f>C18-LCFF!F16</f>
        <v>0</v>
      </c>
      <c r="P18" s="755"/>
      <c r="Q18" s="755">
        <f>E18-LCFF!H16</f>
        <v>3563.99</v>
      </c>
      <c r="R18" s="755"/>
      <c r="S18" s="755">
        <f>G18-LCFF!J16</f>
        <v>3563.99</v>
      </c>
      <c r="T18" s="755"/>
      <c r="U18" s="755">
        <f>I18-LCFF!L16</f>
        <v>3563.99</v>
      </c>
      <c r="V18" s="755"/>
      <c r="W18" s="755">
        <f>K18-LCFF!N16</f>
        <v>3401.99</v>
      </c>
      <c r="X18" s="755"/>
      <c r="Y18" s="755">
        <f>M18-LCFF!P16</f>
        <v>3230.99</v>
      </c>
    </row>
    <row r="19" spans="1:25" ht="16">
      <c r="A19" s="747"/>
      <c r="B19" s="700"/>
      <c r="C19" s="706"/>
      <c r="D19" s="706"/>
      <c r="E19" s="706"/>
      <c r="F19" s="706"/>
      <c r="G19" s="706"/>
      <c r="H19" s="706"/>
      <c r="I19" s="706"/>
      <c r="J19" s="706"/>
      <c r="K19" s="706"/>
      <c r="L19" s="706"/>
      <c r="M19" s="740"/>
    </row>
    <row r="20" spans="1:25" ht="16">
      <c r="A20" s="747"/>
      <c r="B20" s="777" t="s">
        <v>433</v>
      </c>
      <c r="C20" s="706"/>
      <c r="D20" s="706"/>
      <c r="E20" s="706"/>
      <c r="F20" s="706"/>
      <c r="G20" s="706"/>
      <c r="H20" s="706"/>
      <c r="I20" s="706"/>
      <c r="J20" s="706"/>
      <c r="K20" s="706"/>
      <c r="L20" s="706"/>
      <c r="M20" s="740"/>
    </row>
    <row r="21" spans="1:25" ht="16">
      <c r="A21" s="747"/>
      <c r="B21" s="719" t="s">
        <v>434</v>
      </c>
      <c r="C21" s="726" t="e">
        <f>C22/C18</f>
        <v>#DIV/0!</v>
      </c>
      <c r="D21" s="726"/>
      <c r="E21" s="726">
        <f>'Revenue Inputs'!D6</f>
        <v>0.98</v>
      </c>
      <c r="F21" s="726"/>
      <c r="G21" s="726">
        <f>E21</f>
        <v>0.98</v>
      </c>
      <c r="H21" s="726"/>
      <c r="I21" s="726">
        <f>G21</f>
        <v>0.98</v>
      </c>
      <c r="J21" s="726"/>
      <c r="K21" s="726">
        <f>I21</f>
        <v>0.98</v>
      </c>
      <c r="L21" s="726"/>
      <c r="M21" s="787">
        <f>K21</f>
        <v>0.98</v>
      </c>
      <c r="O21" t="s">
        <v>505</v>
      </c>
    </row>
    <row r="22" spans="1:25" ht="16">
      <c r="A22" s="747"/>
      <c r="B22" s="756" t="s">
        <v>74</v>
      </c>
      <c r="C22" s="793">
        <v>0</v>
      </c>
      <c r="D22" s="793"/>
      <c r="E22" s="793">
        <f>E18*E21</f>
        <v>6654.1902</v>
      </c>
      <c r="F22" s="793"/>
      <c r="G22" s="793">
        <f>G18*G21</f>
        <v>6654.1902</v>
      </c>
      <c r="H22" s="793"/>
      <c r="I22" s="793">
        <f>I18*I21</f>
        <v>6654.1902</v>
      </c>
      <c r="J22" s="793"/>
      <c r="K22" s="793">
        <f>K18*K21</f>
        <v>6654.1902</v>
      </c>
      <c r="L22" s="793"/>
      <c r="M22" s="776">
        <f>M18*M21</f>
        <v>6654.1902</v>
      </c>
      <c r="O22" s="755">
        <f>C22-LCFF!F23</f>
        <v>0</v>
      </c>
      <c r="P22" s="755"/>
      <c r="Q22" s="755">
        <f>E22-LCFF!H23</f>
        <v>3472.2302</v>
      </c>
      <c r="R22" s="755"/>
      <c r="S22" s="755">
        <f>G22-LCFF!J23</f>
        <v>3492.7102000000004</v>
      </c>
      <c r="T22" s="755"/>
      <c r="U22" s="755">
        <f>I22-LCFF!L23</f>
        <v>3492.7102000000004</v>
      </c>
      <c r="V22" s="755"/>
      <c r="W22" s="755">
        <f>K22-LCFF!N23</f>
        <v>3333.9502000000002</v>
      </c>
      <c r="X22" s="755"/>
      <c r="Y22" s="755">
        <f>M22-LCFF!P23</f>
        <v>3166.3702000000003</v>
      </c>
    </row>
    <row r="25" spans="1:25" ht="16">
      <c r="A25" s="747"/>
      <c r="B25" s="735"/>
      <c r="C25" s="714" t="str">
        <f>C2</f>
        <v>2018-19</v>
      </c>
      <c r="D25" s="714"/>
      <c r="E25" s="714" t="str">
        <f>E2</f>
        <v>2019-20</v>
      </c>
      <c r="F25" s="714"/>
      <c r="G25" s="714" t="str">
        <f>G2</f>
        <v>2020-21</v>
      </c>
      <c r="H25" s="714"/>
      <c r="I25" s="714" t="str">
        <f>I2</f>
        <v>2021-22</v>
      </c>
      <c r="J25" s="714"/>
      <c r="K25" s="714" t="str">
        <f>K2</f>
        <v>2022-23</v>
      </c>
      <c r="L25" s="714"/>
      <c r="M25" s="752" t="str">
        <f>M2</f>
        <v>2023-24</v>
      </c>
    </row>
    <row r="26" spans="1:25">
      <c r="A26" s="747"/>
      <c r="B26" s="732"/>
      <c r="C26" s="711" t="s">
        <v>411</v>
      </c>
      <c r="D26" s="711"/>
      <c r="E26" s="711" t="s">
        <v>412</v>
      </c>
      <c r="F26" s="711"/>
      <c r="G26" s="711" t="s">
        <v>413</v>
      </c>
      <c r="H26" s="711"/>
      <c r="I26" s="711" t="s">
        <v>414</v>
      </c>
      <c r="J26" s="711"/>
      <c r="K26" s="711" t="s">
        <v>415</v>
      </c>
      <c r="L26" s="711"/>
      <c r="M26" s="701" t="s">
        <v>416</v>
      </c>
    </row>
    <row r="27" spans="1:25" ht="16">
      <c r="A27" s="706" t="s">
        <v>435</v>
      </c>
      <c r="B27" s="789" t="s">
        <v>436</v>
      </c>
      <c r="C27" s="769"/>
      <c r="D27" s="769"/>
      <c r="E27" s="769"/>
      <c r="F27" s="769"/>
      <c r="G27" s="769"/>
      <c r="H27" s="769"/>
      <c r="I27" s="769"/>
      <c r="J27" s="769"/>
      <c r="K27" s="769"/>
      <c r="L27" s="769"/>
      <c r="M27" s="727"/>
    </row>
    <row r="28" spans="1:25" ht="16">
      <c r="A28" s="747"/>
      <c r="B28" s="719" t="s">
        <v>255</v>
      </c>
      <c r="C28" s="709">
        <f>'Multi-Year'!F19</f>
        <v>0</v>
      </c>
      <c r="D28" s="709"/>
      <c r="E28" s="709">
        <f>'Multi-Year'!H19</f>
        <v>28915481</v>
      </c>
      <c r="F28" s="709"/>
      <c r="G28" s="709">
        <f>'Multi-Year'!J19</f>
        <v>29385548.048191998</v>
      </c>
      <c r="H28" s="709"/>
      <c r="I28" s="709">
        <f>'Multi-Year'!L19</f>
        <v>30181346.347932797</v>
      </c>
      <c r="J28" s="709"/>
      <c r="K28" s="709">
        <f>'Multi-Year'!N19</f>
        <v>32591354.323641997</v>
      </c>
      <c r="L28" s="709"/>
      <c r="M28" s="774">
        <f>'Multi-Year'!P19</f>
        <v>34236447.347849205</v>
      </c>
      <c r="O28" s="800">
        <f>SUM(E28:M28)/SUM($E$32:$M$32)</f>
        <v>0.91569697922956483</v>
      </c>
      <c r="P28" s="800"/>
      <c r="Q28" s="699"/>
      <c r="R28" s="699"/>
    </row>
    <row r="29" spans="1:25" ht="16">
      <c r="A29" s="747"/>
      <c r="B29" s="698" t="s">
        <v>282</v>
      </c>
      <c r="C29" s="686">
        <f>'Multi-Year'!F31</f>
        <v>0</v>
      </c>
      <c r="D29" s="686"/>
      <c r="E29" s="686">
        <f>'Multi-Year'!H31</f>
        <v>197783.36000000002</v>
      </c>
      <c r="F29" s="686"/>
      <c r="G29" s="686">
        <f>'Multi-Year'!J31</f>
        <v>525304.29001495917</v>
      </c>
      <c r="H29" s="686"/>
      <c r="I29" s="686">
        <f>'Multi-Year'!L31</f>
        <v>525304.29001495917</v>
      </c>
      <c r="J29" s="686"/>
      <c r="K29" s="686">
        <f>'Multi-Year'!N31</f>
        <v>551683.48870758899</v>
      </c>
      <c r="L29" s="686"/>
      <c r="M29" s="697">
        <f>'Multi-Year'!P31</f>
        <v>579528.19843869796</v>
      </c>
      <c r="O29" s="800">
        <f>SUM(E29:M29)/SUM($E$32:$M$32)</f>
        <v>1.4029961811326227E-2</v>
      </c>
      <c r="P29" s="800"/>
    </row>
    <row r="30" spans="1:25" ht="16">
      <c r="A30" s="747"/>
      <c r="B30" s="719" t="s">
        <v>168</v>
      </c>
      <c r="C30" s="686">
        <f>'Multi-Year'!F40</f>
        <v>0</v>
      </c>
      <c r="D30" s="686"/>
      <c r="E30" s="686">
        <f>'Multi-Year'!H40</f>
        <v>2397254.37</v>
      </c>
      <c r="F30" s="686"/>
      <c r="G30" s="686">
        <f>'Multi-Year'!J40</f>
        <v>2294371.1318769665</v>
      </c>
      <c r="H30" s="686"/>
      <c r="I30" s="686">
        <f>'Multi-Year'!L40</f>
        <v>2294015.0354769663</v>
      </c>
      <c r="J30" s="686"/>
      <c r="K30" s="686">
        <f>'Multi-Year'!N40</f>
        <v>2405928.393971222</v>
      </c>
      <c r="L30" s="686"/>
      <c r="M30" s="697">
        <f>'Multi-Year'!P40</f>
        <v>2527353.4606707143</v>
      </c>
      <c r="O30" s="800">
        <f>SUM(E30:M30)/SUM($E$32:$M$32)</f>
        <v>7.0273058959109E-2</v>
      </c>
      <c r="P30" s="800"/>
    </row>
    <row r="31" spans="1:25" ht="16">
      <c r="A31" s="747"/>
      <c r="B31" s="698" t="s">
        <v>283</v>
      </c>
      <c r="C31" s="686">
        <f>'Multi-Year'!F50</f>
        <v>0</v>
      </c>
      <c r="D31" s="686"/>
      <c r="E31" s="686">
        <f>'Multi-Year'!H50</f>
        <v>0</v>
      </c>
      <c r="F31" s="686"/>
      <c r="G31" s="686">
        <f>'Multi-Year'!J50</f>
        <v>0</v>
      </c>
      <c r="H31" s="686"/>
      <c r="I31" s="686">
        <f>'Multi-Year'!L50</f>
        <v>0</v>
      </c>
      <c r="J31" s="686"/>
      <c r="K31" s="686">
        <f>'Multi-Year'!N50</f>
        <v>0</v>
      </c>
      <c r="L31" s="686"/>
      <c r="M31" s="697">
        <f>'Multi-Year'!P50</f>
        <v>0</v>
      </c>
      <c r="O31" s="800">
        <f>SUM(E31:M31)/SUM($E$32:$M$32)</f>
        <v>0</v>
      </c>
      <c r="P31" s="800"/>
    </row>
    <row r="32" spans="1:25" ht="16">
      <c r="A32" s="747"/>
      <c r="B32" s="777" t="s">
        <v>437</v>
      </c>
      <c r="C32" s="746">
        <f>SUM(C28:C31)</f>
        <v>0</v>
      </c>
      <c r="D32" s="746"/>
      <c r="E32" s="746">
        <f>SUM(E28:E31)</f>
        <v>31510518.73</v>
      </c>
      <c r="F32" s="746"/>
      <c r="G32" s="746">
        <f t="shared" ref="G32:M32" si="2">SUM(G28:G31)</f>
        <v>32205223.470083926</v>
      </c>
      <c r="H32" s="746"/>
      <c r="I32" s="746">
        <f t="shared" si="2"/>
        <v>33000665.673424724</v>
      </c>
      <c r="J32" s="746"/>
      <c r="K32" s="746">
        <f t="shared" si="2"/>
        <v>35548966.206320807</v>
      </c>
      <c r="L32" s="746"/>
      <c r="M32" s="768">
        <f t="shared" si="2"/>
        <v>37343329.006958619</v>
      </c>
      <c r="O32" s="800">
        <f>SUM(E32:M32)/SUM($E$32:$M$32)</f>
        <v>1</v>
      </c>
      <c r="P32" s="800"/>
    </row>
    <row r="33" spans="1:16" ht="16">
      <c r="A33" s="747"/>
      <c r="B33" s="700"/>
      <c r="C33" s="706"/>
      <c r="D33" s="706"/>
      <c r="E33" s="706"/>
      <c r="F33" s="706"/>
      <c r="G33" s="706"/>
      <c r="H33" s="706"/>
      <c r="I33" s="706"/>
      <c r="J33" s="706"/>
      <c r="K33" s="706"/>
      <c r="L33" s="706"/>
      <c r="M33" s="740"/>
    </row>
    <row r="34" spans="1:16" ht="16">
      <c r="A34" s="747"/>
      <c r="B34" s="725" t="s">
        <v>438</v>
      </c>
      <c r="C34" s="761">
        <v>0</v>
      </c>
      <c r="D34" s="761"/>
      <c r="E34" s="761">
        <f>E28/E32</f>
        <v>0.91764535035948613</v>
      </c>
      <c r="F34" s="761"/>
      <c r="G34" s="761">
        <f t="shared" ref="G34:M34" si="3">G28/G32</f>
        <v>0.91244664318161994</v>
      </c>
      <c r="H34" s="761"/>
      <c r="I34" s="761">
        <f t="shared" si="3"/>
        <v>0.91456780437728225</v>
      </c>
      <c r="J34" s="761"/>
      <c r="K34" s="761">
        <f t="shared" si="3"/>
        <v>0.9168017470462213</v>
      </c>
      <c r="L34" s="761"/>
      <c r="M34" s="782">
        <f t="shared" si="3"/>
        <v>0.91680223103487979</v>
      </c>
    </row>
    <row r="35" spans="1:16" ht="16">
      <c r="A35" s="747"/>
      <c r="B35" s="736" t="s">
        <v>439</v>
      </c>
      <c r="C35" s="715">
        <v>0</v>
      </c>
      <c r="D35" s="715"/>
      <c r="E35" s="786">
        <f>E32/E22</f>
        <v>4735.4400434781683</v>
      </c>
      <c r="F35" s="715"/>
      <c r="G35" s="715">
        <f>G32/G22</f>
        <v>4839.8411380071348</v>
      </c>
      <c r="H35" s="715"/>
      <c r="I35" s="715">
        <f>I32/I22</f>
        <v>4959.3811841183506</v>
      </c>
      <c r="J35" s="715"/>
      <c r="K35" s="715">
        <f>K32/K22</f>
        <v>5342.3429655378359</v>
      </c>
      <c r="L35" s="715"/>
      <c r="M35" s="753">
        <f>M32/M22</f>
        <v>5612.0020445100317</v>
      </c>
    </row>
    <row r="37" spans="1:16" ht="16">
      <c r="A37" s="747"/>
      <c r="B37" s="735"/>
      <c r="C37" s="714" t="str">
        <f>C2</f>
        <v>2018-19</v>
      </c>
      <c r="D37" s="714"/>
      <c r="E37" s="714" t="str">
        <f>E2</f>
        <v>2019-20</v>
      </c>
      <c r="F37" s="714"/>
      <c r="G37" s="714" t="str">
        <f>G2</f>
        <v>2020-21</v>
      </c>
      <c r="H37" s="714"/>
      <c r="I37" s="714" t="str">
        <f>I2</f>
        <v>2021-22</v>
      </c>
      <c r="J37" s="714"/>
      <c r="K37" s="714" t="str">
        <f>K2</f>
        <v>2022-23</v>
      </c>
      <c r="L37" s="714"/>
      <c r="M37" s="752" t="str">
        <f>M2</f>
        <v>2023-24</v>
      </c>
    </row>
    <row r="38" spans="1:16">
      <c r="A38" s="747"/>
      <c r="B38" s="732"/>
      <c r="C38" s="711" t="s">
        <v>411</v>
      </c>
      <c r="D38" s="711"/>
      <c r="E38" s="711" t="s">
        <v>412</v>
      </c>
      <c r="F38" s="711"/>
      <c r="G38" s="711" t="s">
        <v>413</v>
      </c>
      <c r="H38" s="711"/>
      <c r="I38" s="711" t="s">
        <v>414</v>
      </c>
      <c r="J38" s="711"/>
      <c r="K38" s="711" t="s">
        <v>415</v>
      </c>
      <c r="L38" s="711"/>
      <c r="M38" s="701" t="s">
        <v>416</v>
      </c>
    </row>
    <row r="39" spans="1:16" ht="16">
      <c r="A39" s="706" t="s">
        <v>440</v>
      </c>
      <c r="B39" s="789" t="s">
        <v>255</v>
      </c>
      <c r="C39" s="769"/>
      <c r="D39" s="769"/>
      <c r="E39" s="769"/>
      <c r="F39" s="769"/>
      <c r="G39" s="769"/>
      <c r="H39" s="769"/>
      <c r="I39" s="769"/>
      <c r="J39" s="769"/>
      <c r="K39" s="769"/>
      <c r="L39" s="769"/>
      <c r="M39" s="727"/>
    </row>
    <row r="40" spans="1:16" ht="16">
      <c r="A40" s="747"/>
      <c r="B40" s="719" t="s">
        <v>258</v>
      </c>
      <c r="C40" s="709">
        <f>'Multi-Year'!F15</f>
        <v>0</v>
      </c>
      <c r="D40" s="709"/>
      <c r="E40" s="709">
        <f>'Multi-Year'!H15</f>
        <v>27437557</v>
      </c>
      <c r="F40" s="709"/>
      <c r="G40" s="709">
        <f>'Multi-Year'!J15</f>
        <v>27917108.56782141</v>
      </c>
      <c r="H40" s="709"/>
      <c r="I40" s="709">
        <f>'Multi-Year'!L15</f>
        <v>28712906.867562208</v>
      </c>
      <c r="J40" s="709"/>
      <c r="K40" s="709">
        <f>'Multi-Year'!N15</f>
        <v>31049174.237003572</v>
      </c>
      <c r="L40" s="709"/>
      <c r="M40" s="774">
        <f>'Multi-Year'!P15</f>
        <v>32616429.954594731</v>
      </c>
      <c r="O40" s="800">
        <f>SUM(E40:M40)/SUM($E$44:$M$44)</f>
        <v>0.95121375441265932</v>
      </c>
      <c r="P40" s="800"/>
    </row>
    <row r="41" spans="1:16" ht="16">
      <c r="A41" s="747"/>
      <c r="B41" s="719" t="s">
        <v>257</v>
      </c>
      <c r="C41" s="686">
        <f>'Multi-Year'!F16</f>
        <v>0</v>
      </c>
      <c r="D41" s="686"/>
      <c r="E41" s="686">
        <f>'Multi-Year'!H16</f>
        <v>636364</v>
      </c>
      <c r="F41" s="686"/>
      <c r="G41" s="686">
        <f>'Multi-Year'!J16</f>
        <v>632295.99999999988</v>
      </c>
      <c r="H41" s="686"/>
      <c r="I41" s="686">
        <f>'Multi-Year'!L16</f>
        <v>632295.99999999988</v>
      </c>
      <c r="J41" s="686"/>
      <c r="K41" s="686">
        <f>'Multi-Year'!N16</f>
        <v>664048</v>
      </c>
      <c r="L41" s="686"/>
      <c r="M41" s="697">
        <f>'Multi-Year'!P16</f>
        <v>697564</v>
      </c>
      <c r="O41" s="800">
        <f>SUM(E41:M41)/SUM($E$44:$M$44)</f>
        <v>2.1006788232426039E-2</v>
      </c>
      <c r="P41" s="800"/>
    </row>
    <row r="42" spans="1:16" ht="16">
      <c r="A42" s="747"/>
      <c r="B42" s="719" t="s">
        <v>256</v>
      </c>
      <c r="C42" s="686">
        <f>'Multi-Year'!F17</f>
        <v>0</v>
      </c>
      <c r="D42" s="686"/>
      <c r="E42" s="686">
        <f>'Multi-Year'!H17</f>
        <v>0</v>
      </c>
      <c r="F42" s="686"/>
      <c r="G42" s="686">
        <f>'Multi-Year'!J17</f>
        <v>0</v>
      </c>
      <c r="H42" s="686"/>
      <c r="I42" s="686">
        <f>'Multi-Year'!L17</f>
        <v>0</v>
      </c>
      <c r="J42" s="686"/>
      <c r="K42" s="686">
        <f>'Multi-Year'!N17</f>
        <v>0</v>
      </c>
      <c r="L42" s="686"/>
      <c r="M42" s="697">
        <f>'Multi-Year'!P17</f>
        <v>0</v>
      </c>
      <c r="O42" s="800">
        <f>SUM(E42:M42)/SUM($E$44:$M$44)</f>
        <v>0</v>
      </c>
      <c r="P42" s="800"/>
    </row>
    <row r="43" spans="1:16" ht="16">
      <c r="A43" s="747"/>
      <c r="B43" s="719" t="s">
        <v>8</v>
      </c>
      <c r="C43" s="686">
        <f>'Multi-Year'!F18</f>
        <v>0</v>
      </c>
      <c r="D43" s="686"/>
      <c r="E43" s="686">
        <f>'Multi-Year'!H18</f>
        <v>841560</v>
      </c>
      <c r="F43" s="686"/>
      <c r="G43" s="686">
        <f>'Multi-Year'!J18</f>
        <v>836143.48037058907</v>
      </c>
      <c r="H43" s="686"/>
      <c r="I43" s="686">
        <f>'Multi-Year'!L18</f>
        <v>836143.48037058907</v>
      </c>
      <c r="J43" s="686"/>
      <c r="K43" s="686">
        <f>'Multi-Year'!N18</f>
        <v>878132.08663842408</v>
      </c>
      <c r="L43" s="686"/>
      <c r="M43" s="697">
        <f>'Multi-Year'!P18</f>
        <v>922453.39325447194</v>
      </c>
      <c r="O43" s="800">
        <f>SUM(E43:M43)/SUM($E$44:$M$44)</f>
        <v>2.7779457354914598E-2</v>
      </c>
      <c r="P43" s="800"/>
    </row>
    <row r="44" spans="1:16" ht="16">
      <c r="A44" s="747"/>
      <c r="B44" s="756" t="s">
        <v>441</v>
      </c>
      <c r="C44" s="729">
        <f>SUM(C40:C43)</f>
        <v>0</v>
      </c>
      <c r="D44" s="729"/>
      <c r="E44" s="729">
        <f>SUM(E40:E43)</f>
        <v>28915481</v>
      </c>
      <c r="F44" s="729"/>
      <c r="G44" s="729">
        <f t="shared" ref="G44:M44" si="4">SUM(G40:G43)</f>
        <v>29385548.048191998</v>
      </c>
      <c r="H44" s="729"/>
      <c r="I44" s="729">
        <f t="shared" si="4"/>
        <v>30181346.347932797</v>
      </c>
      <c r="J44" s="729"/>
      <c r="K44" s="729">
        <f t="shared" si="4"/>
        <v>32591354.323641997</v>
      </c>
      <c r="L44" s="729"/>
      <c r="M44" s="763">
        <f t="shared" si="4"/>
        <v>34236447.347849205</v>
      </c>
      <c r="O44" s="800">
        <f>SUM(E44:M44)/SUM($E$44:$M$44)</f>
        <v>1</v>
      </c>
      <c r="P44" s="800"/>
    </row>
    <row r="46" spans="1:16" ht="16">
      <c r="A46" s="747"/>
      <c r="B46" s="735"/>
      <c r="C46" s="714" t="str">
        <f>C2</f>
        <v>2018-19</v>
      </c>
      <c r="D46" s="714"/>
      <c r="E46" s="714" t="str">
        <f>E2</f>
        <v>2019-20</v>
      </c>
      <c r="F46" s="714"/>
      <c r="G46" s="714" t="str">
        <f>G2</f>
        <v>2020-21</v>
      </c>
      <c r="H46" s="714"/>
      <c r="I46" s="714" t="str">
        <f>I2</f>
        <v>2021-22</v>
      </c>
      <c r="J46" s="714"/>
      <c r="K46" s="714" t="str">
        <f>K2</f>
        <v>2022-23</v>
      </c>
      <c r="L46" s="714"/>
      <c r="M46" s="752" t="str">
        <f>M2</f>
        <v>2023-24</v>
      </c>
    </row>
    <row r="47" spans="1:16">
      <c r="A47" s="747"/>
      <c r="B47" s="732"/>
      <c r="C47" s="711" t="s">
        <v>411</v>
      </c>
      <c r="D47" s="711"/>
      <c r="E47" s="711" t="s">
        <v>412</v>
      </c>
      <c r="F47" s="711"/>
      <c r="G47" s="711" t="s">
        <v>413</v>
      </c>
      <c r="H47" s="711"/>
      <c r="I47" s="711" t="s">
        <v>414</v>
      </c>
      <c r="J47" s="711"/>
      <c r="K47" s="711" t="s">
        <v>415</v>
      </c>
      <c r="L47" s="711"/>
      <c r="M47" s="701" t="s">
        <v>416</v>
      </c>
    </row>
    <row r="48" spans="1:16" ht="16">
      <c r="A48" s="706" t="s">
        <v>442</v>
      </c>
      <c r="B48" s="789" t="s">
        <v>282</v>
      </c>
      <c r="C48" s="769"/>
      <c r="D48" s="769"/>
      <c r="E48" s="769"/>
      <c r="F48" s="769"/>
      <c r="G48" s="769"/>
      <c r="H48" s="769"/>
      <c r="I48" s="769"/>
      <c r="J48" s="769"/>
      <c r="K48" s="769"/>
      <c r="L48" s="769"/>
      <c r="M48" s="727"/>
    </row>
    <row r="49" spans="1:13" ht="16">
      <c r="A49" s="747"/>
      <c r="B49" s="719" t="s">
        <v>315</v>
      </c>
      <c r="C49" s="709">
        <f>'Multi-Year'!F21</f>
        <v>0</v>
      </c>
      <c r="D49" s="709"/>
      <c r="E49" s="709">
        <f>'Multi-Year'!H21</f>
        <v>0</v>
      </c>
      <c r="F49" s="709"/>
      <c r="G49" s="709">
        <f>'Multi-Year'!J21</f>
        <v>328793.91999999993</v>
      </c>
      <c r="H49" s="709"/>
      <c r="I49" s="709">
        <f>'Multi-Year'!L21</f>
        <v>328793.91999999993</v>
      </c>
      <c r="J49" s="709"/>
      <c r="K49" s="709">
        <f>'Multi-Year'!N21</f>
        <v>345304.9599999999</v>
      </c>
      <c r="L49" s="709"/>
      <c r="M49" s="774">
        <f>'Multi-Year'!P21</f>
        <v>362733.27999999985</v>
      </c>
    </row>
    <row r="50" spans="1:13" ht="16">
      <c r="A50" s="747"/>
      <c r="B50" s="719" t="s">
        <v>270</v>
      </c>
      <c r="C50" s="686">
        <f>'Multi-Year'!F22</f>
        <v>0</v>
      </c>
      <c r="D50" s="686"/>
      <c r="E50" s="686">
        <f>'Multi-Year'!H22</f>
        <v>0</v>
      </c>
      <c r="F50" s="686"/>
      <c r="G50" s="686">
        <f>'Multi-Year'!J22</f>
        <v>0</v>
      </c>
      <c r="H50" s="686"/>
      <c r="I50" s="686">
        <f>'Multi-Year'!L22</f>
        <v>0</v>
      </c>
      <c r="J50" s="686"/>
      <c r="K50" s="686">
        <f>'Multi-Year'!N22</f>
        <v>0</v>
      </c>
      <c r="L50" s="686"/>
      <c r="M50" s="697">
        <f>'Multi-Year'!P22</f>
        <v>0</v>
      </c>
    </row>
    <row r="51" spans="1:13" ht="16">
      <c r="A51" s="747"/>
      <c r="B51" s="719" t="s">
        <v>12</v>
      </c>
      <c r="C51" s="686">
        <f>'Multi-Year'!F23</f>
        <v>0</v>
      </c>
      <c r="D51" s="686"/>
      <c r="E51" s="686">
        <f>'Multi-Year'!H23</f>
        <v>0</v>
      </c>
      <c r="F51" s="686"/>
      <c r="G51" s="686">
        <f>'Multi-Year'!J23</f>
        <v>0</v>
      </c>
      <c r="H51" s="686"/>
      <c r="I51" s="686">
        <f>'Multi-Year'!L23</f>
        <v>0</v>
      </c>
      <c r="J51" s="686"/>
      <c r="K51" s="686">
        <f>'Multi-Year'!N23</f>
        <v>0</v>
      </c>
      <c r="L51" s="686"/>
      <c r="M51" s="697">
        <f>'Multi-Year'!P23</f>
        <v>0</v>
      </c>
    </row>
    <row r="52" spans="1:13" ht="16">
      <c r="A52" s="747"/>
      <c r="B52" s="719" t="s">
        <v>116</v>
      </c>
      <c r="C52" s="686">
        <f>'Multi-Year'!F24</f>
        <v>0</v>
      </c>
      <c r="D52" s="686"/>
      <c r="E52" s="686">
        <f>'Multi-Year'!H24</f>
        <v>0</v>
      </c>
      <c r="F52" s="686"/>
      <c r="G52" s="686">
        <f>'Multi-Year'!J24</f>
        <v>0</v>
      </c>
      <c r="H52" s="686"/>
      <c r="I52" s="686">
        <f>'Multi-Year'!L24</f>
        <v>0</v>
      </c>
      <c r="J52" s="686"/>
      <c r="K52" s="686">
        <f>'Multi-Year'!N24</f>
        <v>0</v>
      </c>
      <c r="L52" s="686"/>
      <c r="M52" s="697">
        <f>'Multi-Year'!P24</f>
        <v>0</v>
      </c>
    </row>
    <row r="53" spans="1:13" ht="16">
      <c r="A53" s="747"/>
      <c r="B53" s="719" t="s">
        <v>117</v>
      </c>
      <c r="C53" s="686">
        <f>'Multi-Year'!F25</f>
        <v>0</v>
      </c>
      <c r="D53" s="686"/>
      <c r="E53" s="686">
        <f>'Multi-Year'!H25</f>
        <v>0</v>
      </c>
      <c r="F53" s="686"/>
      <c r="G53" s="686">
        <f>'Multi-Year'!J25</f>
        <v>0</v>
      </c>
      <c r="H53" s="686"/>
      <c r="I53" s="686">
        <f>'Multi-Year'!L25</f>
        <v>0</v>
      </c>
      <c r="J53" s="686"/>
      <c r="K53" s="686">
        <f>'Multi-Year'!N25</f>
        <v>0</v>
      </c>
      <c r="L53" s="686"/>
      <c r="M53" s="697">
        <f>'Multi-Year'!P25</f>
        <v>0</v>
      </c>
    </row>
    <row r="54" spans="1:13" ht="16">
      <c r="A54" s="747"/>
      <c r="B54" s="719" t="s">
        <v>118</v>
      </c>
      <c r="C54" s="686">
        <f>'Multi-Year'!F26</f>
        <v>0</v>
      </c>
      <c r="D54" s="686"/>
      <c r="E54" s="686">
        <f>'Multi-Year'!H26</f>
        <v>0</v>
      </c>
      <c r="F54" s="686"/>
      <c r="G54" s="686">
        <f>'Multi-Year'!J26</f>
        <v>0</v>
      </c>
      <c r="H54" s="686"/>
      <c r="I54" s="686">
        <f>'Multi-Year'!L26</f>
        <v>0</v>
      </c>
      <c r="J54" s="686"/>
      <c r="K54" s="686">
        <f>'Multi-Year'!N26</f>
        <v>0</v>
      </c>
      <c r="L54" s="686"/>
      <c r="M54" s="697">
        <f>'Multi-Year'!P26</f>
        <v>0</v>
      </c>
    </row>
    <row r="55" spans="1:13" ht="16">
      <c r="A55" s="747"/>
      <c r="B55" s="719" t="s">
        <v>263</v>
      </c>
      <c r="C55" s="686">
        <f>'Multi-Year'!F27</f>
        <v>0</v>
      </c>
      <c r="D55" s="686"/>
      <c r="E55" s="686">
        <f>'Multi-Year'!H27</f>
        <v>0</v>
      </c>
      <c r="F55" s="686"/>
      <c r="G55" s="686">
        <f>'Multi-Year'!J27</f>
        <v>0</v>
      </c>
      <c r="H55" s="686"/>
      <c r="I55" s="686">
        <f>'Multi-Year'!L27</f>
        <v>0</v>
      </c>
      <c r="J55" s="686"/>
      <c r="K55" s="686">
        <f>'Multi-Year'!N27</f>
        <v>0</v>
      </c>
      <c r="L55" s="686"/>
      <c r="M55" s="697">
        <f>'Multi-Year'!P27</f>
        <v>0</v>
      </c>
    </row>
    <row r="56" spans="1:13" ht="16">
      <c r="A56" s="747"/>
      <c r="B56" s="719" t="s">
        <v>264</v>
      </c>
      <c r="C56" s="686">
        <f>'Multi-Year'!F28</f>
        <v>0</v>
      </c>
      <c r="D56" s="686"/>
      <c r="E56" s="686">
        <f>'Multi-Year'!H28</f>
        <v>0</v>
      </c>
      <c r="F56" s="686"/>
      <c r="G56" s="686">
        <f>'Multi-Year'!J28</f>
        <v>0</v>
      </c>
      <c r="H56" s="686"/>
      <c r="I56" s="686">
        <f>'Multi-Year'!L28</f>
        <v>0</v>
      </c>
      <c r="J56" s="686"/>
      <c r="K56" s="686">
        <f>'Multi-Year'!N28</f>
        <v>0</v>
      </c>
      <c r="L56" s="686"/>
      <c r="M56" s="697">
        <f>'Multi-Year'!P28</f>
        <v>0</v>
      </c>
    </row>
    <row r="57" spans="1:13" ht="16">
      <c r="A57" s="747"/>
      <c r="B57" s="719" t="s">
        <v>133</v>
      </c>
      <c r="C57" s="686">
        <f>'Multi-Year'!F29</f>
        <v>0</v>
      </c>
      <c r="D57" s="686"/>
      <c r="E57" s="686">
        <f>'Multi-Year'!H29</f>
        <v>197783.36000000002</v>
      </c>
      <c r="F57" s="686"/>
      <c r="G57" s="686">
        <f>'Multi-Year'!J29</f>
        <v>196510.37001495931</v>
      </c>
      <c r="H57" s="686"/>
      <c r="I57" s="686">
        <f>'Multi-Year'!L29</f>
        <v>196510.37001495931</v>
      </c>
      <c r="J57" s="686"/>
      <c r="K57" s="686">
        <f>'Multi-Year'!N29</f>
        <v>206378.52870758902</v>
      </c>
      <c r="L57" s="686"/>
      <c r="M57" s="697">
        <f>'Multi-Year'!P29</f>
        <v>216794.91843869814</v>
      </c>
    </row>
    <row r="58" spans="1:13" ht="16">
      <c r="A58" s="747"/>
      <c r="B58" s="719" t="s">
        <v>385</v>
      </c>
      <c r="C58" s="686">
        <f>'Multi-Year'!F30</f>
        <v>0</v>
      </c>
      <c r="D58" s="686"/>
      <c r="E58" s="686">
        <f>'Multi-Year'!H30</f>
        <v>0</v>
      </c>
      <c r="F58" s="686"/>
      <c r="G58" s="686">
        <f>'Multi-Year'!J30</f>
        <v>0</v>
      </c>
      <c r="H58" s="686"/>
      <c r="I58" s="686">
        <f>'Multi-Year'!L30</f>
        <v>0</v>
      </c>
      <c r="J58" s="686"/>
      <c r="K58" s="686">
        <f>'Multi-Year'!N30</f>
        <v>0</v>
      </c>
      <c r="L58" s="686"/>
      <c r="M58" s="697">
        <f>'Multi-Year'!P30</f>
        <v>0</v>
      </c>
    </row>
    <row r="59" spans="1:13" ht="16">
      <c r="A59" s="747"/>
      <c r="B59" s="756" t="s">
        <v>443</v>
      </c>
      <c r="C59" s="729">
        <f>SUM(C49:C58)</f>
        <v>0</v>
      </c>
      <c r="D59" s="729"/>
      <c r="E59" s="729">
        <f>SUM(E49:E58)</f>
        <v>197783.36000000002</v>
      </c>
      <c r="F59" s="729"/>
      <c r="G59" s="729">
        <f>SUM(G49:G58)</f>
        <v>525304.29001495917</v>
      </c>
      <c r="H59" s="729"/>
      <c r="I59" s="729">
        <f>SUM(I49:I58)</f>
        <v>525304.29001495917</v>
      </c>
      <c r="J59" s="729"/>
      <c r="K59" s="729">
        <f>SUM(K49:K58)</f>
        <v>551683.48870758899</v>
      </c>
      <c r="L59" s="729"/>
      <c r="M59" s="763">
        <f>SUM(M49:M58)</f>
        <v>579528.19843869796</v>
      </c>
    </row>
    <row r="61" spans="1:13" ht="16">
      <c r="A61" s="747"/>
      <c r="B61" s="735"/>
      <c r="C61" s="714" t="str">
        <f>C2</f>
        <v>2018-19</v>
      </c>
      <c r="D61" s="714"/>
      <c r="E61" s="714" t="str">
        <f>E2</f>
        <v>2019-20</v>
      </c>
      <c r="F61" s="714"/>
      <c r="G61" s="714" t="str">
        <f>G2</f>
        <v>2020-21</v>
      </c>
      <c r="H61" s="714"/>
      <c r="I61" s="714" t="str">
        <f>I2</f>
        <v>2021-22</v>
      </c>
      <c r="J61" s="714"/>
      <c r="K61" s="714" t="str">
        <f>K2</f>
        <v>2022-23</v>
      </c>
      <c r="L61" s="714"/>
      <c r="M61" s="752" t="str">
        <f>M2</f>
        <v>2023-24</v>
      </c>
    </row>
    <row r="62" spans="1:13">
      <c r="A62" s="747"/>
      <c r="B62" s="732"/>
      <c r="C62" s="711" t="s">
        <v>411</v>
      </c>
      <c r="D62" s="711"/>
      <c r="E62" s="711" t="s">
        <v>412</v>
      </c>
      <c r="F62" s="711"/>
      <c r="G62" s="711" t="s">
        <v>413</v>
      </c>
      <c r="H62" s="711"/>
      <c r="I62" s="711" t="s">
        <v>414</v>
      </c>
      <c r="J62" s="711"/>
      <c r="K62" s="711" t="s">
        <v>415</v>
      </c>
      <c r="L62" s="711"/>
      <c r="M62" s="701" t="s">
        <v>416</v>
      </c>
    </row>
    <row r="63" spans="1:13" ht="16">
      <c r="A63" s="706" t="s">
        <v>444</v>
      </c>
      <c r="B63" s="789" t="s">
        <v>168</v>
      </c>
      <c r="C63" s="769"/>
      <c r="D63" s="769"/>
      <c r="E63" s="769"/>
      <c r="F63" s="769"/>
      <c r="G63" s="769"/>
      <c r="H63" s="769"/>
      <c r="I63" s="769"/>
      <c r="J63" s="769"/>
      <c r="K63" s="769"/>
      <c r="L63" s="769"/>
      <c r="M63" s="727"/>
    </row>
    <row r="64" spans="1:13" ht="16">
      <c r="A64" s="747"/>
      <c r="B64" s="719" t="s">
        <v>261</v>
      </c>
      <c r="C64" s="709">
        <f>'Multi-Year'!F33</f>
        <v>0</v>
      </c>
      <c r="D64" s="709"/>
      <c r="E64" s="709">
        <f>'Multi-Year'!H33</f>
        <v>1769831.28</v>
      </c>
      <c r="F64" s="709"/>
      <c r="G64" s="709">
        <f>'Multi-Year'!J33</f>
        <v>1605210.8286200657</v>
      </c>
      <c r="H64" s="709"/>
      <c r="I64" s="709">
        <f>'Multi-Year'!L33</f>
        <v>1605210.8286200657</v>
      </c>
      <c r="J64" s="709"/>
      <c r="K64" s="709">
        <f>'Multi-Year'!N33</f>
        <v>1685819.6799022886</v>
      </c>
      <c r="L64" s="709"/>
      <c r="M64" s="774">
        <f>'Multi-Year'!P33</f>
        <v>1770906.8007001905</v>
      </c>
    </row>
    <row r="65" spans="1:13" ht="16">
      <c r="A65" s="747"/>
      <c r="B65" s="719" t="s">
        <v>121</v>
      </c>
      <c r="C65" s="686">
        <f>'Multi-Year'!F34</f>
        <v>0</v>
      </c>
      <c r="D65" s="686"/>
      <c r="E65" s="686">
        <f>'Multi-Year'!H34</f>
        <v>0</v>
      </c>
      <c r="F65" s="686"/>
      <c r="G65" s="686">
        <f>'Multi-Year'!J34</f>
        <v>0</v>
      </c>
      <c r="H65" s="686"/>
      <c r="I65" s="686">
        <f>'Multi-Year'!L34</f>
        <v>0</v>
      </c>
      <c r="J65" s="686"/>
      <c r="K65" s="686">
        <f>'Multi-Year'!N34</f>
        <v>0</v>
      </c>
      <c r="L65" s="686"/>
      <c r="M65" s="697">
        <f>'Multi-Year'!P34</f>
        <v>0</v>
      </c>
    </row>
    <row r="66" spans="1:13" ht="16">
      <c r="A66" s="747"/>
      <c r="B66" s="719" t="s">
        <v>260</v>
      </c>
      <c r="C66" s="709">
        <f>'Multi-Year'!F35</f>
        <v>0</v>
      </c>
      <c r="D66" s="709"/>
      <c r="E66" s="709">
        <f>'Multi-Year'!H35</f>
        <v>0</v>
      </c>
      <c r="F66" s="709"/>
      <c r="G66" s="709">
        <f>'Multi-Year'!J35</f>
        <v>0</v>
      </c>
      <c r="H66" s="709"/>
      <c r="I66" s="709">
        <f>'Multi-Year'!L35</f>
        <v>0</v>
      </c>
      <c r="J66" s="709"/>
      <c r="K66" s="709">
        <f>'Multi-Year'!N35</f>
        <v>0</v>
      </c>
      <c r="L66" s="709"/>
      <c r="M66" s="774">
        <f>'Multi-Year'!P35</f>
        <v>0</v>
      </c>
    </row>
    <row r="67" spans="1:13" ht="16">
      <c r="A67" s="747"/>
      <c r="B67" s="719" t="s">
        <v>262</v>
      </c>
      <c r="C67" s="686">
        <f>'Multi-Year'!F36</f>
        <v>0</v>
      </c>
      <c r="D67" s="686"/>
      <c r="E67" s="686">
        <f>'Multi-Year'!H36</f>
        <v>0</v>
      </c>
      <c r="F67" s="686"/>
      <c r="G67" s="686">
        <f>'Multi-Year'!J36</f>
        <v>65775.486799999999</v>
      </c>
      <c r="H67" s="686"/>
      <c r="I67" s="686">
        <f>'Multi-Year'!L36</f>
        <v>65419.390399999989</v>
      </c>
      <c r="J67" s="686"/>
      <c r="K67" s="686">
        <f>'Multi-Year'!N36</f>
        <v>65419.390399999989</v>
      </c>
      <c r="L67" s="686"/>
      <c r="M67" s="697">
        <f>'Multi-Year'!P36</f>
        <v>68713.689799999993</v>
      </c>
    </row>
    <row r="68" spans="1:13" ht="16">
      <c r="A68" s="747"/>
      <c r="B68" s="719" t="s">
        <v>120</v>
      </c>
      <c r="C68" s="709">
        <f>'Multi-Year'!F37</f>
        <v>0</v>
      </c>
      <c r="D68" s="709"/>
      <c r="E68" s="709">
        <f>'Multi-Year'!H37</f>
        <v>627423.09</v>
      </c>
      <c r="F68" s="709"/>
      <c r="G68" s="709">
        <f>'Multi-Year'!J37</f>
        <v>623384.81645690068</v>
      </c>
      <c r="H68" s="709"/>
      <c r="I68" s="709">
        <f>'Multi-Year'!L37</f>
        <v>623384.81645690068</v>
      </c>
      <c r="J68" s="709"/>
      <c r="K68" s="709">
        <f>'Multi-Year'!N37</f>
        <v>654689.32366893359</v>
      </c>
      <c r="L68" s="709"/>
      <c r="M68" s="774">
        <f>'Multi-Year'!P37</f>
        <v>687732.97017052374</v>
      </c>
    </row>
    <row r="69" spans="1:13" ht="16">
      <c r="A69" s="747"/>
      <c r="B69" s="719" t="s">
        <v>242</v>
      </c>
      <c r="C69" s="686">
        <f>'Multi-Year'!F38</f>
        <v>0</v>
      </c>
      <c r="D69" s="686"/>
      <c r="E69" s="686">
        <f>'Multi-Year'!H38</f>
        <v>0</v>
      </c>
      <c r="F69" s="686"/>
      <c r="G69" s="686">
        <f>'Multi-Year'!J38</f>
        <v>0</v>
      </c>
      <c r="H69" s="686"/>
      <c r="I69" s="686">
        <f>'Multi-Year'!L38</f>
        <v>0</v>
      </c>
      <c r="J69" s="686"/>
      <c r="K69" s="686">
        <f>'Multi-Year'!N38</f>
        <v>0</v>
      </c>
      <c r="L69" s="686"/>
      <c r="M69" s="697">
        <f>'Multi-Year'!P38</f>
        <v>0</v>
      </c>
    </row>
    <row r="70" spans="1:13" ht="16">
      <c r="A70" s="747"/>
      <c r="B70" s="719" t="s">
        <v>168</v>
      </c>
      <c r="C70" s="709">
        <f>'Multi-Year'!F39</f>
        <v>0</v>
      </c>
      <c r="D70" s="709"/>
      <c r="E70" s="709">
        <f>'Multi-Year'!H39</f>
        <v>0</v>
      </c>
      <c r="F70" s="709"/>
      <c r="G70" s="709">
        <f>'Multi-Year'!J39</f>
        <v>0</v>
      </c>
      <c r="H70" s="709"/>
      <c r="I70" s="709">
        <f>'Multi-Year'!L39</f>
        <v>0</v>
      </c>
      <c r="J70" s="709"/>
      <c r="K70" s="709">
        <f>'Multi-Year'!N39</f>
        <v>0</v>
      </c>
      <c r="L70" s="709"/>
      <c r="M70" s="774">
        <f>'Multi-Year'!P39</f>
        <v>0</v>
      </c>
    </row>
    <row r="71" spans="1:13" ht="16">
      <c r="A71" s="747"/>
      <c r="B71" s="756" t="s">
        <v>445</v>
      </c>
      <c r="C71" s="729">
        <f>SUM(C64:C70)</f>
        <v>0</v>
      </c>
      <c r="D71" s="729"/>
      <c r="E71" s="729">
        <f>SUM(E64:E70)</f>
        <v>2397254.37</v>
      </c>
      <c r="F71" s="729"/>
      <c r="G71" s="729">
        <f>SUM(G64:G70)</f>
        <v>2294371.1318769665</v>
      </c>
      <c r="H71" s="729"/>
      <c r="I71" s="729">
        <f>SUM(I64:I70)</f>
        <v>2294015.0354769663</v>
      </c>
      <c r="J71" s="729"/>
      <c r="K71" s="729">
        <f>SUM(K64:K70)</f>
        <v>2405928.393971222</v>
      </c>
      <c r="L71" s="729"/>
      <c r="M71" s="763">
        <f>SUM(M64:M70)</f>
        <v>2527353.4606707143</v>
      </c>
    </row>
    <row r="73" spans="1:13" ht="16">
      <c r="A73" s="747"/>
      <c r="B73" s="735"/>
      <c r="C73" s="714" t="str">
        <f>C2</f>
        <v>2018-19</v>
      </c>
      <c r="D73" s="714"/>
      <c r="E73" s="714" t="str">
        <f>E2</f>
        <v>2019-20</v>
      </c>
      <c r="F73" s="714"/>
      <c r="G73" s="714" t="str">
        <f>G2</f>
        <v>2020-21</v>
      </c>
      <c r="H73" s="714"/>
      <c r="I73" s="714" t="str">
        <f>I2</f>
        <v>2021-22</v>
      </c>
      <c r="J73" s="714"/>
      <c r="K73" s="714" t="str">
        <f>K2</f>
        <v>2022-23</v>
      </c>
      <c r="L73" s="714"/>
      <c r="M73" s="752" t="str">
        <f>M2</f>
        <v>2023-24</v>
      </c>
    </row>
    <row r="74" spans="1:13">
      <c r="A74" s="747"/>
      <c r="B74" s="732"/>
      <c r="C74" s="711" t="s">
        <v>411</v>
      </c>
      <c r="D74" s="711"/>
      <c r="E74" s="711" t="s">
        <v>412</v>
      </c>
      <c r="F74" s="711"/>
      <c r="G74" s="711" t="s">
        <v>413</v>
      </c>
      <c r="H74" s="711"/>
      <c r="I74" s="711" t="s">
        <v>414</v>
      </c>
      <c r="J74" s="711"/>
      <c r="K74" s="711" t="s">
        <v>415</v>
      </c>
      <c r="L74" s="711"/>
      <c r="M74" s="701" t="s">
        <v>416</v>
      </c>
    </row>
    <row r="75" spans="1:13" ht="16">
      <c r="A75" s="706"/>
      <c r="B75" s="789" t="s">
        <v>283</v>
      </c>
      <c r="C75" s="769"/>
      <c r="D75" s="769"/>
      <c r="E75" s="769"/>
      <c r="F75" s="769"/>
      <c r="G75" s="769"/>
      <c r="H75" s="769"/>
      <c r="I75" s="769"/>
      <c r="J75" s="769"/>
      <c r="K75" s="769"/>
      <c r="L75" s="769"/>
      <c r="M75" s="727"/>
    </row>
    <row r="76" spans="1:13" ht="16">
      <c r="A76" s="747"/>
      <c r="B76" s="719" t="s">
        <v>14</v>
      </c>
      <c r="C76" s="709">
        <f>'Multi-Year'!F42</f>
        <v>0</v>
      </c>
      <c r="D76" s="709"/>
      <c r="E76" s="709">
        <f>'Multi-Year'!H42</f>
        <v>0</v>
      </c>
      <c r="F76" s="709"/>
      <c r="G76" s="709">
        <f>'Multi-Year'!J42</f>
        <v>0</v>
      </c>
      <c r="H76" s="709"/>
      <c r="I76" s="709">
        <f>'Multi-Year'!L42</f>
        <v>0</v>
      </c>
      <c r="J76" s="709"/>
      <c r="K76" s="709">
        <f>'Multi-Year'!N42</f>
        <v>0</v>
      </c>
      <c r="L76" s="709"/>
      <c r="M76" s="774">
        <f>'Multi-Year'!P42</f>
        <v>0</v>
      </c>
    </row>
    <row r="77" spans="1:13" ht="16">
      <c r="A77" s="747"/>
      <c r="B77" s="719" t="s">
        <v>15</v>
      </c>
      <c r="C77" s="686">
        <f>'Multi-Year'!F43</f>
        <v>0</v>
      </c>
      <c r="D77" s="686"/>
      <c r="E77" s="686">
        <f>'Multi-Year'!H43</f>
        <v>0</v>
      </c>
      <c r="F77" s="686"/>
      <c r="G77" s="686">
        <f>'Multi-Year'!J43</f>
        <v>0</v>
      </c>
      <c r="H77" s="686"/>
      <c r="I77" s="686">
        <f>'Multi-Year'!L43</f>
        <v>0</v>
      </c>
      <c r="J77" s="686"/>
      <c r="K77" s="686">
        <f>'Multi-Year'!N43</f>
        <v>0</v>
      </c>
      <c r="L77" s="686"/>
      <c r="M77" s="697">
        <f>'Multi-Year'!P43</f>
        <v>0</v>
      </c>
    </row>
    <row r="78" spans="1:13" ht="16">
      <c r="A78" s="747"/>
      <c r="B78" s="719" t="s">
        <v>16</v>
      </c>
      <c r="C78" s="686">
        <f>'Multi-Year'!F44</f>
        <v>0</v>
      </c>
      <c r="D78" s="686"/>
      <c r="E78" s="686">
        <f>'Multi-Year'!H44</f>
        <v>0</v>
      </c>
      <c r="F78" s="686"/>
      <c r="G78" s="686">
        <f>'Multi-Year'!J44</f>
        <v>0</v>
      </c>
      <c r="H78" s="686"/>
      <c r="I78" s="686">
        <f>'Multi-Year'!L44</f>
        <v>0</v>
      </c>
      <c r="J78" s="686"/>
      <c r="K78" s="686">
        <f>'Multi-Year'!N44</f>
        <v>0</v>
      </c>
      <c r="L78" s="686"/>
      <c r="M78" s="697">
        <f>'Multi-Year'!P44</f>
        <v>0</v>
      </c>
    </row>
    <row r="79" spans="1:13" ht="16">
      <c r="A79" s="747"/>
      <c r="B79" s="719" t="s">
        <v>105</v>
      </c>
      <c r="C79" s="686">
        <f>'Multi-Year'!F45</f>
        <v>0</v>
      </c>
      <c r="D79" s="686"/>
      <c r="E79" s="686">
        <f>'Multi-Year'!H45</f>
        <v>0</v>
      </c>
      <c r="F79" s="686"/>
      <c r="G79" s="686">
        <f>'Multi-Year'!J45</f>
        <v>0</v>
      </c>
      <c r="H79" s="686"/>
      <c r="I79" s="686">
        <f>'Multi-Year'!L45</f>
        <v>0</v>
      </c>
      <c r="J79" s="686"/>
      <c r="K79" s="686">
        <f>'Multi-Year'!N45</f>
        <v>0</v>
      </c>
      <c r="L79" s="686"/>
      <c r="M79" s="697">
        <f>'Multi-Year'!P45</f>
        <v>0</v>
      </c>
    </row>
    <row r="80" spans="1:13" ht="16">
      <c r="A80" s="747"/>
      <c r="B80" s="719" t="s">
        <v>265</v>
      </c>
      <c r="C80" s="686">
        <f>'Multi-Year'!F46</f>
        <v>0</v>
      </c>
      <c r="D80" s="686"/>
      <c r="E80" s="686">
        <f>'Multi-Year'!H46</f>
        <v>0</v>
      </c>
      <c r="F80" s="686"/>
      <c r="G80" s="686">
        <f>'Multi-Year'!J46</f>
        <v>0</v>
      </c>
      <c r="H80" s="686"/>
      <c r="I80" s="686">
        <f>'Multi-Year'!L46</f>
        <v>0</v>
      </c>
      <c r="J80" s="686"/>
      <c r="K80" s="686">
        <f>'Multi-Year'!N46</f>
        <v>0</v>
      </c>
      <c r="L80" s="686"/>
      <c r="M80" s="697">
        <f>'Multi-Year'!P46</f>
        <v>0</v>
      </c>
    </row>
    <row r="81" spans="1:14" ht="16">
      <c r="A81" s="747"/>
      <c r="B81" s="719" t="s">
        <v>106</v>
      </c>
      <c r="C81" s="686">
        <f>'Multi-Year'!F47</f>
        <v>0</v>
      </c>
      <c r="D81" s="686"/>
      <c r="E81" s="686">
        <f>'Multi-Year'!H47</f>
        <v>0</v>
      </c>
      <c r="F81" s="686"/>
      <c r="G81" s="686">
        <f>'Multi-Year'!J47</f>
        <v>0</v>
      </c>
      <c r="H81" s="686"/>
      <c r="I81" s="686">
        <f>'Multi-Year'!L47</f>
        <v>0</v>
      </c>
      <c r="J81" s="686"/>
      <c r="K81" s="686">
        <f>'Multi-Year'!N47</f>
        <v>0</v>
      </c>
      <c r="L81" s="686"/>
      <c r="M81" s="697">
        <f>'Multi-Year'!P47</f>
        <v>0</v>
      </c>
    </row>
    <row r="82" spans="1:14" ht="16">
      <c r="A82" s="747"/>
      <c r="B82" s="719" t="s">
        <v>10</v>
      </c>
      <c r="C82" s="686">
        <f>'Multi-Year'!F48</f>
        <v>0</v>
      </c>
      <c r="D82" s="686"/>
      <c r="E82" s="686">
        <f>'Multi-Year'!H48</f>
        <v>0</v>
      </c>
      <c r="F82" s="686"/>
      <c r="G82" s="686">
        <f>'Multi-Year'!J48</f>
        <v>0</v>
      </c>
      <c r="H82" s="686"/>
      <c r="I82" s="686">
        <f>'Multi-Year'!L48</f>
        <v>0</v>
      </c>
      <c r="J82" s="686"/>
      <c r="K82" s="686">
        <f>'Multi-Year'!N48</f>
        <v>0</v>
      </c>
      <c r="L82" s="686"/>
      <c r="M82" s="697">
        <f>'Multi-Year'!P48</f>
        <v>0</v>
      </c>
    </row>
    <row r="83" spans="1:14" ht="16">
      <c r="A83" s="747"/>
      <c r="B83" s="719" t="s">
        <v>11</v>
      </c>
      <c r="C83" s="686">
        <f>'Multi-Year'!F49</f>
        <v>0</v>
      </c>
      <c r="D83" s="686"/>
      <c r="E83" s="686">
        <f>'Multi-Year'!H49</f>
        <v>0</v>
      </c>
      <c r="F83" s="686"/>
      <c r="G83" s="686">
        <f>'Multi-Year'!J49</f>
        <v>0</v>
      </c>
      <c r="H83" s="686"/>
      <c r="I83" s="686">
        <f>'Multi-Year'!L49</f>
        <v>0</v>
      </c>
      <c r="J83" s="686"/>
      <c r="K83" s="686">
        <f>'Multi-Year'!N49</f>
        <v>0</v>
      </c>
      <c r="L83" s="686"/>
      <c r="M83" s="697">
        <f>'Multi-Year'!P49</f>
        <v>0</v>
      </c>
    </row>
    <row r="84" spans="1:14" ht="16">
      <c r="A84" s="747"/>
      <c r="B84" s="756" t="s">
        <v>443</v>
      </c>
      <c r="C84" s="729">
        <f>SUM(C76:C83)</f>
        <v>0</v>
      </c>
      <c r="D84" s="729"/>
      <c r="E84" s="729">
        <f>SUM(E76:E83)</f>
        <v>0</v>
      </c>
      <c r="F84" s="729"/>
      <c r="G84" s="729">
        <f t="shared" ref="G84:M84" si="5">SUM(G76:G83)</f>
        <v>0</v>
      </c>
      <c r="H84" s="729"/>
      <c r="I84" s="729">
        <f t="shared" si="5"/>
        <v>0</v>
      </c>
      <c r="J84" s="729"/>
      <c r="K84" s="729">
        <f t="shared" si="5"/>
        <v>0</v>
      </c>
      <c r="L84" s="729"/>
      <c r="M84" s="763">
        <f t="shared" si="5"/>
        <v>0</v>
      </c>
    </row>
    <row r="86" spans="1:14" ht="16">
      <c r="A86" s="747"/>
      <c r="B86" s="735"/>
      <c r="C86" s="714" t="str">
        <f>C2</f>
        <v>2018-19</v>
      </c>
      <c r="D86" s="714"/>
      <c r="E86" s="714" t="str">
        <f>E2</f>
        <v>2019-20</v>
      </c>
      <c r="F86" s="714"/>
      <c r="G86" s="714" t="str">
        <f>G2</f>
        <v>2020-21</v>
      </c>
      <c r="H86" s="714"/>
      <c r="I86" s="714" t="str">
        <f>I2</f>
        <v>2021-22</v>
      </c>
      <c r="J86" s="714"/>
      <c r="K86" s="714" t="str">
        <f>K2</f>
        <v>2022-23</v>
      </c>
      <c r="L86" s="714"/>
      <c r="M86" s="752" t="str">
        <f>M2</f>
        <v>2023-24</v>
      </c>
    </row>
    <row r="87" spans="1:14">
      <c r="A87" s="747"/>
      <c r="B87" s="732"/>
      <c r="C87" s="711" t="s">
        <v>411</v>
      </c>
      <c r="D87" s="711"/>
      <c r="E87" s="711" t="s">
        <v>412</v>
      </c>
      <c r="F87" s="711"/>
      <c r="G87" s="711" t="s">
        <v>413</v>
      </c>
      <c r="H87" s="711"/>
      <c r="I87" s="711" t="s">
        <v>414</v>
      </c>
      <c r="J87" s="711"/>
      <c r="K87" s="711" t="s">
        <v>415</v>
      </c>
      <c r="L87" s="711"/>
      <c r="M87" s="701" t="s">
        <v>416</v>
      </c>
    </row>
    <row r="88" spans="1:14" ht="16">
      <c r="A88" s="706" t="s">
        <v>446</v>
      </c>
      <c r="B88" s="789" t="s">
        <v>447</v>
      </c>
      <c r="C88" s="769"/>
      <c r="D88" s="769"/>
      <c r="E88" s="769"/>
      <c r="F88" s="769"/>
      <c r="G88" s="769"/>
      <c r="H88" s="769"/>
      <c r="I88" s="769"/>
      <c r="J88" s="769"/>
      <c r="K88" s="769"/>
      <c r="L88" s="769"/>
      <c r="M88" s="727"/>
    </row>
    <row r="89" spans="1:14" ht="16">
      <c r="A89" s="747"/>
      <c r="B89" s="719" t="s">
        <v>244</v>
      </c>
      <c r="C89" s="709">
        <f>'Multi-Year'!F62</f>
        <v>0</v>
      </c>
      <c r="D89" s="709"/>
      <c r="E89" s="709">
        <f>'Multi-Year'!H62</f>
        <v>10612689.149999999</v>
      </c>
      <c r="F89" s="709"/>
      <c r="G89" s="709">
        <f>'Multi-Year'!J62</f>
        <v>10347918.121010002</v>
      </c>
      <c r="H89" s="709"/>
      <c r="I89" s="709">
        <f>'Multi-Year'!L62</f>
        <v>10766412.278413801</v>
      </c>
      <c r="J89" s="709"/>
      <c r="K89" s="709">
        <f>'Multi-Year'!N62</f>
        <v>11530827.550181182</v>
      </c>
      <c r="L89" s="709"/>
      <c r="M89" s="774">
        <f>'Multi-Year'!P62</f>
        <v>12349516.306244038</v>
      </c>
    </row>
    <row r="90" spans="1:14" ht="16">
      <c r="A90" s="747"/>
      <c r="B90" s="719" t="s">
        <v>245</v>
      </c>
      <c r="C90" s="686">
        <f>'Multi-Year'!F69</f>
        <v>0</v>
      </c>
      <c r="D90" s="686"/>
      <c r="E90" s="686">
        <f>'Multi-Year'!H69</f>
        <v>444477.83</v>
      </c>
      <c r="F90" s="686"/>
      <c r="G90" s="686">
        <f>'Multi-Year'!J69</f>
        <v>476893.44880000001</v>
      </c>
      <c r="H90" s="686"/>
      <c r="I90" s="686">
        <f>'Multi-Year'!L69</f>
        <v>498412.11777600006</v>
      </c>
      <c r="J90" s="686"/>
      <c r="K90" s="686">
        <f>'Multi-Year'!N69</f>
        <v>531575.60191718407</v>
      </c>
      <c r="L90" s="686"/>
      <c r="M90" s="697">
        <f>'Multi-Year'!P69</f>
        <v>567049.21790797391</v>
      </c>
    </row>
    <row r="91" spans="1:14" ht="16">
      <c r="A91" s="747"/>
      <c r="B91" s="719" t="s">
        <v>448</v>
      </c>
      <c r="C91" s="686">
        <f>'Multi-Year'!F79</f>
        <v>0</v>
      </c>
      <c r="D91" s="686"/>
      <c r="E91" s="686">
        <f>'Multi-Year'!H79</f>
        <v>3180016.5700000003</v>
      </c>
      <c r="F91" s="686"/>
      <c r="G91" s="686">
        <f>'Multi-Year'!J79</f>
        <v>3488546.3247756548</v>
      </c>
      <c r="H91" s="686"/>
      <c r="I91" s="686">
        <f>'Multi-Year'!L79</f>
        <v>3640337.7178856446</v>
      </c>
      <c r="J91" s="686"/>
      <c r="K91" s="686">
        <f>'Multi-Year'!N79</f>
        <v>3976383.4534103917</v>
      </c>
      <c r="L91" s="686"/>
      <c r="M91" s="697">
        <f>'Multi-Year'!P79</f>
        <v>4346843.6023494275</v>
      </c>
    </row>
    <row r="92" spans="1:14" ht="16">
      <c r="A92" s="747"/>
      <c r="B92" s="777" t="s">
        <v>449</v>
      </c>
      <c r="C92" s="746">
        <f t="shared" ref="C92" si="6">SUM(C89:C91)</f>
        <v>0</v>
      </c>
      <c r="D92" s="746"/>
      <c r="E92" s="746">
        <f t="shared" ref="E92" si="7">SUM(E89:E91)</f>
        <v>14237183.549999999</v>
      </c>
      <c r="F92" s="746"/>
      <c r="G92" s="746">
        <f t="shared" ref="G92" si="8">SUM(G89:G91)</f>
        <v>14313357.894585656</v>
      </c>
      <c r="H92" s="746"/>
      <c r="I92" s="746">
        <f t="shared" ref="I92" si="9">SUM(I89:I91)</f>
        <v>14905162.114075447</v>
      </c>
      <c r="J92" s="746"/>
      <c r="K92" s="746">
        <f t="shared" ref="K92" si="10">SUM(K89:K91)</f>
        <v>16038786.60550876</v>
      </c>
      <c r="L92" s="746"/>
      <c r="M92" s="768">
        <f t="shared" ref="M92" si="11">SUM(M89:M91)</f>
        <v>17263409.126501441</v>
      </c>
    </row>
    <row r="93" spans="1:14" ht="16">
      <c r="A93" s="747"/>
      <c r="B93" s="700"/>
      <c r="C93" s="706"/>
      <c r="D93" s="706"/>
      <c r="E93" s="706"/>
      <c r="F93" s="706"/>
      <c r="G93" s="706"/>
      <c r="H93" s="706"/>
      <c r="I93" s="706"/>
      <c r="J93" s="706"/>
      <c r="K93" s="706"/>
      <c r="L93" s="706"/>
      <c r="M93" s="740"/>
    </row>
    <row r="94" spans="1:14" ht="16">
      <c r="A94" s="747"/>
      <c r="B94" s="719" t="s">
        <v>288</v>
      </c>
      <c r="C94" s="686">
        <f>'Multi-Year'!F90</f>
        <v>0</v>
      </c>
      <c r="D94" s="686"/>
      <c r="E94" s="686">
        <f>'Multi-Year'!H90</f>
        <v>3890328.9100000006</v>
      </c>
      <c r="F94" s="686"/>
      <c r="G94" s="686">
        <f>'Multi-Year'!J90</f>
        <v>3945484.9818932558</v>
      </c>
      <c r="H94" s="686"/>
      <c r="I94" s="686">
        <f>'Multi-Year'!L90</f>
        <v>4024394.6815311201</v>
      </c>
      <c r="J94" s="686"/>
      <c r="K94" s="686">
        <f>'Multi-Year'!N90</f>
        <v>4287561.8991002971</v>
      </c>
      <c r="L94" s="686"/>
      <c r="M94" s="697">
        <f>'Multi-Year'!P90</f>
        <v>4569997.8758561453</v>
      </c>
    </row>
    <row r="95" spans="1:14" ht="16">
      <c r="A95" s="747"/>
      <c r="B95" s="719" t="s">
        <v>284</v>
      </c>
      <c r="C95" s="686">
        <f>'Multi-Year'!F99</f>
        <v>0</v>
      </c>
      <c r="D95" s="686"/>
      <c r="E95" s="686">
        <f>'Multi-Year'!H99</f>
        <v>8232171.7400000002</v>
      </c>
      <c r="F95" s="686"/>
      <c r="G95" s="686">
        <f>'Multi-Year'!J99</f>
        <v>8352003.4019097798</v>
      </c>
      <c r="H95" s="686"/>
      <c r="I95" s="686">
        <f>'Multi-Year'!L99</f>
        <v>8542973.5139073264</v>
      </c>
      <c r="J95" s="686"/>
      <c r="K95" s="686">
        <f>'Multi-Year'!N99</f>
        <v>9181367.4530642033</v>
      </c>
      <c r="L95" s="686"/>
      <c r="M95" s="697">
        <f>'Multi-Year'!P99</f>
        <v>9758939.0829382427</v>
      </c>
      <c r="N95" s="747"/>
    </row>
    <row r="96" spans="1:14" ht="16">
      <c r="A96" s="747"/>
      <c r="B96" s="719" t="s">
        <v>286</v>
      </c>
      <c r="C96" s="686">
        <f>'Multi-Year'!F110</f>
        <v>0</v>
      </c>
      <c r="D96" s="686"/>
      <c r="E96" s="686">
        <f>'Multi-Year'!H110</f>
        <v>157464.53999999998</v>
      </c>
      <c r="F96" s="686"/>
      <c r="G96" s="686">
        <f>'Multi-Year'!J110</f>
        <v>159580.07448163521</v>
      </c>
      <c r="H96" s="686"/>
      <c r="I96" s="686">
        <f>'Multi-Year'!L110</f>
        <v>162771.67597126792</v>
      </c>
      <c r="J96" s="686"/>
      <c r="K96" s="686">
        <f>'Multi-Year'!N110</f>
        <v>174364.49068644419</v>
      </c>
      <c r="L96" s="686"/>
      <c r="M96" s="697">
        <f>'Multi-Year'!P110</f>
        <v>186828.3609209315</v>
      </c>
      <c r="N96" s="747"/>
    </row>
    <row r="97" spans="1:26" ht="16">
      <c r="A97" s="747"/>
      <c r="B97" s="719" t="s">
        <v>287</v>
      </c>
      <c r="C97" s="686">
        <f>'Multi-Year'!F118</f>
        <v>0</v>
      </c>
      <c r="D97" s="686"/>
      <c r="E97" s="686">
        <f>'Multi-Year'!H118</f>
        <v>55878.5</v>
      </c>
      <c r="F97" s="686"/>
      <c r="G97" s="686">
        <f>'Multi-Year'!J118</f>
        <v>56629.227075010363</v>
      </c>
      <c r="H97" s="686"/>
      <c r="I97" s="686">
        <f>'Multi-Year'!L118</f>
        <v>57761.811616510568</v>
      </c>
      <c r="J97" s="686"/>
      <c r="K97" s="686">
        <f>'Multi-Year'!N118</f>
        <v>61875.684473612084</v>
      </c>
      <c r="L97" s="686"/>
      <c r="M97" s="697">
        <f>'Multi-Year'!P118</f>
        <v>66298.663595754755</v>
      </c>
      <c r="N97" s="747"/>
    </row>
    <row r="98" spans="1:26" ht="16">
      <c r="A98" s="747"/>
      <c r="B98" s="719" t="s">
        <v>285</v>
      </c>
      <c r="C98" s="686">
        <f>'Multi-Year'!F136</f>
        <v>0</v>
      </c>
      <c r="D98" s="686"/>
      <c r="E98" s="686">
        <f>'Multi-Year'!H136</f>
        <v>2425595.4200000004</v>
      </c>
      <c r="F98" s="686"/>
      <c r="G98" s="686">
        <f>'Multi-Year'!J136</f>
        <v>1865853.6968617432</v>
      </c>
      <c r="H98" s="686"/>
      <c r="I98" s="686">
        <f>'Multi-Year'!L136</f>
        <v>1912061.8013062214</v>
      </c>
      <c r="J98" s="686"/>
      <c r="K98" s="686">
        <f>'Multi-Year'!N136</f>
        <v>2056138.3405396282</v>
      </c>
      <c r="L98" s="686"/>
      <c r="M98" s="697">
        <f>'Multi-Year'!P136</f>
        <v>2166043.0532072182</v>
      </c>
      <c r="N98" s="747"/>
    </row>
    <row r="99" spans="1:26" ht="16">
      <c r="A99" s="747"/>
      <c r="B99" s="719" t="s">
        <v>107</v>
      </c>
      <c r="C99" s="686">
        <f>'Multi-Year'!F139</f>
        <v>0</v>
      </c>
      <c r="D99" s="686"/>
      <c r="E99" s="686">
        <f>'Multi-Year'!H139</f>
        <v>350</v>
      </c>
      <c r="F99" s="686"/>
      <c r="G99" s="686">
        <f>'Multi-Year'!J139</f>
        <v>357</v>
      </c>
      <c r="H99" s="686"/>
      <c r="I99" s="686">
        <f>'Multi-Year'!L139</f>
        <v>364.14</v>
      </c>
      <c r="J99" s="686"/>
      <c r="K99" s="686">
        <f>'Multi-Year'!N139</f>
        <v>371.4228</v>
      </c>
      <c r="L99" s="686"/>
      <c r="M99" s="697">
        <f>'Multi-Year'!P139</f>
        <v>378.85125599999998</v>
      </c>
      <c r="N99" s="747"/>
    </row>
    <row r="100" spans="1:26" ht="16">
      <c r="A100" s="747"/>
      <c r="B100" s="719" t="s">
        <v>5</v>
      </c>
      <c r="C100" s="741">
        <f>'Multi-Year'!F142</f>
        <v>0</v>
      </c>
      <c r="D100" s="686"/>
      <c r="E100" s="741">
        <f>'Multi-Year'!H142</f>
        <v>813183</v>
      </c>
      <c r="F100" s="686"/>
      <c r="G100" s="741">
        <f>'Multi-Year'!J142</f>
        <v>506254.33924251382</v>
      </c>
      <c r="H100" s="686"/>
      <c r="I100" s="741">
        <f>'Multi-Year'!L142</f>
        <v>0</v>
      </c>
      <c r="J100" s="686"/>
      <c r="K100" s="741">
        <f>'Multi-Year'!N142</f>
        <v>0</v>
      </c>
      <c r="L100" s="686"/>
      <c r="M100" s="720">
        <f>'Multi-Year'!P142</f>
        <v>0</v>
      </c>
      <c r="N100" s="747"/>
    </row>
    <row r="101" spans="1:26" ht="16">
      <c r="A101" s="747"/>
      <c r="B101" s="777" t="s">
        <v>450</v>
      </c>
      <c r="C101" s="746">
        <f>SUM(C94:C100)</f>
        <v>0</v>
      </c>
      <c r="D101" s="746"/>
      <c r="E101" s="746">
        <f>SUM(E94:E100)</f>
        <v>15574972.109999999</v>
      </c>
      <c r="F101" s="746"/>
      <c r="G101" s="746">
        <f>SUM(G94:G100)</f>
        <v>14886162.721463939</v>
      </c>
      <c r="H101" s="746"/>
      <c r="I101" s="746">
        <f>SUM(I94:I100)</f>
        <v>14700327.624332447</v>
      </c>
      <c r="J101" s="746"/>
      <c r="K101" s="746">
        <f>SUM(K94:K100)</f>
        <v>15761679.290664185</v>
      </c>
      <c r="L101" s="746"/>
      <c r="M101" s="768">
        <f>SUM(M94:M100)</f>
        <v>16748485.887774294</v>
      </c>
      <c r="N101" s="747"/>
    </row>
    <row r="102" spans="1:26" ht="16">
      <c r="A102" s="747"/>
      <c r="B102" s="700"/>
      <c r="C102" s="706"/>
      <c r="D102" s="706"/>
      <c r="E102" s="706"/>
      <c r="F102" s="706"/>
      <c r="G102" s="706"/>
      <c r="H102" s="706"/>
      <c r="I102" s="706"/>
      <c r="J102" s="706"/>
      <c r="K102" s="706"/>
      <c r="L102" s="706"/>
      <c r="M102" s="740"/>
      <c r="N102" s="747"/>
      <c r="O102" t="s">
        <v>505</v>
      </c>
    </row>
    <row r="103" spans="1:26" ht="16">
      <c r="A103" s="747"/>
      <c r="B103" s="756" t="s">
        <v>6</v>
      </c>
      <c r="C103" s="729">
        <f>C92+C101</f>
        <v>0</v>
      </c>
      <c r="D103" s="729"/>
      <c r="E103" s="729">
        <f>E92+E101</f>
        <v>29812155.659999996</v>
      </c>
      <c r="F103" s="729"/>
      <c r="G103" s="729">
        <f>G92+G101</f>
        <v>29199520.616049595</v>
      </c>
      <c r="H103" s="729"/>
      <c r="I103" s="729">
        <f>I92+I101</f>
        <v>29605489.738407895</v>
      </c>
      <c r="J103" s="729"/>
      <c r="K103" s="729">
        <f>K92+K101</f>
        <v>31800465.896172944</v>
      </c>
      <c r="L103" s="729"/>
      <c r="M103" s="763">
        <f>M92+M101</f>
        <v>34011895.014275737</v>
      </c>
      <c r="N103" s="747"/>
      <c r="O103" s="699">
        <f>C103-'Multi-Year'!F144</f>
        <v>0</v>
      </c>
      <c r="P103" s="699">
        <f>D103-'Multi-Year'!G144</f>
        <v>0</v>
      </c>
      <c r="Q103" s="699">
        <f>E103-'Multi-Year'!H144</f>
        <v>0</v>
      </c>
      <c r="R103" s="699">
        <f>F103-'Multi-Year'!I144</f>
        <v>0</v>
      </c>
      <c r="S103" s="699">
        <f>G103-'Multi-Year'!J144</f>
        <v>0</v>
      </c>
      <c r="T103" s="699">
        <f>H103-'Multi-Year'!K144</f>
        <v>0</v>
      </c>
      <c r="U103" s="699">
        <f>I103-'Multi-Year'!L144</f>
        <v>0</v>
      </c>
      <c r="V103" s="699">
        <f>J103-'Multi-Year'!M144</f>
        <v>0</v>
      </c>
      <c r="W103" s="699">
        <f>K103-'Multi-Year'!N144</f>
        <v>0</v>
      </c>
      <c r="X103" s="699">
        <f>L103-'Multi-Year'!O144</f>
        <v>0</v>
      </c>
      <c r="Y103" s="699">
        <f>M103-'Multi-Year'!P144</f>
        <v>0</v>
      </c>
      <c r="Z103" s="699">
        <f>N103-'Multi-Year'!Q144</f>
        <v>0</v>
      </c>
    </row>
    <row r="104" spans="1:26" ht="16">
      <c r="A104" s="706"/>
      <c r="B104" s="696"/>
      <c r="C104" s="745"/>
      <c r="D104" s="745"/>
      <c r="E104" s="745"/>
      <c r="F104" s="745"/>
      <c r="G104" s="745"/>
      <c r="H104" s="745"/>
      <c r="I104" s="745"/>
      <c r="J104" s="745"/>
      <c r="K104" s="745"/>
      <c r="L104" s="745"/>
      <c r="M104" s="745"/>
      <c r="N104" s="706"/>
    </row>
    <row r="105" spans="1:26" ht="16">
      <c r="A105" s="706"/>
      <c r="B105" s="767" t="s">
        <v>451</v>
      </c>
      <c r="C105" s="724" t="e">
        <f>C92/C103</f>
        <v>#DIV/0!</v>
      </c>
      <c r="D105" s="724"/>
      <c r="E105" s="724">
        <f>E92/E103</f>
        <v>0.47756303544002093</v>
      </c>
      <c r="F105" s="724"/>
      <c r="G105" s="724">
        <f>G92/G103</f>
        <v>0.49019153714182145</v>
      </c>
      <c r="H105" s="724"/>
      <c r="I105" s="724">
        <f>I92/I103</f>
        <v>0.50345940046175386</v>
      </c>
      <c r="J105" s="724"/>
      <c r="K105" s="724">
        <f>K92/K103</f>
        <v>0.50435696941908525</v>
      </c>
      <c r="L105" s="724"/>
      <c r="M105" s="724">
        <f>M92/M103</f>
        <v>0.50756975226624412</v>
      </c>
      <c r="N105" s="706"/>
    </row>
    <row r="106" spans="1:26" ht="16">
      <c r="A106" s="706"/>
      <c r="B106" s="760"/>
      <c r="C106" s="781"/>
      <c r="D106" s="706"/>
      <c r="E106" s="781"/>
      <c r="F106" s="706"/>
      <c r="G106" s="781"/>
      <c r="H106" s="706"/>
      <c r="I106" s="781"/>
      <c r="J106" s="706"/>
      <c r="K106" s="781"/>
      <c r="L106" s="706"/>
      <c r="M106" s="781"/>
      <c r="N106" s="706"/>
    </row>
    <row r="107" spans="1:26" ht="16">
      <c r="A107" s="747"/>
      <c r="B107" s="735"/>
      <c r="C107" s="714" t="str">
        <f>C2</f>
        <v>2018-19</v>
      </c>
      <c r="D107" s="714"/>
      <c r="E107" s="714" t="str">
        <f>E2</f>
        <v>2019-20</v>
      </c>
      <c r="F107" s="714"/>
      <c r="G107" s="714" t="str">
        <f>G2</f>
        <v>2020-21</v>
      </c>
      <c r="H107" s="714"/>
      <c r="I107" s="714" t="str">
        <f>I2</f>
        <v>2021-22</v>
      </c>
      <c r="J107" s="714"/>
      <c r="K107" s="714" t="str">
        <f>K2</f>
        <v>2022-23</v>
      </c>
      <c r="L107" s="714"/>
      <c r="M107" s="752" t="str">
        <f>M2</f>
        <v>2023-24</v>
      </c>
      <c r="N107" s="747"/>
    </row>
    <row r="108" spans="1:26">
      <c r="A108" s="747"/>
      <c r="B108" s="732"/>
      <c r="C108" s="711" t="s">
        <v>411</v>
      </c>
      <c r="D108" s="711"/>
      <c r="E108" s="711" t="s">
        <v>412</v>
      </c>
      <c r="F108" s="711"/>
      <c r="G108" s="711" t="s">
        <v>413</v>
      </c>
      <c r="H108" s="711"/>
      <c r="I108" s="711" t="s">
        <v>414</v>
      </c>
      <c r="J108" s="711"/>
      <c r="K108" s="711" t="s">
        <v>415</v>
      </c>
      <c r="L108" s="711"/>
      <c r="M108" s="701" t="s">
        <v>416</v>
      </c>
      <c r="N108" s="747"/>
    </row>
    <row r="109" spans="1:26" ht="16">
      <c r="A109" s="706" t="s">
        <v>452</v>
      </c>
      <c r="B109" s="780" t="s">
        <v>453</v>
      </c>
      <c r="C109" s="734"/>
      <c r="D109" s="734"/>
      <c r="E109" s="734"/>
      <c r="F109" s="734"/>
      <c r="G109" s="734"/>
      <c r="H109" s="734"/>
      <c r="I109" s="734"/>
      <c r="J109" s="734"/>
      <c r="K109" s="734"/>
      <c r="L109" s="734"/>
      <c r="M109" s="713"/>
      <c r="N109" s="747"/>
    </row>
    <row r="110" spans="1:26" ht="16">
      <c r="A110" s="706"/>
      <c r="B110" s="719" t="s">
        <v>454</v>
      </c>
      <c r="C110" s="705">
        <f>C18</f>
        <v>0</v>
      </c>
      <c r="D110" s="705"/>
      <c r="E110" s="705">
        <f>E18</f>
        <v>6789.99</v>
      </c>
      <c r="F110" s="705"/>
      <c r="G110" s="705">
        <f>G18</f>
        <v>6789.99</v>
      </c>
      <c r="H110" s="705"/>
      <c r="I110" s="705">
        <f>I18</f>
        <v>6789.99</v>
      </c>
      <c r="J110" s="705"/>
      <c r="K110" s="705">
        <f>K18</f>
        <v>6789.99</v>
      </c>
      <c r="L110" s="705"/>
      <c r="M110" s="695">
        <f>M18</f>
        <v>6789.99</v>
      </c>
      <c r="N110" s="747"/>
    </row>
    <row r="111" spans="1:26" ht="16">
      <c r="A111" s="706"/>
      <c r="B111" s="785"/>
      <c r="C111" s="706"/>
      <c r="D111" s="706"/>
      <c r="E111" s="705"/>
      <c r="F111" s="706"/>
      <c r="G111" s="706"/>
      <c r="H111" s="706"/>
      <c r="I111" s="706"/>
      <c r="J111" s="706"/>
      <c r="K111" s="706"/>
      <c r="L111" s="706"/>
      <c r="M111" s="740"/>
      <c r="N111" s="747"/>
    </row>
    <row r="112" spans="1:26" ht="16">
      <c r="A112" s="747"/>
      <c r="B112" s="719" t="s">
        <v>511</v>
      </c>
      <c r="C112" s="705">
        <f>C136</f>
        <v>0</v>
      </c>
      <c r="D112" s="705"/>
      <c r="E112" s="705">
        <f>E136</f>
        <v>0</v>
      </c>
      <c r="F112" s="705"/>
      <c r="G112" s="705">
        <f>G136</f>
        <v>271.59960000000001</v>
      </c>
      <c r="H112" s="705"/>
      <c r="I112" s="705">
        <f>I136</f>
        <v>271.59960000000001</v>
      </c>
      <c r="J112" s="705"/>
      <c r="K112" s="705">
        <f>K136</f>
        <v>271.59960000000001</v>
      </c>
      <c r="L112" s="705"/>
      <c r="M112" s="695">
        <f>M136</f>
        <v>271.59960000000001</v>
      </c>
      <c r="N112" s="757"/>
    </row>
    <row r="113" spans="1:14" ht="16">
      <c r="A113" s="747"/>
      <c r="B113" s="719" t="s">
        <v>455</v>
      </c>
      <c r="C113" s="705">
        <f>C139</f>
        <v>0</v>
      </c>
      <c r="D113" s="705"/>
      <c r="E113" s="705">
        <f>E139</f>
        <v>0</v>
      </c>
      <c r="F113" s="705"/>
      <c r="G113" s="705">
        <f>G139</f>
        <v>0</v>
      </c>
      <c r="H113" s="705"/>
      <c r="I113" s="705">
        <f>I139</f>
        <v>0</v>
      </c>
      <c r="J113" s="705"/>
      <c r="K113" s="705">
        <f>K139</f>
        <v>0</v>
      </c>
      <c r="L113" s="705"/>
      <c r="M113" s="695">
        <f>M139</f>
        <v>0</v>
      </c>
      <c r="N113" s="747"/>
    </row>
    <row r="114" spans="1:14" ht="16">
      <c r="A114" s="747"/>
      <c r="B114" s="719" t="s">
        <v>512</v>
      </c>
      <c r="C114" s="705">
        <f>C140</f>
        <v>0</v>
      </c>
      <c r="D114" s="705"/>
      <c r="E114" s="705">
        <f>E140</f>
        <v>0</v>
      </c>
      <c r="F114" s="705"/>
      <c r="G114" s="705">
        <f>G140</f>
        <v>0</v>
      </c>
      <c r="H114" s="705"/>
      <c r="I114" s="705">
        <f>I140</f>
        <v>0</v>
      </c>
      <c r="J114" s="705"/>
      <c r="K114" s="705">
        <f>K140</f>
        <v>0</v>
      </c>
      <c r="L114" s="705"/>
      <c r="M114" s="695">
        <f>M140</f>
        <v>0</v>
      </c>
      <c r="N114" s="747"/>
    </row>
    <row r="115" spans="1:14" ht="16">
      <c r="A115" s="747"/>
      <c r="B115" s="777" t="s">
        <v>456</v>
      </c>
      <c r="C115" s="744">
        <v>0</v>
      </c>
      <c r="D115" s="744"/>
      <c r="E115" s="744">
        <f>SUM(E112:E114)</f>
        <v>0</v>
      </c>
      <c r="F115" s="744"/>
      <c r="G115" s="744">
        <f>SUM(G112:G114)</f>
        <v>271.59960000000001</v>
      </c>
      <c r="H115" s="744"/>
      <c r="I115" s="744">
        <f>SUM(I112:I114)</f>
        <v>271.59960000000001</v>
      </c>
      <c r="J115" s="744"/>
      <c r="K115" s="744">
        <f>SUM(K112:K114)</f>
        <v>271.59960000000001</v>
      </c>
      <c r="L115" s="744"/>
      <c r="M115" s="739">
        <f>SUM(M112:M114)</f>
        <v>271.59960000000001</v>
      </c>
    </row>
    <row r="116" spans="1:14" ht="16">
      <c r="A116" s="747"/>
      <c r="B116" s="723" t="s">
        <v>457</v>
      </c>
      <c r="C116" s="802" t="e">
        <f>C18/C115</f>
        <v>#DIV/0!</v>
      </c>
      <c r="D116" s="802"/>
      <c r="E116" s="802" t="e">
        <f>E18/E115</f>
        <v>#DIV/0!</v>
      </c>
      <c r="F116" s="802"/>
      <c r="G116" s="802">
        <f>G18/G115</f>
        <v>25</v>
      </c>
      <c r="H116" s="802"/>
      <c r="I116" s="802">
        <f>I18/I115</f>
        <v>25</v>
      </c>
      <c r="J116" s="802"/>
      <c r="K116" s="802">
        <f>K18/K115</f>
        <v>25</v>
      </c>
      <c r="L116" s="802"/>
      <c r="M116" s="759">
        <f>M18/M115</f>
        <v>25</v>
      </c>
    </row>
    <row r="117" spans="1:14" ht="16">
      <c r="A117" s="747"/>
      <c r="B117" s="735"/>
      <c r="C117" s="714" t="str">
        <f>C2</f>
        <v>2018-19</v>
      </c>
      <c r="D117" s="714"/>
      <c r="E117" s="714" t="str">
        <f>E2</f>
        <v>2019-20</v>
      </c>
      <c r="F117" s="714"/>
      <c r="G117" s="714" t="str">
        <f>G2</f>
        <v>2020-21</v>
      </c>
      <c r="H117" s="714"/>
      <c r="I117" s="714" t="str">
        <f>I2</f>
        <v>2021-22</v>
      </c>
      <c r="J117" s="714"/>
      <c r="K117" s="714" t="str">
        <f>K2</f>
        <v>2022-23</v>
      </c>
      <c r="L117" s="714"/>
      <c r="M117" s="752" t="str">
        <f>M2</f>
        <v>2023-24</v>
      </c>
    </row>
    <row r="118" spans="1:14">
      <c r="A118" s="747"/>
      <c r="B118" s="732"/>
      <c r="C118" s="711" t="s">
        <v>411</v>
      </c>
      <c r="D118" s="711"/>
      <c r="E118" s="711" t="s">
        <v>412</v>
      </c>
      <c r="F118" s="711"/>
      <c r="G118" s="711" t="s">
        <v>413</v>
      </c>
      <c r="H118" s="711"/>
      <c r="I118" s="711" t="s">
        <v>414</v>
      </c>
      <c r="J118" s="711"/>
      <c r="K118" s="711" t="s">
        <v>415</v>
      </c>
      <c r="L118" s="711"/>
      <c r="M118" s="701" t="s">
        <v>416</v>
      </c>
    </row>
    <row r="119" spans="1:14" ht="16">
      <c r="A119" s="706" t="s">
        <v>458</v>
      </c>
      <c r="B119" s="780" t="s">
        <v>459</v>
      </c>
      <c r="C119" s="734"/>
      <c r="D119" s="734"/>
      <c r="E119" s="734"/>
      <c r="F119" s="734"/>
      <c r="G119" s="734"/>
      <c r="H119" s="734"/>
      <c r="I119" s="734"/>
      <c r="J119" s="734"/>
      <c r="K119" s="734"/>
      <c r="L119" s="734"/>
      <c r="M119" s="713"/>
    </row>
    <row r="120" spans="1:14" ht="16">
      <c r="A120" s="747"/>
      <c r="B120" s="801" t="s">
        <v>460</v>
      </c>
      <c r="C120" s="751"/>
      <c r="D120" s="751"/>
      <c r="E120" s="751"/>
      <c r="F120" s="751"/>
      <c r="G120" s="751"/>
      <c r="H120" s="751"/>
      <c r="I120" s="751"/>
      <c r="J120" s="751"/>
      <c r="K120" s="751"/>
      <c r="L120" s="751"/>
      <c r="M120" s="773"/>
    </row>
    <row r="121" spans="1:14" ht="16">
      <c r="A121" s="747"/>
      <c r="B121" s="777" t="s">
        <v>506</v>
      </c>
      <c r="C121" s="706"/>
      <c r="D121" s="706"/>
      <c r="E121" s="706"/>
      <c r="F121" s="706"/>
      <c r="G121" s="706"/>
      <c r="H121" s="706"/>
      <c r="I121" s="706"/>
      <c r="J121" s="706"/>
      <c r="K121" s="706"/>
      <c r="L121" s="706"/>
      <c r="M121" s="740"/>
    </row>
    <row r="122" spans="1:14" ht="16">
      <c r="A122" s="747"/>
      <c r="B122" s="719" t="s">
        <v>419</v>
      </c>
      <c r="C122" s="775">
        <v>0</v>
      </c>
      <c r="D122" s="757"/>
      <c r="E122" s="730">
        <v>0</v>
      </c>
      <c r="F122" s="705"/>
      <c r="G122" s="730">
        <f t="shared" ref="G122:G134" si="12">G5/25</f>
        <v>0</v>
      </c>
      <c r="H122" s="718"/>
      <c r="I122" s="730">
        <f t="shared" ref="I122:I134" si="13">I5/25</f>
        <v>0</v>
      </c>
      <c r="J122" s="718"/>
      <c r="K122" s="730">
        <f t="shared" ref="K122:K134" si="14">K5/25</f>
        <v>0</v>
      </c>
      <c r="L122" s="718"/>
      <c r="M122" s="707">
        <f t="shared" ref="M122:M134" si="15">M5/25</f>
        <v>0</v>
      </c>
    </row>
    <row r="123" spans="1:14" ht="16">
      <c r="A123" s="747"/>
      <c r="B123" s="719" t="s">
        <v>420</v>
      </c>
      <c r="C123" s="775">
        <v>0</v>
      </c>
      <c r="D123" s="757"/>
      <c r="E123" s="730">
        <v>0</v>
      </c>
      <c r="F123" s="705"/>
      <c r="G123" s="730">
        <f t="shared" si="12"/>
        <v>0</v>
      </c>
      <c r="H123" s="718"/>
      <c r="I123" s="730">
        <f t="shared" si="13"/>
        <v>0</v>
      </c>
      <c r="J123" s="718"/>
      <c r="K123" s="730">
        <f t="shared" si="14"/>
        <v>0</v>
      </c>
      <c r="L123" s="718"/>
      <c r="M123" s="707">
        <f t="shared" si="15"/>
        <v>0</v>
      </c>
    </row>
    <row r="124" spans="1:14" ht="16">
      <c r="A124" s="747"/>
      <c r="B124" s="719" t="s">
        <v>421</v>
      </c>
      <c r="C124" s="775">
        <v>0</v>
      </c>
      <c r="D124" s="757"/>
      <c r="E124" s="730">
        <v>0</v>
      </c>
      <c r="F124" s="705"/>
      <c r="G124" s="730">
        <f t="shared" si="12"/>
        <v>0</v>
      </c>
      <c r="H124" s="718"/>
      <c r="I124" s="730">
        <f t="shared" si="13"/>
        <v>0</v>
      </c>
      <c r="J124" s="718"/>
      <c r="K124" s="730">
        <f t="shared" si="14"/>
        <v>0</v>
      </c>
      <c r="L124" s="718"/>
      <c r="M124" s="707">
        <f t="shared" si="15"/>
        <v>0</v>
      </c>
    </row>
    <row r="125" spans="1:14" ht="16">
      <c r="A125" s="747"/>
      <c r="B125" s="719" t="s">
        <v>422</v>
      </c>
      <c r="C125" s="775">
        <v>0</v>
      </c>
      <c r="D125" s="757"/>
      <c r="E125" s="730">
        <v>0</v>
      </c>
      <c r="F125" s="705"/>
      <c r="G125" s="730">
        <f t="shared" si="12"/>
        <v>56.76</v>
      </c>
      <c r="H125" s="718"/>
      <c r="I125" s="730">
        <f t="shared" si="13"/>
        <v>56.76</v>
      </c>
      <c r="J125" s="718"/>
      <c r="K125" s="730">
        <f t="shared" si="14"/>
        <v>56.76</v>
      </c>
      <c r="L125" s="718"/>
      <c r="M125" s="707">
        <f t="shared" si="15"/>
        <v>56.76</v>
      </c>
    </row>
    <row r="126" spans="1:14" ht="16">
      <c r="A126" s="747"/>
      <c r="B126" s="719" t="s">
        <v>423</v>
      </c>
      <c r="C126" s="775">
        <v>0</v>
      </c>
      <c r="D126" s="757"/>
      <c r="E126" s="730">
        <v>0</v>
      </c>
      <c r="F126" s="705"/>
      <c r="G126" s="730">
        <f t="shared" si="12"/>
        <v>0</v>
      </c>
      <c r="H126" s="718"/>
      <c r="I126" s="730">
        <f t="shared" si="13"/>
        <v>0</v>
      </c>
      <c r="J126" s="718"/>
      <c r="K126" s="730">
        <f t="shared" si="14"/>
        <v>0</v>
      </c>
      <c r="L126" s="718"/>
      <c r="M126" s="707">
        <f t="shared" si="15"/>
        <v>0</v>
      </c>
    </row>
    <row r="127" spans="1:14" ht="16">
      <c r="A127" s="747"/>
      <c r="B127" s="719" t="s">
        <v>424</v>
      </c>
      <c r="C127" s="775">
        <v>0</v>
      </c>
      <c r="D127" s="757"/>
      <c r="E127" s="730">
        <v>0</v>
      </c>
      <c r="F127" s="705"/>
      <c r="G127" s="730">
        <f t="shared" si="12"/>
        <v>0</v>
      </c>
      <c r="H127" s="718"/>
      <c r="I127" s="730">
        <f t="shared" si="13"/>
        <v>0</v>
      </c>
      <c r="J127" s="718"/>
      <c r="K127" s="730">
        <f t="shared" si="14"/>
        <v>0</v>
      </c>
      <c r="L127" s="718"/>
      <c r="M127" s="707">
        <f t="shared" si="15"/>
        <v>0</v>
      </c>
    </row>
    <row r="128" spans="1:14" ht="16">
      <c r="A128" s="747"/>
      <c r="B128" s="719" t="s">
        <v>425</v>
      </c>
      <c r="C128" s="775">
        <v>0</v>
      </c>
      <c r="D128" s="705"/>
      <c r="E128" s="730">
        <v>0</v>
      </c>
      <c r="F128" s="705"/>
      <c r="G128" s="730">
        <f t="shared" si="12"/>
        <v>37.6</v>
      </c>
      <c r="H128" s="718"/>
      <c r="I128" s="730">
        <f t="shared" si="13"/>
        <v>37.6</v>
      </c>
      <c r="J128" s="718"/>
      <c r="K128" s="730">
        <f t="shared" si="14"/>
        <v>37.6</v>
      </c>
      <c r="L128" s="718"/>
      <c r="M128" s="707">
        <f t="shared" si="15"/>
        <v>37.6</v>
      </c>
    </row>
    <row r="129" spans="1:13" ht="16">
      <c r="A129" s="747"/>
      <c r="B129" s="719" t="s">
        <v>426</v>
      </c>
      <c r="C129" s="775">
        <v>0</v>
      </c>
      <c r="D129" s="705"/>
      <c r="E129" s="730">
        <v>0</v>
      </c>
      <c r="F129" s="705"/>
      <c r="G129" s="730">
        <f t="shared" si="12"/>
        <v>20.8</v>
      </c>
      <c r="H129" s="718"/>
      <c r="I129" s="730">
        <f t="shared" si="13"/>
        <v>20.8</v>
      </c>
      <c r="J129" s="718"/>
      <c r="K129" s="730">
        <f t="shared" si="14"/>
        <v>20.8</v>
      </c>
      <c r="L129" s="718"/>
      <c r="M129" s="707">
        <f t="shared" si="15"/>
        <v>20.8</v>
      </c>
    </row>
    <row r="130" spans="1:13" ht="16">
      <c r="A130" s="747"/>
      <c r="B130" s="719" t="s">
        <v>427</v>
      </c>
      <c r="C130" s="775">
        <v>0</v>
      </c>
      <c r="D130" s="705"/>
      <c r="E130" s="730">
        <v>0</v>
      </c>
      <c r="F130" s="705"/>
      <c r="G130" s="730">
        <f t="shared" si="12"/>
        <v>11.2</v>
      </c>
      <c r="H130" s="718"/>
      <c r="I130" s="730">
        <f t="shared" si="13"/>
        <v>11.2</v>
      </c>
      <c r="J130" s="718"/>
      <c r="K130" s="730">
        <f t="shared" si="14"/>
        <v>11.2</v>
      </c>
      <c r="L130" s="718"/>
      <c r="M130" s="707">
        <f t="shared" si="15"/>
        <v>11.2</v>
      </c>
    </row>
    <row r="131" spans="1:13" ht="16">
      <c r="A131" s="747"/>
      <c r="B131" s="719" t="s">
        <v>428</v>
      </c>
      <c r="C131" s="775">
        <v>0</v>
      </c>
      <c r="D131" s="705"/>
      <c r="E131" s="730">
        <v>0</v>
      </c>
      <c r="F131" s="705"/>
      <c r="G131" s="730">
        <f t="shared" si="12"/>
        <v>10.4</v>
      </c>
      <c r="H131" s="718"/>
      <c r="I131" s="730">
        <f t="shared" si="13"/>
        <v>10.4</v>
      </c>
      <c r="J131" s="718"/>
      <c r="K131" s="730">
        <f t="shared" si="14"/>
        <v>10.4</v>
      </c>
      <c r="L131" s="718"/>
      <c r="M131" s="707">
        <f t="shared" si="15"/>
        <v>10.4</v>
      </c>
    </row>
    <row r="132" spans="1:13" ht="16">
      <c r="A132" s="747"/>
      <c r="B132" s="719" t="s">
        <v>429</v>
      </c>
      <c r="C132" s="775">
        <v>0</v>
      </c>
      <c r="D132" s="705"/>
      <c r="E132" s="730">
        <v>0</v>
      </c>
      <c r="F132" s="705"/>
      <c r="G132" s="730">
        <f t="shared" si="12"/>
        <v>80</v>
      </c>
      <c r="H132" s="718"/>
      <c r="I132" s="730">
        <f t="shared" si="13"/>
        <v>80</v>
      </c>
      <c r="J132" s="718"/>
      <c r="K132" s="730">
        <f t="shared" si="14"/>
        <v>80</v>
      </c>
      <c r="L132" s="718"/>
      <c r="M132" s="707">
        <f t="shared" si="15"/>
        <v>80</v>
      </c>
    </row>
    <row r="133" spans="1:13" ht="16">
      <c r="A133" s="747"/>
      <c r="B133" s="719" t="s">
        <v>430</v>
      </c>
      <c r="C133" s="775">
        <v>0</v>
      </c>
      <c r="D133" s="705"/>
      <c r="E133" s="730">
        <v>0</v>
      </c>
      <c r="F133" s="705"/>
      <c r="G133" s="730">
        <f t="shared" si="12"/>
        <v>35.566800000000001</v>
      </c>
      <c r="H133" s="718"/>
      <c r="I133" s="730">
        <f t="shared" si="13"/>
        <v>35.566800000000001</v>
      </c>
      <c r="J133" s="718"/>
      <c r="K133" s="730">
        <f t="shared" si="14"/>
        <v>35.566800000000001</v>
      </c>
      <c r="L133" s="718"/>
      <c r="M133" s="707">
        <f t="shared" si="15"/>
        <v>35.566800000000001</v>
      </c>
    </row>
    <row r="134" spans="1:13" ht="16">
      <c r="B134" s="719" t="s">
        <v>431</v>
      </c>
      <c r="C134" s="775">
        <v>0</v>
      </c>
      <c r="D134" s="705"/>
      <c r="E134" s="730">
        <v>0</v>
      </c>
      <c r="F134" s="705"/>
      <c r="G134" s="730">
        <f t="shared" si="12"/>
        <v>19.2728</v>
      </c>
      <c r="H134" s="718"/>
      <c r="I134" s="730">
        <f t="shared" si="13"/>
        <v>19.2728</v>
      </c>
      <c r="J134" s="718"/>
      <c r="K134" s="730">
        <f t="shared" si="14"/>
        <v>19.2728</v>
      </c>
      <c r="L134" s="718"/>
      <c r="M134" s="707">
        <f t="shared" si="15"/>
        <v>19.2728</v>
      </c>
    </row>
    <row r="135" spans="1:13" ht="16">
      <c r="B135" s="719" t="s">
        <v>461</v>
      </c>
      <c r="C135" s="775">
        <v>0</v>
      </c>
      <c r="D135" s="705"/>
      <c r="E135" s="730">
        <v>0</v>
      </c>
      <c r="F135" s="705"/>
      <c r="G135" s="730">
        <v>0</v>
      </c>
      <c r="H135" s="718"/>
      <c r="I135" s="730">
        <v>0</v>
      </c>
      <c r="J135" s="718"/>
      <c r="K135" s="730">
        <v>0</v>
      </c>
      <c r="L135" s="718"/>
      <c r="M135" s="707">
        <v>0</v>
      </c>
    </row>
    <row r="136" spans="1:13" ht="16">
      <c r="B136" s="777" t="s">
        <v>507</v>
      </c>
      <c r="C136" s="744">
        <f>SUM(C122:C135)</f>
        <v>0</v>
      </c>
      <c r="D136" s="744"/>
      <c r="E136" s="744">
        <f>SUM(E122:E135)</f>
        <v>0</v>
      </c>
      <c r="F136" s="744"/>
      <c r="G136" s="744">
        <f>SUM(G122:G135)</f>
        <v>271.59960000000001</v>
      </c>
      <c r="H136" s="744"/>
      <c r="I136" s="744">
        <f>SUM(I122:I135)</f>
        <v>271.59960000000001</v>
      </c>
      <c r="J136" s="744"/>
      <c r="K136" s="744">
        <f>SUM(K122:K135)</f>
        <v>271.59960000000001</v>
      </c>
      <c r="L136" s="744"/>
      <c r="M136" s="739">
        <f>SUM(M122:M135)</f>
        <v>271.59960000000001</v>
      </c>
    </row>
    <row r="137" spans="1:13" ht="16">
      <c r="B137" s="700"/>
      <c r="C137" s="718"/>
      <c r="D137" s="718"/>
      <c r="E137" s="718"/>
      <c r="F137" s="718"/>
      <c r="G137" s="718"/>
      <c r="H137" s="718"/>
      <c r="I137" s="718"/>
      <c r="J137" s="718"/>
      <c r="K137" s="718"/>
      <c r="L137" s="718"/>
      <c r="M137" s="704"/>
    </row>
    <row r="138" spans="1:13" ht="16">
      <c r="B138" s="777" t="s">
        <v>462</v>
      </c>
      <c r="C138" s="718"/>
      <c r="D138" s="718"/>
      <c r="E138" s="718"/>
      <c r="F138" s="718"/>
      <c r="G138" s="718"/>
      <c r="H138" s="718"/>
      <c r="I138" s="718"/>
      <c r="J138" s="718"/>
      <c r="K138" s="718"/>
      <c r="L138" s="718"/>
      <c r="M138" s="704"/>
    </row>
    <row r="139" spans="1:13" ht="16">
      <c r="B139" s="719" t="s">
        <v>455</v>
      </c>
      <c r="C139" s="685">
        <v>0</v>
      </c>
      <c r="D139" s="718"/>
      <c r="E139" s="730">
        <v>0</v>
      </c>
      <c r="F139" s="705"/>
      <c r="G139" s="730">
        <v>0</v>
      </c>
      <c r="H139" s="718"/>
      <c r="I139" s="730">
        <v>0</v>
      </c>
      <c r="J139" s="718"/>
      <c r="K139" s="730">
        <v>0</v>
      </c>
      <c r="L139" s="718"/>
      <c r="M139" s="707">
        <f>K139</f>
        <v>0</v>
      </c>
    </row>
    <row r="140" spans="1:13" ht="16">
      <c r="B140" s="719" t="s">
        <v>463</v>
      </c>
      <c r="C140" s="685">
        <v>0</v>
      </c>
      <c r="D140" s="718"/>
      <c r="E140" s="730">
        <v>0</v>
      </c>
      <c r="F140" s="705"/>
      <c r="G140" s="730">
        <v>0</v>
      </c>
      <c r="H140" s="718"/>
      <c r="I140" s="730">
        <v>0</v>
      </c>
      <c r="J140" s="718"/>
      <c r="K140" s="730">
        <v>0</v>
      </c>
      <c r="L140" s="718"/>
      <c r="M140" s="707">
        <f>K140</f>
        <v>0</v>
      </c>
    </row>
    <row r="141" spans="1:13" ht="16">
      <c r="B141" s="777" t="s">
        <v>464</v>
      </c>
      <c r="C141" s="744">
        <f>SUM(C139:C140)</f>
        <v>0</v>
      </c>
      <c r="D141" s="694"/>
      <c r="E141" s="744">
        <f>SUM(E139:E140)</f>
        <v>0</v>
      </c>
      <c r="F141" s="694"/>
      <c r="G141" s="744">
        <f>SUM(G139:G140)</f>
        <v>0</v>
      </c>
      <c r="H141" s="694"/>
      <c r="I141" s="744">
        <f>SUM(I139:I140)</f>
        <v>0</v>
      </c>
      <c r="J141" s="694"/>
      <c r="K141" s="744">
        <f>SUM(K139:K140)</f>
        <v>0</v>
      </c>
      <c r="L141" s="694"/>
      <c r="M141" s="739">
        <f>SUM(M139:M140)</f>
        <v>0</v>
      </c>
    </row>
    <row r="142" spans="1:13" ht="16">
      <c r="B142" s="700"/>
      <c r="C142" s="718"/>
      <c r="D142" s="718"/>
      <c r="E142" s="718"/>
      <c r="F142" s="718"/>
      <c r="G142" s="718"/>
      <c r="H142" s="718"/>
      <c r="I142" s="718"/>
      <c r="J142" s="718"/>
      <c r="K142" s="718"/>
      <c r="L142" s="718"/>
      <c r="M142" s="704"/>
    </row>
    <row r="143" spans="1:13" ht="17" thickBot="1">
      <c r="B143" s="777" t="s">
        <v>456</v>
      </c>
      <c r="C143" s="693">
        <f>C141+C136</f>
        <v>0</v>
      </c>
      <c r="D143" s="692"/>
      <c r="E143" s="693">
        <f>E141+E136</f>
        <v>0</v>
      </c>
      <c r="F143" s="692"/>
      <c r="G143" s="693">
        <f>G141+G136</f>
        <v>271.59960000000001</v>
      </c>
      <c r="H143" s="692"/>
      <c r="I143" s="693">
        <f>I141+I136</f>
        <v>271.59960000000001</v>
      </c>
      <c r="J143" s="692"/>
      <c r="K143" s="693">
        <f>K141+K136</f>
        <v>271.59960000000001</v>
      </c>
      <c r="L143" s="692"/>
      <c r="M143" s="691">
        <f>M141+M136</f>
        <v>271.59960000000001</v>
      </c>
    </row>
    <row r="144" spans="1:13" ht="17" thickTop="1">
      <c r="B144" s="700"/>
      <c r="C144" s="797"/>
      <c r="D144" s="797"/>
      <c r="E144" s="797"/>
      <c r="F144" s="797"/>
      <c r="G144" s="797"/>
      <c r="H144" s="797"/>
      <c r="I144" s="797"/>
      <c r="J144" s="797"/>
      <c r="K144" s="797"/>
      <c r="L144" s="797"/>
      <c r="M144" s="690"/>
    </row>
    <row r="145" spans="1:13" ht="16">
      <c r="B145" s="801" t="s">
        <v>465</v>
      </c>
      <c r="C145" s="807"/>
      <c r="D145" s="807"/>
      <c r="E145" s="807"/>
      <c r="F145" s="807"/>
      <c r="G145" s="807"/>
      <c r="H145" s="807"/>
      <c r="I145" s="807"/>
      <c r="J145" s="807"/>
      <c r="K145" s="807"/>
      <c r="L145" s="807"/>
      <c r="M145" s="796"/>
    </row>
    <row r="146" spans="1:13" ht="16">
      <c r="B146" s="765" t="s">
        <v>508</v>
      </c>
      <c r="C146" s="730">
        <v>0</v>
      </c>
      <c r="D146" s="718"/>
      <c r="E146" s="730">
        <v>0</v>
      </c>
      <c r="F146" s="705"/>
      <c r="G146" s="730">
        <v>0</v>
      </c>
      <c r="H146" s="718"/>
      <c r="I146" s="730">
        <v>0</v>
      </c>
      <c r="J146" s="718"/>
      <c r="K146" s="730">
        <v>0</v>
      </c>
      <c r="L146" s="718"/>
      <c r="M146" s="707">
        <v>0</v>
      </c>
    </row>
    <row r="147" spans="1:13" ht="16">
      <c r="B147" s="765" t="s">
        <v>509</v>
      </c>
      <c r="C147" s="730">
        <v>0</v>
      </c>
      <c r="D147" s="718"/>
      <c r="E147" s="730">
        <v>0</v>
      </c>
      <c r="F147" s="705"/>
      <c r="G147" s="730">
        <v>0</v>
      </c>
      <c r="H147" s="718"/>
      <c r="I147" s="730">
        <v>0</v>
      </c>
      <c r="J147" s="718"/>
      <c r="K147" s="730">
        <v>0</v>
      </c>
      <c r="L147" s="718"/>
      <c r="M147" s="707">
        <v>0</v>
      </c>
    </row>
    <row r="148" spans="1:13" ht="16">
      <c r="B148" s="765" t="s">
        <v>510</v>
      </c>
      <c r="C148" s="730">
        <v>0</v>
      </c>
      <c r="D148" s="718"/>
      <c r="E148" s="730">
        <v>0</v>
      </c>
      <c r="F148" s="705"/>
      <c r="G148" s="730">
        <v>0</v>
      </c>
      <c r="H148" s="718"/>
      <c r="I148" s="730">
        <v>0</v>
      </c>
      <c r="J148" s="718"/>
      <c r="K148" s="730">
        <v>0</v>
      </c>
      <c r="L148" s="718"/>
      <c r="M148" s="707">
        <v>0</v>
      </c>
    </row>
    <row r="149" spans="1:13" ht="17" thickBot="1">
      <c r="B149" s="777" t="s">
        <v>466</v>
      </c>
      <c r="C149" s="693">
        <f>SUM(C146:C148)</f>
        <v>0</v>
      </c>
      <c r="D149" s="692"/>
      <c r="E149" s="693">
        <f>SUM(E146:E148)</f>
        <v>0</v>
      </c>
      <c r="F149" s="692"/>
      <c r="G149" s="693">
        <f>SUM(G146:G148)</f>
        <v>0</v>
      </c>
      <c r="H149" s="692"/>
      <c r="I149" s="693">
        <f>SUM(I146:I148)</f>
        <v>0</v>
      </c>
      <c r="J149" s="692"/>
      <c r="K149" s="693">
        <f>SUM(K146:K148)</f>
        <v>0</v>
      </c>
      <c r="L149" s="692"/>
      <c r="M149" s="691">
        <f>SUM(M146:M148)</f>
        <v>0</v>
      </c>
    </row>
    <row r="150" spans="1:13" ht="17" thickTop="1">
      <c r="B150" s="700"/>
      <c r="C150" s="718"/>
      <c r="D150" s="718"/>
      <c r="E150" s="718"/>
      <c r="F150" s="718"/>
      <c r="G150" s="718"/>
      <c r="H150" s="718"/>
      <c r="I150" s="718"/>
      <c r="J150" s="718"/>
      <c r="K150" s="718"/>
      <c r="L150" s="718"/>
      <c r="M150" s="704"/>
    </row>
    <row r="151" spans="1:13" ht="16">
      <c r="B151" s="801" t="s">
        <v>467</v>
      </c>
      <c r="C151" s="807"/>
      <c r="D151" s="807"/>
      <c r="E151" s="807"/>
      <c r="F151" s="807"/>
      <c r="G151" s="807"/>
      <c r="H151" s="807"/>
      <c r="I151" s="807"/>
      <c r="J151" s="807"/>
      <c r="K151" s="807"/>
      <c r="L151" s="807"/>
      <c r="M151" s="796"/>
    </row>
    <row r="152" spans="1:13" ht="16">
      <c r="B152" s="719" t="s">
        <v>468</v>
      </c>
      <c r="C152" s="685">
        <v>0</v>
      </c>
      <c r="D152" s="705"/>
      <c r="E152" s="685">
        <v>0</v>
      </c>
      <c r="F152" s="705"/>
      <c r="G152" s="685">
        <v>0</v>
      </c>
      <c r="H152" s="718"/>
      <c r="I152" s="685">
        <v>0</v>
      </c>
      <c r="J152" s="718"/>
      <c r="K152" s="685">
        <v>0</v>
      </c>
      <c r="L152" s="718"/>
      <c r="M152" s="742">
        <v>0</v>
      </c>
    </row>
    <row r="153" spans="1:13" ht="16">
      <c r="B153" s="719" t="s">
        <v>469</v>
      </c>
      <c r="C153" s="685">
        <v>0</v>
      </c>
      <c r="D153" s="705"/>
      <c r="E153" s="685">
        <v>0</v>
      </c>
      <c r="F153" s="705"/>
      <c r="G153" s="685">
        <v>0</v>
      </c>
      <c r="H153" s="718"/>
      <c r="I153" s="685">
        <v>0</v>
      </c>
      <c r="J153" s="718"/>
      <c r="K153" s="685">
        <v>0</v>
      </c>
      <c r="L153" s="718"/>
      <c r="M153" s="742">
        <v>0</v>
      </c>
    </row>
    <row r="154" spans="1:13" ht="16">
      <c r="B154" s="719" t="s">
        <v>470</v>
      </c>
      <c r="C154" s="685">
        <v>0</v>
      </c>
      <c r="D154" s="705"/>
      <c r="E154" s="685">
        <v>0</v>
      </c>
      <c r="F154" s="705"/>
      <c r="G154" s="685">
        <v>0</v>
      </c>
      <c r="H154" s="718"/>
      <c r="I154" s="685">
        <v>0</v>
      </c>
      <c r="J154" s="718"/>
      <c r="K154" s="685">
        <v>0</v>
      </c>
      <c r="L154" s="718"/>
      <c r="M154" s="742">
        <v>0</v>
      </c>
    </row>
    <row r="155" spans="1:13" ht="16">
      <c r="B155" s="719" t="s">
        <v>471</v>
      </c>
      <c r="C155" s="685">
        <v>0</v>
      </c>
      <c r="D155" s="705"/>
      <c r="E155" s="685">
        <v>0</v>
      </c>
      <c r="F155" s="705"/>
      <c r="G155" s="685">
        <v>0</v>
      </c>
      <c r="H155" s="718"/>
      <c r="I155" s="685">
        <v>0</v>
      </c>
      <c r="J155" s="718"/>
      <c r="K155" s="685">
        <v>0</v>
      </c>
      <c r="L155" s="718"/>
      <c r="M155" s="742">
        <v>0</v>
      </c>
    </row>
    <row r="156" spans="1:13" ht="17" thickBot="1">
      <c r="B156" s="777" t="s">
        <v>472</v>
      </c>
      <c r="C156" s="693">
        <f>SUM(C152:C155)</f>
        <v>0</v>
      </c>
      <c r="D156" s="692"/>
      <c r="E156" s="693">
        <f>SUM(E152:E155)</f>
        <v>0</v>
      </c>
      <c r="F156" s="692"/>
      <c r="G156" s="693">
        <f>SUM(G152:G155)</f>
        <v>0</v>
      </c>
      <c r="H156" s="692"/>
      <c r="I156" s="693">
        <f>SUM(I152:I155)</f>
        <v>0</v>
      </c>
      <c r="J156" s="692"/>
      <c r="K156" s="693">
        <f>SUM(K152:K155)</f>
        <v>0</v>
      </c>
      <c r="L156" s="692"/>
      <c r="M156" s="691">
        <f>SUM(M152:M155)</f>
        <v>0</v>
      </c>
    </row>
    <row r="157" spans="1:13" ht="17" thickTop="1">
      <c r="B157" s="700"/>
      <c r="C157" s="718"/>
      <c r="D157" s="718"/>
      <c r="E157" s="718"/>
      <c r="F157" s="718"/>
      <c r="G157" s="718"/>
      <c r="H157" s="718"/>
      <c r="I157" s="718"/>
      <c r="J157" s="718"/>
      <c r="K157" s="718"/>
      <c r="L157" s="718"/>
      <c r="M157" s="704"/>
    </row>
    <row r="158" spans="1:13" ht="16">
      <c r="A158" s="747"/>
      <c r="B158" s="756" t="s">
        <v>459</v>
      </c>
      <c r="C158" s="689">
        <f>C156+C149+C143</f>
        <v>0</v>
      </c>
      <c r="D158" s="799"/>
      <c r="E158" s="689">
        <f>E156+E149+E143</f>
        <v>0</v>
      </c>
      <c r="F158" s="799"/>
      <c r="G158" s="689">
        <f>G156+G149+G143</f>
        <v>271.59960000000001</v>
      </c>
      <c r="H158" s="799"/>
      <c r="I158" s="689">
        <f>I156+I149+I143</f>
        <v>271.59960000000001</v>
      </c>
      <c r="J158" s="799"/>
      <c r="K158" s="689">
        <f>K156+K149+K143</f>
        <v>271.59960000000001</v>
      </c>
      <c r="L158" s="799"/>
      <c r="M158" s="798">
        <f>M156+M149+M143</f>
        <v>271.59960000000001</v>
      </c>
    </row>
    <row r="160" spans="1:13" ht="16">
      <c r="A160" s="747"/>
      <c r="B160" s="735"/>
      <c r="C160" s="714" t="str">
        <f>C2</f>
        <v>2018-19</v>
      </c>
      <c r="D160" s="714"/>
      <c r="E160" s="714" t="str">
        <f>E2</f>
        <v>2019-20</v>
      </c>
      <c r="F160" s="714"/>
      <c r="G160" s="714" t="str">
        <f>G2</f>
        <v>2020-21</v>
      </c>
      <c r="H160" s="714"/>
      <c r="I160" s="714" t="str">
        <f>I2</f>
        <v>2021-22</v>
      </c>
      <c r="J160" s="714"/>
      <c r="K160" s="714" t="str">
        <f>K2</f>
        <v>2022-23</v>
      </c>
      <c r="L160" s="714"/>
      <c r="M160" s="752" t="str">
        <f>M2</f>
        <v>2023-24</v>
      </c>
    </row>
    <row r="161" spans="1:13">
      <c r="A161" s="747"/>
      <c r="B161" s="795"/>
      <c r="C161" s="794" t="s">
        <v>411</v>
      </c>
      <c r="D161" s="794"/>
      <c r="E161" s="794" t="s">
        <v>412</v>
      </c>
      <c r="F161" s="794"/>
      <c r="G161" s="794" t="s">
        <v>413</v>
      </c>
      <c r="H161" s="794"/>
      <c r="I161" s="794" t="s">
        <v>414</v>
      </c>
      <c r="J161" s="794"/>
      <c r="K161" s="794" t="s">
        <v>415</v>
      </c>
      <c r="L161" s="794"/>
      <c r="M161" s="688" t="s">
        <v>416</v>
      </c>
    </row>
    <row r="162" spans="1:13" ht="16">
      <c r="A162" s="706" t="s">
        <v>473</v>
      </c>
      <c r="B162" s="789" t="s">
        <v>474</v>
      </c>
      <c r="C162" s="769"/>
      <c r="D162" s="769"/>
      <c r="E162" s="769"/>
      <c r="F162" s="769"/>
      <c r="G162" s="769"/>
      <c r="H162" s="769"/>
      <c r="I162" s="769"/>
      <c r="J162" s="769"/>
      <c r="K162" s="769"/>
      <c r="L162" s="769"/>
      <c r="M162" s="727"/>
    </row>
    <row r="163" spans="1:13" ht="16">
      <c r="A163" s="747"/>
      <c r="B163" s="719"/>
      <c r="C163" s="709"/>
      <c r="D163" s="709"/>
      <c r="E163" s="709"/>
      <c r="F163" s="709"/>
      <c r="G163" s="709"/>
      <c r="H163" s="709"/>
      <c r="I163" s="709"/>
      <c r="J163" s="709"/>
      <c r="K163" s="709"/>
      <c r="L163" s="709"/>
      <c r="M163" s="774"/>
    </row>
    <row r="164" spans="1:13" ht="16">
      <c r="A164" s="747"/>
      <c r="B164" s="719" t="s">
        <v>513</v>
      </c>
      <c r="C164" s="706" t="e">
        <f>'Multi-Year'!F56/'Petition Exhibits'!C136</f>
        <v>#DIV/0!</v>
      </c>
      <c r="D164" s="709"/>
      <c r="E164" s="706" t="e">
        <f>'Multi-Year'!H56/'Petition Exhibits'!E136</f>
        <v>#DIV/0!</v>
      </c>
      <c r="F164" s="709"/>
      <c r="G164" s="706">
        <f>'Multi-Year'!J56/'Petition Exhibits'!G136</f>
        <v>30884.571789501901</v>
      </c>
      <c r="H164" s="709"/>
      <c r="I164" s="706">
        <f>'Multi-Year'!L56/'Petition Exhibits'!I136</f>
        <v>32223.020984257706</v>
      </c>
      <c r="J164" s="709"/>
      <c r="K164" s="706">
        <f>'Multi-Year'!N56/'Petition Exhibits'!K136</f>
        <v>34510.855474140015</v>
      </c>
      <c r="L164" s="709"/>
      <c r="M164" s="740">
        <f>'Multi-Year'!P56/'Petition Exhibits'!M136</f>
        <v>36961.126212803931</v>
      </c>
    </row>
    <row r="165" spans="1:13" ht="16">
      <c r="A165" s="747"/>
      <c r="B165" s="719"/>
      <c r="C165" s="686"/>
      <c r="D165" s="709"/>
      <c r="E165" s="686"/>
      <c r="F165" s="709"/>
      <c r="G165" s="686"/>
      <c r="H165" s="709"/>
      <c r="I165" s="686"/>
      <c r="J165" s="709"/>
      <c r="K165" s="686"/>
      <c r="L165" s="709"/>
      <c r="M165" s="697"/>
    </row>
    <row r="166" spans="1:13" ht="16">
      <c r="A166" s="747"/>
      <c r="B166" s="719" t="s">
        <v>465</v>
      </c>
      <c r="C166" s="722" t="e">
        <f>'Multi-Year'!F60/'Petition Exhibits'!C149</f>
        <v>#DIV/0!</v>
      </c>
      <c r="D166" s="709"/>
      <c r="E166" s="722" t="e">
        <f>'Multi-Year'!H60/'Petition Exhibits'!E149</f>
        <v>#DIV/0!</v>
      </c>
      <c r="F166" s="709"/>
      <c r="G166" s="722" t="e">
        <f>'Multi-Year'!J60/'Petition Exhibits'!G149</f>
        <v>#DIV/0!</v>
      </c>
      <c r="H166" s="709"/>
      <c r="I166" s="722" t="e">
        <f>'Multi-Year'!L60/'Petition Exhibits'!I149</f>
        <v>#DIV/0!</v>
      </c>
      <c r="J166" s="709"/>
      <c r="K166" s="722" t="e">
        <f>'Multi-Year'!N60/'Petition Exhibits'!K149</f>
        <v>#DIV/0!</v>
      </c>
      <c r="L166" s="709"/>
      <c r="M166" s="804" t="e">
        <f>'Multi-Year'!P60/'Petition Exhibits'!M149</f>
        <v>#DIV/0!</v>
      </c>
    </row>
    <row r="167" spans="1:13" ht="16">
      <c r="A167" s="747"/>
      <c r="B167" s="766" t="s">
        <v>475</v>
      </c>
      <c r="C167" s="741" t="e">
        <f>'Multi-Year'!F69/('Petition Exhibits'!C156+C140)</f>
        <v>#DIV/0!</v>
      </c>
      <c r="D167" s="758"/>
      <c r="E167" s="741" t="e">
        <f>'Multi-Year'!H69/('Petition Exhibits'!E156+E140)</f>
        <v>#DIV/0!</v>
      </c>
      <c r="F167" s="758"/>
      <c r="G167" s="741" t="e">
        <f>'Multi-Year'!J69/('Petition Exhibits'!G156+G140)</f>
        <v>#DIV/0!</v>
      </c>
      <c r="H167" s="758"/>
      <c r="I167" s="741" t="e">
        <f>'Multi-Year'!L69/('Petition Exhibits'!I156+I140)</f>
        <v>#DIV/0!</v>
      </c>
      <c r="J167" s="758"/>
      <c r="K167" s="741" t="e">
        <f>'Multi-Year'!N69/('Petition Exhibits'!K156+K140)</f>
        <v>#DIV/0!</v>
      </c>
      <c r="L167" s="758"/>
      <c r="M167" s="720" t="e">
        <f>'Multi-Year'!P69/('Petition Exhibits'!M156+M140)</f>
        <v>#DIV/0!</v>
      </c>
    </row>
    <row r="169" spans="1:13" ht="16">
      <c r="A169" s="747"/>
      <c r="B169" s="735"/>
      <c r="C169" s="714" t="str">
        <f>C2</f>
        <v>2018-19</v>
      </c>
      <c r="D169" s="714"/>
      <c r="E169" s="714" t="str">
        <f>E2</f>
        <v>2019-20</v>
      </c>
      <c r="F169" s="714"/>
      <c r="G169" s="714" t="str">
        <f>G2</f>
        <v>2020-21</v>
      </c>
      <c r="H169" s="714"/>
      <c r="I169" s="714" t="str">
        <f>I2</f>
        <v>2021-22</v>
      </c>
      <c r="J169" s="714"/>
      <c r="K169" s="714" t="str">
        <f>K2</f>
        <v>2022-23</v>
      </c>
      <c r="L169" s="714"/>
      <c r="M169" s="752" t="str">
        <f>M2</f>
        <v>2023-24</v>
      </c>
    </row>
    <row r="170" spans="1:13">
      <c r="A170" s="747"/>
      <c r="B170" s="795"/>
      <c r="C170" s="794" t="s">
        <v>411</v>
      </c>
      <c r="D170" s="794"/>
      <c r="E170" s="794" t="s">
        <v>412</v>
      </c>
      <c r="F170" s="794"/>
      <c r="G170" s="794" t="s">
        <v>413</v>
      </c>
      <c r="H170" s="794"/>
      <c r="I170" s="794" t="s">
        <v>414</v>
      </c>
      <c r="J170" s="794"/>
      <c r="K170" s="794" t="s">
        <v>415</v>
      </c>
      <c r="L170" s="794"/>
      <c r="M170" s="688" t="s">
        <v>416</v>
      </c>
    </row>
    <row r="171" spans="1:13" ht="16">
      <c r="A171" s="706" t="s">
        <v>476</v>
      </c>
      <c r="B171" s="789" t="s">
        <v>448</v>
      </c>
      <c r="C171" s="769"/>
      <c r="D171" s="769"/>
      <c r="E171" s="769"/>
      <c r="F171" s="769"/>
      <c r="G171" s="769"/>
      <c r="H171" s="769"/>
      <c r="I171" s="769"/>
      <c r="J171" s="769"/>
      <c r="K171" s="769"/>
      <c r="L171" s="769"/>
      <c r="M171" s="727"/>
    </row>
    <row r="172" spans="1:13" ht="16">
      <c r="A172" s="747"/>
      <c r="B172" s="719" t="s">
        <v>69</v>
      </c>
      <c r="C172" s="709">
        <f>'Multi-Year'!F71</f>
        <v>0</v>
      </c>
      <c r="D172" s="709"/>
      <c r="E172" s="709">
        <f>'Multi-Year'!H71</f>
        <v>1762152.52</v>
      </c>
      <c r="F172" s="709"/>
      <c r="G172" s="709">
        <f>'Multi-Year'!J71</f>
        <v>1904016.9342658399</v>
      </c>
      <c r="H172" s="709"/>
      <c r="I172" s="709">
        <f>'Multi-Year'!L71</f>
        <v>1948720.6223928975</v>
      </c>
      <c r="J172" s="709"/>
      <c r="K172" s="709">
        <f>'Multi-Year'!N71</f>
        <v>2087079.7865827936</v>
      </c>
      <c r="L172" s="709"/>
      <c r="M172" s="774">
        <f>'Multi-Year'!P71</f>
        <v>2235262.4514301717</v>
      </c>
    </row>
    <row r="173" spans="1:13" ht="16">
      <c r="A173" s="747"/>
      <c r="B173" s="719" t="s">
        <v>70</v>
      </c>
      <c r="C173" s="686">
        <f>'Multi-Year'!F72</f>
        <v>0</v>
      </c>
      <c r="D173" s="686"/>
      <c r="E173" s="686">
        <f>'Multi-Year'!H72</f>
        <v>0</v>
      </c>
      <c r="F173" s="686"/>
      <c r="G173" s="686">
        <f>'Multi-Year'!J72</f>
        <v>0</v>
      </c>
      <c r="H173" s="686"/>
      <c r="I173" s="686">
        <f>'Multi-Year'!L72</f>
        <v>0</v>
      </c>
      <c r="J173" s="686"/>
      <c r="K173" s="686">
        <f>'Multi-Year'!N72</f>
        <v>0</v>
      </c>
      <c r="L173" s="686"/>
      <c r="M173" s="697">
        <f>'Multi-Year'!P72</f>
        <v>0</v>
      </c>
    </row>
    <row r="174" spans="1:13" ht="16">
      <c r="A174" s="747"/>
      <c r="B174" s="719" t="s">
        <v>239</v>
      </c>
      <c r="C174" s="686">
        <f>'Multi-Year'!F73</f>
        <v>0</v>
      </c>
      <c r="D174" s="686"/>
      <c r="E174" s="686">
        <f>'Multi-Year'!H73</f>
        <v>27753.780000000002</v>
      </c>
      <c r="F174" s="686"/>
      <c r="G174" s="686">
        <f>'Multi-Year'!J73</f>
        <v>29567.393825600004</v>
      </c>
      <c r="H174" s="686"/>
      <c r="I174" s="686">
        <f>'Multi-Year'!L73</f>
        <v>30901.551302111999</v>
      </c>
      <c r="J174" s="686"/>
      <c r="K174" s="686">
        <f>'Multi-Year'!N73</f>
        <v>32957.687318865414</v>
      </c>
      <c r="L174" s="686"/>
      <c r="M174" s="697">
        <f>'Multi-Year'!P73</f>
        <v>35157.051510294375</v>
      </c>
    </row>
    <row r="175" spans="1:13" ht="16">
      <c r="A175" s="747"/>
      <c r="B175" s="719" t="s">
        <v>240</v>
      </c>
      <c r="C175" s="686">
        <f>'Multi-Year'!F74</f>
        <v>0</v>
      </c>
      <c r="D175" s="686"/>
      <c r="E175" s="686">
        <f>'Multi-Year'!H74</f>
        <v>155908.09</v>
      </c>
      <c r="F175" s="686"/>
      <c r="G175" s="686">
        <f>'Multi-Year'!J74</f>
        <v>156959.767762245</v>
      </c>
      <c r="H175" s="686"/>
      <c r="I175" s="686">
        <f>'Multi-Year'!L74</f>
        <v>163339.9537447521</v>
      </c>
      <c r="J175" s="686"/>
      <c r="K175" s="686">
        <f>'Multi-Year'!N74</f>
        <v>174904.84570542627</v>
      </c>
      <c r="L175" s="686"/>
      <c r="M175" s="697">
        <f>'Multi-Year'!P74</f>
        <v>187290.2001002043</v>
      </c>
    </row>
    <row r="176" spans="1:13" ht="16">
      <c r="A176" s="747"/>
      <c r="B176" s="719" t="s">
        <v>235</v>
      </c>
      <c r="C176" s="686">
        <f>'Multi-Year'!F75</f>
        <v>0</v>
      </c>
      <c r="D176" s="686"/>
      <c r="E176" s="686">
        <f>'Multi-Year'!H75</f>
        <v>1081923.1100000001</v>
      </c>
      <c r="F176" s="686"/>
      <c r="G176" s="686">
        <f>'Multi-Year'!J75</f>
        <v>1164240.0000000002</v>
      </c>
      <c r="H176" s="686"/>
      <c r="I176" s="686">
        <f>'Multi-Year'!L75</f>
        <v>1257379.2000000002</v>
      </c>
      <c r="J176" s="686"/>
      <c r="K176" s="686">
        <f>'Multi-Year'!N75</f>
        <v>1425868.0128000006</v>
      </c>
      <c r="L176" s="686"/>
      <c r="M176" s="697">
        <f>'Multi-Year'!P75</f>
        <v>1616934.3265152005</v>
      </c>
    </row>
    <row r="177" spans="1:13" ht="16">
      <c r="A177" s="747"/>
      <c r="B177" s="719" t="s">
        <v>236</v>
      </c>
      <c r="C177" s="686">
        <f>'Multi-Year'!F76</f>
        <v>0</v>
      </c>
      <c r="D177" s="686"/>
      <c r="E177" s="686">
        <f>'Multi-Year'!H76</f>
        <v>84314.909999999989</v>
      </c>
      <c r="F177" s="686"/>
      <c r="G177" s="686">
        <f>'Multi-Year'!J76</f>
        <v>82327.000000000015</v>
      </c>
      <c r="H177" s="686"/>
      <c r="I177" s="686">
        <f>'Multi-Year'!L76</f>
        <v>82405.540000000008</v>
      </c>
      <c r="J177" s="686"/>
      <c r="K177" s="686">
        <f>'Multi-Year'!N76</f>
        <v>86824.430007000017</v>
      </c>
      <c r="L177" s="686"/>
      <c r="M177" s="697">
        <f>'Multi-Year'!P76</f>
        <v>91501.45676437192</v>
      </c>
    </row>
    <row r="178" spans="1:13" ht="16">
      <c r="A178" s="747"/>
      <c r="B178" s="719" t="s">
        <v>237</v>
      </c>
      <c r="C178" s="686">
        <f>'Multi-Year'!F77</f>
        <v>0</v>
      </c>
      <c r="D178" s="686"/>
      <c r="E178" s="686">
        <f>'Multi-Year'!H77</f>
        <v>68078.700000000012</v>
      </c>
      <c r="F178" s="686"/>
      <c r="G178" s="686">
        <f>'Multi-Year'!J77</f>
        <v>151547.36197734001</v>
      </c>
      <c r="H178" s="686"/>
      <c r="I178" s="686">
        <f>'Multi-Year'!L77</f>
        <v>157707.54154665724</v>
      </c>
      <c r="J178" s="686"/>
      <c r="K178" s="686">
        <f>'Multi-Year'!N77</f>
        <v>168873.64412937715</v>
      </c>
      <c r="L178" s="686"/>
      <c r="M178" s="697">
        <f>'Multi-Year'!P77</f>
        <v>180831.91733812829</v>
      </c>
    </row>
    <row r="179" spans="1:13" ht="16">
      <c r="A179" s="747"/>
      <c r="B179" s="719" t="s">
        <v>238</v>
      </c>
      <c r="C179" s="686">
        <f>'Multi-Year'!F78</f>
        <v>0</v>
      </c>
      <c r="D179" s="686"/>
      <c r="E179" s="686">
        <f>'Multi-Year'!H78</f>
        <v>-114.54</v>
      </c>
      <c r="F179" s="686"/>
      <c r="G179" s="686">
        <f>'Multi-Year'!J78</f>
        <v>-112.13305537021363</v>
      </c>
      <c r="H179" s="686"/>
      <c r="I179" s="686">
        <f>'Multi-Year'!L78</f>
        <v>-116.69110077413157</v>
      </c>
      <c r="J179" s="686"/>
      <c r="K179" s="686">
        <f>'Multi-Year'!N78</f>
        <v>-124.9531330711031</v>
      </c>
      <c r="L179" s="686"/>
      <c r="M179" s="697">
        <f>'Multi-Year'!P78</f>
        <v>-133.80130894399966</v>
      </c>
    </row>
    <row r="180" spans="1:13" ht="16">
      <c r="A180" s="747"/>
      <c r="B180" s="756" t="s">
        <v>477</v>
      </c>
      <c r="C180" s="729">
        <f>SUM(C172:C179)</f>
        <v>0</v>
      </c>
      <c r="D180" s="729"/>
      <c r="E180" s="729">
        <f>SUM(E172:E179)</f>
        <v>3180016.5700000003</v>
      </c>
      <c r="F180" s="729"/>
      <c r="G180" s="729">
        <f>SUM(G172:G179)</f>
        <v>3488546.3247756548</v>
      </c>
      <c r="H180" s="729"/>
      <c r="I180" s="729">
        <f>SUM(I172:I179)</f>
        <v>3640337.7178856446</v>
      </c>
      <c r="J180" s="729"/>
      <c r="K180" s="729">
        <f>SUM(K172:K179)</f>
        <v>3976383.4534103917</v>
      </c>
      <c r="L180" s="729"/>
      <c r="M180" s="763">
        <f>SUM(M172:M179)</f>
        <v>4346843.6023494275</v>
      </c>
    </row>
    <row r="182" spans="1:13" ht="16">
      <c r="A182" s="747"/>
      <c r="B182" s="735"/>
      <c r="C182" s="714" t="str">
        <f>C2</f>
        <v>2018-19</v>
      </c>
      <c r="D182" s="714"/>
      <c r="E182" s="714" t="str">
        <f>E2</f>
        <v>2019-20</v>
      </c>
      <c r="F182" s="714"/>
      <c r="G182" s="714" t="str">
        <f>G2</f>
        <v>2020-21</v>
      </c>
      <c r="H182" s="714"/>
      <c r="I182" s="714" t="str">
        <f>I2</f>
        <v>2021-22</v>
      </c>
      <c r="J182" s="714"/>
      <c r="K182" s="714" t="str">
        <f>K2</f>
        <v>2022-23</v>
      </c>
      <c r="L182" s="714"/>
      <c r="M182" s="752" t="str">
        <f>M2</f>
        <v>2023-24</v>
      </c>
    </row>
    <row r="183" spans="1:13">
      <c r="A183" s="747"/>
      <c r="B183" s="795"/>
      <c r="C183" s="794" t="s">
        <v>411</v>
      </c>
      <c r="D183" s="794"/>
      <c r="E183" s="794" t="s">
        <v>412</v>
      </c>
      <c r="F183" s="794"/>
      <c r="G183" s="794" t="s">
        <v>413</v>
      </c>
      <c r="H183" s="794"/>
      <c r="I183" s="794" t="s">
        <v>414</v>
      </c>
      <c r="J183" s="794"/>
      <c r="K183" s="794" t="s">
        <v>415</v>
      </c>
      <c r="L183" s="794"/>
      <c r="M183" s="688" t="s">
        <v>416</v>
      </c>
    </row>
    <row r="184" spans="1:13" ht="16">
      <c r="A184" s="706" t="s">
        <v>392</v>
      </c>
      <c r="B184" s="789" t="s">
        <v>321</v>
      </c>
      <c r="C184" s="769"/>
      <c r="D184" s="769"/>
      <c r="E184" s="769"/>
      <c r="F184" s="769"/>
      <c r="G184" s="769"/>
      <c r="H184" s="769"/>
      <c r="I184" s="769"/>
      <c r="J184" s="769"/>
      <c r="K184" s="769"/>
      <c r="L184" s="769"/>
      <c r="M184" s="727"/>
    </row>
    <row r="185" spans="1:13" ht="16">
      <c r="A185" s="747"/>
      <c r="B185" s="719" t="str">
        <f>'Multi-Year'!E81</f>
        <v>Textbooks and Core Curricula</v>
      </c>
      <c r="C185" s="709">
        <f>'Multi-Year'!F81</f>
        <v>0</v>
      </c>
      <c r="D185" s="709"/>
      <c r="E185" s="709">
        <f>'Multi-Year'!H81</f>
        <v>0</v>
      </c>
      <c r="F185" s="709"/>
      <c r="G185" s="709">
        <f>'Multi-Year'!J81</f>
        <v>0</v>
      </c>
      <c r="H185" s="709"/>
      <c r="I185" s="709">
        <f>'Multi-Year'!L81</f>
        <v>0</v>
      </c>
      <c r="J185" s="709"/>
      <c r="K185" s="709">
        <f>'Multi-Year'!N81</f>
        <v>0</v>
      </c>
      <c r="L185" s="709"/>
      <c r="M185" s="774">
        <f>'Multi-Year'!P81</f>
        <v>0</v>
      </c>
    </row>
    <row r="186" spans="1:13" ht="16">
      <c r="A186" s="747"/>
      <c r="B186" s="719" t="str">
        <f>'Multi-Year'!E82</f>
        <v>Books and Other Materials</v>
      </c>
      <c r="C186" s="686">
        <f>'Multi-Year'!F82</f>
        <v>0</v>
      </c>
      <c r="D186" s="686"/>
      <c r="E186" s="686">
        <f>'Multi-Year'!H82</f>
        <v>0</v>
      </c>
      <c r="F186" s="686"/>
      <c r="G186" s="686">
        <f>'Multi-Year'!J82</f>
        <v>0</v>
      </c>
      <c r="H186" s="686"/>
      <c r="I186" s="686">
        <f>'Multi-Year'!L82</f>
        <v>0</v>
      </c>
      <c r="J186" s="686"/>
      <c r="K186" s="686">
        <f>'Multi-Year'!N82</f>
        <v>0</v>
      </c>
      <c r="L186" s="686"/>
      <c r="M186" s="697">
        <f>'Multi-Year'!P82</f>
        <v>0</v>
      </c>
    </row>
    <row r="187" spans="1:13" ht="16">
      <c r="A187" s="747"/>
      <c r="B187" s="719" t="str">
        <f>'Multi-Year'!E83</f>
        <v>School Supplies</v>
      </c>
      <c r="C187" s="686">
        <f>'Multi-Year'!F83</f>
        <v>0</v>
      </c>
      <c r="D187" s="686"/>
      <c r="E187" s="686">
        <f>'Multi-Year'!H83</f>
        <v>2751237.1700000004</v>
      </c>
      <c r="F187" s="686"/>
      <c r="G187" s="686">
        <f>'Multi-Year'!J83</f>
        <v>2788200.0131918164</v>
      </c>
      <c r="H187" s="686"/>
      <c r="I187" s="686">
        <f>'Multi-Year'!L83</f>
        <v>2843964.0134556526</v>
      </c>
      <c r="J187" s="686"/>
      <c r="K187" s="686">
        <f>'Multi-Year'!N83</f>
        <v>3046514.9036390288</v>
      </c>
      <c r="L187" s="686"/>
      <c r="M187" s="697">
        <f>'Multi-Year'!P83</f>
        <v>3264284.9683861653</v>
      </c>
    </row>
    <row r="188" spans="1:13" ht="16">
      <c r="A188" s="747"/>
      <c r="B188" s="719" t="str">
        <f>'Multi-Year'!E84</f>
        <v>Software</v>
      </c>
      <c r="C188" s="686">
        <f>'Multi-Year'!F125</f>
        <v>0</v>
      </c>
      <c r="D188" s="686"/>
      <c r="E188" s="686">
        <f>'Multi-Year'!H125</f>
        <v>228495.50000000003</v>
      </c>
      <c r="F188" s="686"/>
      <c r="G188" s="686">
        <f>'Multi-Year'!J125</f>
        <v>231565.3347015047</v>
      </c>
      <c r="H188" s="686"/>
      <c r="I188" s="686">
        <f>'Multi-Year'!L125</f>
        <v>236196.6413955348</v>
      </c>
      <c r="J188" s="686"/>
      <c r="K188" s="686">
        <f>'Multi-Year'!N125</f>
        <v>253018.87956262662</v>
      </c>
      <c r="L188" s="686"/>
      <c r="M188" s="697">
        <f>'Multi-Year'!P125</f>
        <v>271105.09923573077</v>
      </c>
    </row>
    <row r="189" spans="1:13" ht="16">
      <c r="A189" s="747"/>
      <c r="B189" s="719" t="str">
        <f>'Multi-Year'!E85</f>
        <v>Office Expense</v>
      </c>
      <c r="C189" s="686">
        <f>'Multi-Year'!F84</f>
        <v>0</v>
      </c>
      <c r="D189" s="686"/>
      <c r="E189" s="686">
        <f>'Multi-Year'!H84</f>
        <v>469071.74</v>
      </c>
      <c r="F189" s="686"/>
      <c r="G189" s="686">
        <f>'Multi-Year'!J84</f>
        <v>475373.71402113914</v>
      </c>
      <c r="H189" s="686"/>
      <c r="I189" s="686">
        <f>'Multi-Year'!L84</f>
        <v>484881.18830156192</v>
      </c>
      <c r="J189" s="686"/>
      <c r="K189" s="686">
        <f>'Multi-Year'!N84</f>
        <v>519415.06983416178</v>
      </c>
      <c r="L189" s="686"/>
      <c r="M189" s="697">
        <f>'Multi-Year'!P84</f>
        <v>556543.7420928505</v>
      </c>
    </row>
    <row r="190" spans="1:13" ht="16">
      <c r="A190" s="747"/>
      <c r="B190" s="719" t="str">
        <f>'Multi-Year'!E86</f>
        <v>Business Meals</v>
      </c>
      <c r="C190" s="686">
        <f>'Multi-Year'!F85</f>
        <v>0</v>
      </c>
      <c r="D190" s="686"/>
      <c r="E190" s="686">
        <f>'Multi-Year'!H85</f>
        <v>99440.48</v>
      </c>
      <c r="F190" s="686"/>
      <c r="G190" s="686">
        <f>'Multi-Year'!J85</f>
        <v>100776.46183000665</v>
      </c>
      <c r="H190" s="686"/>
      <c r="I190" s="686">
        <f>'Multi-Year'!L85</f>
        <v>102791.99106660679</v>
      </c>
      <c r="J190" s="686"/>
      <c r="K190" s="686">
        <f>'Multi-Year'!N85</f>
        <v>110112.97304660171</v>
      </c>
      <c r="L190" s="686"/>
      <c r="M190" s="697">
        <f>'Multi-Year'!P85</f>
        <v>117984.03556502733</v>
      </c>
    </row>
    <row r="191" spans="1:13" ht="16">
      <c r="A191" s="747"/>
      <c r="B191" s="719" t="str">
        <f>'Multi-Year'!E87</f>
        <v>School Fundraising</v>
      </c>
      <c r="C191" s="686">
        <f>'Multi-Year'!F86</f>
        <v>0</v>
      </c>
      <c r="D191" s="686"/>
      <c r="E191" s="686">
        <f>'Multi-Year'!H86</f>
        <v>5532.87</v>
      </c>
      <c r="F191" s="686"/>
      <c r="G191" s="686">
        <f>'Multi-Year'!J86</f>
        <v>5607.2040517643209</v>
      </c>
      <c r="H191" s="686"/>
      <c r="I191" s="686">
        <f>'Multi-Year'!L86</f>
        <v>5719.3481327996078</v>
      </c>
      <c r="J191" s="686"/>
      <c r="K191" s="686">
        <f>'Multi-Year'!N86</f>
        <v>6126.6876947934206</v>
      </c>
      <c r="L191" s="686"/>
      <c r="M191" s="697">
        <f>'Multi-Year'!P86</f>
        <v>6564.6337473096755</v>
      </c>
    </row>
    <row r="192" spans="1:13" ht="16">
      <c r="A192" s="747"/>
      <c r="B192" s="719" t="s">
        <v>83</v>
      </c>
      <c r="C192" s="686">
        <f>'Multi-Year'!F88</f>
        <v>0</v>
      </c>
      <c r="D192" s="686"/>
      <c r="E192" s="686">
        <f>'Multi-Year'!H88</f>
        <v>440142.93000000005</v>
      </c>
      <c r="F192" s="686"/>
      <c r="G192" s="686">
        <f>'Multi-Year'!J88</f>
        <v>448945.78860000009</v>
      </c>
      <c r="H192" s="686"/>
      <c r="I192" s="686">
        <f>'Multi-Year'!L88</f>
        <v>457924.70437200012</v>
      </c>
      <c r="J192" s="686"/>
      <c r="K192" s="686">
        <f>'Multi-Year'!N88</f>
        <v>467083.19845944014</v>
      </c>
      <c r="L192" s="686"/>
      <c r="M192" s="697">
        <f>'Multi-Year'!P88</f>
        <v>476424.86242862896</v>
      </c>
    </row>
    <row r="193" spans="1:14" ht="16">
      <c r="A193" s="747"/>
      <c r="B193" s="719" t="s">
        <v>84</v>
      </c>
      <c r="C193" s="686">
        <f>'Multi-Year'!F89</f>
        <v>0</v>
      </c>
      <c r="D193" s="686"/>
      <c r="E193" s="686">
        <f>'Multi-Year'!H89</f>
        <v>124903.72</v>
      </c>
      <c r="F193" s="686"/>
      <c r="G193" s="686">
        <f>'Multi-Year'!J89</f>
        <v>126581.80019852919</v>
      </c>
      <c r="H193" s="686"/>
      <c r="I193" s="686">
        <f>'Multi-Year'!L89</f>
        <v>129113.43620249978</v>
      </c>
      <c r="J193" s="686"/>
      <c r="K193" s="686">
        <f>'Multi-Year'!N89</f>
        <v>138309.06642627114</v>
      </c>
      <c r="L193" s="686"/>
      <c r="M193" s="697">
        <f>'Multi-Year'!P89</f>
        <v>148195.6336361632</v>
      </c>
    </row>
    <row r="194" spans="1:14" ht="16">
      <c r="A194" s="747"/>
      <c r="B194" s="756" t="s">
        <v>478</v>
      </c>
      <c r="C194" s="729">
        <f>SUM(C185:C193)</f>
        <v>0</v>
      </c>
      <c r="D194" s="729"/>
      <c r="E194" s="729">
        <f>SUM(E185:E193)</f>
        <v>4118824.4100000006</v>
      </c>
      <c r="F194" s="729"/>
      <c r="G194" s="729">
        <f>SUM(G185:G193)</f>
        <v>4177050.3165947604</v>
      </c>
      <c r="H194" s="729"/>
      <c r="I194" s="729">
        <f>SUM(I185:I193)</f>
        <v>4260591.3229266554</v>
      </c>
      <c r="J194" s="729"/>
      <c r="K194" s="729">
        <f>SUM(K185:K193)</f>
        <v>4540580.7786629237</v>
      </c>
      <c r="L194" s="729"/>
      <c r="M194" s="763">
        <f>SUM(M185:M193)</f>
        <v>4841102.9750918755</v>
      </c>
    </row>
    <row r="195" spans="1:14">
      <c r="A195" s="188"/>
      <c r="B195" s="188"/>
      <c r="C195" s="188"/>
      <c r="D195" s="188"/>
      <c r="E195" s="188"/>
      <c r="F195" s="188"/>
      <c r="G195" s="188"/>
      <c r="H195" s="188"/>
      <c r="I195" s="188"/>
      <c r="J195" s="188"/>
      <c r="K195" s="188"/>
      <c r="L195" s="188"/>
      <c r="M195" s="188"/>
      <c r="N195" s="188"/>
    </row>
    <row r="196" spans="1:14">
      <c r="A196" s="188"/>
      <c r="B196" s="188"/>
      <c r="C196" s="188"/>
      <c r="D196" s="188"/>
      <c r="E196" s="188"/>
      <c r="F196" s="188"/>
      <c r="G196" s="188"/>
      <c r="H196" s="188"/>
      <c r="I196" s="188"/>
      <c r="J196" s="188"/>
      <c r="K196" s="188"/>
      <c r="L196" s="188"/>
      <c r="M196" s="188"/>
      <c r="N196" s="188"/>
    </row>
    <row r="197" spans="1:14" ht="16">
      <c r="A197" s="747" t="s">
        <v>25</v>
      </c>
      <c r="B197" s="735"/>
      <c r="C197" s="714" t="str">
        <f>C2</f>
        <v>2018-19</v>
      </c>
      <c r="D197" s="714"/>
      <c r="E197" s="714" t="str">
        <f>E2</f>
        <v>2019-20</v>
      </c>
      <c r="F197" s="714"/>
      <c r="G197" s="714" t="str">
        <f>G2</f>
        <v>2020-21</v>
      </c>
      <c r="H197" s="714"/>
      <c r="I197" s="714" t="str">
        <f>I2</f>
        <v>2021-22</v>
      </c>
      <c r="J197" s="714"/>
      <c r="K197" s="714" t="str">
        <f>K2</f>
        <v>2022-23</v>
      </c>
      <c r="L197" s="714"/>
      <c r="M197" s="752" t="str">
        <f>M2</f>
        <v>2023-24</v>
      </c>
    </row>
    <row r="198" spans="1:14">
      <c r="A198" t="s">
        <v>479</v>
      </c>
      <c r="B198" s="779"/>
      <c r="C198" s="794" t="s">
        <v>411</v>
      </c>
      <c r="D198" s="794"/>
      <c r="E198" s="794" t="s">
        <v>412</v>
      </c>
      <c r="F198" s="794"/>
      <c r="G198" s="794" t="s">
        <v>413</v>
      </c>
      <c r="H198" s="794"/>
      <c r="I198" s="794" t="s">
        <v>414</v>
      </c>
      <c r="J198" s="794"/>
      <c r="K198" s="794" t="s">
        <v>415</v>
      </c>
      <c r="L198" s="794"/>
      <c r="M198" s="688" t="s">
        <v>416</v>
      </c>
    </row>
    <row r="199" spans="1:14" ht="16">
      <c r="B199" s="789" t="s">
        <v>480</v>
      </c>
      <c r="C199" s="769"/>
      <c r="D199" s="769"/>
      <c r="E199" s="769"/>
      <c r="F199" s="769"/>
      <c r="G199" s="769"/>
      <c r="H199" s="769"/>
      <c r="I199" s="769"/>
      <c r="J199" s="769"/>
      <c r="K199" s="769"/>
      <c r="L199" s="769"/>
      <c r="M199" s="727"/>
    </row>
    <row r="200" spans="1:14" ht="16">
      <c r="B200" s="733" t="s">
        <v>338</v>
      </c>
      <c r="C200" s="754">
        <v>0</v>
      </c>
      <c r="D200" s="750"/>
      <c r="E200" s="712" t="e">
        <f>#REF!</f>
        <v>#REF!</v>
      </c>
      <c r="F200" s="772"/>
      <c r="G200" s="712" t="e">
        <f>#REF!</f>
        <v>#REF!</v>
      </c>
      <c r="H200" s="772"/>
      <c r="I200" s="712" t="e">
        <f>#REF!</f>
        <v>#REF!</v>
      </c>
      <c r="J200" s="772"/>
      <c r="K200" s="712" t="e">
        <f>#REF!</f>
        <v>#REF!</v>
      </c>
      <c r="L200" s="772"/>
      <c r="M200" s="728" t="e">
        <f>#REF!</f>
        <v>#REF!</v>
      </c>
    </row>
    <row r="201" spans="1:14" ht="16">
      <c r="B201" s="733" t="s">
        <v>481</v>
      </c>
      <c r="C201" s="754">
        <v>0</v>
      </c>
      <c r="D201" s="772"/>
      <c r="E201" s="712" t="e">
        <f>#REF!</f>
        <v>#REF!</v>
      </c>
      <c r="F201" s="772"/>
      <c r="G201" s="712" t="e">
        <f>#REF!</f>
        <v>#REF!</v>
      </c>
      <c r="H201" s="772"/>
      <c r="I201" s="712" t="e">
        <f>#REF!</f>
        <v>#REF!</v>
      </c>
      <c r="J201" s="772"/>
      <c r="K201" s="712" t="e">
        <f>#REF!</f>
        <v>#REF!</v>
      </c>
      <c r="L201" s="772"/>
      <c r="M201" s="728" t="e">
        <f>#REF!</f>
        <v>#REF!</v>
      </c>
    </row>
    <row r="202" spans="1:14" s="762" customFormat="1" ht="16">
      <c r="B202" s="784" t="s">
        <v>482</v>
      </c>
      <c r="C202" s="792">
        <v>0</v>
      </c>
      <c r="D202" s="772"/>
      <c r="E202" s="738" t="e">
        <f>#REF!</f>
        <v>#REF!</v>
      </c>
      <c r="F202" s="772"/>
      <c r="G202" s="738" t="e">
        <f>#REF!</f>
        <v>#REF!</v>
      </c>
      <c r="H202" s="772"/>
      <c r="I202" s="738" t="e">
        <f>#REF!</f>
        <v>#REF!</v>
      </c>
      <c r="J202" s="772"/>
      <c r="K202" s="738" t="e">
        <f>#REF!</f>
        <v>#REF!</v>
      </c>
      <c r="L202" s="772"/>
      <c r="M202" s="717" t="e">
        <f>#REF!</f>
        <v>#REF!</v>
      </c>
    </row>
    <row r="203" spans="1:14" ht="16">
      <c r="B203" s="733"/>
      <c r="C203" s="712"/>
      <c r="D203" s="772"/>
      <c r="E203" s="712"/>
      <c r="F203" s="772"/>
      <c r="G203" s="712"/>
      <c r="H203" s="772"/>
      <c r="I203" s="712"/>
      <c r="J203" s="772"/>
      <c r="K203" s="712"/>
      <c r="L203" s="772"/>
      <c r="M203" s="728"/>
    </row>
    <row r="204" spans="1:14" ht="16">
      <c r="B204" s="733" t="s">
        <v>61</v>
      </c>
      <c r="C204" s="754">
        <v>0</v>
      </c>
      <c r="D204" s="772"/>
      <c r="E204" s="712" t="e">
        <f>#REF!</f>
        <v>#REF!</v>
      </c>
      <c r="F204" s="772"/>
      <c r="G204" s="712" t="e">
        <f>#REF!</f>
        <v>#REF!</v>
      </c>
      <c r="H204" s="772"/>
      <c r="I204" s="712" t="e">
        <f>#REF!</f>
        <v>#REF!</v>
      </c>
      <c r="J204" s="772"/>
      <c r="K204" s="712" t="e">
        <f>#REF!</f>
        <v>#REF!</v>
      </c>
      <c r="L204" s="772"/>
      <c r="M204" s="728" t="e">
        <f>#REF!</f>
        <v>#REF!</v>
      </c>
    </row>
    <row r="205" spans="1:14" ht="16">
      <c r="B205" s="733" t="s">
        <v>483</v>
      </c>
      <c r="C205" s="754">
        <v>0</v>
      </c>
      <c r="D205" s="772"/>
      <c r="E205" s="712" t="e">
        <f>#REF!</f>
        <v>#REF!</v>
      </c>
      <c r="F205" s="772"/>
      <c r="G205" s="712" t="e">
        <f>#REF!</f>
        <v>#REF!</v>
      </c>
      <c r="H205" s="772"/>
      <c r="I205" s="712" t="e">
        <f>#REF!</f>
        <v>#REF!</v>
      </c>
      <c r="J205" s="772"/>
      <c r="K205" s="712" t="e">
        <f>#REF!</f>
        <v>#REF!</v>
      </c>
      <c r="L205" s="772"/>
      <c r="M205" s="728" t="e">
        <f>#REF!</f>
        <v>#REF!</v>
      </c>
    </row>
    <row r="206" spans="1:14" s="762" customFormat="1" ht="16">
      <c r="B206" s="784" t="s">
        <v>482</v>
      </c>
      <c r="C206" s="792">
        <v>0</v>
      </c>
      <c r="D206" s="772"/>
      <c r="E206" s="738" t="e">
        <f>#REF!</f>
        <v>#REF!</v>
      </c>
      <c r="F206" s="772"/>
      <c r="G206" s="738" t="e">
        <f>#REF!</f>
        <v>#REF!</v>
      </c>
      <c r="H206" s="772"/>
      <c r="I206" s="738" t="e">
        <f>#REF!</f>
        <v>#REF!</v>
      </c>
      <c r="J206" s="772"/>
      <c r="K206" s="738" t="e">
        <f>#REF!</f>
        <v>#REF!</v>
      </c>
      <c r="L206" s="772"/>
      <c r="M206" s="717" t="e">
        <f>#REF!</f>
        <v>#REF!</v>
      </c>
    </row>
    <row r="207" spans="1:14" ht="16">
      <c r="B207" s="703"/>
      <c r="C207" s="750"/>
      <c r="D207" s="750"/>
      <c r="E207" s="750"/>
      <c r="F207" s="750"/>
      <c r="G207" s="750"/>
      <c r="H207" s="750"/>
      <c r="I207" s="750"/>
      <c r="J207" s="750"/>
      <c r="K207" s="750"/>
      <c r="L207" s="750"/>
      <c r="M207" s="687"/>
    </row>
    <row r="208" spans="1:14" ht="16">
      <c r="B208" s="789" t="s">
        <v>484</v>
      </c>
      <c r="C208" s="769"/>
      <c r="D208" s="769"/>
      <c r="E208" s="769"/>
      <c r="F208" s="769"/>
      <c r="G208" s="769"/>
      <c r="H208" s="769"/>
      <c r="I208" s="769"/>
      <c r="J208" s="769"/>
      <c r="K208" s="769"/>
      <c r="L208" s="769"/>
      <c r="M208" s="727"/>
    </row>
    <row r="209" spans="1:25" ht="16">
      <c r="B209" s="708" t="e">
        <f>#REF!</f>
        <v>#REF!</v>
      </c>
      <c r="C209" s="709">
        <v>0</v>
      </c>
      <c r="D209" s="709"/>
      <c r="E209" s="709" t="e">
        <f>#REF!</f>
        <v>#REF!</v>
      </c>
      <c r="F209" s="709"/>
      <c r="G209" s="709" t="e">
        <f>#REF!</f>
        <v>#REF!</v>
      </c>
      <c r="H209" s="709"/>
      <c r="I209" s="709" t="e">
        <f>#REF!</f>
        <v>#REF!</v>
      </c>
      <c r="J209" s="709"/>
      <c r="K209" s="709" t="e">
        <f>#REF!</f>
        <v>#REF!</v>
      </c>
      <c r="L209" s="709"/>
      <c r="M209" s="774" t="e">
        <f>#REF!</f>
        <v>#REF!</v>
      </c>
    </row>
    <row r="210" spans="1:25" ht="16">
      <c r="B210" s="708" t="e">
        <f>#REF!</f>
        <v>#REF!</v>
      </c>
      <c r="C210" s="686">
        <v>0</v>
      </c>
      <c r="D210" s="686"/>
      <c r="E210" s="686" t="e">
        <f>#REF!</f>
        <v>#REF!</v>
      </c>
      <c r="F210" s="686"/>
      <c r="G210" s="686" t="e">
        <f>#REF!</f>
        <v>#REF!</v>
      </c>
      <c r="H210" s="686"/>
      <c r="I210" s="686" t="e">
        <f>#REF!</f>
        <v>#REF!</v>
      </c>
      <c r="J210" s="686"/>
      <c r="K210" s="686" t="e">
        <f>#REF!</f>
        <v>#REF!</v>
      </c>
      <c r="L210" s="686"/>
      <c r="M210" s="697" t="e">
        <f>#REF!</f>
        <v>#REF!</v>
      </c>
    </row>
    <row r="211" spans="1:25" ht="16">
      <c r="B211" s="708" t="e">
        <f>#REF!</f>
        <v>#REF!</v>
      </c>
      <c r="C211" s="686">
        <v>0</v>
      </c>
      <c r="D211" s="686"/>
      <c r="E211" s="686" t="e">
        <f>#REF!</f>
        <v>#REF!</v>
      </c>
      <c r="F211" s="686"/>
      <c r="G211" s="686" t="e">
        <f>#REF!</f>
        <v>#REF!</v>
      </c>
      <c r="H211" s="686"/>
      <c r="I211" s="686" t="e">
        <f>#REF!</f>
        <v>#REF!</v>
      </c>
      <c r="J211" s="686"/>
      <c r="K211" s="686" t="e">
        <f>#REF!</f>
        <v>#REF!</v>
      </c>
      <c r="L211" s="686"/>
      <c r="M211" s="697" t="e">
        <f>#REF!</f>
        <v>#REF!</v>
      </c>
    </row>
    <row r="212" spans="1:25" ht="16">
      <c r="B212" s="708" t="e">
        <f>#REF!</f>
        <v>#REF!</v>
      </c>
      <c r="C212" s="686">
        <v>0</v>
      </c>
      <c r="D212" s="686"/>
      <c r="E212" s="686" t="e">
        <f>#REF!</f>
        <v>#REF!</v>
      </c>
      <c r="F212" s="686"/>
      <c r="G212" s="686" t="e">
        <f>#REF!</f>
        <v>#REF!</v>
      </c>
      <c r="H212" s="686"/>
      <c r="I212" s="686" t="e">
        <f>#REF!</f>
        <v>#REF!</v>
      </c>
      <c r="J212" s="686"/>
      <c r="K212" s="686" t="e">
        <f>#REF!</f>
        <v>#REF!</v>
      </c>
      <c r="L212" s="686"/>
      <c r="M212" s="697" t="e">
        <f>#REF!</f>
        <v>#REF!</v>
      </c>
    </row>
    <row r="213" spans="1:25" ht="16">
      <c r="B213" s="708" t="e">
        <f>#REF!</f>
        <v>#REF!</v>
      </c>
      <c r="C213" s="686">
        <v>0</v>
      </c>
      <c r="D213" s="686"/>
      <c r="E213" s="686" t="e">
        <f>#REF!</f>
        <v>#REF!</v>
      </c>
      <c r="F213" s="686"/>
      <c r="G213" s="686" t="e">
        <f>#REF!</f>
        <v>#REF!</v>
      </c>
      <c r="H213" s="686"/>
      <c r="I213" s="686" t="e">
        <f>#REF!</f>
        <v>#REF!</v>
      </c>
      <c r="J213" s="686"/>
      <c r="K213" s="686" t="e">
        <f>#REF!</f>
        <v>#REF!</v>
      </c>
      <c r="L213" s="686"/>
      <c r="M213" s="697" t="e">
        <f>#REF!</f>
        <v>#REF!</v>
      </c>
      <c r="O213" t="s">
        <v>505</v>
      </c>
    </row>
    <row r="214" spans="1:25" ht="16">
      <c r="B214" s="749" t="s">
        <v>337</v>
      </c>
      <c r="C214" s="729">
        <f>SUM(C209:C213)</f>
        <v>0</v>
      </c>
      <c r="D214" s="729"/>
      <c r="E214" s="729" t="e">
        <f>SUM(E209:E213)</f>
        <v>#REF!</v>
      </c>
      <c r="F214" s="729"/>
      <c r="G214" s="729" t="e">
        <f>SUM(G209:G213)</f>
        <v>#REF!</v>
      </c>
      <c r="H214" s="729"/>
      <c r="I214" s="729" t="e">
        <f>SUM(I209:I213)</f>
        <v>#REF!</v>
      </c>
      <c r="J214" s="729"/>
      <c r="K214" s="729" t="e">
        <f>SUM(K209:K213)</f>
        <v>#REF!</v>
      </c>
      <c r="L214" s="729"/>
      <c r="M214" s="763" t="e">
        <f>SUM(M209:M213)</f>
        <v>#REF!</v>
      </c>
      <c r="O214" s="764">
        <f>C214-C192</f>
        <v>0</v>
      </c>
      <c r="P214" s="764">
        <f t="shared" ref="P214:Y214" si="16">D214-D192</f>
        <v>0</v>
      </c>
      <c r="Q214" s="764" t="e">
        <f t="shared" si="16"/>
        <v>#REF!</v>
      </c>
      <c r="R214" s="764">
        <f t="shared" si="16"/>
        <v>0</v>
      </c>
      <c r="S214" s="764" t="e">
        <f t="shared" si="16"/>
        <v>#REF!</v>
      </c>
      <c r="T214" s="764">
        <f t="shared" si="16"/>
        <v>0</v>
      </c>
      <c r="U214" s="764" t="e">
        <f t="shared" si="16"/>
        <v>#REF!</v>
      </c>
      <c r="V214" s="764">
        <f t="shared" si="16"/>
        <v>0</v>
      </c>
      <c r="W214" s="764" t="e">
        <f t="shared" si="16"/>
        <v>#REF!</v>
      </c>
      <c r="X214" s="764">
        <f t="shared" si="16"/>
        <v>0</v>
      </c>
      <c r="Y214" s="764" t="e">
        <f t="shared" si="16"/>
        <v>#REF!</v>
      </c>
    </row>
    <row r="216" spans="1:25" ht="16">
      <c r="A216" s="747"/>
      <c r="B216" s="735"/>
      <c r="C216" s="714" t="str">
        <f>C2</f>
        <v>2018-19</v>
      </c>
      <c r="D216" s="714"/>
      <c r="E216" s="714" t="str">
        <f>E2</f>
        <v>2019-20</v>
      </c>
      <c r="F216" s="714"/>
      <c r="G216" s="714" t="str">
        <f>G2</f>
        <v>2020-21</v>
      </c>
      <c r="H216" s="714"/>
      <c r="I216" s="714" t="str">
        <f>I2</f>
        <v>2021-22</v>
      </c>
      <c r="J216" s="714"/>
      <c r="K216" s="714" t="str">
        <f>K2</f>
        <v>2022-23</v>
      </c>
      <c r="L216" s="714"/>
      <c r="M216" s="752" t="str">
        <f>M2</f>
        <v>2023-24</v>
      </c>
    </row>
    <row r="217" spans="1:25">
      <c r="A217" s="747"/>
      <c r="B217" s="795"/>
      <c r="C217" s="794" t="s">
        <v>411</v>
      </c>
      <c r="D217" s="794"/>
      <c r="E217" s="794" t="s">
        <v>412</v>
      </c>
      <c r="F217" s="794"/>
      <c r="G217" s="794" t="s">
        <v>413</v>
      </c>
      <c r="H217" s="794"/>
      <c r="I217" s="794" t="s">
        <v>414</v>
      </c>
      <c r="J217" s="794"/>
      <c r="K217" s="794" t="s">
        <v>415</v>
      </c>
      <c r="L217" s="794"/>
      <c r="M217" s="688" t="s">
        <v>416</v>
      </c>
    </row>
    <row r="218" spans="1:25" ht="16">
      <c r="A218" s="706" t="s">
        <v>485</v>
      </c>
      <c r="B218" s="789" t="s">
        <v>284</v>
      </c>
      <c r="C218" s="769"/>
      <c r="D218" s="769"/>
      <c r="E218" s="769"/>
      <c r="F218" s="769"/>
      <c r="G218" s="769"/>
      <c r="H218" s="769"/>
      <c r="I218" s="769"/>
      <c r="J218" s="769"/>
      <c r="K218" s="769"/>
      <c r="L218" s="769"/>
      <c r="M218" s="727"/>
    </row>
    <row r="219" spans="1:25" ht="16">
      <c r="A219" s="747"/>
      <c r="B219" s="719" t="s">
        <v>85</v>
      </c>
      <c r="C219" s="709">
        <f>'Multi-Year'!F92</f>
        <v>0</v>
      </c>
      <c r="D219" s="709"/>
      <c r="E219" s="709">
        <f>'Multi-Year'!H92</f>
        <v>0</v>
      </c>
      <c r="F219" s="709"/>
      <c r="G219" s="709">
        <f>'Multi-Year'!J92</f>
        <v>0</v>
      </c>
      <c r="H219" s="709"/>
      <c r="I219" s="709">
        <f>'Multi-Year'!L92</f>
        <v>0</v>
      </c>
      <c r="J219" s="709"/>
      <c r="K219" s="709">
        <f>'Multi-Year'!N92</f>
        <v>0</v>
      </c>
      <c r="L219" s="709"/>
      <c r="M219" s="774">
        <f>'Multi-Year'!P92</f>
        <v>0</v>
      </c>
    </row>
    <row r="220" spans="1:25" ht="16">
      <c r="A220" s="747"/>
      <c r="B220" s="719" t="s">
        <v>86</v>
      </c>
      <c r="C220" s="686">
        <f>'Multi-Year'!F93</f>
        <v>0</v>
      </c>
      <c r="D220" s="686"/>
      <c r="E220" s="686">
        <f>'Multi-Year'!H93</f>
        <v>1240799.3899999999</v>
      </c>
      <c r="F220" s="686"/>
      <c r="G220" s="686">
        <f>'Multi-Year'!J93</f>
        <v>1257469.5170923402</v>
      </c>
      <c r="H220" s="686"/>
      <c r="I220" s="686">
        <f>'Multi-Year'!L93</f>
        <v>1282618.9074341869</v>
      </c>
      <c r="J220" s="686"/>
      <c r="K220" s="686">
        <f>'Multi-Year'!N93</f>
        <v>1373968.7276983156</v>
      </c>
      <c r="L220" s="686"/>
      <c r="M220" s="697">
        <f>'Multi-Year'!P93</f>
        <v>1472182.3482632441</v>
      </c>
    </row>
    <row r="221" spans="1:25" ht="16">
      <c r="A221" s="747"/>
      <c r="B221" s="719" t="s">
        <v>486</v>
      </c>
      <c r="C221" s="686">
        <f>'Multi-Year'!F94</f>
        <v>0</v>
      </c>
      <c r="D221" s="709"/>
      <c r="E221" s="686">
        <f>'Multi-Year'!H94</f>
        <v>0</v>
      </c>
      <c r="F221" s="709"/>
      <c r="G221" s="686">
        <f>'Multi-Year'!J94</f>
        <v>0</v>
      </c>
      <c r="H221" s="709"/>
      <c r="I221" s="686">
        <f>'Multi-Year'!L94</f>
        <v>0</v>
      </c>
      <c r="J221" s="709"/>
      <c r="K221" s="686">
        <f>'Multi-Year'!N94</f>
        <v>0</v>
      </c>
      <c r="L221" s="709"/>
      <c r="M221" s="697">
        <f>'Multi-Year'!P94</f>
        <v>0</v>
      </c>
    </row>
    <row r="222" spans="1:25" ht="16">
      <c r="A222" s="747"/>
      <c r="B222" s="719" t="s">
        <v>88</v>
      </c>
      <c r="C222" s="686">
        <f>'Multi-Year'!F95</f>
        <v>0</v>
      </c>
      <c r="D222" s="709"/>
      <c r="E222" s="686">
        <f>'Multi-Year'!H95</f>
        <v>0</v>
      </c>
      <c r="F222" s="709"/>
      <c r="G222" s="686">
        <f>'Multi-Year'!J95</f>
        <v>0</v>
      </c>
      <c r="H222" s="709"/>
      <c r="I222" s="686">
        <f>'Multi-Year'!L95</f>
        <v>0</v>
      </c>
      <c r="J222" s="709"/>
      <c r="K222" s="686">
        <f>'Multi-Year'!N95</f>
        <v>0</v>
      </c>
      <c r="L222" s="709"/>
      <c r="M222" s="697">
        <f>'Multi-Year'!P95</f>
        <v>0</v>
      </c>
    </row>
    <row r="223" spans="1:25" ht="16">
      <c r="A223" s="747"/>
      <c r="B223" s="719" t="s">
        <v>89</v>
      </c>
      <c r="C223" s="686">
        <f>'Multi-Year'!F96</f>
        <v>0</v>
      </c>
      <c r="D223" s="709"/>
      <c r="E223" s="686">
        <f>'Multi-Year'!H96</f>
        <v>173.97</v>
      </c>
      <c r="F223" s="709"/>
      <c r="G223" s="686">
        <f>'Multi-Year'!J96</f>
        <v>176.3072851676325</v>
      </c>
      <c r="H223" s="709"/>
      <c r="I223" s="686">
        <f>'Multi-Year'!L96</f>
        <v>179.83343087098515</v>
      </c>
      <c r="J223" s="709"/>
      <c r="K223" s="686">
        <f>'Multi-Year'!N96</f>
        <v>192.64140640629751</v>
      </c>
      <c r="L223" s="709"/>
      <c r="M223" s="697">
        <f>'Multi-Year'!P96</f>
        <v>206.4117416493545</v>
      </c>
    </row>
    <row r="224" spans="1:25" ht="16">
      <c r="A224" s="747"/>
      <c r="B224" s="719" t="s">
        <v>169</v>
      </c>
      <c r="C224" s="686">
        <f>'Multi-Year'!F97</f>
        <v>0</v>
      </c>
      <c r="D224" s="709"/>
      <c r="E224" s="686">
        <f>'Multi-Year'!H97</f>
        <v>3665769.97</v>
      </c>
      <c r="F224" s="709"/>
      <c r="G224" s="686">
        <f>'Multi-Year'!J97</f>
        <v>3715019.5519901924</v>
      </c>
      <c r="H224" s="709"/>
      <c r="I224" s="686">
        <f>'Multi-Year'!L97</f>
        <v>3789319.9430299969</v>
      </c>
      <c r="J224" s="709"/>
      <c r="K224" s="686">
        <f>'Multi-Year'!N97</f>
        <v>4059200.3367406526</v>
      </c>
      <c r="L224" s="709"/>
      <c r="M224" s="697">
        <f>'Multi-Year'!P97</f>
        <v>4349358.8779306915</v>
      </c>
    </row>
    <row r="225" spans="1:13" ht="16">
      <c r="A225" s="747"/>
      <c r="B225" s="756" t="s">
        <v>487</v>
      </c>
      <c r="C225" s="729">
        <f>SUM(C219:C224)</f>
        <v>0</v>
      </c>
      <c r="D225" s="729"/>
      <c r="E225" s="729">
        <f>SUM(E219:E224)</f>
        <v>4906743.33</v>
      </c>
      <c r="F225" s="729"/>
      <c r="G225" s="729">
        <f>SUM(G219:G224)</f>
        <v>4972665.3763677003</v>
      </c>
      <c r="H225" s="729"/>
      <c r="I225" s="729">
        <f>SUM(I219:I224)</f>
        <v>5072118.6838950552</v>
      </c>
      <c r="J225" s="729"/>
      <c r="K225" s="729">
        <f>SUM(K219:K224)</f>
        <v>5433361.7058453746</v>
      </c>
      <c r="L225" s="729"/>
      <c r="M225" s="763">
        <f>SUM(M219:M224)</f>
        <v>5821747.6379355844</v>
      </c>
    </row>
    <row r="227" spans="1:13" ht="16">
      <c r="A227" s="747"/>
      <c r="B227" s="735"/>
      <c r="C227" s="714" t="str">
        <f>C2</f>
        <v>2018-19</v>
      </c>
      <c r="D227" s="714"/>
      <c r="E227" s="714" t="str">
        <f>E2</f>
        <v>2019-20</v>
      </c>
      <c r="F227" s="714"/>
      <c r="G227" s="714" t="str">
        <f>G2</f>
        <v>2020-21</v>
      </c>
      <c r="H227" s="714"/>
      <c r="I227" s="714" t="str">
        <f>I2</f>
        <v>2021-22</v>
      </c>
      <c r="J227" s="714"/>
      <c r="K227" s="714" t="str">
        <f>K2</f>
        <v>2022-23</v>
      </c>
      <c r="L227" s="714"/>
      <c r="M227" s="752" t="str">
        <f>M2</f>
        <v>2023-24</v>
      </c>
    </row>
    <row r="228" spans="1:13">
      <c r="A228" s="747"/>
      <c r="B228" s="795"/>
      <c r="C228" s="794" t="s">
        <v>411</v>
      </c>
      <c r="D228" s="794"/>
      <c r="E228" s="794" t="s">
        <v>412</v>
      </c>
      <c r="F228" s="794"/>
      <c r="G228" s="794" t="s">
        <v>413</v>
      </c>
      <c r="H228" s="794"/>
      <c r="I228" s="794" t="s">
        <v>414</v>
      </c>
      <c r="J228" s="794"/>
      <c r="K228" s="794" t="s">
        <v>415</v>
      </c>
      <c r="L228" s="794"/>
      <c r="M228" s="688" t="s">
        <v>416</v>
      </c>
    </row>
    <row r="229" spans="1:13" ht="16">
      <c r="A229" s="706" t="s">
        <v>488</v>
      </c>
      <c r="B229" s="789" t="s">
        <v>322</v>
      </c>
      <c r="C229" s="769"/>
      <c r="D229" s="769"/>
      <c r="E229" s="769"/>
      <c r="F229" s="769"/>
      <c r="G229" s="769"/>
      <c r="H229" s="769"/>
      <c r="I229" s="769"/>
      <c r="J229" s="769"/>
      <c r="K229" s="769"/>
      <c r="L229" s="769"/>
      <c r="M229" s="727"/>
    </row>
    <row r="230" spans="1:13" ht="16">
      <c r="A230" s="747"/>
      <c r="B230" s="719" t="str">
        <f>'Multi-Year'!E120</f>
        <v>IT</v>
      </c>
      <c r="C230" s="709">
        <f>'Multi-Year'!F120</f>
        <v>0</v>
      </c>
      <c r="D230" s="709"/>
      <c r="E230" s="709">
        <f>'Multi-Year'!H120</f>
        <v>28512.9</v>
      </c>
      <c r="F230" s="709"/>
      <c r="G230" s="709">
        <f>'Multi-Year'!J120</f>
        <v>28895.970519377992</v>
      </c>
      <c r="H230" s="709"/>
      <c r="I230" s="709">
        <f>'Multi-Year'!L120</f>
        <v>29473.889929765552</v>
      </c>
      <c r="J230" s="709"/>
      <c r="K230" s="709">
        <f>'Multi-Year'!N120</f>
        <v>31573.059474174399</v>
      </c>
      <c r="L230" s="709"/>
      <c r="M230" s="774">
        <f>'Multi-Year'!P120</f>
        <v>33829.955443317129</v>
      </c>
    </row>
    <row r="231" spans="1:13" ht="16">
      <c r="A231" s="747"/>
      <c r="B231" s="719" t="str">
        <f>'Multi-Year'!E121</f>
        <v>Audit &amp; Taxes</v>
      </c>
      <c r="C231" s="709">
        <f>'Multi-Year'!F121</f>
        <v>0</v>
      </c>
      <c r="D231" s="709"/>
      <c r="E231" s="709">
        <f>'Multi-Year'!H121</f>
        <v>0</v>
      </c>
      <c r="F231" s="709"/>
      <c r="G231" s="709">
        <f>'Multi-Year'!J121</f>
        <v>0</v>
      </c>
      <c r="H231" s="709"/>
      <c r="I231" s="709">
        <f>'Multi-Year'!L121</f>
        <v>0</v>
      </c>
      <c r="J231" s="709"/>
      <c r="K231" s="709">
        <f>'Multi-Year'!N121</f>
        <v>0</v>
      </c>
      <c r="L231" s="709"/>
      <c r="M231" s="774">
        <f>'Multi-Year'!P121</f>
        <v>0</v>
      </c>
    </row>
    <row r="232" spans="1:13" ht="16">
      <c r="A232" s="747"/>
      <c r="B232" s="719" t="str">
        <f>'Multi-Year'!E122</f>
        <v>Legal</v>
      </c>
      <c r="C232" s="709">
        <f>'Multi-Year'!F122</f>
        <v>0</v>
      </c>
      <c r="D232" s="709"/>
      <c r="E232" s="709">
        <f>'Multi-Year'!H122</f>
        <v>63025.520000000004</v>
      </c>
      <c r="F232" s="709"/>
      <c r="G232" s="709">
        <f>'Multi-Year'!J122</f>
        <v>64286.030400000003</v>
      </c>
      <c r="H232" s="709"/>
      <c r="I232" s="709">
        <f>'Multi-Year'!L122</f>
        <v>65571.751008000007</v>
      </c>
      <c r="J232" s="709"/>
      <c r="K232" s="709">
        <f>'Multi-Year'!N122</f>
        <v>66883.186028160009</v>
      </c>
      <c r="L232" s="709"/>
      <c r="M232" s="774">
        <f>'Multi-Year'!P122</f>
        <v>68220.849748723209</v>
      </c>
    </row>
    <row r="233" spans="1:13" ht="16">
      <c r="A233" s="747"/>
      <c r="B233" s="719" t="str">
        <f>'Multi-Year'!E123</f>
        <v>Professional Development</v>
      </c>
      <c r="C233" s="709">
        <f>'Multi-Year'!F123</f>
        <v>0</v>
      </c>
      <c r="D233" s="709"/>
      <c r="E233" s="709">
        <f>'Multi-Year'!H123</f>
        <v>33151.89</v>
      </c>
      <c r="F233" s="709"/>
      <c r="G233" s="709">
        <f>'Multi-Year'!J123</f>
        <v>33597.285302500342</v>
      </c>
      <c r="H233" s="709"/>
      <c r="I233" s="709">
        <f>'Multi-Year'!L123</f>
        <v>34269.231008550349</v>
      </c>
      <c r="J233" s="709"/>
      <c r="K233" s="709">
        <f>'Multi-Year'!N123</f>
        <v>36709.931106667071</v>
      </c>
      <c r="L233" s="709"/>
      <c r="M233" s="774">
        <f>'Multi-Year'!P123</f>
        <v>39334.019393388626</v>
      </c>
    </row>
    <row r="234" spans="1:13" ht="16">
      <c r="A234" s="747"/>
      <c r="B234" s="719" t="str">
        <f>'Multi-Year'!E124</f>
        <v>General Consulting</v>
      </c>
      <c r="C234" s="709">
        <f>'Multi-Year'!F124</f>
        <v>0</v>
      </c>
      <c r="D234" s="709"/>
      <c r="E234" s="709">
        <f>'Multi-Year'!H124</f>
        <v>19550</v>
      </c>
      <c r="F234" s="709"/>
      <c r="G234" s="709">
        <f>'Multi-Year'!J124</f>
        <v>19812.654049705212</v>
      </c>
      <c r="H234" s="709"/>
      <c r="I234" s="709">
        <f>'Multi-Year'!L124</f>
        <v>20208.907130699317</v>
      </c>
      <c r="J234" s="709"/>
      <c r="K234" s="709">
        <f>'Multi-Year'!N124</f>
        <v>21648.212308117014</v>
      </c>
      <c r="L234" s="709"/>
      <c r="M234" s="774">
        <f>'Multi-Year'!P124</f>
        <v>23195.66332841801</v>
      </c>
    </row>
    <row r="235" spans="1:13" ht="16">
      <c r="A235" s="747"/>
      <c r="B235" s="719" t="str">
        <f>'Multi-Year'!E125</f>
        <v>Special Activities/Field Trips</v>
      </c>
      <c r="C235" s="709">
        <f>'Multi-Year'!F125</f>
        <v>0</v>
      </c>
      <c r="D235" s="709"/>
      <c r="E235" s="709">
        <f>'Multi-Year'!H125</f>
        <v>228495.50000000003</v>
      </c>
      <c r="F235" s="709"/>
      <c r="G235" s="709">
        <f>'Multi-Year'!J125</f>
        <v>231565.3347015047</v>
      </c>
      <c r="H235" s="709"/>
      <c r="I235" s="709">
        <f>'Multi-Year'!L125</f>
        <v>236196.6413955348</v>
      </c>
      <c r="J235" s="709"/>
      <c r="K235" s="709">
        <f>'Multi-Year'!N125</f>
        <v>253018.87956262662</v>
      </c>
      <c r="L235" s="709"/>
      <c r="M235" s="774">
        <f>'Multi-Year'!P125</f>
        <v>271105.09923573077</v>
      </c>
    </row>
    <row r="236" spans="1:13" ht="16">
      <c r="A236" s="747"/>
      <c r="B236" s="719" t="str">
        <f>'Multi-Year'!E126</f>
        <v>Bank Charges</v>
      </c>
      <c r="C236" s="709">
        <f>'Multi-Year'!F126</f>
        <v>0</v>
      </c>
      <c r="D236" s="709"/>
      <c r="E236" s="709">
        <f>'Multi-Year'!H126</f>
        <v>1501.7</v>
      </c>
      <c r="F236" s="709"/>
      <c r="G236" s="709">
        <f>'Multi-Year'!J126</f>
        <v>1521.8753241146965</v>
      </c>
      <c r="H236" s="709"/>
      <c r="I236" s="709">
        <f>'Multi-Year'!L126</f>
        <v>1552.3128305969904</v>
      </c>
      <c r="J236" s="709"/>
      <c r="K236" s="709">
        <f>'Multi-Year'!N126</f>
        <v>1662.8706098772027</v>
      </c>
      <c r="L236" s="709"/>
      <c r="M236" s="774">
        <f>'Multi-Year'!P126</f>
        <v>1781.7354281475868</v>
      </c>
    </row>
    <row r="237" spans="1:13" ht="16">
      <c r="A237" s="747"/>
      <c r="B237" s="719" t="str">
        <f>'Multi-Year'!E127</f>
        <v>Printing</v>
      </c>
      <c r="C237" s="709">
        <f>'Multi-Year'!F127</f>
        <v>0</v>
      </c>
      <c r="D237" s="709"/>
      <c r="E237" s="709">
        <f>'Multi-Year'!H127</f>
        <v>799.29000000000008</v>
      </c>
      <c r="F237" s="709"/>
      <c r="G237" s="709">
        <f>'Multi-Year'!J127</f>
        <v>810.02845296106807</v>
      </c>
      <c r="H237" s="709"/>
      <c r="I237" s="709">
        <f>'Multi-Year'!L127</f>
        <v>826.22902202028945</v>
      </c>
      <c r="J237" s="709"/>
      <c r="K237" s="709">
        <f>'Multi-Year'!N127</f>
        <v>885.07414914347044</v>
      </c>
      <c r="L237" s="709"/>
      <c r="M237" s="774">
        <f>'Multi-Year'!P127</f>
        <v>948.34075405479439</v>
      </c>
    </row>
    <row r="238" spans="1:13" ht="16">
      <c r="A238" s="747"/>
      <c r="B238" s="719" t="str">
        <f>'Multi-Year'!E128</f>
        <v>Other taxes and fees</v>
      </c>
      <c r="C238" s="709">
        <f>'Multi-Year'!F128</f>
        <v>0</v>
      </c>
      <c r="D238" s="709"/>
      <c r="E238" s="709">
        <f>'Multi-Year'!H128</f>
        <v>34706.130000000005</v>
      </c>
      <c r="F238" s="709"/>
      <c r="G238" s="709">
        <f>'Multi-Year'!J128</f>
        <v>35172.406500976758</v>
      </c>
      <c r="H238" s="709"/>
      <c r="I238" s="709">
        <f>'Multi-Year'!L128</f>
        <v>35875.854630996291</v>
      </c>
      <c r="J238" s="709"/>
      <c r="K238" s="709">
        <f>'Multi-Year'!N128</f>
        <v>38430.98059504394</v>
      </c>
      <c r="L238" s="709"/>
      <c r="M238" s="774">
        <f>'Multi-Year'!P128</f>
        <v>41178.092425181996</v>
      </c>
    </row>
    <row r="239" spans="1:13" ht="16">
      <c r="A239" s="747"/>
      <c r="B239" s="719" t="str">
        <f>'Multi-Year'!E129</f>
        <v>Payroll Service Fee</v>
      </c>
      <c r="C239" s="709">
        <f>'Multi-Year'!F129</f>
        <v>0</v>
      </c>
      <c r="D239" s="709"/>
      <c r="E239" s="709">
        <f>'Multi-Year'!H129</f>
        <v>4551</v>
      </c>
      <c r="F239" s="709"/>
      <c r="G239" s="709">
        <f>'Multi-Year'!J129</f>
        <v>4612.1426383738317</v>
      </c>
      <c r="H239" s="709"/>
      <c r="I239" s="709">
        <f>'Multi-Year'!L129</f>
        <v>4704.3854911413082</v>
      </c>
      <c r="J239" s="709"/>
      <c r="K239" s="709">
        <f>'Multi-Year'!N129</f>
        <v>5039.4380672245779</v>
      </c>
      <c r="L239" s="709"/>
      <c r="M239" s="774">
        <f>'Multi-Year'!P129</f>
        <v>5399.6656679094795</v>
      </c>
    </row>
    <row r="240" spans="1:13" ht="16">
      <c r="A240" s="747"/>
      <c r="B240" s="719" t="str">
        <f>'Multi-Year'!E130</f>
        <v>Management Fee</v>
      </c>
      <c r="C240" s="709">
        <f>'Multi-Year'!F130</f>
        <v>0</v>
      </c>
      <c r="D240" s="709"/>
      <c r="E240" s="709">
        <f>'Multi-Year'!H130</f>
        <v>1054931.6600000001</v>
      </c>
      <c r="F240" s="709"/>
      <c r="G240" s="709">
        <f>'Multi-Year'!J130</f>
        <v>563591.41072646866</v>
      </c>
      <c r="H240" s="709"/>
      <c r="I240" s="709">
        <f>'Multi-Year'!L130</f>
        <v>577511.64928493265</v>
      </c>
      <c r="J240" s="709"/>
      <c r="K240" s="709">
        <f>'Multi-Year'!N130</f>
        <v>622106.90861061413</v>
      </c>
      <c r="L240" s="709"/>
      <c r="M240" s="774">
        <f>'Multi-Year'!P130</f>
        <v>653508.25762177585</v>
      </c>
    </row>
    <row r="241" spans="1:13" ht="16">
      <c r="A241" s="747"/>
      <c r="B241" s="719" t="str">
        <f>'Multi-Year'!E131</f>
        <v>District Oversight Fee</v>
      </c>
      <c r="C241" s="709">
        <f>'Multi-Year'!F131</f>
        <v>0</v>
      </c>
      <c r="D241" s="709"/>
      <c r="E241" s="709">
        <f>'Multi-Year'!H131</f>
        <v>867464.43</v>
      </c>
      <c r="F241" s="709"/>
      <c r="G241" s="709">
        <f>'Multi-Year'!J131</f>
        <v>881566.44144575996</v>
      </c>
      <c r="H241" s="709"/>
      <c r="I241" s="709">
        <f>'Multi-Year'!L131</f>
        <v>905440.39043798391</v>
      </c>
      <c r="J241" s="709"/>
      <c r="K241" s="709">
        <f>'Multi-Year'!N131</f>
        <v>977740.62970925984</v>
      </c>
      <c r="L241" s="709"/>
      <c r="M241" s="774">
        <f>'Multi-Year'!P131</f>
        <v>1027093.4204354761</v>
      </c>
    </row>
    <row r="242" spans="1:13" ht="16">
      <c r="A242" s="747"/>
      <c r="B242" s="719" t="str">
        <f>'Multi-Year'!E132</f>
        <v>County Fees</v>
      </c>
      <c r="C242" s="709">
        <f>'Multi-Year'!F132</f>
        <v>0</v>
      </c>
      <c r="D242" s="709"/>
      <c r="E242" s="709">
        <f>'Multi-Year'!H132</f>
        <v>0</v>
      </c>
      <c r="F242" s="709"/>
      <c r="G242" s="709">
        <f>'Multi-Year'!J132</f>
        <v>0</v>
      </c>
      <c r="H242" s="709"/>
      <c r="I242" s="709">
        <f>'Multi-Year'!L132</f>
        <v>0</v>
      </c>
      <c r="J242" s="709"/>
      <c r="K242" s="709">
        <f>'Multi-Year'!N132</f>
        <v>0</v>
      </c>
      <c r="L242" s="709"/>
      <c r="M242" s="774">
        <f>'Multi-Year'!P132</f>
        <v>0</v>
      </c>
    </row>
    <row r="243" spans="1:13" ht="16">
      <c r="A243" s="747"/>
      <c r="B243" s="719" t="str">
        <f>'Multi-Year'!E133</f>
        <v>SPED Encroachment</v>
      </c>
      <c r="C243" s="709">
        <f>'Multi-Year'!F133</f>
        <v>0</v>
      </c>
      <c r="D243" s="709"/>
      <c r="E243" s="709">
        <f>'Multi-Year'!H133</f>
        <v>88491.56</v>
      </c>
      <c r="F243" s="709"/>
      <c r="G243" s="709">
        <f>'Multi-Year'!J133</f>
        <v>0</v>
      </c>
      <c r="H243" s="709"/>
      <c r="I243" s="709">
        <f>'Multi-Year'!L133</f>
        <v>0</v>
      </c>
      <c r="J243" s="709"/>
      <c r="K243" s="709">
        <f>'Multi-Year'!N133</f>
        <v>0</v>
      </c>
      <c r="L243" s="709"/>
      <c r="M243" s="774">
        <f>'Multi-Year'!P133</f>
        <v>0</v>
      </c>
    </row>
    <row r="244" spans="1:13" ht="16">
      <c r="A244" s="747"/>
      <c r="B244" s="719" t="str">
        <f>'Multi-Year'!E134</f>
        <v>Public Relations/Recruitment</v>
      </c>
      <c r="C244" s="709">
        <f>'Multi-Year'!F134</f>
        <v>0</v>
      </c>
      <c r="D244" s="709"/>
      <c r="E244" s="709">
        <f>'Multi-Year'!H134</f>
        <v>413.84</v>
      </c>
      <c r="F244" s="709"/>
      <c r="G244" s="709">
        <f>'Multi-Year'!J134</f>
        <v>422.11679999999996</v>
      </c>
      <c r="H244" s="709"/>
      <c r="I244" s="709">
        <f>'Multi-Year'!L134</f>
        <v>430.55913599999997</v>
      </c>
      <c r="J244" s="709"/>
      <c r="K244" s="709">
        <f>'Multi-Year'!N134</f>
        <v>439.17031871999995</v>
      </c>
      <c r="L244" s="709"/>
      <c r="M244" s="774">
        <f>'Multi-Year'!P134</f>
        <v>447.95372509439994</v>
      </c>
    </row>
    <row r="245" spans="1:13" ht="16">
      <c r="A245" s="747"/>
      <c r="B245" s="719" t="str">
        <f>'Multi-Year'!E135</f>
        <v>Scholarships</v>
      </c>
      <c r="C245" s="709">
        <f>'Multi-Year'!F135</f>
        <v>0</v>
      </c>
      <c r="D245" s="709"/>
      <c r="E245" s="709">
        <f>'Multi-Year'!H135</f>
        <v>0</v>
      </c>
      <c r="F245" s="709"/>
      <c r="G245" s="709">
        <f>'Multi-Year'!J135</f>
        <v>0</v>
      </c>
      <c r="H245" s="709"/>
      <c r="I245" s="709">
        <f>'Multi-Year'!L135</f>
        <v>0</v>
      </c>
      <c r="J245" s="709"/>
      <c r="K245" s="709">
        <f>'Multi-Year'!N135</f>
        <v>0</v>
      </c>
      <c r="L245" s="709"/>
      <c r="M245" s="774">
        <f>'Multi-Year'!P135</f>
        <v>0</v>
      </c>
    </row>
    <row r="246" spans="1:13" ht="16">
      <c r="A246" s="747"/>
      <c r="B246" s="756" t="s">
        <v>489</v>
      </c>
      <c r="C246" s="729">
        <f>SUM(C230:C245)</f>
        <v>0</v>
      </c>
      <c r="D246" s="729"/>
      <c r="E246" s="729">
        <f>SUM(E230:E245)</f>
        <v>2425595.4200000004</v>
      </c>
      <c r="F246" s="729"/>
      <c r="G246" s="729">
        <f>SUM(G230:G245)</f>
        <v>1865853.6968617432</v>
      </c>
      <c r="H246" s="729"/>
      <c r="I246" s="729">
        <f>SUM(I230:I245)</f>
        <v>1912061.8013062214</v>
      </c>
      <c r="J246" s="729"/>
      <c r="K246" s="729">
        <f>SUM(K230:K245)</f>
        <v>2056138.3405396282</v>
      </c>
      <c r="L246" s="729"/>
      <c r="M246" s="763">
        <f>SUM(M230:M245)</f>
        <v>2166043.0532072182</v>
      </c>
    </row>
    <row r="247" spans="1:13" ht="16">
      <c r="A247" s="747"/>
      <c r="B247" s="696"/>
      <c r="C247" s="745"/>
      <c r="D247" s="745"/>
      <c r="E247" s="745"/>
      <c r="F247" s="745"/>
      <c r="G247" s="745"/>
      <c r="H247" s="745"/>
      <c r="I247" s="745"/>
      <c r="J247" s="745"/>
      <c r="K247" s="745"/>
      <c r="L247" s="745"/>
      <c r="M247" s="745"/>
    </row>
    <row r="248" spans="1:13" ht="16">
      <c r="A248" s="747"/>
      <c r="B248" s="735"/>
      <c r="C248" s="714" t="str">
        <f>C2</f>
        <v>2018-19</v>
      </c>
      <c r="D248" s="714"/>
      <c r="E248" s="714" t="str">
        <f>E2</f>
        <v>2019-20</v>
      </c>
      <c r="F248" s="714"/>
      <c r="G248" s="714" t="str">
        <f>G2</f>
        <v>2020-21</v>
      </c>
      <c r="H248" s="714"/>
      <c r="I248" s="714" t="str">
        <f>I2</f>
        <v>2021-22</v>
      </c>
      <c r="J248" s="714"/>
      <c r="K248" s="714" t="str">
        <f>K2</f>
        <v>2022-23</v>
      </c>
      <c r="L248" s="714"/>
      <c r="M248" s="752" t="str">
        <f>M2</f>
        <v>2023-24</v>
      </c>
    </row>
    <row r="249" spans="1:13">
      <c r="A249" s="747"/>
      <c r="B249" s="795"/>
      <c r="C249" s="794" t="s">
        <v>411</v>
      </c>
      <c r="D249" s="794"/>
      <c r="E249" s="794" t="s">
        <v>412</v>
      </c>
      <c r="F249" s="794"/>
      <c r="G249" s="794" t="s">
        <v>413</v>
      </c>
      <c r="H249" s="794"/>
      <c r="I249" s="794" t="s">
        <v>414</v>
      </c>
      <c r="J249" s="794"/>
      <c r="K249" s="794" t="s">
        <v>415</v>
      </c>
      <c r="L249" s="794"/>
      <c r="M249" s="688" t="s">
        <v>416</v>
      </c>
    </row>
    <row r="250" spans="1:13" ht="16">
      <c r="A250" s="706" t="s">
        <v>490</v>
      </c>
      <c r="B250" s="789" t="s">
        <v>287</v>
      </c>
      <c r="C250" s="769"/>
      <c r="D250" s="769"/>
      <c r="E250" s="769"/>
      <c r="F250" s="769"/>
      <c r="G250" s="769"/>
      <c r="H250" s="769"/>
      <c r="I250" s="769"/>
      <c r="J250" s="769"/>
      <c r="K250" s="769"/>
      <c r="L250" s="769"/>
      <c r="M250" s="727"/>
    </row>
    <row r="251" spans="1:13" ht="16">
      <c r="A251" s="747"/>
      <c r="B251" s="719" t="s">
        <v>29</v>
      </c>
      <c r="C251" s="709">
        <f>'Multi-Year'!F112</f>
        <v>0</v>
      </c>
      <c r="D251" s="709"/>
      <c r="E251" s="709">
        <f>'Multi-Year'!H112</f>
        <v>31663.5</v>
      </c>
      <c r="F251" s="709"/>
      <c r="G251" s="709">
        <f>'Multi-Year'!J112</f>
        <v>32088.898798099279</v>
      </c>
      <c r="H251" s="709"/>
      <c r="I251" s="709">
        <f>'Multi-Year'!L112</f>
        <v>32730.676774061263</v>
      </c>
      <c r="J251" s="709"/>
      <c r="K251" s="709">
        <f>'Multi-Year'!N112</f>
        <v>35061.798998366387</v>
      </c>
      <c r="L251" s="709"/>
      <c r="M251" s="774">
        <f>'Multi-Year'!P112</f>
        <v>37568.075999967441</v>
      </c>
    </row>
    <row r="252" spans="1:13" ht="16">
      <c r="A252" s="747"/>
      <c r="B252" s="719" t="s">
        <v>30</v>
      </c>
      <c r="C252" s="686">
        <f>'Multi-Year'!F113</f>
        <v>0</v>
      </c>
      <c r="D252" s="686"/>
      <c r="E252" s="686">
        <f>'Multi-Year'!H113</f>
        <v>0</v>
      </c>
      <c r="F252" s="686"/>
      <c r="G252" s="686">
        <f>'Multi-Year'!J113</f>
        <v>0</v>
      </c>
      <c r="H252" s="686"/>
      <c r="I252" s="686">
        <f>'Multi-Year'!L113</f>
        <v>0</v>
      </c>
      <c r="J252" s="686"/>
      <c r="K252" s="686">
        <f>'Multi-Year'!N113</f>
        <v>0</v>
      </c>
      <c r="L252" s="686"/>
      <c r="M252" s="697">
        <f>'Multi-Year'!P113</f>
        <v>0</v>
      </c>
    </row>
    <row r="253" spans="1:13" ht="16">
      <c r="A253" s="747"/>
      <c r="B253" s="719" t="s">
        <v>31</v>
      </c>
      <c r="C253" s="686">
        <f>'Multi-Year'!F114</f>
        <v>0</v>
      </c>
      <c r="D253" s="709"/>
      <c r="E253" s="686">
        <f>'Multi-Year'!H114</f>
        <v>0</v>
      </c>
      <c r="F253" s="709"/>
      <c r="G253" s="686">
        <f>'Multi-Year'!J114</f>
        <v>0</v>
      </c>
      <c r="H253" s="709"/>
      <c r="I253" s="686">
        <f>'Multi-Year'!L114</f>
        <v>0</v>
      </c>
      <c r="J253" s="709"/>
      <c r="K253" s="686">
        <f>'Multi-Year'!N114</f>
        <v>0</v>
      </c>
      <c r="L253" s="709"/>
      <c r="M253" s="697">
        <f>'Multi-Year'!P114</f>
        <v>0</v>
      </c>
    </row>
    <row r="254" spans="1:13" ht="16">
      <c r="A254" s="747"/>
      <c r="B254" s="719" t="s">
        <v>32</v>
      </c>
      <c r="C254" s="686">
        <f>'Multi-Year'!F115</f>
        <v>0</v>
      </c>
      <c r="D254" s="709"/>
      <c r="E254" s="686">
        <f>'Multi-Year'!H115</f>
        <v>4215</v>
      </c>
      <c r="F254" s="709"/>
      <c r="G254" s="686">
        <f>'Multi-Year'!J115</f>
        <v>4271.6284818162394</v>
      </c>
      <c r="H254" s="709"/>
      <c r="I254" s="686">
        <f>'Multi-Year'!L115</f>
        <v>4357.0610514525642</v>
      </c>
      <c r="J254" s="709"/>
      <c r="K254" s="686">
        <f>'Multi-Year'!N115</f>
        <v>4667.3767201387836</v>
      </c>
      <c r="L254" s="709"/>
      <c r="M254" s="697">
        <f>'Multi-Year'!P115</f>
        <v>5001.0087431857764</v>
      </c>
    </row>
    <row r="255" spans="1:13" ht="16">
      <c r="A255" s="747"/>
      <c r="B255" s="719" t="s">
        <v>99</v>
      </c>
      <c r="C255" s="686">
        <f>'Multi-Year'!F116</f>
        <v>0</v>
      </c>
      <c r="D255" s="709"/>
      <c r="E255" s="686">
        <f>'Multi-Year'!H116</f>
        <v>0</v>
      </c>
      <c r="F255" s="709"/>
      <c r="G255" s="686">
        <f>'Multi-Year'!J116</f>
        <v>0</v>
      </c>
      <c r="H255" s="709"/>
      <c r="I255" s="686">
        <f>'Multi-Year'!L116</f>
        <v>0</v>
      </c>
      <c r="J255" s="709"/>
      <c r="K255" s="686">
        <f>'Multi-Year'!N116</f>
        <v>0</v>
      </c>
      <c r="L255" s="709"/>
      <c r="M255" s="697">
        <f>'Multi-Year'!P116</f>
        <v>0</v>
      </c>
    </row>
    <row r="256" spans="1:13" ht="16">
      <c r="A256" s="747"/>
      <c r="B256" s="719" t="s">
        <v>33</v>
      </c>
      <c r="C256" s="686">
        <f>'Multi-Year'!F117</f>
        <v>0</v>
      </c>
      <c r="D256" s="709"/>
      <c r="E256" s="686">
        <f>'Multi-Year'!H117</f>
        <v>20000</v>
      </c>
      <c r="F256" s="709"/>
      <c r="G256" s="686">
        <f>'Multi-Year'!J117</f>
        <v>20268.699795094846</v>
      </c>
      <c r="H256" s="709"/>
      <c r="I256" s="686">
        <f>'Multi-Year'!L117</f>
        <v>20674.073790996743</v>
      </c>
      <c r="J256" s="709"/>
      <c r="K256" s="686">
        <f>'Multi-Year'!N117</f>
        <v>22146.508755106915</v>
      </c>
      <c r="L256" s="709"/>
      <c r="M256" s="697">
        <f>'Multi-Year'!P117</f>
        <v>23729.578852601542</v>
      </c>
    </row>
    <row r="257" spans="1:13" ht="16">
      <c r="A257" s="747"/>
      <c r="B257" s="756" t="s">
        <v>491</v>
      </c>
      <c r="C257" s="729">
        <f>SUM(C251:C256)</f>
        <v>0</v>
      </c>
      <c r="D257" s="729"/>
      <c r="E257" s="729">
        <f>SUM(E251:E256)</f>
        <v>55878.5</v>
      </c>
      <c r="F257" s="729"/>
      <c r="G257" s="729">
        <f>SUM(G251:G256)</f>
        <v>56629.227075010363</v>
      </c>
      <c r="H257" s="729"/>
      <c r="I257" s="729">
        <f>SUM(I251:I256)</f>
        <v>57761.811616510568</v>
      </c>
      <c r="J257" s="729"/>
      <c r="K257" s="729">
        <f>SUM(K251:K256)</f>
        <v>61875.684473612084</v>
      </c>
      <c r="L257" s="729"/>
      <c r="M257" s="763">
        <f>SUM(M251:M256)</f>
        <v>66298.663595754755</v>
      </c>
    </row>
    <row r="258" spans="1:13" ht="16">
      <c r="A258" s="747"/>
      <c r="B258" s="696"/>
      <c r="C258" s="745"/>
      <c r="D258" s="745"/>
      <c r="E258" s="745"/>
      <c r="F258" s="745"/>
      <c r="G258" s="745"/>
      <c r="H258" s="745"/>
      <c r="I258" s="745"/>
      <c r="J258" s="745"/>
      <c r="K258" s="745"/>
      <c r="L258" s="745"/>
      <c r="M258" s="745"/>
    </row>
    <row r="259" spans="1:13" ht="16">
      <c r="A259" s="747"/>
      <c r="B259" s="735"/>
      <c r="C259" s="714" t="str">
        <f>C2</f>
        <v>2018-19</v>
      </c>
      <c r="D259" s="714"/>
      <c r="E259" s="714" t="str">
        <f>E2</f>
        <v>2019-20</v>
      </c>
      <c r="F259" s="714"/>
      <c r="G259" s="714" t="str">
        <f>G2</f>
        <v>2020-21</v>
      </c>
      <c r="H259" s="714"/>
      <c r="I259" s="714" t="str">
        <f>I2</f>
        <v>2021-22</v>
      </c>
      <c r="J259" s="714"/>
      <c r="K259" s="714" t="str">
        <f>K2</f>
        <v>2022-23</v>
      </c>
      <c r="L259" s="714"/>
      <c r="M259" s="752" t="str">
        <f>M2</f>
        <v>2023-24</v>
      </c>
    </row>
    <row r="260" spans="1:13">
      <c r="A260" s="747"/>
      <c r="B260" s="795"/>
      <c r="C260" s="794" t="s">
        <v>411</v>
      </c>
      <c r="D260" s="794"/>
      <c r="E260" s="794" t="s">
        <v>412</v>
      </c>
      <c r="F260" s="794"/>
      <c r="G260" s="794" t="s">
        <v>413</v>
      </c>
      <c r="H260" s="794"/>
      <c r="I260" s="794" t="s">
        <v>414</v>
      </c>
      <c r="J260" s="794"/>
      <c r="K260" s="794" t="s">
        <v>415</v>
      </c>
      <c r="L260" s="794"/>
      <c r="M260" s="688" t="s">
        <v>416</v>
      </c>
    </row>
    <row r="261" spans="1:13" ht="16">
      <c r="A261" s="706" t="s">
        <v>492</v>
      </c>
      <c r="B261" s="789" t="s">
        <v>286</v>
      </c>
      <c r="C261" s="769"/>
      <c r="D261" s="769"/>
      <c r="E261" s="769"/>
      <c r="F261" s="769"/>
      <c r="G261" s="769"/>
      <c r="H261" s="769"/>
      <c r="I261" s="769"/>
      <c r="J261" s="769"/>
      <c r="K261" s="769"/>
      <c r="L261" s="769"/>
      <c r="M261" s="727"/>
    </row>
    <row r="262" spans="1:13" ht="16">
      <c r="A262" s="747"/>
      <c r="B262" s="719" t="str">
        <f>'Multi-Year'!E101</f>
        <v>Auto and Travel</v>
      </c>
      <c r="C262" s="709">
        <f>'Multi-Year'!F101</f>
        <v>0</v>
      </c>
      <c r="D262" s="709"/>
      <c r="E262" s="709">
        <f>'Multi-Year'!H101</f>
        <v>19471.900000000001</v>
      </c>
      <c r="F262" s="709"/>
      <c r="G262" s="709">
        <f>'Multi-Year'!J101</f>
        <v>19733.504777005368</v>
      </c>
      <c r="H262" s="709"/>
      <c r="I262" s="709">
        <f>'Multi-Year'!L101</f>
        <v>20128.174872545474</v>
      </c>
      <c r="J262" s="709"/>
      <c r="K262" s="709">
        <f>'Multi-Year'!N101</f>
        <v>21561.73019142832</v>
      </c>
      <c r="L262" s="709"/>
      <c r="M262" s="774">
        <f>'Multi-Year'!P101</f>
        <v>23102.999322998599</v>
      </c>
    </row>
    <row r="263" spans="1:13" ht="16">
      <c r="A263" s="747"/>
      <c r="B263" s="719" t="str">
        <f>'Multi-Year'!E102</f>
        <v>Dues &amp; Memberships</v>
      </c>
      <c r="C263" s="709">
        <f>'Multi-Year'!F102</f>
        <v>0</v>
      </c>
      <c r="D263" s="709"/>
      <c r="E263" s="709">
        <f>'Multi-Year'!H102</f>
        <v>0</v>
      </c>
      <c r="F263" s="709"/>
      <c r="G263" s="709">
        <f>'Multi-Year'!J102</f>
        <v>0</v>
      </c>
      <c r="H263" s="709"/>
      <c r="I263" s="709">
        <f>'Multi-Year'!L102</f>
        <v>0</v>
      </c>
      <c r="J263" s="709"/>
      <c r="K263" s="709">
        <f>'Multi-Year'!N102</f>
        <v>0</v>
      </c>
      <c r="L263" s="709"/>
      <c r="M263" s="774">
        <f>'Multi-Year'!P102</f>
        <v>0</v>
      </c>
    </row>
    <row r="264" spans="1:13" ht="16">
      <c r="A264" s="747"/>
      <c r="B264" s="719" t="str">
        <f>'Multi-Year'!E103</f>
        <v>Insurance</v>
      </c>
      <c r="C264" s="709">
        <f>'Multi-Year'!F103</f>
        <v>0</v>
      </c>
      <c r="D264" s="709"/>
      <c r="E264" s="709">
        <f>'Multi-Year'!H103</f>
        <v>133742.03</v>
      </c>
      <c r="F264" s="709"/>
      <c r="G264" s="709">
        <f>'Multi-Year'!J103</f>
        <v>135538.85280282842</v>
      </c>
      <c r="H264" s="709"/>
      <c r="I264" s="709">
        <f>'Multi-Year'!L103</f>
        <v>138249.62985888499</v>
      </c>
      <c r="J264" s="709"/>
      <c r="K264" s="709">
        <f>'Multi-Year'!N103</f>
        <v>148095.95191603858</v>
      </c>
      <c r="L264" s="709"/>
      <c r="M264" s="774">
        <f>'Multi-Year'!P103</f>
        <v>158682.10233960004</v>
      </c>
    </row>
    <row r="265" spans="1:13" ht="16">
      <c r="A265" s="747"/>
      <c r="B265" s="719" t="str">
        <f>'Multi-Year'!E104</f>
        <v>Utilities</v>
      </c>
      <c r="C265" s="709">
        <f>'Multi-Year'!F104</f>
        <v>0</v>
      </c>
      <c r="D265" s="709"/>
      <c r="E265" s="709">
        <f>'Multi-Year'!H104</f>
        <v>154.99</v>
      </c>
      <c r="F265" s="709"/>
      <c r="G265" s="709">
        <f>'Multi-Year'!J104</f>
        <v>157.07228906208749</v>
      </c>
      <c r="H265" s="709"/>
      <c r="I265" s="709">
        <f>'Multi-Year'!L104</f>
        <v>160.21373484332923</v>
      </c>
      <c r="J265" s="709"/>
      <c r="K265" s="709">
        <f>'Multi-Year'!N104</f>
        <v>171.62436959770102</v>
      </c>
      <c r="L265" s="709"/>
      <c r="M265" s="774">
        <f>'Multi-Year'!P104</f>
        <v>183.8923713182356</v>
      </c>
    </row>
    <row r="266" spans="1:13" ht="16">
      <c r="A266" s="747"/>
      <c r="B266" s="719" t="str">
        <f>'Multi-Year'!E105</f>
        <v>Janitorial Services</v>
      </c>
      <c r="C266" s="709">
        <f>'Multi-Year'!F105</f>
        <v>0</v>
      </c>
      <c r="D266" s="709"/>
      <c r="E266" s="709">
        <f>'Multi-Year'!H105</f>
        <v>1995</v>
      </c>
      <c r="F266" s="709"/>
      <c r="G266" s="709">
        <f>'Multi-Year'!J105</f>
        <v>2021.8028045607107</v>
      </c>
      <c r="H266" s="709"/>
      <c r="I266" s="709">
        <f>'Multi-Year'!L105</f>
        <v>2062.2388606519248</v>
      </c>
      <c r="J266" s="709"/>
      <c r="K266" s="709">
        <f>'Multi-Year'!N105</f>
        <v>2209.1142483219146</v>
      </c>
      <c r="L266" s="709"/>
      <c r="M266" s="774">
        <f>'Multi-Year'!P105</f>
        <v>2367.0254905470033</v>
      </c>
    </row>
    <row r="267" spans="1:13" ht="16">
      <c r="A267" s="747"/>
      <c r="B267" s="719" t="str">
        <f>'Multi-Year'!E106</f>
        <v>Miscellaneous Expense</v>
      </c>
      <c r="C267" s="709">
        <f>'Multi-Year'!F106</f>
        <v>0</v>
      </c>
      <c r="D267" s="709"/>
      <c r="E267" s="709">
        <f>'Multi-Year'!H106</f>
        <v>0</v>
      </c>
      <c r="F267" s="709"/>
      <c r="G267" s="709">
        <f>'Multi-Year'!J106</f>
        <v>0</v>
      </c>
      <c r="H267" s="709"/>
      <c r="I267" s="709">
        <f>'Multi-Year'!L106</f>
        <v>0</v>
      </c>
      <c r="J267" s="709"/>
      <c r="K267" s="709">
        <f>'Multi-Year'!N106</f>
        <v>0</v>
      </c>
      <c r="L267" s="709"/>
      <c r="M267" s="774">
        <f>'Multi-Year'!P106</f>
        <v>0</v>
      </c>
    </row>
    <row r="268" spans="1:13" ht="16">
      <c r="A268" s="747"/>
      <c r="B268" s="719" t="str">
        <f>'Multi-Year'!E107</f>
        <v>ASB Fundraising Expense</v>
      </c>
      <c r="C268" s="709">
        <f>'Multi-Year'!F107</f>
        <v>0</v>
      </c>
      <c r="D268" s="709"/>
      <c r="E268" s="709">
        <f>'Multi-Year'!H107</f>
        <v>0</v>
      </c>
      <c r="F268" s="709"/>
      <c r="G268" s="709">
        <f>'Multi-Year'!J107</f>
        <v>0</v>
      </c>
      <c r="H268" s="709"/>
      <c r="I268" s="709">
        <f>'Multi-Year'!L107</f>
        <v>0</v>
      </c>
      <c r="J268" s="709"/>
      <c r="K268" s="709">
        <f>'Multi-Year'!N107</f>
        <v>0</v>
      </c>
      <c r="L268" s="709"/>
      <c r="M268" s="774">
        <f>'Multi-Year'!P107</f>
        <v>0</v>
      </c>
    </row>
    <row r="269" spans="1:13" ht="16">
      <c r="A269" s="747"/>
      <c r="B269" s="719" t="str">
        <f>'Multi-Year'!E108</f>
        <v>Communications</v>
      </c>
      <c r="C269" s="709">
        <f>'Multi-Year'!F108</f>
        <v>0</v>
      </c>
      <c r="D269" s="709"/>
      <c r="E269" s="709">
        <f>'Multi-Year'!H108</f>
        <v>863.68000000000006</v>
      </c>
      <c r="F269" s="709"/>
      <c r="G269" s="709">
        <f>'Multi-Year'!J108</f>
        <v>875.28353195137572</v>
      </c>
      <c r="H269" s="709"/>
      <c r="I269" s="709">
        <f>'Multi-Year'!L108</f>
        <v>892.78920259040331</v>
      </c>
      <c r="J269" s="709"/>
      <c r="K269" s="709">
        <f>'Multi-Year'!N108</f>
        <v>956.37483408053697</v>
      </c>
      <c r="L269" s="709"/>
      <c r="M269" s="774">
        <f>'Multi-Year'!P108</f>
        <v>1024.738133170745</v>
      </c>
    </row>
    <row r="270" spans="1:13" ht="16">
      <c r="A270" s="747"/>
      <c r="B270" s="719" t="str">
        <f>'Multi-Year'!E109</f>
        <v>Postage and Shipping</v>
      </c>
      <c r="C270" s="709">
        <f>'Multi-Year'!F109</f>
        <v>0</v>
      </c>
      <c r="D270" s="709"/>
      <c r="E270" s="709">
        <f>'Multi-Year'!H109</f>
        <v>1236.94</v>
      </c>
      <c r="F270" s="709"/>
      <c r="G270" s="709">
        <f>'Multi-Year'!J109</f>
        <v>1253.5582762272311</v>
      </c>
      <c r="H270" s="709"/>
      <c r="I270" s="709">
        <f>'Multi-Year'!L109</f>
        <v>1278.6294417517756</v>
      </c>
      <c r="J270" s="709"/>
      <c r="K270" s="709">
        <f>'Multi-Year'!N109</f>
        <v>1369.6951269770975</v>
      </c>
      <c r="L270" s="709"/>
      <c r="M270" s="774">
        <f>'Multi-Year'!P109</f>
        <v>1467.6032632968477</v>
      </c>
    </row>
    <row r="271" spans="1:13" ht="16">
      <c r="A271" s="747"/>
      <c r="B271" s="756" t="s">
        <v>493</v>
      </c>
      <c r="C271" s="729">
        <f>SUM(C262:C270)</f>
        <v>0</v>
      </c>
      <c r="D271" s="729"/>
      <c r="E271" s="729">
        <f>SUM(E262:E270)</f>
        <v>157464.53999999998</v>
      </c>
      <c r="F271" s="729"/>
      <c r="G271" s="729">
        <f>SUM(G262:G270)</f>
        <v>159580.07448163521</v>
      </c>
      <c r="H271" s="729"/>
      <c r="I271" s="729">
        <f>SUM(I262:I270)</f>
        <v>162771.67597126792</v>
      </c>
      <c r="J271" s="729"/>
      <c r="K271" s="729">
        <f>SUM(K262:K270)</f>
        <v>174364.49068644419</v>
      </c>
      <c r="L271" s="729"/>
      <c r="M271" s="763">
        <f>SUM(M262:M270)</f>
        <v>186828.3609209315</v>
      </c>
    </row>
    <row r="272" spans="1:13" ht="16">
      <c r="A272" s="747"/>
      <c r="B272" s="696"/>
      <c r="C272" s="745"/>
      <c r="D272" s="745"/>
      <c r="E272" s="745"/>
      <c r="F272" s="745"/>
      <c r="G272" s="745"/>
      <c r="H272" s="745"/>
      <c r="I272" s="745"/>
      <c r="J272" s="745"/>
      <c r="K272" s="745"/>
      <c r="L272" s="745"/>
      <c r="M272" s="745"/>
    </row>
    <row r="273" spans="1:13" ht="16">
      <c r="A273" s="747"/>
      <c r="B273" s="735"/>
      <c r="C273" s="714" t="str">
        <f>C2</f>
        <v>2018-19</v>
      </c>
      <c r="D273" s="714"/>
      <c r="E273" s="714" t="str">
        <f>E2</f>
        <v>2019-20</v>
      </c>
      <c r="F273" s="714"/>
      <c r="G273" s="714" t="str">
        <f>G2</f>
        <v>2020-21</v>
      </c>
      <c r="H273" s="714"/>
      <c r="I273" s="714" t="str">
        <f>I2</f>
        <v>2021-22</v>
      </c>
      <c r="J273" s="714"/>
      <c r="K273" s="714" t="str">
        <f>K2</f>
        <v>2022-23</v>
      </c>
      <c r="L273" s="714"/>
      <c r="M273" s="752" t="str">
        <f>M2</f>
        <v>2023-24</v>
      </c>
    </row>
    <row r="274" spans="1:13">
      <c r="A274" s="747"/>
      <c r="B274" s="795"/>
      <c r="C274" s="794" t="s">
        <v>411</v>
      </c>
      <c r="D274" s="794"/>
      <c r="E274" s="794" t="s">
        <v>412</v>
      </c>
      <c r="F274" s="794"/>
      <c r="G274" s="794" t="s">
        <v>413</v>
      </c>
      <c r="H274" s="794"/>
      <c r="I274" s="794" t="s">
        <v>414</v>
      </c>
      <c r="J274" s="794"/>
      <c r="K274" s="794" t="s">
        <v>415</v>
      </c>
      <c r="L274" s="794"/>
      <c r="M274" s="688" t="s">
        <v>416</v>
      </c>
    </row>
    <row r="275" spans="1:13" ht="16">
      <c r="A275" s="706" t="s">
        <v>494</v>
      </c>
      <c r="B275" s="789" t="s">
        <v>516</v>
      </c>
      <c r="C275" s="769"/>
      <c r="D275" s="769"/>
      <c r="E275" s="769"/>
      <c r="F275" s="769"/>
      <c r="G275" s="769"/>
      <c r="H275" s="769"/>
      <c r="I275" s="769"/>
      <c r="J275" s="769"/>
      <c r="K275" s="769"/>
      <c r="L275" s="769"/>
      <c r="M275" s="727"/>
    </row>
    <row r="276" spans="1:13" ht="16">
      <c r="A276" s="747"/>
      <c r="B276" s="719" t="s">
        <v>223</v>
      </c>
      <c r="C276" s="709">
        <f>'Multi-Year'!F139</f>
        <v>0</v>
      </c>
      <c r="D276" s="709"/>
      <c r="E276" s="709">
        <f>'Multi-Year'!H139</f>
        <v>350</v>
      </c>
      <c r="F276" s="709"/>
      <c r="G276" s="709">
        <f>'Multi-Year'!J139</f>
        <v>357</v>
      </c>
      <c r="H276" s="709"/>
      <c r="I276" s="709">
        <f>'Multi-Year'!L139</f>
        <v>364.14</v>
      </c>
      <c r="J276" s="709"/>
      <c r="K276" s="709">
        <f>'Multi-Year'!N139</f>
        <v>371.4228</v>
      </c>
      <c r="L276" s="709"/>
      <c r="M276" s="774">
        <f>'Multi-Year'!P139</f>
        <v>378.85125599999998</v>
      </c>
    </row>
    <row r="277" spans="1:13" ht="16">
      <c r="A277" s="747"/>
      <c r="B277" s="719" t="s">
        <v>5</v>
      </c>
      <c r="C277" s="686">
        <f>'Multi-Year'!F141</f>
        <v>0</v>
      </c>
      <c r="D277" s="709"/>
      <c r="E277" s="686">
        <f>'Multi-Year'!H141</f>
        <v>813183</v>
      </c>
      <c r="F277" s="709"/>
      <c r="G277" s="686">
        <f>'Multi-Year'!J141</f>
        <v>506254.33924251382</v>
      </c>
      <c r="H277" s="709"/>
      <c r="I277" s="686">
        <f>'Multi-Year'!L141</f>
        <v>0</v>
      </c>
      <c r="J277" s="709"/>
      <c r="K277" s="686">
        <f>'Multi-Year'!N141</f>
        <v>0</v>
      </c>
      <c r="L277" s="709"/>
      <c r="M277" s="697">
        <f>'Multi-Year'!P141</f>
        <v>0</v>
      </c>
    </row>
    <row r="278" spans="1:13" ht="16">
      <c r="A278" s="747"/>
      <c r="B278" s="756" t="s">
        <v>517</v>
      </c>
      <c r="C278" s="729">
        <f>SUM(C276:C277)</f>
        <v>0</v>
      </c>
      <c r="D278" s="729"/>
      <c r="E278" s="729">
        <f>SUM(E276:E277)</f>
        <v>813533</v>
      </c>
      <c r="F278" s="729"/>
      <c r="G278" s="729">
        <f>SUM(G276:G277)</f>
        <v>506611.33924251382</v>
      </c>
      <c r="H278" s="729"/>
      <c r="I278" s="729">
        <f>SUM(I276:I277)</f>
        <v>364.14</v>
      </c>
      <c r="J278" s="729"/>
      <c r="K278" s="729">
        <f>SUM(K276:K277)</f>
        <v>371.4228</v>
      </c>
      <c r="L278" s="729"/>
      <c r="M278" s="763">
        <f>SUM(M276:M277)</f>
        <v>378.85125599999998</v>
      </c>
    </row>
    <row r="279" spans="1:13" ht="16">
      <c r="A279" s="747"/>
      <c r="B279" s="696"/>
      <c r="C279" s="745"/>
      <c r="D279" s="745"/>
      <c r="E279" s="745"/>
      <c r="F279" s="745"/>
      <c r="G279" s="745"/>
      <c r="H279" s="745"/>
      <c r="I279" s="745"/>
      <c r="J279" s="745"/>
      <c r="K279" s="745"/>
      <c r="L279" s="745"/>
      <c r="M279" s="783"/>
    </row>
    <row r="280" spans="1:13" ht="16">
      <c r="A280" s="747"/>
      <c r="B280" s="735"/>
      <c r="C280" s="714" t="str">
        <f>C2</f>
        <v>2018-19</v>
      </c>
      <c r="D280" s="714"/>
      <c r="E280" s="714" t="str">
        <f>E2</f>
        <v>2019-20</v>
      </c>
      <c r="F280" s="714"/>
      <c r="G280" s="714" t="str">
        <f>G2</f>
        <v>2020-21</v>
      </c>
      <c r="H280" s="714"/>
      <c r="I280" s="714" t="str">
        <f>I2</f>
        <v>2021-22</v>
      </c>
      <c r="J280" s="714"/>
      <c r="K280" s="714" t="str">
        <f>K2</f>
        <v>2022-23</v>
      </c>
      <c r="L280" s="714"/>
      <c r="M280" s="752" t="str">
        <f>M2</f>
        <v>2023-24</v>
      </c>
    </row>
    <row r="281" spans="1:13">
      <c r="A281" s="747"/>
      <c r="B281" s="795"/>
      <c r="C281" s="794" t="s">
        <v>411</v>
      </c>
      <c r="D281" s="794"/>
      <c r="E281" s="794" t="s">
        <v>412</v>
      </c>
      <c r="F281" s="794"/>
      <c r="G281" s="794" t="s">
        <v>413</v>
      </c>
      <c r="H281" s="794"/>
      <c r="I281" s="794" t="s">
        <v>414</v>
      </c>
      <c r="J281" s="794"/>
      <c r="K281" s="794" t="s">
        <v>415</v>
      </c>
      <c r="L281" s="794"/>
      <c r="M281" s="688" t="s">
        <v>416</v>
      </c>
    </row>
    <row r="282" spans="1:13" ht="16">
      <c r="A282" s="706" t="s">
        <v>495</v>
      </c>
      <c r="B282" s="789" t="s">
        <v>496</v>
      </c>
      <c r="C282" s="769"/>
      <c r="D282" s="769"/>
      <c r="E282" s="769"/>
      <c r="F282" s="769"/>
      <c r="G282" s="769"/>
      <c r="H282" s="769"/>
      <c r="I282" s="769"/>
      <c r="J282" s="769"/>
      <c r="K282" s="769"/>
      <c r="L282" s="769"/>
      <c r="M282" s="727"/>
    </row>
    <row r="283" spans="1:13" ht="16">
      <c r="A283" s="747"/>
      <c r="B283" s="777" t="s">
        <v>9</v>
      </c>
      <c r="C283" s="709"/>
      <c r="D283" s="709"/>
      <c r="E283" s="709"/>
      <c r="F283" s="709"/>
      <c r="G283" s="709"/>
      <c r="H283" s="709"/>
      <c r="I283" s="709"/>
      <c r="J283" s="709"/>
      <c r="K283" s="709"/>
      <c r="L283" s="709"/>
      <c r="M283" s="774"/>
    </row>
    <row r="284" spans="1:13" ht="16">
      <c r="A284" s="747"/>
      <c r="B284" s="719" t="s">
        <v>255</v>
      </c>
      <c r="C284" s="709">
        <f>C28</f>
        <v>0</v>
      </c>
      <c r="D284" s="709"/>
      <c r="E284" s="709">
        <f>E28</f>
        <v>28915481</v>
      </c>
      <c r="F284" s="709"/>
      <c r="G284" s="709">
        <f>G28</f>
        <v>29385548.048191998</v>
      </c>
      <c r="H284" s="709"/>
      <c r="I284" s="709">
        <f>I28</f>
        <v>30181346.347932797</v>
      </c>
      <c r="J284" s="709"/>
      <c r="K284" s="709">
        <f>K28</f>
        <v>32591354.323641997</v>
      </c>
      <c r="L284" s="709"/>
      <c r="M284" s="774">
        <f>M28</f>
        <v>34236447.347849205</v>
      </c>
    </row>
    <row r="285" spans="1:13" ht="16">
      <c r="A285" s="747"/>
      <c r="B285" s="719" t="s">
        <v>282</v>
      </c>
      <c r="C285" s="686">
        <f>C29</f>
        <v>0</v>
      </c>
      <c r="D285" s="709"/>
      <c r="E285" s="686">
        <f>E29</f>
        <v>197783.36000000002</v>
      </c>
      <c r="F285" s="709"/>
      <c r="G285" s="686">
        <f>G29</f>
        <v>525304.29001495917</v>
      </c>
      <c r="H285" s="709"/>
      <c r="I285" s="686">
        <f>I29</f>
        <v>525304.29001495917</v>
      </c>
      <c r="J285" s="709"/>
      <c r="K285" s="686">
        <f>K29</f>
        <v>551683.48870758899</v>
      </c>
      <c r="L285" s="709"/>
      <c r="M285" s="697">
        <f>M29</f>
        <v>579528.19843869796</v>
      </c>
    </row>
    <row r="286" spans="1:13" ht="16">
      <c r="A286" s="747"/>
      <c r="B286" s="719" t="s">
        <v>168</v>
      </c>
      <c r="C286" s="686">
        <f>C30</f>
        <v>0</v>
      </c>
      <c r="D286" s="709"/>
      <c r="E286" s="686">
        <f>E30</f>
        <v>2397254.37</v>
      </c>
      <c r="F286" s="709"/>
      <c r="G286" s="686">
        <f>G30</f>
        <v>2294371.1318769665</v>
      </c>
      <c r="H286" s="709"/>
      <c r="I286" s="686">
        <f>I30</f>
        <v>2294015.0354769663</v>
      </c>
      <c r="J286" s="709"/>
      <c r="K286" s="686">
        <f>K30</f>
        <v>2405928.393971222</v>
      </c>
      <c r="L286" s="709"/>
      <c r="M286" s="697">
        <f>M30</f>
        <v>2527353.4606707143</v>
      </c>
    </row>
    <row r="287" spans="1:13" ht="16">
      <c r="A287" s="747"/>
      <c r="B287" s="719" t="s">
        <v>283</v>
      </c>
      <c r="C287" s="686">
        <f>C31</f>
        <v>0</v>
      </c>
      <c r="D287" s="709"/>
      <c r="E287" s="686">
        <f>E31</f>
        <v>0</v>
      </c>
      <c r="F287" s="709"/>
      <c r="G287" s="686">
        <f>G31</f>
        <v>0</v>
      </c>
      <c r="H287" s="709"/>
      <c r="I287" s="686">
        <f>I31</f>
        <v>0</v>
      </c>
      <c r="J287" s="709"/>
      <c r="K287" s="686">
        <f>K31</f>
        <v>0</v>
      </c>
      <c r="L287" s="709"/>
      <c r="M287" s="697">
        <f>M31</f>
        <v>0</v>
      </c>
    </row>
    <row r="288" spans="1:13" ht="16">
      <c r="A288" s="747"/>
      <c r="B288" s="777" t="s">
        <v>437</v>
      </c>
      <c r="C288" s="746">
        <f>SUM(C284:C287)</f>
        <v>0</v>
      </c>
      <c r="D288" s="746"/>
      <c r="E288" s="746">
        <f>SUM(E284:E287)</f>
        <v>31510518.73</v>
      </c>
      <c r="F288" s="746"/>
      <c r="G288" s="746">
        <f>SUM(G284:G287)</f>
        <v>32205223.470083926</v>
      </c>
      <c r="H288" s="746"/>
      <c r="I288" s="746">
        <f>SUM(I284:I287)</f>
        <v>33000665.673424724</v>
      </c>
      <c r="J288" s="746"/>
      <c r="K288" s="746">
        <f>SUM(K284:K287)</f>
        <v>35548966.206320807</v>
      </c>
      <c r="L288" s="746"/>
      <c r="M288" s="768">
        <f>SUM(M284:M287)</f>
        <v>37343329.006958619</v>
      </c>
    </row>
    <row r="289" spans="1:13" ht="16">
      <c r="A289" s="747"/>
      <c r="B289" s="719"/>
      <c r="C289" s="686"/>
      <c r="D289" s="709"/>
      <c r="E289" s="686"/>
      <c r="F289" s="709"/>
      <c r="G289" s="686"/>
      <c r="H289" s="709"/>
      <c r="I289" s="686"/>
      <c r="J289" s="709"/>
      <c r="K289" s="686"/>
      <c r="L289" s="709"/>
      <c r="M289" s="697"/>
    </row>
    <row r="290" spans="1:13" ht="16">
      <c r="A290" s="747"/>
      <c r="B290" s="777" t="s">
        <v>2</v>
      </c>
      <c r="C290" s="709"/>
      <c r="D290" s="709"/>
      <c r="E290" s="709"/>
      <c r="F290" s="709"/>
      <c r="G290" s="709"/>
      <c r="H290" s="709"/>
      <c r="I290" s="709"/>
      <c r="J290" s="709"/>
      <c r="K290" s="709"/>
      <c r="L290" s="709"/>
      <c r="M290" s="774"/>
    </row>
    <row r="291" spans="1:13" ht="16">
      <c r="A291" s="747"/>
      <c r="B291" s="719" t="s">
        <v>244</v>
      </c>
      <c r="C291" s="709">
        <f>C89</f>
        <v>0</v>
      </c>
      <c r="D291" s="709"/>
      <c r="E291" s="709">
        <f>E89</f>
        <v>10612689.149999999</v>
      </c>
      <c r="F291" s="709"/>
      <c r="G291" s="709">
        <f>G89</f>
        <v>10347918.121010002</v>
      </c>
      <c r="H291" s="709"/>
      <c r="I291" s="709">
        <f>I89</f>
        <v>10766412.278413801</v>
      </c>
      <c r="J291" s="709"/>
      <c r="K291" s="709">
        <f>K89</f>
        <v>11530827.550181182</v>
      </c>
      <c r="L291" s="709"/>
      <c r="M291" s="774">
        <f>M89</f>
        <v>12349516.306244038</v>
      </c>
    </row>
    <row r="292" spans="1:13" ht="16">
      <c r="A292" s="747"/>
      <c r="B292" s="719" t="s">
        <v>245</v>
      </c>
      <c r="C292" s="686">
        <f>C90</f>
        <v>0</v>
      </c>
      <c r="D292" s="709"/>
      <c r="E292" s="686">
        <f>E90</f>
        <v>444477.83</v>
      </c>
      <c r="F292" s="709"/>
      <c r="G292" s="686">
        <f>G90</f>
        <v>476893.44880000001</v>
      </c>
      <c r="H292" s="709"/>
      <c r="I292" s="686">
        <f>I90</f>
        <v>498412.11777600006</v>
      </c>
      <c r="J292" s="709"/>
      <c r="K292" s="686">
        <f>K90</f>
        <v>531575.60191718407</v>
      </c>
      <c r="L292" s="709"/>
      <c r="M292" s="697">
        <f>M90</f>
        <v>567049.21790797391</v>
      </c>
    </row>
    <row r="293" spans="1:13" ht="16">
      <c r="A293" s="747"/>
      <c r="B293" s="719" t="s">
        <v>448</v>
      </c>
      <c r="C293" s="686">
        <f>C91</f>
        <v>0</v>
      </c>
      <c r="D293" s="709"/>
      <c r="E293" s="686">
        <f>E91</f>
        <v>3180016.5700000003</v>
      </c>
      <c r="F293" s="709"/>
      <c r="G293" s="686">
        <f>G91</f>
        <v>3488546.3247756548</v>
      </c>
      <c r="H293" s="709"/>
      <c r="I293" s="686">
        <f>I91</f>
        <v>3640337.7178856446</v>
      </c>
      <c r="J293" s="709"/>
      <c r="K293" s="686">
        <f>K91</f>
        <v>3976383.4534103917</v>
      </c>
      <c r="L293" s="709"/>
      <c r="M293" s="697">
        <f>M91</f>
        <v>4346843.6023494275</v>
      </c>
    </row>
    <row r="294" spans="1:13" ht="16">
      <c r="A294" s="747"/>
      <c r="B294" s="719" t="s">
        <v>321</v>
      </c>
      <c r="C294" s="686">
        <f>C194</f>
        <v>0</v>
      </c>
      <c r="D294" s="709"/>
      <c r="E294" s="686">
        <f>E194</f>
        <v>4118824.4100000006</v>
      </c>
      <c r="F294" s="709"/>
      <c r="G294" s="686">
        <f>G194</f>
        <v>4177050.3165947604</v>
      </c>
      <c r="H294" s="709"/>
      <c r="I294" s="686">
        <f>I194</f>
        <v>4260591.3229266554</v>
      </c>
      <c r="J294" s="709"/>
      <c r="K294" s="686">
        <f>K194</f>
        <v>4540580.7786629237</v>
      </c>
      <c r="L294" s="709"/>
      <c r="M294" s="697">
        <f>M194</f>
        <v>4841102.9750918755</v>
      </c>
    </row>
    <row r="295" spans="1:13" ht="16">
      <c r="A295" s="747"/>
      <c r="B295" s="719" t="s">
        <v>284</v>
      </c>
      <c r="C295" s="686">
        <f>C225</f>
        <v>0</v>
      </c>
      <c r="D295" s="709"/>
      <c r="E295" s="686">
        <f>E225</f>
        <v>4906743.33</v>
      </c>
      <c r="F295" s="709"/>
      <c r="G295" s="686">
        <f>G225</f>
        <v>4972665.3763677003</v>
      </c>
      <c r="H295" s="709"/>
      <c r="I295" s="686">
        <f>I225</f>
        <v>5072118.6838950552</v>
      </c>
      <c r="J295" s="709"/>
      <c r="K295" s="686">
        <f>K225</f>
        <v>5433361.7058453746</v>
      </c>
      <c r="L295" s="709"/>
      <c r="M295" s="697">
        <f>M225</f>
        <v>5821747.6379355844</v>
      </c>
    </row>
    <row r="296" spans="1:13" ht="16">
      <c r="A296" s="747"/>
      <c r="B296" s="719" t="s">
        <v>286</v>
      </c>
      <c r="C296" s="686">
        <f>C271</f>
        <v>0</v>
      </c>
      <c r="D296" s="709"/>
      <c r="E296" s="686">
        <f>E271</f>
        <v>157464.53999999998</v>
      </c>
      <c r="F296" s="709"/>
      <c r="G296" s="686">
        <f>G271</f>
        <v>159580.07448163521</v>
      </c>
      <c r="H296" s="709"/>
      <c r="I296" s="686">
        <f>I271</f>
        <v>162771.67597126792</v>
      </c>
      <c r="J296" s="709"/>
      <c r="K296" s="686">
        <f>K271</f>
        <v>174364.49068644419</v>
      </c>
      <c r="L296" s="709"/>
      <c r="M296" s="697">
        <f>M271</f>
        <v>186828.3609209315</v>
      </c>
    </row>
    <row r="297" spans="1:13" ht="16">
      <c r="A297" s="747"/>
      <c r="B297" s="719" t="s">
        <v>287</v>
      </c>
      <c r="C297" s="686">
        <f>C257</f>
        <v>0</v>
      </c>
      <c r="D297" s="709"/>
      <c r="E297" s="686">
        <f>E257</f>
        <v>55878.5</v>
      </c>
      <c r="F297" s="709"/>
      <c r="G297" s="686">
        <f>G257</f>
        <v>56629.227075010363</v>
      </c>
      <c r="H297" s="709"/>
      <c r="I297" s="686">
        <f>I257</f>
        <v>57761.811616510568</v>
      </c>
      <c r="J297" s="709"/>
      <c r="K297" s="686">
        <f>K257</f>
        <v>61875.684473612084</v>
      </c>
      <c r="L297" s="709"/>
      <c r="M297" s="697">
        <f>M257</f>
        <v>66298.663595754755</v>
      </c>
    </row>
    <row r="298" spans="1:13" ht="16">
      <c r="A298" s="747"/>
      <c r="B298" s="719" t="s">
        <v>322</v>
      </c>
      <c r="C298" s="686">
        <f>C246</f>
        <v>0</v>
      </c>
      <c r="D298" s="709"/>
      <c r="E298" s="686">
        <f>E246</f>
        <v>2425595.4200000004</v>
      </c>
      <c r="F298" s="709"/>
      <c r="G298" s="686">
        <f>G246</f>
        <v>1865853.6968617432</v>
      </c>
      <c r="H298" s="709"/>
      <c r="I298" s="686">
        <f>I246</f>
        <v>1912061.8013062214</v>
      </c>
      <c r="J298" s="709"/>
      <c r="K298" s="686">
        <f>K246</f>
        <v>2056138.3405396282</v>
      </c>
      <c r="L298" s="709"/>
      <c r="M298" s="697">
        <f>M246</f>
        <v>2166043.0532072182</v>
      </c>
    </row>
    <row r="299" spans="1:13" ht="16">
      <c r="A299" s="747"/>
      <c r="B299" s="719" t="s">
        <v>497</v>
      </c>
      <c r="C299" s="686">
        <f>C278</f>
        <v>0</v>
      </c>
      <c r="D299" s="709"/>
      <c r="E299" s="686">
        <f>E278</f>
        <v>813533</v>
      </c>
      <c r="F299" s="709"/>
      <c r="G299" s="686">
        <f>G278</f>
        <v>506611.33924251382</v>
      </c>
      <c r="H299" s="709"/>
      <c r="I299" s="686">
        <f>I278</f>
        <v>364.14</v>
      </c>
      <c r="J299" s="709"/>
      <c r="K299" s="686">
        <f>K278</f>
        <v>371.4228</v>
      </c>
      <c r="L299" s="709"/>
      <c r="M299" s="697">
        <f>M278</f>
        <v>378.85125599999998</v>
      </c>
    </row>
    <row r="300" spans="1:13" ht="16">
      <c r="A300" s="747"/>
      <c r="B300" s="777" t="s">
        <v>6</v>
      </c>
      <c r="C300" s="746">
        <f>SUM(C291:C299)</f>
        <v>0</v>
      </c>
      <c r="D300" s="746"/>
      <c r="E300" s="746">
        <f>SUM(E291:E299)</f>
        <v>26715222.75</v>
      </c>
      <c r="F300" s="746"/>
      <c r="G300" s="746">
        <f>SUM(G291:G299)</f>
        <v>26051747.925209019</v>
      </c>
      <c r="H300" s="746"/>
      <c r="I300" s="746">
        <f>SUM(I291:I299)</f>
        <v>26370831.549791157</v>
      </c>
      <c r="J300" s="746"/>
      <c r="K300" s="746">
        <f>SUM(K291:K299)</f>
        <v>28305479.02851674</v>
      </c>
      <c r="L300" s="746"/>
      <c r="M300" s="768">
        <f>SUM(M291:M299)</f>
        <v>30345808.668508809</v>
      </c>
    </row>
    <row r="301" spans="1:13" ht="16">
      <c r="A301" s="747"/>
      <c r="B301" s="719"/>
      <c r="C301" s="686"/>
      <c r="D301" s="709"/>
      <c r="E301" s="686"/>
      <c r="F301" s="709"/>
      <c r="G301" s="686"/>
      <c r="H301" s="709"/>
      <c r="I301" s="686"/>
      <c r="J301" s="709"/>
      <c r="K301" s="686"/>
      <c r="L301" s="709"/>
      <c r="M301" s="697"/>
    </row>
    <row r="302" spans="1:13" ht="16">
      <c r="A302" s="747"/>
      <c r="B302" s="777" t="s">
        <v>498</v>
      </c>
      <c r="C302" s="729">
        <f>C288-C300</f>
        <v>0</v>
      </c>
      <c r="D302" s="729"/>
      <c r="E302" s="729">
        <f>E288-E300</f>
        <v>4795295.9800000004</v>
      </c>
      <c r="F302" s="729"/>
      <c r="G302" s="729">
        <f>G288-G300</f>
        <v>6153475.5448749065</v>
      </c>
      <c r="H302" s="729"/>
      <c r="I302" s="729">
        <f>I288-I300</f>
        <v>6629834.1236335672</v>
      </c>
      <c r="J302" s="729"/>
      <c r="K302" s="729">
        <f>K288-K300</f>
        <v>7243487.1778040677</v>
      </c>
      <c r="L302" s="729"/>
      <c r="M302" s="763">
        <f>M288-M300</f>
        <v>6997520.3384498097</v>
      </c>
    </row>
    <row r="303" spans="1:13" ht="16">
      <c r="A303" s="747"/>
      <c r="B303" s="719"/>
      <c r="C303" s="737"/>
      <c r="D303" s="709"/>
      <c r="E303" s="716">
        <f>E302/E300</f>
        <v>0.17949676200996678</v>
      </c>
      <c r="F303" s="709"/>
      <c r="G303" s="716">
        <f>G302/G300</f>
        <v>0.23620202231883586</v>
      </c>
      <c r="H303" s="709"/>
      <c r="I303" s="716">
        <f>I302/I300</f>
        <v>0.25140785231272206</v>
      </c>
      <c r="J303" s="709"/>
      <c r="K303" s="716">
        <f>K302/K300</f>
        <v>0.25590406615293521</v>
      </c>
      <c r="L303" s="709"/>
      <c r="M303" s="702">
        <f>M302/M300</f>
        <v>0.2305926467437148</v>
      </c>
    </row>
    <row r="304" spans="1:13" ht="16">
      <c r="A304" s="747"/>
      <c r="B304" s="719"/>
      <c r="C304" s="686"/>
      <c r="D304" s="709"/>
      <c r="E304" s="686"/>
      <c r="F304" s="709"/>
      <c r="G304" s="686"/>
      <c r="H304" s="709"/>
      <c r="I304" s="686"/>
      <c r="J304" s="709"/>
      <c r="K304" s="686"/>
      <c r="L304" s="709"/>
      <c r="M304" s="697"/>
    </row>
    <row r="305" spans="1:13" ht="16">
      <c r="A305" s="747"/>
      <c r="B305" s="719" t="s">
        <v>499</v>
      </c>
      <c r="C305" s="686">
        <f>'Multi-Year'!F175</f>
        <v>0</v>
      </c>
      <c r="D305" s="709"/>
      <c r="E305" s="686">
        <f>C306</f>
        <v>0</v>
      </c>
      <c r="F305" s="709"/>
      <c r="G305" s="686">
        <f>E306</f>
        <v>3676607.6200000048</v>
      </c>
      <c r="H305" s="709"/>
      <c r="I305" s="686">
        <f>G306</f>
        <v>3450804.7280375399</v>
      </c>
      <c r="J305" s="709"/>
      <c r="K305" s="686">
        <f>I306</f>
        <v>6756228.1362309121</v>
      </c>
      <c r="L305" s="709"/>
      <c r="M305" s="697">
        <f>K306</f>
        <v>10099956.361951005</v>
      </c>
    </row>
    <row r="306" spans="1:13" ht="16">
      <c r="A306" s="747"/>
      <c r="B306" s="777" t="s">
        <v>391</v>
      </c>
      <c r="C306" s="746">
        <f>'Multi-Year'!F177</f>
        <v>0</v>
      </c>
      <c r="D306" s="746"/>
      <c r="E306" s="746">
        <f>'Multi-Year'!H177</f>
        <v>3676607.6200000048</v>
      </c>
      <c r="F306" s="746"/>
      <c r="G306" s="746">
        <f>'Multi-Year'!J177</f>
        <v>3450804.7280375399</v>
      </c>
      <c r="H306" s="746"/>
      <c r="I306" s="746">
        <f>'Multi-Year'!L177</f>
        <v>6756228.1362309121</v>
      </c>
      <c r="J306" s="746"/>
      <c r="K306" s="746">
        <f>'Multi-Year'!N177</f>
        <v>10099956.361951005</v>
      </c>
      <c r="L306" s="746"/>
      <c r="M306" s="768">
        <f>'Multi-Year'!P177</f>
        <v>13248142.755412921</v>
      </c>
    </row>
    <row r="307" spans="1:13" ht="16">
      <c r="A307" s="747"/>
      <c r="B307" s="756" t="s">
        <v>500</v>
      </c>
      <c r="C307" s="684" t="e">
        <f>C306/C300</f>
        <v>#DIV/0!</v>
      </c>
      <c r="D307" s="743"/>
      <c r="E307" s="684">
        <f>E306/E300</f>
        <v>0.13762219594444539</v>
      </c>
      <c r="F307" s="743"/>
      <c r="G307" s="684">
        <f>G306/G300</f>
        <v>0.13245962374364764</v>
      </c>
      <c r="H307" s="743"/>
      <c r="I307" s="684">
        <f>I306/I300</f>
        <v>0.25620079986762562</v>
      </c>
      <c r="J307" s="743"/>
      <c r="K307" s="684">
        <f>K306/K300</f>
        <v>0.35681983519076521</v>
      </c>
      <c r="L307" s="743"/>
      <c r="M307" s="788">
        <f>M306/M300</f>
        <v>0.43657240774608541</v>
      </c>
    </row>
    <row r="308" spans="1:13" ht="16">
      <c r="B308" s="747"/>
      <c r="C308" s="706"/>
      <c r="D308" s="747"/>
      <c r="E308" s="706"/>
      <c r="F308" s="747"/>
      <c r="G308" s="706"/>
      <c r="H308" s="747"/>
      <c r="I308" s="706"/>
      <c r="J308" s="747"/>
      <c r="K308" s="706"/>
      <c r="L308" s="747"/>
      <c r="M308" s="706"/>
    </row>
    <row r="309" spans="1:13" ht="16">
      <c r="A309" s="747"/>
      <c r="B309" s="735"/>
      <c r="C309" s="714" t="str">
        <f>C2</f>
        <v>2018-19</v>
      </c>
      <c r="D309" s="714"/>
      <c r="E309" s="714" t="str">
        <f>E2</f>
        <v>2019-20</v>
      </c>
      <c r="F309" s="714"/>
      <c r="G309" s="714" t="str">
        <f>G2</f>
        <v>2020-21</v>
      </c>
      <c r="H309" s="714"/>
      <c r="I309" s="714" t="str">
        <f>I2</f>
        <v>2021-22</v>
      </c>
      <c r="J309" s="714"/>
      <c r="K309" s="714" t="str">
        <f>K2</f>
        <v>2022-23</v>
      </c>
      <c r="L309" s="714"/>
      <c r="M309" s="752" t="str">
        <f>M2</f>
        <v>2023-24</v>
      </c>
    </row>
    <row r="310" spans="1:13">
      <c r="A310" s="747"/>
      <c r="B310" s="795"/>
      <c r="C310" s="794" t="s">
        <v>411</v>
      </c>
      <c r="D310" s="794"/>
      <c r="E310" s="794" t="s">
        <v>412</v>
      </c>
      <c r="F310" s="794"/>
      <c r="G310" s="794" t="s">
        <v>413</v>
      </c>
      <c r="H310" s="794"/>
      <c r="I310" s="794" t="s">
        <v>414</v>
      </c>
      <c r="J310" s="794"/>
      <c r="K310" s="794" t="s">
        <v>415</v>
      </c>
      <c r="L310" s="794"/>
      <c r="M310" s="688" t="s">
        <v>416</v>
      </c>
    </row>
    <row r="311" spans="1:13" ht="16">
      <c r="A311" s="706" t="s">
        <v>501</v>
      </c>
      <c r="B311" s="789" t="s">
        <v>502</v>
      </c>
      <c r="C311" s="769"/>
      <c r="D311" s="769"/>
      <c r="E311" s="769"/>
      <c r="F311" s="769"/>
      <c r="G311" s="769"/>
      <c r="H311" s="769"/>
      <c r="I311" s="769"/>
      <c r="J311" s="769"/>
      <c r="K311" s="769"/>
      <c r="L311" s="769"/>
      <c r="M311" s="727"/>
    </row>
    <row r="312" spans="1:13" ht="16">
      <c r="A312" s="747"/>
      <c r="B312" s="719" t="s">
        <v>326</v>
      </c>
      <c r="C312" s="709">
        <f>'Multi-Year'!F148</f>
        <v>0</v>
      </c>
      <c r="D312" s="709"/>
      <c r="E312" s="709">
        <f>C314</f>
        <v>0</v>
      </c>
      <c r="F312" s="709"/>
      <c r="G312" s="709">
        <f>E314</f>
        <v>4795295.9800000004</v>
      </c>
      <c r="H312" s="709"/>
      <c r="I312" s="709">
        <f>G314</f>
        <v>10948771.524874907</v>
      </c>
      <c r="J312" s="709"/>
      <c r="K312" s="709">
        <f>I314</f>
        <v>17578605.648508474</v>
      </c>
      <c r="L312" s="709"/>
      <c r="M312" s="774">
        <f>K314</f>
        <v>24822092.826312542</v>
      </c>
    </row>
    <row r="313" spans="1:13" ht="16">
      <c r="A313" s="747"/>
      <c r="B313" s="719" t="s">
        <v>503</v>
      </c>
      <c r="C313" s="686">
        <f>C302</f>
        <v>0</v>
      </c>
      <c r="D313" s="709"/>
      <c r="E313" s="686">
        <f>E302</f>
        <v>4795295.9800000004</v>
      </c>
      <c r="F313" s="709"/>
      <c r="G313" s="686">
        <f>G302</f>
        <v>6153475.5448749065</v>
      </c>
      <c r="H313" s="709"/>
      <c r="I313" s="686">
        <f>I302</f>
        <v>6629834.1236335672</v>
      </c>
      <c r="J313" s="709"/>
      <c r="K313" s="686">
        <f>K302</f>
        <v>7243487.1778040677</v>
      </c>
      <c r="L313" s="709"/>
      <c r="M313" s="697">
        <f>M302</f>
        <v>6997520.3384498097</v>
      </c>
    </row>
    <row r="314" spans="1:13" ht="16">
      <c r="A314" s="747"/>
      <c r="B314" s="777" t="s">
        <v>327</v>
      </c>
      <c r="C314" s="746">
        <f>SUM(C312:C313)</f>
        <v>0</v>
      </c>
      <c r="D314" s="746"/>
      <c r="E314" s="746">
        <f>SUM(E312:E313)</f>
        <v>4795295.9800000004</v>
      </c>
      <c r="F314" s="746"/>
      <c r="G314" s="746">
        <f>SUM(G312:G313)</f>
        <v>10948771.524874907</v>
      </c>
      <c r="H314" s="746"/>
      <c r="I314" s="746">
        <f>SUM(I312:I313)</f>
        <v>17578605.648508474</v>
      </c>
      <c r="J314" s="746"/>
      <c r="K314" s="746">
        <f>SUM(K312:K313)</f>
        <v>24822092.826312542</v>
      </c>
      <c r="L314" s="746"/>
      <c r="M314" s="768">
        <f>SUM(M312:M313)</f>
        <v>31819613.164762352</v>
      </c>
    </row>
    <row r="315" spans="1:13" ht="16">
      <c r="A315" s="747"/>
      <c r="B315" s="756" t="s">
        <v>504</v>
      </c>
      <c r="C315" s="684" t="e">
        <f>C314/C300</f>
        <v>#DIV/0!</v>
      </c>
      <c r="D315" s="743"/>
      <c r="E315" s="684">
        <f>E314/E300</f>
        <v>0.17949676200996678</v>
      </c>
      <c r="F315" s="743"/>
      <c r="G315" s="684">
        <f>G314/G300</f>
        <v>0.42027013144405212</v>
      </c>
      <c r="H315" s="743"/>
      <c r="I315" s="684">
        <f>I314/I300</f>
        <v>0.66659276994424876</v>
      </c>
      <c r="J315" s="743"/>
      <c r="K315" s="684">
        <f>K314/K300</f>
        <v>0.87693597417323998</v>
      </c>
      <c r="L315" s="743"/>
      <c r="M315" s="788">
        <f>M314/M300</f>
        <v>1.0485669870377512</v>
      </c>
    </row>
    <row r="317" spans="1:13">
      <c r="B317" t="s">
        <v>505</v>
      </c>
      <c r="C317" s="699">
        <f>C314-C312-C313</f>
        <v>0</v>
      </c>
      <c r="E317" s="699">
        <f>E314-E312-E313</f>
        <v>0</v>
      </c>
      <c r="G317" s="699">
        <f>G314-G312-G313</f>
        <v>0</v>
      </c>
      <c r="I317" s="699">
        <f>I314-I312-I313</f>
        <v>0</v>
      </c>
      <c r="K317" s="699">
        <f>K314-K312-K313</f>
        <v>0</v>
      </c>
      <c r="M317" s="699">
        <f>M314-M312-M313</f>
        <v>0</v>
      </c>
    </row>
  </sheetData>
  <pageMargins left="0.7" right="0.7" top="0.75" bottom="0.75" header="0.3" footer="0.3"/>
  <pageSetup scale="65" fitToHeight="7" orientation="portrait" r:id="rId1"/>
  <customProperties>
    <customPr name="DrillPoint.FROID" r:id="rId2"/>
    <customPr name="DrillPoint.Mode" r:id="rId3"/>
    <customPr name="DrillPoint.Subsheet" r:id="rId4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Z191"/>
  <sheetViews>
    <sheetView zoomScaleNormal="100" zoomScaleSheetLayoutView="85" workbookViewId="0">
      <pane xSplit="4" ySplit="4" topLeftCell="E57" activePane="bottomRight" state="frozen"/>
      <selection activeCell="I17" sqref="I17"/>
      <selection pane="topRight" activeCell="I17" sqref="I17"/>
      <selection pane="bottomLeft" activeCell="I17" sqref="I17"/>
      <selection pane="bottomRight" activeCell="S83" sqref="S83"/>
    </sheetView>
  </sheetViews>
  <sheetFormatPr baseColWidth="10" defaultColWidth="8.83203125" defaultRowHeight="12"/>
  <cols>
    <col min="1" max="1" width="2.5" style="54" customWidth="1"/>
    <col min="2" max="2" width="1.6640625" style="54" customWidth="1"/>
    <col min="3" max="3" width="5.33203125" style="62" customWidth="1"/>
    <col min="4" max="4" width="22.6640625" style="62" customWidth="1"/>
    <col min="5" max="17" width="8.6640625" style="63" customWidth="1"/>
    <col min="18" max="18" width="1.6640625" style="63" customWidth="1"/>
    <col min="19" max="19" width="9.6640625" style="59" customWidth="1"/>
    <col min="20" max="20" width="1.83203125" style="63" customWidth="1"/>
    <col min="21" max="16384" width="8.83203125" style="62"/>
  </cols>
  <sheetData>
    <row r="1" spans="1:20" s="54" customFormat="1" ht="21">
      <c r="A1" s="678" t="s">
        <v>562</v>
      </c>
      <c r="E1" s="55"/>
      <c r="F1" s="55"/>
      <c r="G1" s="55"/>
      <c r="H1" s="55"/>
      <c r="I1" s="55"/>
      <c r="J1" s="55"/>
      <c r="K1" s="55"/>
      <c r="L1" s="55"/>
      <c r="M1" s="221"/>
      <c r="N1" s="221"/>
      <c r="O1" s="221"/>
      <c r="P1" s="221"/>
      <c r="Q1" s="221"/>
      <c r="R1" s="221"/>
      <c r="S1" s="222"/>
      <c r="T1" s="221"/>
    </row>
    <row r="2" spans="1:20" s="54" customFormat="1" ht="15">
      <c r="A2" s="56" t="s">
        <v>409</v>
      </c>
      <c r="B2" s="57"/>
      <c r="C2" s="57"/>
      <c r="D2" s="57"/>
      <c r="E2" s="58"/>
      <c r="F2" s="55"/>
      <c r="G2" s="55"/>
      <c r="H2" s="55"/>
      <c r="I2" s="55"/>
      <c r="J2" s="55"/>
      <c r="M2" s="59"/>
      <c r="N2" s="55"/>
      <c r="O2" s="55"/>
      <c r="R2" s="59"/>
      <c r="S2" s="59"/>
    </row>
    <row r="3" spans="1:20" ht="13.5" customHeight="1">
      <c r="A3" s="61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674"/>
      <c r="P3" s="674"/>
      <c r="Q3" s="674"/>
      <c r="R3" s="59"/>
      <c r="S3" s="674"/>
    </row>
    <row r="4" spans="1:20" s="67" customFormat="1" ht="29.5" customHeight="1">
      <c r="C4" s="373" t="s">
        <v>280</v>
      </c>
      <c r="D4" s="372">
        <v>2741.7</v>
      </c>
      <c r="E4" s="819">
        <v>43647</v>
      </c>
      <c r="F4" s="819">
        <v>43678</v>
      </c>
      <c r="G4" s="819">
        <v>43709</v>
      </c>
      <c r="H4" s="819">
        <v>43740</v>
      </c>
      <c r="I4" s="819">
        <v>43771</v>
      </c>
      <c r="J4" s="819">
        <v>43802</v>
      </c>
      <c r="K4" s="819">
        <v>43833</v>
      </c>
      <c r="L4" s="819">
        <v>43864</v>
      </c>
      <c r="M4" s="819">
        <v>43895</v>
      </c>
      <c r="N4" s="819">
        <v>43926</v>
      </c>
      <c r="O4" s="819">
        <v>43957</v>
      </c>
      <c r="P4" s="819">
        <v>43988</v>
      </c>
      <c r="Q4" s="680" t="s">
        <v>115</v>
      </c>
      <c r="R4" s="65"/>
      <c r="S4" s="809" t="s">
        <v>268</v>
      </c>
      <c r="T4" s="66"/>
    </row>
    <row r="5" spans="1:20" s="75" customFormat="1" ht="12" hidden="1" customHeight="1">
      <c r="A5" s="68" t="s">
        <v>258</v>
      </c>
      <c r="B5" s="68"/>
      <c r="C5" s="69"/>
      <c r="D5" s="69"/>
      <c r="E5" s="641">
        <v>0.05</v>
      </c>
      <c r="F5" s="642">
        <v>0.05</v>
      </c>
      <c r="G5" s="642">
        <v>0.09</v>
      </c>
      <c r="H5" s="642">
        <v>0.09</v>
      </c>
      <c r="I5" s="642">
        <v>0.09</v>
      </c>
      <c r="J5" s="642">
        <v>0.09</v>
      </c>
      <c r="K5" s="643">
        <v>0.09</v>
      </c>
      <c r="L5" s="644">
        <v>0.2</v>
      </c>
      <c r="M5" s="645">
        <v>0.19999999999999998</v>
      </c>
      <c r="N5" s="645">
        <v>0.19999999999999998</v>
      </c>
      <c r="O5" s="643">
        <v>0.19999999999999998</v>
      </c>
      <c r="P5" s="644">
        <v>0.19999999999999998</v>
      </c>
      <c r="Q5" s="593">
        <v>0</v>
      </c>
      <c r="R5" s="74"/>
      <c r="S5" s="810"/>
      <c r="T5" s="55"/>
    </row>
    <row r="6" spans="1:20" s="75" customFormat="1" ht="12" hidden="1" customHeight="1">
      <c r="A6" s="68" t="s">
        <v>7</v>
      </c>
      <c r="B6" s="68"/>
      <c r="C6" s="69"/>
      <c r="D6" s="69"/>
      <c r="E6" s="641">
        <v>0</v>
      </c>
      <c r="F6" s="642">
        <v>0</v>
      </c>
      <c r="G6" s="642">
        <v>0.37</v>
      </c>
      <c r="H6" s="642">
        <v>0</v>
      </c>
      <c r="I6" s="642">
        <v>0</v>
      </c>
      <c r="J6" s="642">
        <v>0.18</v>
      </c>
      <c r="K6" s="646">
        <v>0</v>
      </c>
      <c r="L6" s="647" t="s">
        <v>229</v>
      </c>
      <c r="M6" s="648" t="s">
        <v>229</v>
      </c>
      <c r="N6" s="648" t="s">
        <v>229</v>
      </c>
      <c r="O6" s="648" t="s">
        <v>229</v>
      </c>
      <c r="P6" s="644" t="s">
        <v>229</v>
      </c>
      <c r="Q6" s="593" t="s">
        <v>229</v>
      </c>
      <c r="R6" s="74"/>
      <c r="S6" s="810"/>
      <c r="T6" s="76"/>
    </row>
    <row r="7" spans="1:20" s="85" customFormat="1" ht="12" hidden="1" customHeight="1">
      <c r="A7" s="68" t="s">
        <v>8</v>
      </c>
      <c r="B7" s="81"/>
      <c r="C7" s="82"/>
      <c r="D7" s="82"/>
      <c r="E7" s="649">
        <v>0.06</v>
      </c>
      <c r="F7" s="650">
        <v>0.12</v>
      </c>
      <c r="G7" s="650">
        <v>0.08</v>
      </c>
      <c r="H7" s="650">
        <v>0.08</v>
      </c>
      <c r="I7" s="650">
        <v>0.08</v>
      </c>
      <c r="J7" s="650">
        <v>0.08</v>
      </c>
      <c r="K7" s="643">
        <v>0.08</v>
      </c>
      <c r="L7" s="647">
        <v>0.33333333333333331</v>
      </c>
      <c r="M7" s="648">
        <v>0.16666666666666666</v>
      </c>
      <c r="N7" s="648">
        <v>0.16666666666666666</v>
      </c>
      <c r="O7" s="651">
        <v>0.16666666666666666</v>
      </c>
      <c r="P7" s="647">
        <v>0.16666666666666666</v>
      </c>
      <c r="Q7" s="594">
        <v>0</v>
      </c>
      <c r="R7" s="84"/>
      <c r="S7" s="810"/>
    </row>
    <row r="8" spans="1:20" s="85" customFormat="1" ht="12" hidden="1" customHeight="1">
      <c r="A8" s="68" t="s">
        <v>281</v>
      </c>
      <c r="B8" s="81"/>
      <c r="C8" s="82"/>
      <c r="D8" s="82"/>
      <c r="E8" s="649">
        <v>0</v>
      </c>
      <c r="F8" s="650">
        <v>0</v>
      </c>
      <c r="G8" s="650">
        <v>0.26</v>
      </c>
      <c r="H8" s="650">
        <v>0.08</v>
      </c>
      <c r="I8" s="650">
        <v>0.08</v>
      </c>
      <c r="J8" s="650">
        <v>0.08</v>
      </c>
      <c r="K8" s="643">
        <v>0.08</v>
      </c>
      <c r="L8" s="647" t="s">
        <v>229</v>
      </c>
      <c r="M8" s="648" t="s">
        <v>229</v>
      </c>
      <c r="N8" s="648" t="s">
        <v>229</v>
      </c>
      <c r="O8" s="648" t="s">
        <v>229</v>
      </c>
      <c r="P8" s="644" t="s">
        <v>229</v>
      </c>
      <c r="Q8" s="593" t="s">
        <v>229</v>
      </c>
      <c r="R8" s="84"/>
      <c r="S8" s="810"/>
    </row>
    <row r="9" spans="1:20" s="85" customFormat="1" ht="12" hidden="1" customHeight="1">
      <c r="A9" s="68" t="s">
        <v>142</v>
      </c>
      <c r="B9" s="68"/>
      <c r="C9" s="82"/>
      <c r="D9" s="82"/>
      <c r="E9" s="471">
        <v>0.06</v>
      </c>
      <c r="F9" s="472">
        <v>0.12</v>
      </c>
      <c r="G9" s="472">
        <v>0.08</v>
      </c>
      <c r="H9" s="472">
        <v>0.08</v>
      </c>
      <c r="I9" s="472">
        <v>0.08</v>
      </c>
      <c r="J9" s="472">
        <v>0.08</v>
      </c>
      <c r="K9" s="472">
        <v>0.08</v>
      </c>
      <c r="L9" s="475">
        <v>0.33333333333333331</v>
      </c>
      <c r="M9" s="476">
        <v>0.16666666666666666</v>
      </c>
      <c r="N9" s="476">
        <v>0.16666666666666666</v>
      </c>
      <c r="O9" s="477">
        <v>0.16666666666666666</v>
      </c>
      <c r="P9" s="475">
        <v>0.16666666666666666</v>
      </c>
      <c r="Q9" s="618">
        <v>0</v>
      </c>
      <c r="R9" s="74"/>
      <c r="S9" s="810"/>
    </row>
    <row r="10" spans="1:20" s="95" customFormat="1" ht="12" hidden="1" customHeight="1">
      <c r="A10" s="91"/>
      <c r="B10" s="91"/>
      <c r="C10" s="91"/>
      <c r="D10" s="91"/>
      <c r="E10" s="92"/>
      <c r="F10" s="92"/>
      <c r="G10" s="92"/>
      <c r="H10" s="92"/>
      <c r="I10" s="92"/>
      <c r="J10" s="92"/>
      <c r="K10" s="92"/>
      <c r="L10" s="93"/>
      <c r="M10" s="93"/>
      <c r="N10" s="93"/>
      <c r="O10" s="93"/>
      <c r="P10" s="93"/>
      <c r="Q10" s="596"/>
      <c r="R10" s="93"/>
      <c r="S10" s="811"/>
      <c r="T10" s="93"/>
    </row>
    <row r="11" spans="1:20" s="95" customFormat="1" ht="12" customHeight="1">
      <c r="A11" s="96" t="s">
        <v>9</v>
      </c>
      <c r="B11" s="96"/>
      <c r="C11" s="97"/>
      <c r="D11" s="98"/>
      <c r="E11" s="99"/>
      <c r="F11" s="99"/>
      <c r="G11" s="99"/>
      <c r="H11" s="99"/>
      <c r="I11" s="99"/>
      <c r="J11" s="99"/>
      <c r="K11" s="99"/>
      <c r="L11" s="100"/>
      <c r="M11" s="100"/>
      <c r="N11" s="100"/>
      <c r="O11" s="100"/>
      <c r="P11" s="100"/>
      <c r="Q11" s="597"/>
      <c r="R11" s="100"/>
      <c r="S11" s="812"/>
      <c r="T11" s="100"/>
    </row>
    <row r="12" spans="1:20" s="95" customFormat="1" ht="12" customHeight="1">
      <c r="A12" s="96"/>
      <c r="B12" s="96" t="s">
        <v>255</v>
      </c>
      <c r="C12" s="97"/>
      <c r="D12" s="98"/>
      <c r="E12" s="99"/>
      <c r="F12" s="99"/>
      <c r="G12" s="99"/>
      <c r="H12" s="99"/>
      <c r="I12" s="99"/>
      <c r="J12" s="99"/>
      <c r="K12" s="99"/>
      <c r="L12" s="101"/>
      <c r="M12" s="101"/>
      <c r="N12" s="101"/>
      <c r="O12" s="101"/>
      <c r="P12" s="101"/>
      <c r="Q12" s="598"/>
      <c r="R12" s="101"/>
      <c r="S12" s="813"/>
      <c r="T12" s="101"/>
    </row>
    <row r="13" spans="1:20" s="95" customFormat="1" ht="12" hidden="1" customHeight="1">
      <c r="A13" s="114"/>
      <c r="B13" s="114" t="s">
        <v>186</v>
      </c>
      <c r="C13" s="115"/>
      <c r="D13" s="116" t="s">
        <v>176</v>
      </c>
      <c r="E13" s="117">
        <v>0</v>
      </c>
      <c r="F13" s="118">
        <v>0</v>
      </c>
      <c r="G13" s="118">
        <v>0</v>
      </c>
      <c r="H13" s="118">
        <v>8283775.2798749981</v>
      </c>
      <c r="I13" s="118">
        <v>0</v>
      </c>
      <c r="J13" s="118">
        <v>0</v>
      </c>
      <c r="K13" s="118">
        <v>4029944.7307499987</v>
      </c>
      <c r="L13" s="118">
        <v>0</v>
      </c>
      <c r="M13" s="117">
        <v>0</v>
      </c>
      <c r="N13" s="117">
        <v>0</v>
      </c>
      <c r="O13" s="117">
        <v>0</v>
      </c>
      <c r="P13" s="117">
        <v>0</v>
      </c>
      <c r="Q13" s="599">
        <v>0</v>
      </c>
      <c r="R13" s="339"/>
      <c r="S13" s="213">
        <v>12313720.010624997</v>
      </c>
      <c r="T13" s="117"/>
    </row>
    <row r="14" spans="1:20" s="112" customFormat="1" ht="12" hidden="1" customHeight="1">
      <c r="A14" s="114"/>
      <c r="B14" s="114" t="s">
        <v>186</v>
      </c>
      <c r="C14" s="115"/>
      <c r="D14" s="116" t="s">
        <v>177</v>
      </c>
      <c r="E14" s="312">
        <v>0</v>
      </c>
      <c r="F14" s="312">
        <v>0</v>
      </c>
      <c r="G14" s="312">
        <v>0</v>
      </c>
      <c r="H14" s="312">
        <v>0</v>
      </c>
      <c r="I14" s="312">
        <v>0</v>
      </c>
      <c r="J14" s="312">
        <v>0</v>
      </c>
      <c r="K14" s="312">
        <v>0</v>
      </c>
      <c r="L14" s="312">
        <v>0</v>
      </c>
      <c r="M14" s="310">
        <v>2014972.3653749996</v>
      </c>
      <c r="N14" s="310">
        <v>2014972.3653749994</v>
      </c>
      <c r="O14" s="310">
        <v>2014972.3653749994</v>
      </c>
      <c r="P14" s="310">
        <v>2014972.3653749994</v>
      </c>
      <c r="Q14" s="619">
        <v>2014972.3653749973</v>
      </c>
      <c r="R14" s="340"/>
      <c r="S14" s="213">
        <v>10074861.826874994</v>
      </c>
      <c r="T14" s="118"/>
    </row>
    <row r="15" spans="1:20" s="112" customFormat="1" ht="12" customHeight="1">
      <c r="A15" s="109"/>
      <c r="B15" s="109" t="s">
        <v>186</v>
      </c>
      <c r="C15" s="102">
        <v>8011</v>
      </c>
      <c r="D15" s="104" t="s">
        <v>258</v>
      </c>
      <c r="E15" s="99">
        <v>0</v>
      </c>
      <c r="F15" s="99">
        <v>0</v>
      </c>
      <c r="G15" s="99">
        <v>0</v>
      </c>
      <c r="H15" s="99">
        <v>8283775.2798749981</v>
      </c>
      <c r="I15" s="99">
        <v>0</v>
      </c>
      <c r="J15" s="99">
        <v>0</v>
      </c>
      <c r="K15" s="99">
        <v>4029944.7307499987</v>
      </c>
      <c r="L15" s="99">
        <v>0</v>
      </c>
      <c r="M15" s="99">
        <v>2014972.3653749996</v>
      </c>
      <c r="N15" s="99">
        <v>2014972.3653749994</v>
      </c>
      <c r="O15" s="99">
        <v>2014972.3653749994</v>
      </c>
      <c r="P15" s="99">
        <v>2014972.3653749994</v>
      </c>
      <c r="Q15" s="600">
        <v>2014972.3653749973</v>
      </c>
      <c r="R15" s="99"/>
      <c r="S15" s="213">
        <v>22388581.837499995</v>
      </c>
      <c r="T15" s="99"/>
    </row>
    <row r="16" spans="1:20" s="112" customFormat="1" ht="12" customHeight="1">
      <c r="A16" s="109"/>
      <c r="B16" s="109" t="s">
        <v>186</v>
      </c>
      <c r="C16" s="102">
        <v>8012</v>
      </c>
      <c r="D16" s="223" t="s">
        <v>257</v>
      </c>
      <c r="E16" s="99">
        <v>0</v>
      </c>
      <c r="F16" s="99">
        <v>0</v>
      </c>
      <c r="G16" s="99">
        <v>137085</v>
      </c>
      <c r="H16" s="99">
        <v>0</v>
      </c>
      <c r="I16" s="99">
        <v>0</v>
      </c>
      <c r="J16" s="99">
        <v>137085</v>
      </c>
      <c r="K16" s="99">
        <v>0</v>
      </c>
      <c r="L16" s="99">
        <v>0</v>
      </c>
      <c r="M16" s="808">
        <v>0</v>
      </c>
      <c r="N16" s="99">
        <v>137085</v>
      </c>
      <c r="O16" s="99">
        <v>0</v>
      </c>
      <c r="P16" s="99">
        <v>0</v>
      </c>
      <c r="Q16" s="600">
        <v>137085</v>
      </c>
      <c r="R16" s="99"/>
      <c r="S16" s="213">
        <v>548340</v>
      </c>
      <c r="T16" s="99"/>
    </row>
    <row r="17" spans="1:20" s="112" customFormat="1" ht="12" customHeight="1">
      <c r="A17" s="109"/>
      <c r="B17" s="109" t="s">
        <v>186</v>
      </c>
      <c r="C17" s="102">
        <v>8019</v>
      </c>
      <c r="D17" s="104" t="s">
        <v>256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>
        <v>0</v>
      </c>
      <c r="L17" s="99">
        <v>0</v>
      </c>
      <c r="M17" s="99">
        <v>0</v>
      </c>
      <c r="N17" s="99">
        <v>0</v>
      </c>
      <c r="O17" s="99">
        <v>0</v>
      </c>
      <c r="P17" s="99">
        <v>0</v>
      </c>
      <c r="Q17" s="601">
        <v>0</v>
      </c>
      <c r="R17" s="99"/>
      <c r="S17" s="213">
        <v>0</v>
      </c>
      <c r="T17" s="99"/>
    </row>
    <row r="18" spans="1:20" s="112" customFormat="1" ht="12" customHeight="1">
      <c r="A18" s="109"/>
      <c r="B18" s="109" t="s">
        <v>186</v>
      </c>
      <c r="C18" s="102">
        <v>8096</v>
      </c>
      <c r="D18" s="103" t="s">
        <v>8</v>
      </c>
      <c r="E18" s="376">
        <v>0</v>
      </c>
      <c r="F18" s="376">
        <v>0</v>
      </c>
      <c r="G18" s="376">
        <v>324022.33110000001</v>
      </c>
      <c r="H18" s="376">
        <v>99699.178799999994</v>
      </c>
      <c r="I18" s="376">
        <v>99699.178799999994</v>
      </c>
      <c r="J18" s="376">
        <v>99699.178799999994</v>
      </c>
      <c r="K18" s="376">
        <v>99699.178799999994</v>
      </c>
      <c r="L18" s="99">
        <v>174473.56289999996</v>
      </c>
      <c r="M18" s="99">
        <v>87236.78144999998</v>
      </c>
      <c r="N18" s="99">
        <v>87236.78144999998</v>
      </c>
      <c r="O18" s="99">
        <v>87236.78144999998</v>
      </c>
      <c r="P18" s="99">
        <v>87236.781450000024</v>
      </c>
      <c r="Q18" s="602">
        <v>0</v>
      </c>
      <c r="R18" s="99"/>
      <c r="S18" s="213">
        <v>1246239.7349999999</v>
      </c>
      <c r="T18" s="99"/>
    </row>
    <row r="19" spans="1:20" s="95" customFormat="1" ht="12" customHeight="1">
      <c r="A19" s="96"/>
      <c r="B19" s="96" t="s">
        <v>186</v>
      </c>
      <c r="C19" s="102"/>
      <c r="D19" s="103"/>
      <c r="E19" s="215">
        <v>0</v>
      </c>
      <c r="F19" s="215">
        <v>0</v>
      </c>
      <c r="G19" s="215">
        <v>461107.33110000001</v>
      </c>
      <c r="H19" s="215">
        <v>8383474.458674998</v>
      </c>
      <c r="I19" s="215">
        <v>99699.178799999994</v>
      </c>
      <c r="J19" s="215">
        <v>236784.17879999999</v>
      </c>
      <c r="K19" s="215">
        <v>4129643.9095499986</v>
      </c>
      <c r="L19" s="215">
        <v>174473.56289999996</v>
      </c>
      <c r="M19" s="215">
        <v>2239294.1468249997</v>
      </c>
      <c r="N19" s="215">
        <v>2102209.1468249992</v>
      </c>
      <c r="O19" s="215">
        <v>2102209.1468249992</v>
      </c>
      <c r="P19" s="215">
        <v>2102209.1468249992</v>
      </c>
      <c r="Q19" s="603">
        <v>2152057.3653749973</v>
      </c>
      <c r="R19" s="101"/>
      <c r="S19" s="814">
        <v>24183161.572499994</v>
      </c>
      <c r="T19" s="101"/>
    </row>
    <row r="20" spans="1:20" s="95" customFormat="1" ht="12.5" customHeight="1">
      <c r="A20" s="91"/>
      <c r="B20" s="91" t="s">
        <v>282</v>
      </c>
      <c r="C20" s="91"/>
      <c r="D20" s="91"/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602">
        <v>0</v>
      </c>
      <c r="R20" s="92"/>
      <c r="S20" s="340">
        <v>0</v>
      </c>
      <c r="T20" s="92"/>
    </row>
    <row r="21" spans="1:20" s="95" customFormat="1" ht="12" customHeight="1">
      <c r="A21" s="91"/>
      <c r="B21" s="91" t="s">
        <v>186</v>
      </c>
      <c r="C21" s="102">
        <v>8181</v>
      </c>
      <c r="D21" s="105" t="s">
        <v>269</v>
      </c>
      <c r="E21" s="94">
        <v>0</v>
      </c>
      <c r="F21" s="94">
        <v>0</v>
      </c>
      <c r="G21" s="92">
        <v>74135.567999999999</v>
      </c>
      <c r="H21" s="92">
        <v>22810.944</v>
      </c>
      <c r="I21" s="92">
        <v>22810.944</v>
      </c>
      <c r="J21" s="92">
        <v>22810.944</v>
      </c>
      <c r="K21" s="92">
        <v>22810.944</v>
      </c>
      <c r="L21" s="92">
        <v>23951.491200000004</v>
      </c>
      <c r="M21" s="92">
        <v>23951.4912</v>
      </c>
      <c r="N21" s="92">
        <v>23951.4912</v>
      </c>
      <c r="O21" s="92">
        <v>23951.4912</v>
      </c>
      <c r="P21" s="92">
        <v>23951.4912</v>
      </c>
      <c r="Q21" s="602">
        <v>5.8207660913467407E-11</v>
      </c>
      <c r="R21" s="99"/>
      <c r="S21" s="213">
        <v>285136.8</v>
      </c>
      <c r="T21" s="99"/>
    </row>
    <row r="22" spans="1:20" s="95" customFormat="1" ht="12" customHeight="1">
      <c r="A22" s="91"/>
      <c r="B22" s="91" t="s">
        <v>186</v>
      </c>
      <c r="C22" s="102">
        <v>8182</v>
      </c>
      <c r="D22" s="105" t="s">
        <v>270</v>
      </c>
      <c r="E22" s="99">
        <v>0</v>
      </c>
      <c r="F22" s="99">
        <v>0</v>
      </c>
      <c r="G22" s="99">
        <v>0</v>
      </c>
      <c r="H22" s="99">
        <v>0</v>
      </c>
      <c r="I22" s="99">
        <v>0</v>
      </c>
      <c r="J22" s="99">
        <v>0</v>
      </c>
      <c r="K22" s="99">
        <v>0</v>
      </c>
      <c r="L22" s="99">
        <v>0</v>
      </c>
      <c r="M22" s="99">
        <v>0</v>
      </c>
      <c r="N22" s="99">
        <v>0</v>
      </c>
      <c r="O22" s="99">
        <v>0</v>
      </c>
      <c r="P22" s="99">
        <v>0</v>
      </c>
      <c r="Q22" s="602">
        <v>0</v>
      </c>
      <c r="R22" s="99"/>
      <c r="S22" s="213">
        <v>0</v>
      </c>
      <c r="T22" s="99"/>
    </row>
    <row r="23" spans="1:20" s="95" customFormat="1" ht="12" customHeight="1">
      <c r="A23" s="91"/>
      <c r="B23" s="91" t="s">
        <v>186</v>
      </c>
      <c r="C23" s="102">
        <v>8220</v>
      </c>
      <c r="D23" s="103" t="s">
        <v>12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602">
        <v>0</v>
      </c>
      <c r="R23" s="92"/>
      <c r="S23" s="213">
        <v>0</v>
      </c>
      <c r="T23" s="92"/>
    </row>
    <row r="24" spans="1:20" s="95" customFormat="1" ht="12" customHeight="1">
      <c r="A24" s="91"/>
      <c r="B24" s="91" t="s">
        <v>186</v>
      </c>
      <c r="C24" s="102">
        <v>8290</v>
      </c>
      <c r="D24" s="103" t="s">
        <v>116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2">
        <v>0</v>
      </c>
      <c r="M24" s="92">
        <v>0</v>
      </c>
      <c r="N24" s="92">
        <v>0</v>
      </c>
      <c r="O24" s="92">
        <v>0</v>
      </c>
      <c r="P24" s="92">
        <v>0</v>
      </c>
      <c r="Q24" s="602">
        <v>0</v>
      </c>
      <c r="R24" s="107"/>
      <c r="S24" s="213">
        <v>0</v>
      </c>
      <c r="T24" s="107"/>
    </row>
    <row r="25" spans="1:20" s="95" customFormat="1" ht="12" customHeight="1">
      <c r="A25" s="91"/>
      <c r="B25" s="91" t="s">
        <v>186</v>
      </c>
      <c r="C25" s="102">
        <v>8291</v>
      </c>
      <c r="D25" s="103" t="s">
        <v>117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356">
        <v>0</v>
      </c>
      <c r="N25" s="92">
        <v>0</v>
      </c>
      <c r="O25" s="92">
        <v>0</v>
      </c>
      <c r="P25" s="92">
        <v>0</v>
      </c>
      <c r="Q25" s="602">
        <v>0</v>
      </c>
      <c r="R25" s="92"/>
      <c r="S25" s="213">
        <v>0</v>
      </c>
      <c r="T25" s="92"/>
    </row>
    <row r="26" spans="1:20" s="95" customFormat="1" ht="12" customHeight="1">
      <c r="A26" s="91"/>
      <c r="B26" s="91" t="s">
        <v>186</v>
      </c>
      <c r="C26" s="102">
        <v>8293</v>
      </c>
      <c r="D26" s="103" t="s">
        <v>118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2">
        <v>0</v>
      </c>
      <c r="M26" s="92">
        <v>0</v>
      </c>
      <c r="N26" s="92">
        <v>0</v>
      </c>
      <c r="O26" s="92">
        <v>0</v>
      </c>
      <c r="P26" s="92">
        <v>0</v>
      </c>
      <c r="Q26" s="602">
        <v>0</v>
      </c>
      <c r="R26" s="92"/>
      <c r="S26" s="213">
        <v>0</v>
      </c>
      <c r="T26" s="92"/>
    </row>
    <row r="27" spans="1:20" s="95" customFormat="1" ht="12" customHeight="1">
      <c r="A27" s="91"/>
      <c r="B27" s="91" t="s">
        <v>186</v>
      </c>
      <c r="C27" s="102">
        <v>8294</v>
      </c>
      <c r="D27" s="103" t="s">
        <v>263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602">
        <v>0</v>
      </c>
      <c r="R27" s="92"/>
      <c r="S27" s="213">
        <v>0</v>
      </c>
      <c r="T27" s="92"/>
    </row>
    <row r="28" spans="1:20" s="95" customFormat="1" ht="12" customHeight="1">
      <c r="A28" s="91"/>
      <c r="B28" s="91" t="s">
        <v>186</v>
      </c>
      <c r="C28" s="102">
        <v>8295</v>
      </c>
      <c r="D28" s="103" t="s">
        <v>264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2">
        <v>0</v>
      </c>
      <c r="M28" s="92">
        <v>0</v>
      </c>
      <c r="N28" s="92">
        <v>0</v>
      </c>
      <c r="O28" s="92">
        <v>0</v>
      </c>
      <c r="P28" s="92">
        <v>0</v>
      </c>
      <c r="Q28" s="602">
        <v>0</v>
      </c>
      <c r="R28" s="92"/>
      <c r="S28" s="213">
        <v>0</v>
      </c>
      <c r="T28" s="92"/>
    </row>
    <row r="29" spans="1:20" s="95" customFormat="1" ht="12" customHeight="1">
      <c r="A29" s="91"/>
      <c r="B29" s="91" t="s">
        <v>186</v>
      </c>
      <c r="C29" s="102">
        <v>8296</v>
      </c>
      <c r="D29" s="103" t="s">
        <v>133</v>
      </c>
      <c r="E29" s="99">
        <v>0</v>
      </c>
      <c r="F29" s="99">
        <v>0</v>
      </c>
      <c r="G29" s="99">
        <v>0</v>
      </c>
      <c r="H29" s="99">
        <v>0</v>
      </c>
      <c r="I29" s="99">
        <v>0</v>
      </c>
      <c r="J29" s="99">
        <v>0</v>
      </c>
      <c r="K29" s="99">
        <v>0</v>
      </c>
      <c r="L29" s="99">
        <v>0</v>
      </c>
      <c r="M29" s="99">
        <v>0</v>
      </c>
      <c r="N29" s="99">
        <v>0</v>
      </c>
      <c r="O29" s="99">
        <v>0</v>
      </c>
      <c r="P29" s="99">
        <v>0</v>
      </c>
      <c r="Q29" s="602">
        <v>0</v>
      </c>
      <c r="R29" s="92"/>
      <c r="S29" s="213">
        <v>0</v>
      </c>
      <c r="T29" s="92"/>
    </row>
    <row r="30" spans="1:20" s="95" customFormat="1" ht="12" customHeight="1">
      <c r="A30" s="91"/>
      <c r="B30" s="91"/>
      <c r="C30" s="102">
        <v>8299</v>
      </c>
      <c r="D30" s="103" t="s">
        <v>385</v>
      </c>
      <c r="E30" s="99">
        <v>0</v>
      </c>
      <c r="F30" s="99">
        <v>0</v>
      </c>
      <c r="G30" s="99">
        <v>0</v>
      </c>
      <c r="H30" s="99">
        <v>0</v>
      </c>
      <c r="I30" s="99">
        <v>0</v>
      </c>
      <c r="J30" s="99">
        <v>0</v>
      </c>
      <c r="K30" s="99">
        <v>0</v>
      </c>
      <c r="L30" s="99">
        <v>0</v>
      </c>
      <c r="M30" s="99">
        <v>0</v>
      </c>
      <c r="N30" s="99">
        <v>0</v>
      </c>
      <c r="O30" s="99">
        <v>0</v>
      </c>
      <c r="P30" s="99">
        <v>0</v>
      </c>
      <c r="Q30" s="602">
        <v>0</v>
      </c>
      <c r="R30" s="92"/>
      <c r="S30" s="213">
        <v>0</v>
      </c>
      <c r="T30" s="92"/>
    </row>
    <row r="31" spans="1:20" s="112" customFormat="1" ht="12" customHeight="1">
      <c r="A31" s="109"/>
      <c r="B31" s="109" t="s">
        <v>186</v>
      </c>
      <c r="C31" s="109"/>
      <c r="D31" s="110"/>
      <c r="E31" s="111">
        <v>0</v>
      </c>
      <c r="F31" s="111">
        <v>0</v>
      </c>
      <c r="G31" s="111">
        <v>74135.567999999999</v>
      </c>
      <c r="H31" s="111">
        <v>22810.944</v>
      </c>
      <c r="I31" s="111">
        <v>22810.944</v>
      </c>
      <c r="J31" s="111">
        <v>22810.944</v>
      </c>
      <c r="K31" s="111">
        <v>22810.944</v>
      </c>
      <c r="L31" s="111">
        <v>23951.491200000004</v>
      </c>
      <c r="M31" s="111">
        <v>23951.4912</v>
      </c>
      <c r="N31" s="111">
        <v>23951.4912</v>
      </c>
      <c r="O31" s="111">
        <v>23951.4912</v>
      </c>
      <c r="P31" s="111">
        <v>23951.4912</v>
      </c>
      <c r="Q31" s="604">
        <v>5.8207660913467407E-11</v>
      </c>
      <c r="R31" s="99"/>
      <c r="S31" s="815">
        <v>285136.8</v>
      </c>
      <c r="T31" s="99"/>
    </row>
    <row r="32" spans="1:20" s="95" customFormat="1" ht="12" customHeight="1">
      <c r="A32" s="91"/>
      <c r="B32" s="96" t="s">
        <v>168</v>
      </c>
      <c r="C32" s="91"/>
      <c r="D32" s="91"/>
      <c r="E32" s="99">
        <v>0</v>
      </c>
      <c r="F32" s="99">
        <v>0</v>
      </c>
      <c r="G32" s="99">
        <v>0</v>
      </c>
      <c r="H32" s="99">
        <v>0</v>
      </c>
      <c r="I32" s="99">
        <v>0</v>
      </c>
      <c r="J32" s="99">
        <v>0</v>
      </c>
      <c r="K32" s="99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598">
        <v>0</v>
      </c>
      <c r="R32" s="101"/>
      <c r="S32" s="813">
        <v>0</v>
      </c>
      <c r="T32" s="101"/>
    </row>
    <row r="33" spans="1:20" s="95" customFormat="1" ht="12" customHeight="1">
      <c r="A33" s="91"/>
      <c r="B33" s="91" t="s">
        <v>186</v>
      </c>
      <c r="C33" s="102">
        <v>8311</v>
      </c>
      <c r="D33" s="105" t="s">
        <v>261</v>
      </c>
      <c r="E33" s="92">
        <v>0</v>
      </c>
      <c r="F33" s="92">
        <v>0</v>
      </c>
      <c r="G33" s="92">
        <v>337174.266</v>
      </c>
      <c r="H33" s="92">
        <v>103745.92799999999</v>
      </c>
      <c r="I33" s="92">
        <v>103745.92799999999</v>
      </c>
      <c r="J33" s="92">
        <v>103745.92799999999</v>
      </c>
      <c r="K33" s="92">
        <v>103745.92799999999</v>
      </c>
      <c r="L33" s="92">
        <v>108933.22440000001</v>
      </c>
      <c r="M33" s="92">
        <v>108933.22439999999</v>
      </c>
      <c r="N33" s="92">
        <v>108933.22439999999</v>
      </c>
      <c r="O33" s="92">
        <v>108933.22439999999</v>
      </c>
      <c r="P33" s="92">
        <v>108933.22439999999</v>
      </c>
      <c r="Q33" s="602">
        <v>2.3283064365386963E-10</v>
      </c>
      <c r="R33" s="99"/>
      <c r="S33" s="213">
        <v>1296824.0999999999</v>
      </c>
      <c r="T33" s="99"/>
    </row>
    <row r="34" spans="1:20" s="95" customFormat="1" ht="12" customHeight="1">
      <c r="A34" s="91"/>
      <c r="B34" s="91" t="s">
        <v>186</v>
      </c>
      <c r="C34" s="102">
        <v>8520</v>
      </c>
      <c r="D34" s="103" t="s">
        <v>121</v>
      </c>
      <c r="E34" s="94">
        <v>0</v>
      </c>
      <c r="F34" s="94">
        <v>0</v>
      </c>
      <c r="G34" s="92">
        <v>0</v>
      </c>
      <c r="H34" s="92">
        <v>0</v>
      </c>
      <c r="I34" s="92">
        <v>0</v>
      </c>
      <c r="J34" s="92">
        <v>0</v>
      </c>
      <c r="K34" s="92">
        <v>0</v>
      </c>
      <c r="L34" s="92">
        <v>0</v>
      </c>
      <c r="M34" s="92">
        <v>0</v>
      </c>
      <c r="N34" s="92">
        <v>0</v>
      </c>
      <c r="O34" s="92">
        <v>0</v>
      </c>
      <c r="P34" s="92">
        <v>0</v>
      </c>
      <c r="Q34" s="602">
        <v>0</v>
      </c>
      <c r="R34" s="92"/>
      <c r="S34" s="213">
        <v>0</v>
      </c>
      <c r="T34" s="92"/>
    </row>
    <row r="35" spans="1:20" s="95" customFormat="1" ht="12" customHeight="1">
      <c r="A35" s="91"/>
      <c r="B35" s="91" t="s">
        <v>186</v>
      </c>
      <c r="C35" s="102">
        <v>8545</v>
      </c>
      <c r="D35" s="103" t="s">
        <v>260</v>
      </c>
      <c r="E35" s="92">
        <v>0</v>
      </c>
      <c r="F35" s="92">
        <v>0</v>
      </c>
      <c r="G35" s="92">
        <v>0</v>
      </c>
      <c r="H35" s="92">
        <v>0</v>
      </c>
      <c r="I35" s="92">
        <v>0</v>
      </c>
      <c r="J35" s="94">
        <v>0</v>
      </c>
      <c r="K35" s="94">
        <v>0</v>
      </c>
      <c r="L35" s="92">
        <v>0</v>
      </c>
      <c r="M35" s="92">
        <v>0</v>
      </c>
      <c r="N35" s="92">
        <v>0</v>
      </c>
      <c r="O35" s="94">
        <v>0</v>
      </c>
      <c r="P35" s="92">
        <v>0</v>
      </c>
      <c r="Q35" s="606">
        <v>0</v>
      </c>
      <c r="R35" s="92"/>
      <c r="S35" s="213">
        <v>0</v>
      </c>
      <c r="T35" s="92"/>
    </row>
    <row r="36" spans="1:20" s="95" customFormat="1" ht="12" customHeight="1">
      <c r="A36" s="91"/>
      <c r="B36" s="91" t="s">
        <v>186</v>
      </c>
      <c r="C36" s="102">
        <v>8550</v>
      </c>
      <c r="D36" s="103" t="s">
        <v>262</v>
      </c>
      <c r="E36" s="92">
        <v>0</v>
      </c>
      <c r="F36" s="92">
        <v>0</v>
      </c>
      <c r="G36" s="92">
        <v>0</v>
      </c>
      <c r="H36" s="92">
        <v>0</v>
      </c>
      <c r="I36" s="92">
        <v>0</v>
      </c>
      <c r="J36" s="92">
        <v>0</v>
      </c>
      <c r="K36" s="92">
        <v>0</v>
      </c>
      <c r="L36" s="92">
        <v>0</v>
      </c>
      <c r="M36" s="92">
        <v>0</v>
      </c>
      <c r="N36" s="92">
        <v>0</v>
      </c>
      <c r="O36" s="92">
        <v>0</v>
      </c>
      <c r="P36" s="92">
        <v>0</v>
      </c>
      <c r="Q36" s="606">
        <v>0</v>
      </c>
      <c r="R36" s="92"/>
      <c r="S36" s="213">
        <v>0</v>
      </c>
      <c r="T36" s="92"/>
    </row>
    <row r="37" spans="1:20" s="95" customFormat="1" ht="12" customHeight="1">
      <c r="A37" s="109"/>
      <c r="B37" s="109" t="s">
        <v>186</v>
      </c>
      <c r="C37" s="102">
        <v>8560</v>
      </c>
      <c r="D37" s="103" t="s">
        <v>120</v>
      </c>
      <c r="E37" s="92">
        <v>0</v>
      </c>
      <c r="F37" s="92">
        <v>0</v>
      </c>
      <c r="G37" s="92">
        <v>0</v>
      </c>
      <c r="H37" s="92">
        <v>0</v>
      </c>
      <c r="I37" s="92">
        <v>0</v>
      </c>
      <c r="J37" s="92">
        <v>0</v>
      </c>
      <c r="K37" s="92">
        <v>0</v>
      </c>
      <c r="L37" s="92">
        <v>0</v>
      </c>
      <c r="M37" s="92">
        <v>0</v>
      </c>
      <c r="N37" s="92">
        <v>0</v>
      </c>
      <c r="O37" s="92">
        <v>0</v>
      </c>
      <c r="P37" s="92">
        <v>0</v>
      </c>
      <c r="Q37" s="602">
        <v>559306.79999999993</v>
      </c>
      <c r="R37" s="92"/>
      <c r="S37" s="213">
        <v>559306.79999999993</v>
      </c>
      <c r="T37" s="92"/>
    </row>
    <row r="38" spans="1:20" s="95" customFormat="1" ht="12" customHeight="1">
      <c r="A38" s="109"/>
      <c r="B38" s="109" t="s">
        <v>186</v>
      </c>
      <c r="C38" s="102">
        <v>8598</v>
      </c>
      <c r="D38" s="103" t="s">
        <v>242</v>
      </c>
      <c r="E38" s="99">
        <v>0</v>
      </c>
      <c r="F38" s="99">
        <v>0</v>
      </c>
      <c r="G38" s="99">
        <v>0</v>
      </c>
      <c r="H38" s="99">
        <v>0</v>
      </c>
      <c r="I38" s="99">
        <v>0</v>
      </c>
      <c r="J38" s="99">
        <v>0</v>
      </c>
      <c r="K38" s="99">
        <v>0</v>
      </c>
      <c r="L38" s="99">
        <v>0</v>
      </c>
      <c r="M38" s="99">
        <v>0</v>
      </c>
      <c r="N38" s="99">
        <v>0</v>
      </c>
      <c r="O38" s="99">
        <v>0</v>
      </c>
      <c r="P38" s="99">
        <v>0</v>
      </c>
      <c r="Q38" s="602">
        <v>0</v>
      </c>
      <c r="R38" s="92"/>
      <c r="S38" s="213">
        <v>0</v>
      </c>
      <c r="T38" s="92"/>
    </row>
    <row r="39" spans="1:20" s="95" customFormat="1" ht="12" customHeight="1">
      <c r="A39" s="91"/>
      <c r="B39" s="91" t="s">
        <v>186</v>
      </c>
      <c r="C39" s="102">
        <v>8599</v>
      </c>
      <c r="D39" s="103" t="s">
        <v>168</v>
      </c>
      <c r="E39" s="92">
        <v>0</v>
      </c>
      <c r="F39" s="92">
        <v>0</v>
      </c>
      <c r="G39" s="92">
        <v>0</v>
      </c>
      <c r="H39" s="92">
        <v>0</v>
      </c>
      <c r="I39" s="94">
        <v>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2">
        <v>0</v>
      </c>
      <c r="P39" s="92">
        <v>0</v>
      </c>
      <c r="Q39" s="606">
        <v>0</v>
      </c>
      <c r="R39" s="92"/>
      <c r="S39" s="213">
        <v>0</v>
      </c>
      <c r="T39" s="92"/>
    </row>
    <row r="40" spans="1:20" s="112" customFormat="1" ht="12" customHeight="1">
      <c r="A40" s="109"/>
      <c r="B40" s="109" t="s">
        <v>186</v>
      </c>
      <c r="C40" s="109"/>
      <c r="D40" s="110"/>
      <c r="E40" s="111">
        <v>0</v>
      </c>
      <c r="F40" s="111">
        <v>0</v>
      </c>
      <c r="G40" s="111">
        <v>337174.266</v>
      </c>
      <c r="H40" s="111">
        <v>103745.92799999999</v>
      </c>
      <c r="I40" s="111">
        <v>103745.92799999999</v>
      </c>
      <c r="J40" s="111">
        <v>103745.92799999999</v>
      </c>
      <c r="K40" s="111">
        <v>103745.92799999999</v>
      </c>
      <c r="L40" s="111">
        <v>108933.22440000001</v>
      </c>
      <c r="M40" s="111">
        <v>108933.22439999999</v>
      </c>
      <c r="N40" s="111">
        <v>108933.22439999999</v>
      </c>
      <c r="O40" s="111">
        <v>108933.22439999999</v>
      </c>
      <c r="P40" s="111">
        <v>108933.22439999999</v>
      </c>
      <c r="Q40" s="604">
        <v>559306.80000000016</v>
      </c>
      <c r="R40" s="99"/>
      <c r="S40" s="814">
        <v>1856130.9</v>
      </c>
      <c r="T40" s="99"/>
    </row>
    <row r="41" spans="1:20" s="112" customFormat="1" ht="12" customHeight="1">
      <c r="A41" s="109"/>
      <c r="B41" s="120" t="s">
        <v>283</v>
      </c>
      <c r="C41" s="102"/>
      <c r="D41" s="103"/>
      <c r="E41" s="99">
        <v>0</v>
      </c>
      <c r="F41" s="99">
        <v>0</v>
      </c>
      <c r="G41" s="99">
        <v>0</v>
      </c>
      <c r="H41" s="99">
        <v>0</v>
      </c>
      <c r="I41" s="99">
        <v>0</v>
      </c>
      <c r="J41" s="99">
        <v>0</v>
      </c>
      <c r="K41" s="99">
        <v>0</v>
      </c>
      <c r="L41" s="99">
        <v>0</v>
      </c>
      <c r="M41" s="99">
        <v>0</v>
      </c>
      <c r="N41" s="99">
        <v>0</v>
      </c>
      <c r="O41" s="99">
        <v>0</v>
      </c>
      <c r="P41" s="99">
        <v>0</v>
      </c>
      <c r="Q41" s="600">
        <v>0</v>
      </c>
      <c r="R41" s="99"/>
      <c r="S41" s="213">
        <v>0</v>
      </c>
      <c r="T41" s="99"/>
    </row>
    <row r="42" spans="1:20" s="95" customFormat="1" ht="12" customHeight="1">
      <c r="A42" s="91"/>
      <c r="B42" s="91" t="s">
        <v>186</v>
      </c>
      <c r="C42" s="102">
        <v>8634</v>
      </c>
      <c r="D42" s="104" t="s">
        <v>14</v>
      </c>
      <c r="E42" s="92">
        <v>0</v>
      </c>
      <c r="F42" s="92">
        <v>0</v>
      </c>
      <c r="G42" s="92">
        <v>0</v>
      </c>
      <c r="H42" s="92">
        <v>0</v>
      </c>
      <c r="I42" s="92">
        <v>0</v>
      </c>
      <c r="J42" s="92">
        <v>0</v>
      </c>
      <c r="K42" s="92">
        <v>0</v>
      </c>
      <c r="L42" s="92">
        <v>0</v>
      </c>
      <c r="M42" s="92">
        <v>0</v>
      </c>
      <c r="N42" s="92">
        <v>0</v>
      </c>
      <c r="O42" s="92">
        <v>0</v>
      </c>
      <c r="P42" s="92">
        <v>0</v>
      </c>
      <c r="Q42" s="602">
        <v>0</v>
      </c>
      <c r="R42" s="92"/>
      <c r="S42" s="213">
        <v>0</v>
      </c>
      <c r="T42" s="92"/>
    </row>
    <row r="43" spans="1:20" s="95" customFormat="1" ht="12" customHeight="1">
      <c r="A43" s="91"/>
      <c r="B43" s="91" t="s">
        <v>186</v>
      </c>
      <c r="C43" s="102">
        <v>8650</v>
      </c>
      <c r="D43" s="104" t="s">
        <v>15</v>
      </c>
      <c r="E43" s="92">
        <v>0</v>
      </c>
      <c r="F43" s="92">
        <v>0</v>
      </c>
      <c r="G43" s="92">
        <v>0</v>
      </c>
      <c r="H43" s="92">
        <v>0</v>
      </c>
      <c r="I43" s="92">
        <v>0</v>
      </c>
      <c r="J43" s="92">
        <v>0</v>
      </c>
      <c r="K43" s="92">
        <v>0</v>
      </c>
      <c r="L43" s="92">
        <v>0</v>
      </c>
      <c r="M43" s="92">
        <v>0</v>
      </c>
      <c r="N43" s="92">
        <v>0</v>
      </c>
      <c r="O43" s="92">
        <v>0</v>
      </c>
      <c r="P43" s="92">
        <v>0</v>
      </c>
      <c r="Q43" s="602">
        <v>0</v>
      </c>
      <c r="R43" s="92"/>
      <c r="S43" s="213">
        <v>0</v>
      </c>
      <c r="T43" s="92"/>
    </row>
    <row r="44" spans="1:20" s="95" customFormat="1" ht="12" customHeight="1">
      <c r="A44" s="91"/>
      <c r="B44" s="91" t="s">
        <v>186</v>
      </c>
      <c r="C44" s="102">
        <v>8660</v>
      </c>
      <c r="D44" s="104" t="s">
        <v>16</v>
      </c>
      <c r="E44" s="92">
        <v>0</v>
      </c>
      <c r="F44" s="92">
        <v>0</v>
      </c>
      <c r="G44" s="92">
        <v>0</v>
      </c>
      <c r="H44" s="92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602">
        <v>0</v>
      </c>
      <c r="R44" s="92"/>
      <c r="S44" s="213">
        <v>0</v>
      </c>
      <c r="T44" s="92"/>
    </row>
    <row r="45" spans="1:20" s="95" customFormat="1" ht="12" customHeight="1">
      <c r="A45" s="91"/>
      <c r="B45" s="91" t="s">
        <v>186</v>
      </c>
      <c r="C45" s="102">
        <v>8689</v>
      </c>
      <c r="D45" s="104" t="s">
        <v>105</v>
      </c>
      <c r="E45" s="92">
        <v>0</v>
      </c>
      <c r="F45" s="92">
        <v>0</v>
      </c>
      <c r="G45" s="92">
        <v>0</v>
      </c>
      <c r="H45" s="92">
        <v>0</v>
      </c>
      <c r="I45" s="92">
        <v>0</v>
      </c>
      <c r="J45" s="92">
        <v>0</v>
      </c>
      <c r="K45" s="92">
        <v>0</v>
      </c>
      <c r="L45" s="92">
        <v>0</v>
      </c>
      <c r="M45" s="92">
        <v>0</v>
      </c>
      <c r="N45" s="92">
        <v>0</v>
      </c>
      <c r="O45" s="92">
        <v>0</v>
      </c>
      <c r="P45" s="92">
        <v>0</v>
      </c>
      <c r="Q45" s="602">
        <v>0</v>
      </c>
      <c r="R45" s="92"/>
      <c r="S45" s="213">
        <v>0</v>
      </c>
      <c r="T45" s="92"/>
    </row>
    <row r="46" spans="1:20" s="95" customFormat="1" ht="12" customHeight="1">
      <c r="A46" s="91"/>
      <c r="B46" s="91" t="s">
        <v>186</v>
      </c>
      <c r="C46" s="102">
        <v>8698</v>
      </c>
      <c r="D46" s="104" t="s">
        <v>265</v>
      </c>
      <c r="E46" s="284">
        <v>0</v>
      </c>
      <c r="F46" s="284">
        <v>0</v>
      </c>
      <c r="G46" s="284">
        <v>0</v>
      </c>
      <c r="H46" s="284">
        <v>0</v>
      </c>
      <c r="I46" s="284">
        <v>0</v>
      </c>
      <c r="J46" s="284">
        <v>0</v>
      </c>
      <c r="K46" s="284">
        <v>0</v>
      </c>
      <c r="L46" s="284">
        <v>0</v>
      </c>
      <c r="M46" s="284">
        <v>0</v>
      </c>
      <c r="N46" s="284">
        <v>0</v>
      </c>
      <c r="O46" s="284">
        <v>0</v>
      </c>
      <c r="P46" s="284">
        <v>0</v>
      </c>
      <c r="Q46" s="602">
        <v>0</v>
      </c>
      <c r="R46" s="92"/>
      <c r="S46" s="213">
        <v>0</v>
      </c>
      <c r="T46" s="92"/>
    </row>
    <row r="47" spans="1:20" s="95" customFormat="1" ht="12" customHeight="1">
      <c r="A47" s="91"/>
      <c r="B47" s="91" t="s">
        <v>186</v>
      </c>
      <c r="C47" s="102">
        <v>8699</v>
      </c>
      <c r="D47" s="104" t="s">
        <v>106</v>
      </c>
      <c r="E47" s="284">
        <v>0</v>
      </c>
      <c r="F47" s="284">
        <v>0</v>
      </c>
      <c r="G47" s="284">
        <v>0</v>
      </c>
      <c r="H47" s="284">
        <v>0</v>
      </c>
      <c r="I47" s="284">
        <v>0</v>
      </c>
      <c r="J47" s="284">
        <v>0</v>
      </c>
      <c r="K47" s="284">
        <v>0</v>
      </c>
      <c r="L47" s="284">
        <v>0</v>
      </c>
      <c r="M47" s="284">
        <v>0</v>
      </c>
      <c r="N47" s="284">
        <v>0</v>
      </c>
      <c r="O47" s="284">
        <v>0</v>
      </c>
      <c r="P47" s="284">
        <v>0</v>
      </c>
      <c r="Q47" s="602">
        <v>0</v>
      </c>
      <c r="R47" s="92"/>
      <c r="S47" s="213">
        <v>0</v>
      </c>
      <c r="T47" s="92"/>
    </row>
    <row r="48" spans="1:20" s="95" customFormat="1" ht="12" customHeight="1">
      <c r="A48" s="96"/>
      <c r="B48" s="96" t="s">
        <v>186</v>
      </c>
      <c r="C48" s="102">
        <v>8980</v>
      </c>
      <c r="D48" s="103" t="s">
        <v>10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620">
        <v>0</v>
      </c>
      <c r="R48" s="101"/>
      <c r="S48" s="213">
        <v>0</v>
      </c>
      <c r="T48" s="101"/>
    </row>
    <row r="49" spans="1:20" s="95" customFormat="1" ht="12" customHeight="1">
      <c r="A49" s="96"/>
      <c r="B49" s="96" t="s">
        <v>186</v>
      </c>
      <c r="C49" s="102">
        <v>8990</v>
      </c>
      <c r="D49" s="103" t="s">
        <v>11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  <c r="P49" s="94">
        <v>0</v>
      </c>
      <c r="Q49" s="620">
        <v>0</v>
      </c>
      <c r="R49" s="101"/>
      <c r="S49" s="213">
        <v>0</v>
      </c>
      <c r="T49" s="101"/>
    </row>
    <row r="50" spans="1:20" s="95" customFormat="1" ht="12" customHeight="1">
      <c r="A50" s="96"/>
      <c r="B50" s="96" t="s">
        <v>186</v>
      </c>
      <c r="C50" s="102"/>
      <c r="D50" s="103"/>
      <c r="E50" s="215">
        <v>0</v>
      </c>
      <c r="F50" s="215">
        <v>0</v>
      </c>
      <c r="G50" s="215">
        <v>0</v>
      </c>
      <c r="H50" s="215">
        <v>0</v>
      </c>
      <c r="I50" s="215">
        <v>0</v>
      </c>
      <c r="J50" s="215">
        <v>0</v>
      </c>
      <c r="K50" s="215">
        <v>0</v>
      </c>
      <c r="L50" s="215">
        <v>0</v>
      </c>
      <c r="M50" s="215">
        <v>0</v>
      </c>
      <c r="N50" s="215">
        <v>0</v>
      </c>
      <c r="O50" s="215">
        <v>0</v>
      </c>
      <c r="P50" s="215">
        <v>0</v>
      </c>
      <c r="Q50" s="603">
        <v>0</v>
      </c>
      <c r="R50" s="101"/>
      <c r="S50" s="814">
        <v>0</v>
      </c>
      <c r="T50" s="101"/>
    </row>
    <row r="51" spans="1:20" s="95" customFormat="1" ht="12" customHeight="1">
      <c r="A51" s="91"/>
      <c r="B51" s="91" t="s">
        <v>186</v>
      </c>
      <c r="C51" s="91"/>
      <c r="D51" s="91"/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602">
        <v>0</v>
      </c>
      <c r="R51" s="92"/>
      <c r="S51" s="340">
        <v>0</v>
      </c>
      <c r="T51" s="92"/>
    </row>
    <row r="52" spans="1:20" s="112" customFormat="1" ht="12" customHeight="1">
      <c r="A52" s="91" t="s">
        <v>1</v>
      </c>
      <c r="B52" s="91"/>
      <c r="C52" s="91"/>
      <c r="E52" s="121">
        <v>0</v>
      </c>
      <c r="F52" s="121">
        <v>0</v>
      </c>
      <c r="G52" s="121">
        <v>872417.1651000001</v>
      </c>
      <c r="H52" s="121">
        <v>8510031.3306749985</v>
      </c>
      <c r="I52" s="121">
        <v>226256.05079999997</v>
      </c>
      <c r="J52" s="121">
        <v>363341.05079999997</v>
      </c>
      <c r="K52" s="121">
        <v>4256200.7815499986</v>
      </c>
      <c r="L52" s="121">
        <v>307358.27849999996</v>
      </c>
      <c r="M52" s="121">
        <v>2372178.8624249995</v>
      </c>
      <c r="N52" s="121">
        <v>2235093.8624249995</v>
      </c>
      <c r="O52" s="121">
        <v>2235093.8624249995</v>
      </c>
      <c r="P52" s="121">
        <v>2235093.8624249995</v>
      </c>
      <c r="Q52" s="605">
        <v>2711364.1653749975</v>
      </c>
      <c r="R52" s="122"/>
      <c r="S52" s="816">
        <v>26324429.272499993</v>
      </c>
      <c r="T52" s="113"/>
    </row>
    <row r="53" spans="1:20" s="95" customFormat="1" ht="12" customHeight="1">
      <c r="A53" s="112"/>
      <c r="B53" s="112" t="s">
        <v>186</v>
      </c>
      <c r="E53" s="94">
        <v>0</v>
      </c>
      <c r="F53" s="94">
        <v>0</v>
      </c>
      <c r="G53" s="94">
        <v>0</v>
      </c>
      <c r="H53" s="94">
        <v>0</v>
      </c>
      <c r="I53" s="94">
        <v>0</v>
      </c>
      <c r="J53" s="94">
        <v>0</v>
      </c>
      <c r="K53" s="94">
        <v>0</v>
      </c>
      <c r="L53" s="94">
        <v>0</v>
      </c>
      <c r="M53" s="94">
        <v>0</v>
      </c>
      <c r="N53" s="94">
        <v>0</v>
      </c>
      <c r="O53" s="94">
        <v>0</v>
      </c>
      <c r="P53" s="94">
        <v>0</v>
      </c>
      <c r="Q53" s="606">
        <v>0</v>
      </c>
      <c r="R53" s="94"/>
      <c r="S53" s="340">
        <v>0</v>
      </c>
      <c r="T53" s="94"/>
    </row>
    <row r="54" spans="1:20" s="95" customFormat="1" ht="12" customHeight="1">
      <c r="A54" s="112" t="s">
        <v>2</v>
      </c>
      <c r="B54" s="112"/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606">
        <v>0</v>
      </c>
      <c r="R54" s="94"/>
      <c r="S54" s="340">
        <v>0</v>
      </c>
      <c r="T54" s="94"/>
    </row>
    <row r="55" spans="1:20" s="95" customFormat="1" ht="12" customHeight="1">
      <c r="A55" s="112"/>
      <c r="B55" s="112" t="s">
        <v>244</v>
      </c>
      <c r="E55" s="94">
        <v>0</v>
      </c>
      <c r="F55" s="94">
        <v>0</v>
      </c>
      <c r="G55" s="94">
        <v>0</v>
      </c>
      <c r="H55" s="94">
        <v>0</v>
      </c>
      <c r="I55" s="94">
        <v>0</v>
      </c>
      <c r="J55" s="94">
        <v>0</v>
      </c>
      <c r="K55" s="94">
        <v>0</v>
      </c>
      <c r="L55" s="94">
        <v>0</v>
      </c>
      <c r="M55" s="94">
        <v>0</v>
      </c>
      <c r="N55" s="94">
        <v>0</v>
      </c>
      <c r="O55" s="94">
        <v>0</v>
      </c>
      <c r="P55" s="94">
        <v>0</v>
      </c>
      <c r="Q55" s="606">
        <v>0</v>
      </c>
      <c r="R55" s="94"/>
      <c r="S55" s="340">
        <v>0</v>
      </c>
      <c r="T55" s="94"/>
    </row>
    <row r="56" spans="1:20" s="95" customFormat="1" ht="12" customHeight="1">
      <c r="A56" s="123"/>
      <c r="B56" s="123" t="s">
        <v>186</v>
      </c>
      <c r="C56" s="102">
        <v>1100</v>
      </c>
      <c r="D56" s="103" t="s">
        <v>271</v>
      </c>
      <c r="E56" s="94">
        <v>570333.33333333337</v>
      </c>
      <c r="F56" s="94">
        <v>570333.33333333337</v>
      </c>
      <c r="G56" s="94">
        <v>570333.33333333337</v>
      </c>
      <c r="H56" s="94">
        <v>570333.33333333337</v>
      </c>
      <c r="I56" s="94">
        <v>570333.33333333337</v>
      </c>
      <c r="J56" s="94">
        <v>570333.33333333337</v>
      </c>
      <c r="K56" s="94">
        <v>570333.33333333337</v>
      </c>
      <c r="L56" s="94">
        <v>570333.33333333337</v>
      </c>
      <c r="M56" s="94">
        <v>570333.33333333337</v>
      </c>
      <c r="N56" s="94">
        <v>570333.33333333337</v>
      </c>
      <c r="O56" s="94">
        <v>570333.33333333337</v>
      </c>
      <c r="P56" s="94">
        <v>570333.33333333337</v>
      </c>
      <c r="Q56" s="606">
        <v>0</v>
      </c>
      <c r="R56" s="94"/>
      <c r="S56" s="213">
        <v>6843999.9999999991</v>
      </c>
      <c r="T56" s="94"/>
    </row>
    <row r="57" spans="1:20" s="95" customFormat="1" ht="12" customHeight="1">
      <c r="A57" s="123"/>
      <c r="B57" s="123" t="s">
        <v>186</v>
      </c>
      <c r="C57" s="102">
        <v>1170</v>
      </c>
      <c r="D57" s="103" t="s">
        <v>272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0</v>
      </c>
      <c r="N57" s="94">
        <v>0</v>
      </c>
      <c r="O57" s="94">
        <v>0</v>
      </c>
      <c r="P57" s="94">
        <v>0</v>
      </c>
      <c r="Q57" s="606">
        <v>0</v>
      </c>
      <c r="R57" s="94"/>
      <c r="S57" s="213">
        <v>0</v>
      </c>
      <c r="T57" s="94"/>
    </row>
    <row r="58" spans="1:20" s="95" customFormat="1" ht="12" customHeight="1">
      <c r="A58" s="123"/>
      <c r="B58" s="123" t="s">
        <v>186</v>
      </c>
      <c r="C58" s="102">
        <v>1175</v>
      </c>
      <c r="D58" s="103" t="s">
        <v>273</v>
      </c>
      <c r="E58" s="94">
        <v>57033.333333333336</v>
      </c>
      <c r="F58" s="94">
        <v>57033.333333333336</v>
      </c>
      <c r="G58" s="94">
        <v>57033.333333333336</v>
      </c>
      <c r="H58" s="94">
        <v>57033.333333333336</v>
      </c>
      <c r="I58" s="94">
        <v>57033.333333333336</v>
      </c>
      <c r="J58" s="94">
        <v>57033.333333333336</v>
      </c>
      <c r="K58" s="94">
        <v>57033.333333333336</v>
      </c>
      <c r="L58" s="94">
        <v>57033.333333333336</v>
      </c>
      <c r="M58" s="94">
        <v>57033.333333333336</v>
      </c>
      <c r="N58" s="94">
        <v>57033.333333333336</v>
      </c>
      <c r="O58" s="94">
        <v>57033.333333333336</v>
      </c>
      <c r="P58" s="94">
        <v>57033.333333333336</v>
      </c>
      <c r="Q58" s="606">
        <v>0</v>
      </c>
      <c r="R58" s="94"/>
      <c r="S58" s="213">
        <v>684400</v>
      </c>
      <c r="T58" s="94"/>
    </row>
    <row r="59" spans="1:20" s="95" customFormat="1" ht="12" customHeight="1">
      <c r="A59" s="124"/>
      <c r="B59" s="124" t="s">
        <v>186</v>
      </c>
      <c r="C59" s="102">
        <v>1200</v>
      </c>
      <c r="D59" s="103" t="s">
        <v>274</v>
      </c>
      <c r="E59" s="94">
        <v>20416.666666666668</v>
      </c>
      <c r="F59" s="94">
        <v>20416.666666666668</v>
      </c>
      <c r="G59" s="94">
        <v>20416.666666666668</v>
      </c>
      <c r="H59" s="94">
        <v>20416.666666666668</v>
      </c>
      <c r="I59" s="94">
        <v>20416.666666666668</v>
      </c>
      <c r="J59" s="94">
        <v>20416.666666666668</v>
      </c>
      <c r="K59" s="94">
        <v>20416.666666666668</v>
      </c>
      <c r="L59" s="94">
        <v>20416.666666666668</v>
      </c>
      <c r="M59" s="94">
        <v>20416.666666666668</v>
      </c>
      <c r="N59" s="94">
        <v>20416.666666666668</v>
      </c>
      <c r="O59" s="94">
        <v>20416.666666666668</v>
      </c>
      <c r="P59" s="94">
        <v>20416.666666666668</v>
      </c>
      <c r="Q59" s="606">
        <v>0</v>
      </c>
      <c r="R59" s="94"/>
      <c r="S59" s="213">
        <v>244999.99999999997</v>
      </c>
      <c r="T59" s="94"/>
    </row>
    <row r="60" spans="1:20" s="95" customFormat="1" ht="12" customHeight="1">
      <c r="A60" s="123"/>
      <c r="B60" s="123" t="s">
        <v>186</v>
      </c>
      <c r="C60" s="102">
        <v>1300</v>
      </c>
      <c r="D60" s="103" t="s">
        <v>275</v>
      </c>
      <c r="E60" s="94">
        <v>45416.666666666664</v>
      </c>
      <c r="F60" s="94">
        <v>45416.666666666664</v>
      </c>
      <c r="G60" s="94">
        <v>45416.666666666664</v>
      </c>
      <c r="H60" s="94">
        <v>45416.666666666664</v>
      </c>
      <c r="I60" s="94">
        <v>45416.666666666664</v>
      </c>
      <c r="J60" s="94">
        <v>45416.666666666664</v>
      </c>
      <c r="K60" s="94">
        <v>45416.666666666664</v>
      </c>
      <c r="L60" s="94">
        <v>45416.666666666664</v>
      </c>
      <c r="M60" s="94">
        <v>45416.666666666664</v>
      </c>
      <c r="N60" s="94">
        <v>45416.666666666664</v>
      </c>
      <c r="O60" s="94">
        <v>45416.666666666664</v>
      </c>
      <c r="P60" s="94">
        <v>45416.666666666664</v>
      </c>
      <c r="Q60" s="606">
        <v>0</v>
      </c>
      <c r="R60" s="94"/>
      <c r="S60" s="213">
        <v>545000.00000000012</v>
      </c>
      <c r="T60" s="94"/>
    </row>
    <row r="61" spans="1:20" s="95" customFormat="1" ht="12" customHeight="1">
      <c r="A61" s="124"/>
      <c r="B61" s="124" t="s">
        <v>186</v>
      </c>
      <c r="C61" s="102">
        <v>1900</v>
      </c>
      <c r="D61" s="103" t="s">
        <v>19</v>
      </c>
      <c r="E61" s="94">
        <v>0</v>
      </c>
      <c r="F61" s="94">
        <v>0</v>
      </c>
      <c r="G61" s="94">
        <v>0</v>
      </c>
      <c r="H61" s="94">
        <v>0</v>
      </c>
      <c r="I61" s="94">
        <v>0</v>
      </c>
      <c r="J61" s="94">
        <v>0</v>
      </c>
      <c r="K61" s="94">
        <v>0</v>
      </c>
      <c r="L61" s="94">
        <v>0</v>
      </c>
      <c r="M61" s="94">
        <v>0</v>
      </c>
      <c r="N61" s="94">
        <v>0</v>
      </c>
      <c r="O61" s="94">
        <v>0</v>
      </c>
      <c r="P61" s="94">
        <v>0</v>
      </c>
      <c r="Q61" s="606">
        <v>0</v>
      </c>
      <c r="R61" s="94"/>
      <c r="S61" s="213">
        <v>0</v>
      </c>
      <c r="T61" s="94"/>
    </row>
    <row r="62" spans="1:20" s="95" customFormat="1" ht="12" customHeight="1">
      <c r="A62" s="124"/>
      <c r="B62" s="124" t="s">
        <v>186</v>
      </c>
      <c r="C62" s="102"/>
      <c r="D62" s="103"/>
      <c r="E62" s="215">
        <v>693200</v>
      </c>
      <c r="F62" s="215">
        <v>693200</v>
      </c>
      <c r="G62" s="215">
        <v>693200</v>
      </c>
      <c r="H62" s="215">
        <v>693200</v>
      </c>
      <c r="I62" s="215">
        <v>693200</v>
      </c>
      <c r="J62" s="215">
        <v>693200</v>
      </c>
      <c r="K62" s="215">
        <v>693200</v>
      </c>
      <c r="L62" s="215">
        <v>693200</v>
      </c>
      <c r="M62" s="215">
        <v>693200</v>
      </c>
      <c r="N62" s="215">
        <v>693200</v>
      </c>
      <c r="O62" s="215">
        <v>693200</v>
      </c>
      <c r="P62" s="215">
        <v>693200</v>
      </c>
      <c r="Q62" s="603">
        <v>0</v>
      </c>
      <c r="R62" s="94"/>
      <c r="S62" s="814">
        <v>8318399.9999999991</v>
      </c>
      <c r="T62" s="94"/>
    </row>
    <row r="63" spans="1:20" s="95" customFormat="1" ht="12" customHeight="1">
      <c r="A63" s="124"/>
      <c r="B63" s="124" t="s">
        <v>245</v>
      </c>
      <c r="C63" s="102"/>
      <c r="D63" s="103"/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v>0</v>
      </c>
      <c r="Q63" s="606">
        <v>0</v>
      </c>
      <c r="R63" s="94"/>
      <c r="S63" s="213">
        <v>0</v>
      </c>
      <c r="T63" s="94"/>
    </row>
    <row r="64" spans="1:20" s="95" customFormat="1" ht="12" customHeight="1">
      <c r="A64" s="124"/>
      <c r="B64" s="124" t="s">
        <v>186</v>
      </c>
      <c r="C64" s="102">
        <v>2100</v>
      </c>
      <c r="D64" s="103" t="s">
        <v>276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  <c r="P64" s="94">
        <v>0</v>
      </c>
      <c r="Q64" s="606">
        <v>0</v>
      </c>
      <c r="R64" s="94"/>
      <c r="S64" s="213">
        <v>0</v>
      </c>
      <c r="T64" s="94"/>
    </row>
    <row r="65" spans="1:20" s="95" customFormat="1" ht="12" customHeight="1">
      <c r="A65" s="124"/>
      <c r="B65" s="124" t="s">
        <v>186</v>
      </c>
      <c r="C65" s="102">
        <v>2200</v>
      </c>
      <c r="D65" s="103" t="s">
        <v>277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  <c r="P65" s="94">
        <v>0</v>
      </c>
      <c r="Q65" s="606">
        <v>0</v>
      </c>
      <c r="R65" s="94"/>
      <c r="S65" s="213">
        <v>0</v>
      </c>
      <c r="T65" s="94"/>
    </row>
    <row r="66" spans="1:20" s="95" customFormat="1" ht="12" customHeight="1">
      <c r="A66" s="124"/>
      <c r="B66" s="124" t="s">
        <v>186</v>
      </c>
      <c r="C66" s="102">
        <v>2300</v>
      </c>
      <c r="D66" s="103" t="s">
        <v>22</v>
      </c>
      <c r="E66" s="94">
        <v>0</v>
      </c>
      <c r="F66" s="94">
        <v>0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  <c r="P66" s="94">
        <v>0</v>
      </c>
      <c r="Q66" s="606">
        <v>0</v>
      </c>
      <c r="R66" s="94"/>
      <c r="S66" s="213">
        <v>0</v>
      </c>
      <c r="T66" s="94"/>
    </row>
    <row r="67" spans="1:20" s="95" customFormat="1" ht="12" customHeight="1">
      <c r="A67" s="124"/>
      <c r="B67" s="124" t="s">
        <v>186</v>
      </c>
      <c r="C67" s="102">
        <v>2400</v>
      </c>
      <c r="D67" s="105" t="s">
        <v>241</v>
      </c>
      <c r="E67" s="94">
        <v>0</v>
      </c>
      <c r="F67" s="94">
        <v>0</v>
      </c>
      <c r="G67" s="94">
        <v>0</v>
      </c>
      <c r="H67" s="94">
        <v>0</v>
      </c>
      <c r="I67" s="94">
        <v>0</v>
      </c>
      <c r="J67" s="94">
        <v>0</v>
      </c>
      <c r="K67" s="94">
        <v>0</v>
      </c>
      <c r="L67" s="94">
        <v>0</v>
      </c>
      <c r="M67" s="94">
        <v>0</v>
      </c>
      <c r="N67" s="94">
        <v>0</v>
      </c>
      <c r="O67" s="94">
        <v>0</v>
      </c>
      <c r="P67" s="94">
        <v>0</v>
      </c>
      <c r="Q67" s="606">
        <v>0</v>
      </c>
      <c r="R67" s="125"/>
      <c r="S67" s="213">
        <v>0</v>
      </c>
      <c r="T67" s="94"/>
    </row>
    <row r="68" spans="1:20" s="95" customFormat="1" ht="12" customHeight="1">
      <c r="A68" s="124"/>
      <c r="B68" s="124" t="s">
        <v>186</v>
      </c>
      <c r="C68" s="102">
        <v>2900</v>
      </c>
      <c r="D68" s="103" t="s">
        <v>24</v>
      </c>
      <c r="E68" s="94">
        <v>0</v>
      </c>
      <c r="F68" s="94">
        <v>0</v>
      </c>
      <c r="G68" s="94">
        <v>0</v>
      </c>
      <c r="H68" s="94">
        <v>0</v>
      </c>
      <c r="I68" s="94">
        <v>0</v>
      </c>
      <c r="J68" s="94">
        <v>0</v>
      </c>
      <c r="K68" s="94">
        <v>0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606">
        <v>0</v>
      </c>
      <c r="R68" s="94"/>
      <c r="S68" s="213">
        <v>0</v>
      </c>
      <c r="T68" s="94"/>
    </row>
    <row r="69" spans="1:20" s="95" customFormat="1" ht="12" customHeight="1">
      <c r="A69" s="124"/>
      <c r="B69" s="124" t="s">
        <v>186</v>
      </c>
      <c r="C69" s="126"/>
      <c r="D69" s="126"/>
      <c r="E69" s="215">
        <v>0</v>
      </c>
      <c r="F69" s="215">
        <v>0</v>
      </c>
      <c r="G69" s="215">
        <v>0</v>
      </c>
      <c r="H69" s="215">
        <v>0</v>
      </c>
      <c r="I69" s="215">
        <v>0</v>
      </c>
      <c r="J69" s="215">
        <v>0</v>
      </c>
      <c r="K69" s="215">
        <v>0</v>
      </c>
      <c r="L69" s="215">
        <v>0</v>
      </c>
      <c r="M69" s="215">
        <v>0</v>
      </c>
      <c r="N69" s="215">
        <v>0</v>
      </c>
      <c r="O69" s="215">
        <v>0</v>
      </c>
      <c r="P69" s="215">
        <v>0</v>
      </c>
      <c r="Q69" s="603">
        <v>0</v>
      </c>
      <c r="R69" s="94"/>
      <c r="S69" s="814">
        <v>0</v>
      </c>
      <c r="T69" s="94"/>
    </row>
    <row r="70" spans="1:20" s="95" customFormat="1" ht="12" customHeight="1">
      <c r="A70" s="124"/>
      <c r="B70" s="124" t="s">
        <v>3</v>
      </c>
      <c r="C70" s="126"/>
      <c r="D70" s="126"/>
      <c r="E70" s="94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  <c r="P70" s="94">
        <v>0</v>
      </c>
      <c r="Q70" s="606">
        <v>0</v>
      </c>
      <c r="R70" s="94"/>
      <c r="S70" s="340">
        <v>0</v>
      </c>
      <c r="T70" s="94"/>
    </row>
    <row r="71" spans="1:20" s="95" customFormat="1" ht="12" customHeight="1">
      <c r="A71" s="124"/>
      <c r="B71" s="124" t="s">
        <v>186</v>
      </c>
      <c r="C71" s="102">
        <v>3101</v>
      </c>
      <c r="D71" s="105" t="s">
        <v>69</v>
      </c>
      <c r="E71" s="94">
        <v>115764.40000000001</v>
      </c>
      <c r="F71" s="94">
        <v>115764.40000000001</v>
      </c>
      <c r="G71" s="94">
        <v>115764.40000000001</v>
      </c>
      <c r="H71" s="94">
        <v>115764.40000000001</v>
      </c>
      <c r="I71" s="94">
        <v>115764.40000000001</v>
      </c>
      <c r="J71" s="94">
        <v>115764.40000000001</v>
      </c>
      <c r="K71" s="94">
        <v>115764.40000000001</v>
      </c>
      <c r="L71" s="94">
        <v>115764.40000000001</v>
      </c>
      <c r="M71" s="94">
        <v>115764.40000000001</v>
      </c>
      <c r="N71" s="94">
        <v>115764.40000000001</v>
      </c>
      <c r="O71" s="94">
        <v>115764.40000000001</v>
      </c>
      <c r="P71" s="94">
        <v>115764.40000000001</v>
      </c>
      <c r="Q71" s="606">
        <v>0</v>
      </c>
      <c r="R71" s="94"/>
      <c r="S71" s="213">
        <v>1389172.7999999998</v>
      </c>
      <c r="T71" s="94"/>
    </row>
    <row r="72" spans="1:20" s="95" customFormat="1" ht="12" customHeight="1">
      <c r="A72" s="124"/>
      <c r="B72" s="124" t="s">
        <v>186</v>
      </c>
      <c r="C72" s="102">
        <v>3202</v>
      </c>
      <c r="D72" s="105" t="s">
        <v>70</v>
      </c>
      <c r="E72" s="94">
        <v>0</v>
      </c>
      <c r="F72" s="94">
        <v>0</v>
      </c>
      <c r="G72" s="94">
        <v>0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  <c r="M72" s="94">
        <v>0</v>
      </c>
      <c r="N72" s="94">
        <v>0</v>
      </c>
      <c r="O72" s="94">
        <v>0</v>
      </c>
      <c r="P72" s="94">
        <v>0</v>
      </c>
      <c r="Q72" s="606">
        <v>0</v>
      </c>
      <c r="R72" s="94"/>
      <c r="S72" s="213">
        <v>0</v>
      </c>
      <c r="T72" s="94"/>
    </row>
    <row r="73" spans="1:20" s="95" customFormat="1" ht="12" customHeight="1">
      <c r="A73" s="124"/>
      <c r="B73" s="124" t="s">
        <v>186</v>
      </c>
      <c r="C73" s="102">
        <v>3301</v>
      </c>
      <c r="D73" s="105" t="s">
        <v>239</v>
      </c>
      <c r="E73" s="94">
        <v>0</v>
      </c>
      <c r="F73" s="94">
        <v>0</v>
      </c>
      <c r="G73" s="94">
        <v>0</v>
      </c>
      <c r="H73" s="94">
        <v>0</v>
      </c>
      <c r="I73" s="94">
        <v>0</v>
      </c>
      <c r="J73" s="94">
        <v>0</v>
      </c>
      <c r="K73" s="94">
        <v>0</v>
      </c>
      <c r="L73" s="94">
        <v>0</v>
      </c>
      <c r="M73" s="94">
        <v>0</v>
      </c>
      <c r="N73" s="94">
        <v>0</v>
      </c>
      <c r="O73" s="94">
        <v>0</v>
      </c>
      <c r="P73" s="94">
        <v>0</v>
      </c>
      <c r="Q73" s="606">
        <v>0</v>
      </c>
      <c r="R73" s="94"/>
      <c r="S73" s="213">
        <v>0</v>
      </c>
      <c r="T73" s="94"/>
    </row>
    <row r="74" spans="1:20" s="95" customFormat="1" ht="12" customHeight="1">
      <c r="A74" s="124"/>
      <c r="B74" s="124" t="s">
        <v>186</v>
      </c>
      <c r="C74" s="102">
        <v>3311</v>
      </c>
      <c r="D74" s="105" t="s">
        <v>240</v>
      </c>
      <c r="E74" s="94">
        <v>10051.400000000001</v>
      </c>
      <c r="F74" s="94">
        <v>10051.400000000001</v>
      </c>
      <c r="G74" s="94">
        <v>10051.400000000001</v>
      </c>
      <c r="H74" s="94">
        <v>10051.400000000001</v>
      </c>
      <c r="I74" s="94">
        <v>10051.400000000001</v>
      </c>
      <c r="J74" s="94">
        <v>10051.400000000001</v>
      </c>
      <c r="K74" s="94">
        <v>10051.400000000001</v>
      </c>
      <c r="L74" s="94">
        <v>10051.400000000001</v>
      </c>
      <c r="M74" s="94">
        <v>10051.400000000001</v>
      </c>
      <c r="N74" s="94">
        <v>10051.400000000001</v>
      </c>
      <c r="O74" s="94">
        <v>10051.400000000001</v>
      </c>
      <c r="P74" s="94">
        <v>10051.400000000001</v>
      </c>
      <c r="Q74" s="606">
        <v>0</v>
      </c>
      <c r="R74" s="94"/>
      <c r="S74" s="213">
        <v>120616.79999999999</v>
      </c>
      <c r="T74" s="94"/>
    </row>
    <row r="75" spans="1:20" s="95" customFormat="1" ht="12" customHeight="1">
      <c r="A75" s="124"/>
      <c r="B75" s="124" t="s">
        <v>186</v>
      </c>
      <c r="C75" s="102">
        <v>3401</v>
      </c>
      <c r="D75" s="105" t="s">
        <v>235</v>
      </c>
      <c r="E75" s="94">
        <v>53750</v>
      </c>
      <c r="F75" s="94">
        <v>53750</v>
      </c>
      <c r="G75" s="94">
        <v>53750</v>
      </c>
      <c r="H75" s="94">
        <v>53750</v>
      </c>
      <c r="I75" s="94">
        <v>53750</v>
      </c>
      <c r="J75" s="94">
        <v>53750</v>
      </c>
      <c r="K75" s="94">
        <v>53750</v>
      </c>
      <c r="L75" s="94">
        <v>53750</v>
      </c>
      <c r="M75" s="94">
        <v>53750</v>
      </c>
      <c r="N75" s="94">
        <v>53750</v>
      </c>
      <c r="O75" s="94">
        <v>53750</v>
      </c>
      <c r="P75" s="94">
        <v>53750</v>
      </c>
      <c r="Q75" s="606">
        <v>0</v>
      </c>
      <c r="R75" s="94"/>
      <c r="S75" s="213">
        <v>645000</v>
      </c>
      <c r="T75" s="94"/>
    </row>
    <row r="76" spans="1:20" s="95" customFormat="1" ht="12" customHeight="1">
      <c r="A76" s="124"/>
      <c r="B76" s="124" t="s">
        <v>186</v>
      </c>
      <c r="C76" s="102">
        <v>3501</v>
      </c>
      <c r="D76" s="105" t="s">
        <v>236</v>
      </c>
      <c r="E76" s="356">
        <v>3160.5000000000005</v>
      </c>
      <c r="F76" s="356">
        <v>3160.5000000000005</v>
      </c>
      <c r="G76" s="356">
        <v>3160.5000000000005</v>
      </c>
      <c r="H76" s="356">
        <v>3160.5000000000005</v>
      </c>
      <c r="I76" s="356">
        <v>3160.5000000000005</v>
      </c>
      <c r="J76" s="356">
        <v>3160.5000000000005</v>
      </c>
      <c r="K76" s="356">
        <v>15802.500000000002</v>
      </c>
      <c r="L76" s="356">
        <v>12642.000000000002</v>
      </c>
      <c r="M76" s="356">
        <v>6321.0000000000009</v>
      </c>
      <c r="N76" s="356">
        <v>3160.5000000000005</v>
      </c>
      <c r="O76" s="356">
        <v>3160.5000000000005</v>
      </c>
      <c r="P76" s="356">
        <v>3160.5000000000005</v>
      </c>
      <c r="Q76" s="606">
        <v>0</v>
      </c>
      <c r="R76" s="94"/>
      <c r="S76" s="213">
        <v>63210.000000000007</v>
      </c>
      <c r="T76" s="94"/>
    </row>
    <row r="77" spans="1:20" s="95" customFormat="1" ht="12" customHeight="1">
      <c r="A77" s="124"/>
      <c r="B77" s="124" t="s">
        <v>186</v>
      </c>
      <c r="C77" s="102">
        <v>3601</v>
      </c>
      <c r="D77" s="105" t="s">
        <v>237</v>
      </c>
      <c r="E77" s="94">
        <v>9704.8000000000011</v>
      </c>
      <c r="F77" s="94">
        <v>9704.8000000000011</v>
      </c>
      <c r="G77" s="94">
        <v>9704.8000000000011</v>
      </c>
      <c r="H77" s="94">
        <v>9704.8000000000011</v>
      </c>
      <c r="I77" s="94">
        <v>9704.8000000000011</v>
      </c>
      <c r="J77" s="94">
        <v>9704.8000000000011</v>
      </c>
      <c r="K77" s="94">
        <v>9704.8000000000011</v>
      </c>
      <c r="L77" s="94">
        <v>9704.8000000000011</v>
      </c>
      <c r="M77" s="94">
        <v>9704.8000000000011</v>
      </c>
      <c r="N77" s="94">
        <v>9704.8000000000011</v>
      </c>
      <c r="O77" s="94">
        <v>9704.8000000000011</v>
      </c>
      <c r="P77" s="94">
        <v>9704.8000000000011</v>
      </c>
      <c r="Q77" s="606">
        <v>0</v>
      </c>
      <c r="R77" s="94"/>
      <c r="S77" s="213">
        <v>116457.60000000002</v>
      </c>
      <c r="T77" s="94"/>
    </row>
    <row r="78" spans="1:20" s="95" customFormat="1" ht="12" customHeight="1">
      <c r="A78" s="124"/>
      <c r="B78" s="124" t="s">
        <v>186</v>
      </c>
      <c r="C78" s="102">
        <v>3901</v>
      </c>
      <c r="D78" s="105" t="s">
        <v>238</v>
      </c>
      <c r="E78" s="94">
        <v>0</v>
      </c>
      <c r="F78" s="94">
        <v>0</v>
      </c>
      <c r="G78" s="94">
        <v>0</v>
      </c>
      <c r="H78" s="94">
        <v>0</v>
      </c>
      <c r="I78" s="94">
        <v>0</v>
      </c>
      <c r="J78" s="94">
        <v>0</v>
      </c>
      <c r="K78" s="94">
        <v>0</v>
      </c>
      <c r="L78" s="94">
        <v>0</v>
      </c>
      <c r="M78" s="94">
        <v>0</v>
      </c>
      <c r="N78" s="94">
        <v>0</v>
      </c>
      <c r="O78" s="94">
        <v>0</v>
      </c>
      <c r="P78" s="94">
        <v>0</v>
      </c>
      <c r="Q78" s="606">
        <v>0</v>
      </c>
      <c r="R78" s="94"/>
      <c r="S78" s="213">
        <v>0</v>
      </c>
      <c r="T78" s="94"/>
    </row>
    <row r="79" spans="1:20" s="95" customFormat="1" ht="12" customHeight="1">
      <c r="A79" s="124"/>
      <c r="B79" s="124" t="s">
        <v>186</v>
      </c>
      <c r="C79" s="126"/>
      <c r="D79" s="126"/>
      <c r="E79" s="215">
        <v>192431.1</v>
      </c>
      <c r="F79" s="215">
        <v>192431.1</v>
      </c>
      <c r="G79" s="215">
        <v>192431.1</v>
      </c>
      <c r="H79" s="215">
        <v>192431.1</v>
      </c>
      <c r="I79" s="215">
        <v>192431.1</v>
      </c>
      <c r="J79" s="215">
        <v>192431.1</v>
      </c>
      <c r="K79" s="215">
        <v>205073.1</v>
      </c>
      <c r="L79" s="215">
        <v>201912.6</v>
      </c>
      <c r="M79" s="215">
        <v>195591.6</v>
      </c>
      <c r="N79" s="215">
        <v>192431.1</v>
      </c>
      <c r="O79" s="215">
        <v>192431.1</v>
      </c>
      <c r="P79" s="215">
        <v>192431.1</v>
      </c>
      <c r="Q79" s="603">
        <v>0</v>
      </c>
      <c r="R79" s="94"/>
      <c r="S79" s="814">
        <v>2334457.2000000007</v>
      </c>
      <c r="T79" s="94"/>
    </row>
    <row r="80" spans="1:20" s="95" customFormat="1" ht="12" customHeight="1">
      <c r="A80" s="124"/>
      <c r="B80" s="124" t="s">
        <v>288</v>
      </c>
      <c r="C80" s="126"/>
      <c r="D80" s="126"/>
      <c r="E80" s="94">
        <v>0</v>
      </c>
      <c r="F80" s="94">
        <v>0</v>
      </c>
      <c r="G80" s="94">
        <v>0</v>
      </c>
      <c r="H80" s="94">
        <v>0</v>
      </c>
      <c r="I80" s="94">
        <v>0</v>
      </c>
      <c r="J80" s="94">
        <v>0</v>
      </c>
      <c r="K80" s="94">
        <v>0</v>
      </c>
      <c r="L80" s="94">
        <v>0</v>
      </c>
      <c r="M80" s="94">
        <v>0</v>
      </c>
      <c r="N80" s="94">
        <v>0</v>
      </c>
      <c r="O80" s="94">
        <v>0</v>
      </c>
      <c r="P80" s="94">
        <v>0</v>
      </c>
      <c r="Q80" s="606">
        <v>0</v>
      </c>
      <c r="R80" s="94"/>
      <c r="S80" s="340">
        <v>0</v>
      </c>
      <c r="T80" s="94"/>
    </row>
    <row r="81" spans="1:20" s="95" customFormat="1" ht="12" customHeight="1">
      <c r="A81" s="124"/>
      <c r="B81" s="124" t="s">
        <v>186</v>
      </c>
      <c r="C81" s="102">
        <v>4100</v>
      </c>
      <c r="D81" s="127" t="s">
        <v>251</v>
      </c>
      <c r="E81" s="217">
        <v>0</v>
      </c>
      <c r="F81" s="217">
        <v>0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17">
        <v>0</v>
      </c>
      <c r="N81" s="217">
        <v>0</v>
      </c>
      <c r="O81" s="217">
        <v>0</v>
      </c>
      <c r="P81" s="217">
        <v>0</v>
      </c>
      <c r="Q81" s="606">
        <v>0</v>
      </c>
      <c r="R81" s="94"/>
      <c r="S81" s="213">
        <v>0</v>
      </c>
      <c r="T81" s="94"/>
    </row>
    <row r="82" spans="1:20" s="95" customFormat="1" ht="12" customHeight="1">
      <c r="A82" s="124"/>
      <c r="B82" s="124" t="s">
        <v>186</v>
      </c>
      <c r="C82" s="102">
        <v>4200</v>
      </c>
      <c r="D82" s="127" t="s">
        <v>252</v>
      </c>
      <c r="E82" s="217">
        <v>0</v>
      </c>
      <c r="F82" s="217">
        <v>0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17">
        <v>0</v>
      </c>
      <c r="N82" s="217">
        <v>0</v>
      </c>
      <c r="O82" s="217">
        <v>0</v>
      </c>
      <c r="P82" s="217">
        <v>0</v>
      </c>
      <c r="Q82" s="606">
        <v>0</v>
      </c>
      <c r="R82" s="94"/>
      <c r="S82" s="213">
        <v>0</v>
      </c>
      <c r="T82" s="94"/>
    </row>
    <row r="83" spans="1:20" s="95" customFormat="1" ht="12" customHeight="1">
      <c r="A83" s="124"/>
      <c r="B83" s="124" t="s">
        <v>186</v>
      </c>
      <c r="C83" s="102">
        <v>4302</v>
      </c>
      <c r="D83" s="127" t="s">
        <v>80</v>
      </c>
      <c r="E83" s="217">
        <v>77035.927499999991</v>
      </c>
      <c r="F83" s="217">
        <v>128393.21249999998</v>
      </c>
      <c r="G83" s="217">
        <v>128393.21249999999</v>
      </c>
      <c r="H83" s="217">
        <v>179750.4975</v>
      </c>
      <c r="I83" s="217">
        <v>179750.4975</v>
      </c>
      <c r="J83" s="217">
        <v>256786.42499999999</v>
      </c>
      <c r="K83" s="217">
        <v>256786.42499999999</v>
      </c>
      <c r="L83" s="217">
        <v>256786.42500000002</v>
      </c>
      <c r="M83" s="217">
        <v>256786.42499999999</v>
      </c>
      <c r="N83" s="217">
        <v>256786.42499999999</v>
      </c>
      <c r="O83" s="217">
        <v>256786.42499999993</v>
      </c>
      <c r="P83" s="217">
        <v>333822.35250000004</v>
      </c>
      <c r="Q83" s="606">
        <v>0</v>
      </c>
      <c r="R83" s="94"/>
      <c r="S83" s="213">
        <v>2567864.25</v>
      </c>
      <c r="T83" s="94"/>
    </row>
    <row r="84" spans="1:20" s="95" customFormat="1" ht="12" customHeight="1">
      <c r="A84" s="124"/>
      <c r="B84" s="124" t="s">
        <v>186</v>
      </c>
      <c r="C84" s="102">
        <v>4305</v>
      </c>
      <c r="D84" s="127" t="s">
        <v>97</v>
      </c>
      <c r="E84" s="217">
        <v>62373.674999999996</v>
      </c>
      <c r="F84" s="217">
        <v>62373.674999999996</v>
      </c>
      <c r="G84" s="217">
        <v>62373.674999999996</v>
      </c>
      <c r="H84" s="217">
        <v>62373.674999999996</v>
      </c>
      <c r="I84" s="217">
        <v>62373.674999999996</v>
      </c>
      <c r="J84" s="217">
        <v>62373.674999999996</v>
      </c>
      <c r="K84" s="217">
        <v>62373.674999999996</v>
      </c>
      <c r="L84" s="217">
        <v>62373.674999999996</v>
      </c>
      <c r="M84" s="217">
        <v>62373.674999999996</v>
      </c>
      <c r="N84" s="217">
        <v>62373.674999999996</v>
      </c>
      <c r="O84" s="217">
        <v>62373.674999999996</v>
      </c>
      <c r="P84" s="217">
        <v>62373.674999999996</v>
      </c>
      <c r="Q84" s="606">
        <v>0</v>
      </c>
      <c r="R84" s="94"/>
      <c r="S84" s="213">
        <v>748484.10000000009</v>
      </c>
      <c r="T84" s="94"/>
    </row>
    <row r="85" spans="1:20" s="95" customFormat="1" ht="12" customHeight="1">
      <c r="A85" s="124"/>
      <c r="B85" s="124" t="s">
        <v>186</v>
      </c>
      <c r="C85" s="102">
        <v>4310</v>
      </c>
      <c r="D85" s="127" t="s">
        <v>39</v>
      </c>
      <c r="E85" s="217">
        <v>4797.9749999999995</v>
      </c>
      <c r="F85" s="217">
        <v>4797.9749999999995</v>
      </c>
      <c r="G85" s="217">
        <v>4797.9749999999995</v>
      </c>
      <c r="H85" s="217">
        <v>4797.9749999999995</v>
      </c>
      <c r="I85" s="217">
        <v>4797.9749999999995</v>
      </c>
      <c r="J85" s="217">
        <v>4797.9749999999995</v>
      </c>
      <c r="K85" s="217">
        <v>4797.9749999999995</v>
      </c>
      <c r="L85" s="217">
        <v>4797.9749999999995</v>
      </c>
      <c r="M85" s="217">
        <v>4797.9749999999995</v>
      </c>
      <c r="N85" s="217">
        <v>4797.9749999999995</v>
      </c>
      <c r="O85" s="217">
        <v>4797.9749999999995</v>
      </c>
      <c r="P85" s="217">
        <v>4797.9749999999995</v>
      </c>
      <c r="Q85" s="606">
        <v>0</v>
      </c>
      <c r="R85" s="94"/>
      <c r="S85" s="213">
        <v>57575.69999999999</v>
      </c>
      <c r="T85" s="94"/>
    </row>
    <row r="86" spans="1:20" s="95" customFormat="1" ht="12" customHeight="1">
      <c r="A86" s="124"/>
      <c r="B86" s="124" t="s">
        <v>186</v>
      </c>
      <c r="C86" s="102">
        <v>4311</v>
      </c>
      <c r="D86" s="127" t="s">
        <v>36</v>
      </c>
      <c r="E86" s="217">
        <v>239.89874999999998</v>
      </c>
      <c r="F86" s="217">
        <v>239.89874999999998</v>
      </c>
      <c r="G86" s="217">
        <v>239.89874999999998</v>
      </c>
      <c r="H86" s="217">
        <v>239.89874999999998</v>
      </c>
      <c r="I86" s="217">
        <v>239.89874999999998</v>
      </c>
      <c r="J86" s="217">
        <v>239.89874999999998</v>
      </c>
      <c r="K86" s="217">
        <v>239.89874999999998</v>
      </c>
      <c r="L86" s="217">
        <v>239.89874999999998</v>
      </c>
      <c r="M86" s="217">
        <v>239.89874999999998</v>
      </c>
      <c r="N86" s="217">
        <v>239.89874999999998</v>
      </c>
      <c r="O86" s="217">
        <v>239.89874999999998</v>
      </c>
      <c r="P86" s="217">
        <v>239.89874999999998</v>
      </c>
      <c r="Q86" s="606">
        <v>0</v>
      </c>
      <c r="R86" s="94"/>
      <c r="S86" s="213">
        <v>2878.7849999999994</v>
      </c>
      <c r="T86" s="94"/>
    </row>
    <row r="87" spans="1:20" s="95" customFormat="1" ht="12" customHeight="1">
      <c r="A87" s="124"/>
      <c r="B87" s="124" t="s">
        <v>186</v>
      </c>
      <c r="C87" s="102">
        <v>4312</v>
      </c>
      <c r="D87" s="127" t="s">
        <v>34</v>
      </c>
      <c r="E87" s="217">
        <v>0</v>
      </c>
      <c r="F87" s="217">
        <v>0</v>
      </c>
      <c r="G87" s="217">
        <v>0</v>
      </c>
      <c r="H87" s="217">
        <v>0</v>
      </c>
      <c r="I87" s="217">
        <v>0</v>
      </c>
      <c r="J87" s="217">
        <v>0</v>
      </c>
      <c r="K87" s="217">
        <v>0</v>
      </c>
      <c r="L87" s="217">
        <v>0</v>
      </c>
      <c r="M87" s="217">
        <v>0</v>
      </c>
      <c r="N87" s="217">
        <v>0</v>
      </c>
      <c r="O87" s="217">
        <v>0</v>
      </c>
      <c r="P87" s="217">
        <v>0</v>
      </c>
      <c r="Q87" s="606">
        <v>0</v>
      </c>
      <c r="R87" s="94"/>
      <c r="S87" s="213"/>
      <c r="T87" s="94"/>
    </row>
    <row r="88" spans="1:20" s="95" customFormat="1" ht="12" customHeight="1">
      <c r="A88" s="124"/>
      <c r="B88" s="124" t="s">
        <v>186</v>
      </c>
      <c r="C88" s="102">
        <v>4400</v>
      </c>
      <c r="D88" s="127" t="s">
        <v>83</v>
      </c>
      <c r="E88" s="217">
        <v>11005.1325</v>
      </c>
      <c r="F88" s="217">
        <v>18341.887499999997</v>
      </c>
      <c r="G88" s="217">
        <v>18341.887499999997</v>
      </c>
      <c r="H88" s="217">
        <v>25678.642500000002</v>
      </c>
      <c r="I88" s="217">
        <v>25678.642499999998</v>
      </c>
      <c r="J88" s="217">
        <v>36683.774999999994</v>
      </c>
      <c r="K88" s="217">
        <v>36683.775000000001</v>
      </c>
      <c r="L88" s="217">
        <v>36683.775000000009</v>
      </c>
      <c r="M88" s="217">
        <v>36683.775000000009</v>
      </c>
      <c r="N88" s="217">
        <v>36683.775000000009</v>
      </c>
      <c r="O88" s="217">
        <v>36683.774999999994</v>
      </c>
      <c r="P88" s="217">
        <v>47688.907499999972</v>
      </c>
      <c r="Q88" s="606">
        <v>0</v>
      </c>
      <c r="R88" s="94"/>
      <c r="S88" s="213">
        <v>366837.75</v>
      </c>
      <c r="T88" s="94"/>
    </row>
    <row r="89" spans="1:20" s="95" customFormat="1" ht="12" customHeight="1">
      <c r="A89" s="124"/>
      <c r="B89" s="124" t="s">
        <v>186</v>
      </c>
      <c r="C89" s="102">
        <v>4700</v>
      </c>
      <c r="D89" s="127" t="s">
        <v>84</v>
      </c>
      <c r="E89" s="217">
        <v>0</v>
      </c>
      <c r="F89" s="217">
        <v>0</v>
      </c>
      <c r="G89" s="217">
        <v>0</v>
      </c>
      <c r="H89" s="217">
        <v>0</v>
      </c>
      <c r="I89" s="217">
        <v>0</v>
      </c>
      <c r="J89" s="217">
        <v>0</v>
      </c>
      <c r="K89" s="217">
        <v>0</v>
      </c>
      <c r="L89" s="217">
        <v>0</v>
      </c>
      <c r="M89" s="217">
        <v>0</v>
      </c>
      <c r="N89" s="217">
        <v>0</v>
      </c>
      <c r="O89" s="217">
        <v>0</v>
      </c>
      <c r="P89" s="217">
        <v>0</v>
      </c>
      <c r="Q89" s="606">
        <v>0</v>
      </c>
      <c r="R89" s="94"/>
      <c r="S89" s="213"/>
      <c r="T89" s="94"/>
    </row>
    <row r="90" spans="1:20" s="95" customFormat="1" ht="12" customHeight="1">
      <c r="A90" s="124"/>
      <c r="B90" s="124" t="s">
        <v>186</v>
      </c>
      <c r="C90" s="126"/>
      <c r="D90" s="126"/>
      <c r="E90" s="215">
        <v>155452.60874999998</v>
      </c>
      <c r="F90" s="215">
        <v>214146.64874999999</v>
      </c>
      <c r="G90" s="215">
        <v>214146.64874999999</v>
      </c>
      <c r="H90" s="215">
        <v>272840.68874999997</v>
      </c>
      <c r="I90" s="215">
        <v>272840.68874999997</v>
      </c>
      <c r="J90" s="215">
        <v>360881.74874999991</v>
      </c>
      <c r="K90" s="215">
        <v>360881.74874999997</v>
      </c>
      <c r="L90" s="215">
        <v>360881.74875000003</v>
      </c>
      <c r="M90" s="215">
        <v>360881.74874999997</v>
      </c>
      <c r="N90" s="215">
        <v>360881.74874999997</v>
      </c>
      <c r="O90" s="215">
        <v>360881.74874999991</v>
      </c>
      <c r="P90" s="215">
        <v>448922.80874999997</v>
      </c>
      <c r="Q90" s="603">
        <v>0</v>
      </c>
      <c r="R90" s="94"/>
      <c r="S90" s="814">
        <v>3743640.584999999</v>
      </c>
      <c r="T90" s="94"/>
    </row>
    <row r="91" spans="1:20" s="95" customFormat="1" ht="12" customHeight="1">
      <c r="A91" s="124"/>
      <c r="B91" s="124" t="s">
        <v>284</v>
      </c>
      <c r="C91" s="126"/>
      <c r="D91" s="126"/>
      <c r="E91" s="94">
        <v>0</v>
      </c>
      <c r="F91" s="94">
        <v>0</v>
      </c>
      <c r="G91" s="94">
        <v>0</v>
      </c>
      <c r="H91" s="94">
        <v>0</v>
      </c>
      <c r="I91" s="94">
        <v>0</v>
      </c>
      <c r="J91" s="94">
        <v>0</v>
      </c>
      <c r="K91" s="94">
        <v>0</v>
      </c>
      <c r="L91" s="94">
        <v>0</v>
      </c>
      <c r="M91" s="94">
        <v>0</v>
      </c>
      <c r="N91" s="94">
        <v>0</v>
      </c>
      <c r="O91" s="94">
        <v>0</v>
      </c>
      <c r="P91" s="94">
        <v>0</v>
      </c>
      <c r="Q91" s="606">
        <v>0</v>
      </c>
      <c r="R91" s="94"/>
      <c r="S91" s="340">
        <v>0</v>
      </c>
      <c r="T91" s="94"/>
    </row>
    <row r="92" spans="1:20" s="95" customFormat="1" ht="12" customHeight="1">
      <c r="A92" s="124"/>
      <c r="B92" s="124" t="s">
        <v>186</v>
      </c>
      <c r="C92" s="102">
        <v>5101</v>
      </c>
      <c r="D92" s="127" t="s">
        <v>85</v>
      </c>
      <c r="E92" s="217">
        <v>0</v>
      </c>
      <c r="F92" s="217">
        <v>0</v>
      </c>
      <c r="G92" s="217">
        <v>0</v>
      </c>
      <c r="H92" s="217">
        <v>0</v>
      </c>
      <c r="I92" s="217">
        <v>0</v>
      </c>
      <c r="J92" s="217">
        <v>0</v>
      </c>
      <c r="K92" s="217">
        <v>0</v>
      </c>
      <c r="L92" s="217">
        <v>0</v>
      </c>
      <c r="M92" s="217">
        <v>0</v>
      </c>
      <c r="N92" s="217">
        <v>0</v>
      </c>
      <c r="O92" s="217">
        <v>0</v>
      </c>
      <c r="P92" s="217">
        <v>0</v>
      </c>
      <c r="Q92" s="606">
        <v>0</v>
      </c>
      <c r="R92" s="94"/>
      <c r="S92" s="213"/>
      <c r="T92" s="94"/>
    </row>
    <row r="93" spans="1:20" s="95" customFormat="1" ht="12" customHeight="1">
      <c r="A93" s="124"/>
      <c r="B93" s="124" t="s">
        <v>186</v>
      </c>
      <c r="C93" s="102">
        <v>5102</v>
      </c>
      <c r="D93" s="127" t="s">
        <v>86</v>
      </c>
      <c r="E93" s="217">
        <v>0</v>
      </c>
      <c r="F93" s="217">
        <v>74773.636363636368</v>
      </c>
      <c r="G93" s="217">
        <v>74773.636363636368</v>
      </c>
      <c r="H93" s="217">
        <v>74773.636363636368</v>
      </c>
      <c r="I93" s="217">
        <v>74773.636363636368</v>
      </c>
      <c r="J93" s="217">
        <v>74773.636363636368</v>
      </c>
      <c r="K93" s="217">
        <v>74773.636363636368</v>
      </c>
      <c r="L93" s="217">
        <v>74773.636363636368</v>
      </c>
      <c r="M93" s="217">
        <v>74773.636363636368</v>
      </c>
      <c r="N93" s="217">
        <v>74773.636363636368</v>
      </c>
      <c r="O93" s="217">
        <v>74773.636363636368</v>
      </c>
      <c r="P93" s="217">
        <v>74773.636363636368</v>
      </c>
      <c r="Q93" s="606">
        <v>0</v>
      </c>
      <c r="R93" s="94"/>
      <c r="S93" s="213">
        <v>822510</v>
      </c>
      <c r="T93" s="94"/>
    </row>
    <row r="94" spans="1:20" s="95" customFormat="1" ht="12" customHeight="1">
      <c r="A94" s="124"/>
      <c r="B94" s="124" t="s">
        <v>186</v>
      </c>
      <c r="C94" s="102">
        <v>5103</v>
      </c>
      <c r="D94" s="127" t="s">
        <v>87</v>
      </c>
      <c r="E94" s="217">
        <v>0</v>
      </c>
      <c r="F94" s="217">
        <v>0</v>
      </c>
      <c r="G94" s="217">
        <v>0</v>
      </c>
      <c r="H94" s="217">
        <v>0</v>
      </c>
      <c r="I94" s="217">
        <v>0</v>
      </c>
      <c r="J94" s="217">
        <v>0</v>
      </c>
      <c r="K94" s="217">
        <v>0</v>
      </c>
      <c r="L94" s="217">
        <v>0</v>
      </c>
      <c r="M94" s="217">
        <v>0</v>
      </c>
      <c r="N94" s="217">
        <v>0</v>
      </c>
      <c r="O94" s="217">
        <v>0</v>
      </c>
      <c r="P94" s="217">
        <v>0</v>
      </c>
      <c r="Q94" s="606">
        <v>0</v>
      </c>
      <c r="R94" s="94"/>
      <c r="S94" s="213">
        <v>0</v>
      </c>
      <c r="T94" s="94"/>
    </row>
    <row r="95" spans="1:20" s="95" customFormat="1" ht="12" customHeight="1">
      <c r="A95" s="124"/>
      <c r="B95" s="124" t="s">
        <v>186</v>
      </c>
      <c r="C95" s="102">
        <v>5104</v>
      </c>
      <c r="D95" s="127" t="s">
        <v>88</v>
      </c>
      <c r="E95" s="217">
        <v>0</v>
      </c>
      <c r="F95" s="217">
        <v>0</v>
      </c>
      <c r="G95" s="217">
        <v>0</v>
      </c>
      <c r="H95" s="217">
        <v>0</v>
      </c>
      <c r="I95" s="217">
        <v>0</v>
      </c>
      <c r="J95" s="217">
        <v>0</v>
      </c>
      <c r="K95" s="217">
        <v>0</v>
      </c>
      <c r="L95" s="217">
        <v>0</v>
      </c>
      <c r="M95" s="217">
        <v>0</v>
      </c>
      <c r="N95" s="217">
        <v>0</v>
      </c>
      <c r="O95" s="217">
        <v>0</v>
      </c>
      <c r="P95" s="217">
        <v>0</v>
      </c>
      <c r="Q95" s="606">
        <v>0</v>
      </c>
      <c r="R95" s="94"/>
      <c r="S95" s="213">
        <v>0</v>
      </c>
      <c r="T95" s="94"/>
    </row>
    <row r="96" spans="1:20" s="95" customFormat="1" ht="12" customHeight="1">
      <c r="A96" s="124"/>
      <c r="B96" s="124" t="s">
        <v>186</v>
      </c>
      <c r="C96" s="102">
        <v>5105</v>
      </c>
      <c r="D96" s="127" t="s">
        <v>89</v>
      </c>
      <c r="E96" s="217">
        <v>0</v>
      </c>
      <c r="F96" s="217">
        <v>0</v>
      </c>
      <c r="G96" s="217">
        <v>0</v>
      </c>
      <c r="H96" s="217">
        <v>0</v>
      </c>
      <c r="I96" s="217">
        <v>0</v>
      </c>
      <c r="J96" s="217">
        <v>0</v>
      </c>
      <c r="K96" s="217">
        <v>0</v>
      </c>
      <c r="L96" s="217">
        <v>0</v>
      </c>
      <c r="M96" s="217">
        <v>0</v>
      </c>
      <c r="N96" s="217">
        <v>0</v>
      </c>
      <c r="O96" s="217">
        <v>0</v>
      </c>
      <c r="P96" s="217">
        <v>0</v>
      </c>
      <c r="Q96" s="606">
        <v>0</v>
      </c>
      <c r="R96" s="94"/>
      <c r="S96" s="213"/>
      <c r="T96" s="94"/>
    </row>
    <row r="97" spans="1:26" s="95" customFormat="1" ht="12" customHeight="1">
      <c r="A97" s="124"/>
      <c r="B97" s="124"/>
      <c r="C97" s="102">
        <v>5106</v>
      </c>
      <c r="D97" s="127" t="s">
        <v>169</v>
      </c>
      <c r="E97" s="217">
        <v>110051.325</v>
      </c>
      <c r="F97" s="217">
        <v>183418.87499999997</v>
      </c>
      <c r="G97" s="217">
        <v>183418.87499999997</v>
      </c>
      <c r="H97" s="217">
        <v>256786.42499999999</v>
      </c>
      <c r="I97" s="217">
        <v>256786.42499999999</v>
      </c>
      <c r="J97" s="217">
        <v>366837.75</v>
      </c>
      <c r="K97" s="217">
        <v>366837.75</v>
      </c>
      <c r="L97" s="217">
        <v>366837.75</v>
      </c>
      <c r="M97" s="217">
        <v>366837.75</v>
      </c>
      <c r="N97" s="217">
        <v>366837.75000000006</v>
      </c>
      <c r="O97" s="217">
        <v>366837.75000000006</v>
      </c>
      <c r="P97" s="217">
        <v>476889.07500000019</v>
      </c>
      <c r="Q97" s="606"/>
      <c r="R97" s="94"/>
      <c r="S97" s="213">
        <v>3668377.5</v>
      </c>
      <c r="T97" s="94"/>
    </row>
    <row r="98" spans="1:26" s="95" customFormat="1" ht="12" customHeight="1">
      <c r="A98" s="124"/>
      <c r="B98" s="124" t="s">
        <v>186</v>
      </c>
      <c r="C98" s="102">
        <v>5107</v>
      </c>
      <c r="D98" s="127" t="s">
        <v>549</v>
      </c>
      <c r="E98" s="217"/>
      <c r="F98" s="217"/>
      <c r="G98" s="217">
        <v>100327.97398650002</v>
      </c>
      <c r="H98" s="217">
        <v>978653.60302762489</v>
      </c>
      <c r="I98" s="217">
        <v>26019.445841999997</v>
      </c>
      <c r="J98" s="217">
        <v>41784.220841999995</v>
      </c>
      <c r="K98" s="217">
        <v>489463.08987824986</v>
      </c>
      <c r="L98" s="217">
        <v>35346.202027499996</v>
      </c>
      <c r="M98" s="217">
        <v>272800.56917887495</v>
      </c>
      <c r="N98" s="217">
        <v>257035.79417887496</v>
      </c>
      <c r="O98" s="217">
        <v>257035.79417887496</v>
      </c>
      <c r="P98" s="217">
        <v>257035.79417887496</v>
      </c>
      <c r="Q98" s="606">
        <v>311806.87901812419</v>
      </c>
      <c r="R98" s="94"/>
      <c r="S98" s="213">
        <v>3027309.3663374996</v>
      </c>
      <c r="T98" s="94"/>
    </row>
    <row r="99" spans="1:26" s="95" customFormat="1" ht="12" customHeight="1">
      <c r="A99" s="124"/>
      <c r="B99" s="124" t="s">
        <v>186</v>
      </c>
      <c r="C99" s="102"/>
      <c r="D99" s="127"/>
      <c r="E99" s="215">
        <v>110051.325</v>
      </c>
      <c r="F99" s="215">
        <v>258192.51136363635</v>
      </c>
      <c r="G99" s="215">
        <v>358520.48535013635</v>
      </c>
      <c r="H99" s="215">
        <v>1310213.6643912613</v>
      </c>
      <c r="I99" s="215">
        <v>357579.50720563636</v>
      </c>
      <c r="J99" s="215">
        <v>483395.60720563633</v>
      </c>
      <c r="K99" s="215">
        <v>931074.47624188615</v>
      </c>
      <c r="L99" s="215">
        <v>476957.58839113638</v>
      </c>
      <c r="M99" s="215">
        <v>714411.95554251131</v>
      </c>
      <c r="N99" s="215">
        <v>698647.1805425114</v>
      </c>
      <c r="O99" s="215">
        <v>698647.1805425114</v>
      </c>
      <c r="P99" s="215">
        <v>808698.50554251147</v>
      </c>
      <c r="Q99" s="915">
        <v>311806.87901812419</v>
      </c>
      <c r="R99" s="94"/>
      <c r="S99" s="814">
        <v>7518196.8663374986</v>
      </c>
      <c r="T99" s="94"/>
    </row>
    <row r="100" spans="1:26" s="95" customFormat="1" ht="12" customHeight="1">
      <c r="A100" s="124"/>
      <c r="B100" s="124" t="s">
        <v>286</v>
      </c>
      <c r="C100" s="126"/>
      <c r="D100" s="126"/>
      <c r="Q100" s="606"/>
      <c r="R100" s="94"/>
      <c r="S100" s="213"/>
      <c r="T100" s="113"/>
    </row>
    <row r="101" spans="1:26" s="95" customFormat="1" ht="12" customHeight="1">
      <c r="A101" s="124"/>
      <c r="B101" s="124" t="s">
        <v>186</v>
      </c>
      <c r="C101" s="126">
        <v>5201</v>
      </c>
      <c r="D101" s="126" t="s">
        <v>144</v>
      </c>
      <c r="E101" s="94">
        <v>0</v>
      </c>
      <c r="F101" s="94">
        <v>0</v>
      </c>
      <c r="G101" s="94">
        <v>0</v>
      </c>
      <c r="H101" s="94">
        <v>0</v>
      </c>
      <c r="I101" s="94">
        <v>0</v>
      </c>
      <c r="J101" s="94">
        <v>0</v>
      </c>
      <c r="K101" s="94">
        <v>11542.556999999999</v>
      </c>
      <c r="L101" s="94">
        <v>11542.556999999999</v>
      </c>
      <c r="M101" s="94">
        <v>11542.556999999999</v>
      </c>
      <c r="N101" s="94">
        <v>11542.556999999999</v>
      </c>
      <c r="O101" s="94">
        <v>0</v>
      </c>
      <c r="P101" s="94">
        <v>0</v>
      </c>
      <c r="Q101" s="606">
        <v>0</v>
      </c>
      <c r="R101" s="94"/>
      <c r="S101" s="340">
        <v>46170</v>
      </c>
      <c r="T101" s="94"/>
    </row>
    <row r="102" spans="1:26" s="95" customFormat="1" ht="12" customHeight="1">
      <c r="A102" s="124"/>
      <c r="B102" s="124" t="s">
        <v>186</v>
      </c>
      <c r="C102" s="102">
        <v>5300</v>
      </c>
      <c r="D102" s="127" t="s">
        <v>37</v>
      </c>
      <c r="E102" s="217">
        <v>1443.9619999999998</v>
      </c>
      <c r="F102" s="217">
        <v>1443.9619999999998</v>
      </c>
      <c r="G102" s="217">
        <v>1443.9619999999998</v>
      </c>
      <c r="H102" s="217">
        <v>1443.9619999999998</v>
      </c>
      <c r="I102" s="217">
        <v>1443.9619999999998</v>
      </c>
      <c r="J102" s="217">
        <v>1443.9619999999998</v>
      </c>
      <c r="K102" s="217">
        <v>1443.9619999999998</v>
      </c>
      <c r="L102" s="217">
        <v>1443.9619999999998</v>
      </c>
      <c r="M102" s="217">
        <v>1443.9619999999998</v>
      </c>
      <c r="N102" s="217">
        <v>1443.9619999999998</v>
      </c>
      <c r="O102" s="217">
        <v>1443.9619999999998</v>
      </c>
      <c r="P102" s="217">
        <v>1443.9619999999998</v>
      </c>
      <c r="Q102" s="606">
        <v>0</v>
      </c>
      <c r="R102" s="94"/>
      <c r="S102" s="213">
        <v>17328</v>
      </c>
      <c r="T102" s="94"/>
      <c r="U102" s="421"/>
      <c r="V102" s="421"/>
      <c r="W102" s="421"/>
      <c r="X102" s="421"/>
      <c r="Y102" s="421"/>
      <c r="Z102" s="421"/>
    </row>
    <row r="103" spans="1:26" s="95" customFormat="1" ht="12" customHeight="1">
      <c r="A103" s="124"/>
      <c r="B103" s="124" t="s">
        <v>186</v>
      </c>
      <c r="C103" s="102">
        <v>5400</v>
      </c>
      <c r="D103" s="127" t="s">
        <v>38</v>
      </c>
      <c r="E103" s="217">
        <v>6253.3607499999998</v>
      </c>
      <c r="F103" s="217">
        <v>6253.3607499999998</v>
      </c>
      <c r="G103" s="217">
        <v>6253.3607499999998</v>
      </c>
      <c r="H103" s="217">
        <v>6253.3607499999998</v>
      </c>
      <c r="I103" s="217">
        <v>6253.3607499999998</v>
      </c>
      <c r="J103" s="217">
        <v>6253.3607499999998</v>
      </c>
      <c r="K103" s="217">
        <v>6253.3607499999998</v>
      </c>
      <c r="L103" s="217">
        <v>6253.3607499999998</v>
      </c>
      <c r="M103" s="217">
        <v>6253.3607499999998</v>
      </c>
      <c r="N103" s="217">
        <v>6253.3607499999998</v>
      </c>
      <c r="O103" s="217">
        <v>6253.3607499999998</v>
      </c>
      <c r="P103" s="217">
        <v>6253.3607499999998</v>
      </c>
      <c r="Q103" s="606">
        <v>0</v>
      </c>
      <c r="R103" s="94"/>
      <c r="S103" s="213">
        <v>75040</v>
      </c>
      <c r="T103" s="94"/>
    </row>
    <row r="104" spans="1:26" s="95" customFormat="1" ht="12" customHeight="1">
      <c r="A104" s="124"/>
      <c r="B104" s="124" t="s">
        <v>186</v>
      </c>
      <c r="C104" s="102">
        <v>5501</v>
      </c>
      <c r="D104" s="127" t="s">
        <v>101</v>
      </c>
      <c r="E104" s="94">
        <v>335.85824999999994</v>
      </c>
      <c r="F104" s="94">
        <v>335.85824999999994</v>
      </c>
      <c r="G104" s="94">
        <v>335.85824999999994</v>
      </c>
      <c r="H104" s="94">
        <v>335.85824999999994</v>
      </c>
      <c r="I104" s="94">
        <v>335.85824999999994</v>
      </c>
      <c r="J104" s="94">
        <v>335.85824999999994</v>
      </c>
      <c r="K104" s="94">
        <v>335.85824999999994</v>
      </c>
      <c r="L104" s="94">
        <v>335.85824999999994</v>
      </c>
      <c r="M104" s="94">
        <v>335.85824999999994</v>
      </c>
      <c r="N104" s="94">
        <v>335.85824999999994</v>
      </c>
      <c r="O104" s="94">
        <v>335.85824999999994</v>
      </c>
      <c r="P104" s="94">
        <v>335.85824999999994</v>
      </c>
      <c r="Q104" s="606">
        <v>0</v>
      </c>
      <c r="R104" s="94"/>
      <c r="S104" s="213">
        <v>4030</v>
      </c>
      <c r="T104" s="94"/>
    </row>
    <row r="105" spans="1:26" s="95" customFormat="1" ht="12" customHeight="1">
      <c r="A105" s="124"/>
      <c r="B105" s="124" t="s">
        <v>186</v>
      </c>
      <c r="C105" s="102">
        <v>5502</v>
      </c>
      <c r="D105" s="127" t="s">
        <v>514</v>
      </c>
      <c r="E105" s="217">
        <v>95.959499999999991</v>
      </c>
      <c r="F105" s="217">
        <v>95.959499999999991</v>
      </c>
      <c r="G105" s="217">
        <v>95.959499999999991</v>
      </c>
      <c r="H105" s="217">
        <v>95.959499999999991</v>
      </c>
      <c r="I105" s="217">
        <v>95.959499999999991</v>
      </c>
      <c r="J105" s="217">
        <v>95.959499999999991</v>
      </c>
      <c r="K105" s="217">
        <v>95.959499999999991</v>
      </c>
      <c r="L105" s="217">
        <v>95.959499999999991</v>
      </c>
      <c r="M105" s="217">
        <v>95.959499999999991</v>
      </c>
      <c r="N105" s="217">
        <v>95.959499999999991</v>
      </c>
      <c r="O105" s="217">
        <v>95.959499999999991</v>
      </c>
      <c r="P105" s="217">
        <v>95.959499999999991</v>
      </c>
      <c r="Q105" s="606">
        <v>0</v>
      </c>
      <c r="R105" s="94"/>
      <c r="S105" s="213">
        <v>1152</v>
      </c>
      <c r="T105" s="94"/>
    </row>
    <row r="106" spans="1:26" s="95" customFormat="1" ht="12" customHeight="1">
      <c r="A106" s="124"/>
      <c r="B106" s="124" t="s">
        <v>186</v>
      </c>
      <c r="C106" s="102">
        <v>5516</v>
      </c>
      <c r="D106" s="127" t="s">
        <v>103</v>
      </c>
      <c r="E106" s="217">
        <v>0</v>
      </c>
      <c r="F106" s="217">
        <v>0</v>
      </c>
      <c r="G106" s="217">
        <v>0</v>
      </c>
      <c r="H106" s="217">
        <v>0</v>
      </c>
      <c r="I106" s="217">
        <v>0</v>
      </c>
      <c r="J106" s="217">
        <v>0</v>
      </c>
      <c r="K106" s="217">
        <v>0</v>
      </c>
      <c r="L106" s="217">
        <v>0</v>
      </c>
      <c r="M106" s="217">
        <v>0</v>
      </c>
      <c r="N106" s="217">
        <v>0</v>
      </c>
      <c r="O106" s="217">
        <v>0</v>
      </c>
      <c r="P106" s="217">
        <v>0</v>
      </c>
      <c r="Q106" s="606">
        <v>0</v>
      </c>
      <c r="R106" s="94"/>
      <c r="S106" s="213"/>
      <c r="T106" s="94"/>
    </row>
    <row r="107" spans="1:26" s="95" customFormat="1" ht="12" customHeight="1">
      <c r="A107" s="124"/>
      <c r="B107" s="124">
        <v>0</v>
      </c>
      <c r="C107" s="102">
        <v>5531</v>
      </c>
      <c r="D107" s="127" t="s">
        <v>313</v>
      </c>
      <c r="E107" s="94">
        <v>0</v>
      </c>
      <c r="F107" s="94">
        <v>0</v>
      </c>
      <c r="G107" s="94">
        <v>0</v>
      </c>
      <c r="H107" s="94">
        <v>0</v>
      </c>
      <c r="I107" s="94">
        <v>0</v>
      </c>
      <c r="J107" s="94">
        <v>0</v>
      </c>
      <c r="K107" s="94">
        <v>0</v>
      </c>
      <c r="L107" s="94">
        <v>0</v>
      </c>
      <c r="M107" s="94">
        <v>0</v>
      </c>
      <c r="N107" s="94">
        <v>0</v>
      </c>
      <c r="O107" s="94">
        <v>0</v>
      </c>
      <c r="P107" s="94">
        <v>0</v>
      </c>
      <c r="Q107" s="606">
        <v>0</v>
      </c>
      <c r="R107" s="94"/>
      <c r="S107" s="213"/>
      <c r="T107" s="94"/>
    </row>
    <row r="108" spans="1:26" s="95" customFormat="1" ht="12" customHeight="1">
      <c r="A108" s="124"/>
      <c r="B108" s="124" t="s">
        <v>186</v>
      </c>
      <c r="C108" s="102">
        <v>5900</v>
      </c>
      <c r="D108" s="127" t="s">
        <v>104</v>
      </c>
      <c r="E108" s="217">
        <v>1443.9619999999998</v>
      </c>
      <c r="F108" s="217">
        <v>1443.9619999999998</v>
      </c>
      <c r="G108" s="217">
        <v>1443.9619999999998</v>
      </c>
      <c r="H108" s="217">
        <v>1443.9619999999998</v>
      </c>
      <c r="I108" s="217">
        <v>1443.9619999999998</v>
      </c>
      <c r="J108" s="217">
        <v>1443.9619999999998</v>
      </c>
      <c r="K108" s="217">
        <v>1443.9619999999998</v>
      </c>
      <c r="L108" s="217">
        <v>1443.9619999999998</v>
      </c>
      <c r="M108" s="217">
        <v>1443.9619999999998</v>
      </c>
      <c r="N108" s="217">
        <v>1443.9619999999998</v>
      </c>
      <c r="O108" s="217">
        <v>1443.9619999999998</v>
      </c>
      <c r="P108" s="217">
        <v>1443.9619999999998</v>
      </c>
      <c r="Q108" s="606">
        <v>0</v>
      </c>
      <c r="R108" s="94"/>
      <c r="S108" s="213">
        <f>SUM(E108:P108)</f>
        <v>17327.543999999998</v>
      </c>
      <c r="T108" s="94"/>
    </row>
    <row r="109" spans="1:26" s="95" customFormat="1" ht="12" customHeight="1">
      <c r="A109" s="124"/>
      <c r="B109" s="124" t="s">
        <v>186</v>
      </c>
      <c r="C109" s="102">
        <v>5901</v>
      </c>
      <c r="D109" s="127" t="s">
        <v>40</v>
      </c>
      <c r="E109" s="217">
        <v>0</v>
      </c>
      <c r="F109" s="217">
        <v>0</v>
      </c>
      <c r="G109" s="217">
        <v>4041.2657999999997</v>
      </c>
      <c r="H109" s="217">
        <v>4041.2657999999997</v>
      </c>
      <c r="I109" s="217">
        <v>4041.2657999999997</v>
      </c>
      <c r="J109" s="217">
        <v>4041.2657999999997</v>
      </c>
      <c r="K109" s="217">
        <v>4041.2657999999997</v>
      </c>
      <c r="L109" s="217">
        <v>4041.2657999999997</v>
      </c>
      <c r="M109" s="217">
        <v>4041.2657999999997</v>
      </c>
      <c r="N109" s="217">
        <v>4041.2657999999997</v>
      </c>
      <c r="O109" s="217">
        <v>4041.2657999999997</v>
      </c>
      <c r="P109" s="217">
        <v>4041.2657999999997</v>
      </c>
      <c r="Q109" s="606">
        <v>0</v>
      </c>
      <c r="R109" s="94"/>
      <c r="S109" s="213">
        <v>40413</v>
      </c>
      <c r="T109" s="94"/>
    </row>
    <row r="110" spans="1:26" s="95" customFormat="1" ht="12" customHeight="1">
      <c r="A110" s="124"/>
      <c r="B110" s="124" t="s">
        <v>186</v>
      </c>
      <c r="C110" s="102"/>
      <c r="D110" s="127"/>
      <c r="E110" s="919">
        <v>9573.1024999999991</v>
      </c>
      <c r="F110" s="919">
        <v>9573.1024999999991</v>
      </c>
      <c r="G110" s="919">
        <v>13614.368299999998</v>
      </c>
      <c r="H110" s="919">
        <v>13614.368299999998</v>
      </c>
      <c r="I110" s="919">
        <v>13614.368299999998</v>
      </c>
      <c r="J110" s="919">
        <v>13614.368299999998</v>
      </c>
      <c r="K110" s="919">
        <v>25156.925300000003</v>
      </c>
      <c r="L110" s="919">
        <v>25156.925300000003</v>
      </c>
      <c r="M110" s="919">
        <v>25156.925300000003</v>
      </c>
      <c r="N110" s="919">
        <v>25156.925300000003</v>
      </c>
      <c r="O110" s="919">
        <v>13614.368299999998</v>
      </c>
      <c r="P110" s="919">
        <v>13614.368299999998</v>
      </c>
      <c r="Q110" s="920">
        <v>0</v>
      </c>
      <c r="R110" s="94"/>
      <c r="S110" s="814">
        <v>201460.11600000001</v>
      </c>
      <c r="T110" s="94"/>
    </row>
    <row r="111" spans="1:26" s="95" customFormat="1" ht="12" customHeight="1">
      <c r="A111" s="124"/>
      <c r="B111" s="124" t="s">
        <v>287</v>
      </c>
      <c r="C111" s="102"/>
      <c r="D111" s="103"/>
      <c r="E111" s="917">
        <v>0</v>
      </c>
      <c r="F111" s="917">
        <v>0</v>
      </c>
      <c r="G111" s="917">
        <v>0</v>
      </c>
      <c r="H111" s="917">
        <v>0</v>
      </c>
      <c r="I111" s="917">
        <v>0</v>
      </c>
      <c r="J111" s="917">
        <v>0</v>
      </c>
      <c r="K111" s="917">
        <v>0</v>
      </c>
      <c r="L111" s="917">
        <v>0</v>
      </c>
      <c r="M111" s="917">
        <v>0</v>
      </c>
      <c r="N111" s="917">
        <v>0</v>
      </c>
      <c r="O111" s="917">
        <v>0</v>
      </c>
      <c r="P111" s="917">
        <v>0</v>
      </c>
      <c r="Q111" s="918">
        <v>0</v>
      </c>
      <c r="R111" s="94"/>
      <c r="S111" s="213"/>
      <c r="T111" s="113"/>
    </row>
    <row r="112" spans="1:26" s="95" customFormat="1" ht="12" customHeight="1">
      <c r="A112" s="124"/>
      <c r="B112" s="124" t="s">
        <v>186</v>
      </c>
      <c r="C112" s="126">
        <v>5601</v>
      </c>
      <c r="D112" s="126" t="s">
        <v>29</v>
      </c>
      <c r="E112" s="94">
        <v>7215.240499999999</v>
      </c>
      <c r="F112" s="94">
        <v>7215.240499999999</v>
      </c>
      <c r="G112" s="94">
        <v>7215.240499999999</v>
      </c>
      <c r="H112" s="94">
        <v>7215.240499999999</v>
      </c>
      <c r="I112" s="94">
        <v>7215.240499999999</v>
      </c>
      <c r="J112" s="94">
        <v>7215.240499999999</v>
      </c>
      <c r="K112" s="94">
        <v>7215.240499999999</v>
      </c>
      <c r="L112" s="94">
        <v>7215.240499999999</v>
      </c>
      <c r="M112" s="94">
        <v>7215.240499999999</v>
      </c>
      <c r="N112" s="94">
        <v>7215.240499999999</v>
      </c>
      <c r="O112" s="94">
        <v>7215.240499999999</v>
      </c>
      <c r="P112" s="94">
        <v>7215.240499999999</v>
      </c>
      <c r="Q112" s="606">
        <v>0</v>
      </c>
      <c r="R112" s="94"/>
      <c r="S112" s="340">
        <v>86582.885999999984</v>
      </c>
      <c r="T112" s="94"/>
    </row>
    <row r="113" spans="1:20" s="95" customFormat="1" ht="12" customHeight="1">
      <c r="A113" s="124"/>
      <c r="B113" s="124" t="s">
        <v>186</v>
      </c>
      <c r="C113" s="102">
        <v>5602</v>
      </c>
      <c r="D113" s="127" t="s">
        <v>30</v>
      </c>
      <c r="E113" s="94">
        <v>228.47499999999999</v>
      </c>
      <c r="F113" s="94">
        <v>228.47499999999999</v>
      </c>
      <c r="G113" s="94">
        <v>228.47499999999999</v>
      </c>
      <c r="H113" s="94">
        <v>228.47499999999999</v>
      </c>
      <c r="I113" s="94">
        <v>228.47499999999999</v>
      </c>
      <c r="J113" s="94">
        <v>228.47499999999999</v>
      </c>
      <c r="K113" s="94">
        <v>228.47499999999999</v>
      </c>
      <c r="L113" s="94">
        <v>228.47499999999999</v>
      </c>
      <c r="M113" s="94">
        <v>228.47499999999999</v>
      </c>
      <c r="N113" s="94">
        <v>228.47499999999999</v>
      </c>
      <c r="O113" s="94">
        <v>228.47499999999999</v>
      </c>
      <c r="P113" s="94">
        <v>228.47499999999999</v>
      </c>
      <c r="Q113" s="606">
        <v>0</v>
      </c>
      <c r="R113" s="94"/>
      <c r="S113" s="213">
        <v>2741.6999999999994</v>
      </c>
      <c r="T113" s="94"/>
    </row>
    <row r="114" spans="1:20" s="95" customFormat="1" ht="12" customHeight="1">
      <c r="A114" s="124"/>
      <c r="B114" s="124" t="s">
        <v>186</v>
      </c>
      <c r="C114" s="102">
        <v>5603</v>
      </c>
      <c r="D114" s="127" t="s">
        <v>31</v>
      </c>
      <c r="E114" s="94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s="94">
        <v>0</v>
      </c>
      <c r="N114" s="94">
        <v>0</v>
      </c>
      <c r="O114" s="94">
        <v>0</v>
      </c>
      <c r="P114" s="94">
        <v>0</v>
      </c>
      <c r="Q114" s="606">
        <v>0</v>
      </c>
      <c r="R114" s="94"/>
      <c r="S114" s="213">
        <v>0</v>
      </c>
      <c r="T114" s="94"/>
    </row>
    <row r="115" spans="1:20" s="95" customFormat="1" ht="12" customHeight="1">
      <c r="A115" s="124"/>
      <c r="B115" s="124" t="s">
        <v>186</v>
      </c>
      <c r="C115" s="102">
        <v>5604</v>
      </c>
      <c r="D115" s="127" t="s">
        <v>32</v>
      </c>
      <c r="E115" s="94">
        <v>0</v>
      </c>
      <c r="F115" s="94">
        <v>0</v>
      </c>
      <c r="G115" s="94">
        <v>0</v>
      </c>
      <c r="H115" s="94">
        <v>0</v>
      </c>
      <c r="I115" s="94">
        <v>0</v>
      </c>
      <c r="J115" s="94">
        <v>0</v>
      </c>
      <c r="K115" s="94">
        <v>0</v>
      </c>
      <c r="L115" s="94">
        <v>0</v>
      </c>
      <c r="M115" s="94">
        <v>0</v>
      </c>
      <c r="N115" s="94">
        <v>0</v>
      </c>
      <c r="O115" s="94">
        <v>0</v>
      </c>
      <c r="P115" s="94">
        <v>0</v>
      </c>
      <c r="Q115" s="606">
        <v>0</v>
      </c>
      <c r="R115" s="94"/>
      <c r="S115" s="213">
        <v>0</v>
      </c>
      <c r="T115" s="94"/>
    </row>
    <row r="116" spans="1:20" s="95" customFormat="1" ht="12" customHeight="1">
      <c r="A116" s="124"/>
      <c r="B116" s="124" t="s">
        <v>186</v>
      </c>
      <c r="C116" s="102">
        <v>5605</v>
      </c>
      <c r="D116" s="127" t="s">
        <v>99</v>
      </c>
      <c r="E116" s="94">
        <v>0</v>
      </c>
      <c r="F116" s="94">
        <v>0</v>
      </c>
      <c r="G116" s="94">
        <v>0</v>
      </c>
      <c r="H116" s="94">
        <v>0</v>
      </c>
      <c r="I116" s="94">
        <v>0</v>
      </c>
      <c r="J116" s="94">
        <v>0</v>
      </c>
      <c r="K116" s="94">
        <v>0</v>
      </c>
      <c r="L116" s="94">
        <v>0</v>
      </c>
      <c r="M116" s="94">
        <v>0</v>
      </c>
      <c r="N116" s="94">
        <v>0</v>
      </c>
      <c r="O116" s="94">
        <v>0</v>
      </c>
      <c r="P116" s="94">
        <v>0</v>
      </c>
      <c r="Q116" s="606">
        <v>0</v>
      </c>
      <c r="R116" s="94"/>
      <c r="S116" s="213">
        <v>0</v>
      </c>
      <c r="T116" s="94"/>
    </row>
    <row r="117" spans="1:20" s="95" customFormat="1" ht="12" customHeight="1">
      <c r="A117" s="124"/>
      <c r="B117" s="124" t="s">
        <v>186</v>
      </c>
      <c r="C117" s="102">
        <v>5610</v>
      </c>
      <c r="D117" s="127" t="s">
        <v>33</v>
      </c>
      <c r="E117" s="217">
        <v>961.87974999999994</v>
      </c>
      <c r="F117" s="217">
        <v>961.87974999999994</v>
      </c>
      <c r="G117" s="217">
        <v>961.87974999999994</v>
      </c>
      <c r="H117" s="217">
        <v>961.87974999999994</v>
      </c>
      <c r="I117" s="217">
        <v>961.87974999999994</v>
      </c>
      <c r="J117" s="217">
        <v>961.87974999999994</v>
      </c>
      <c r="K117" s="217">
        <v>961.87974999999994</v>
      </c>
      <c r="L117" s="217">
        <v>961.87974999999994</v>
      </c>
      <c r="M117" s="217">
        <v>961.87974999999994</v>
      </c>
      <c r="N117" s="217">
        <v>961.87974999999994</v>
      </c>
      <c r="O117" s="217">
        <v>961.87974999999994</v>
      </c>
      <c r="P117" s="217">
        <v>961.87974999999994</v>
      </c>
      <c r="Q117" s="606">
        <v>0</v>
      </c>
      <c r="R117" s="94"/>
      <c r="S117" s="213">
        <v>11542.556999999999</v>
      </c>
      <c r="T117" s="94"/>
    </row>
    <row r="118" spans="1:20" s="95" customFormat="1" ht="12" customHeight="1">
      <c r="A118" s="124"/>
      <c r="B118" s="124" t="s">
        <v>186</v>
      </c>
      <c r="C118" s="102"/>
      <c r="D118" s="127"/>
      <c r="E118" s="215">
        <v>8405.5952499999985</v>
      </c>
      <c r="F118" s="215">
        <v>8405.5952499999985</v>
      </c>
      <c r="G118" s="215">
        <v>8405.5952499999985</v>
      </c>
      <c r="H118" s="215">
        <v>8405.5952499999985</v>
      </c>
      <c r="I118" s="215">
        <v>8405.5952499999985</v>
      </c>
      <c r="J118" s="215">
        <v>8405.5952499999985</v>
      </c>
      <c r="K118" s="215">
        <v>8405.5952499999985</v>
      </c>
      <c r="L118" s="215">
        <v>8405.5952499999985</v>
      </c>
      <c r="M118" s="215">
        <v>8405.5952499999985</v>
      </c>
      <c r="N118" s="215">
        <v>8405.5952499999985</v>
      </c>
      <c r="O118" s="215">
        <v>8405.5952499999985</v>
      </c>
      <c r="P118" s="215">
        <v>8405.5952499999985</v>
      </c>
      <c r="Q118" s="603">
        <v>0</v>
      </c>
      <c r="R118" s="94"/>
      <c r="S118" s="814">
        <v>100867.14299999998</v>
      </c>
      <c r="T118" s="94"/>
    </row>
    <row r="119" spans="1:20" s="95" customFormat="1" ht="12" customHeight="1">
      <c r="A119" s="124"/>
      <c r="B119" s="124" t="s">
        <v>285</v>
      </c>
      <c r="C119" s="126"/>
      <c r="D119" s="126"/>
      <c r="Q119" s="606"/>
      <c r="R119" s="94"/>
      <c r="S119" s="213"/>
      <c r="T119" s="94"/>
    </row>
    <row r="120" spans="1:20" s="95" customFormat="1" ht="12" customHeight="1">
      <c r="A120" s="124"/>
      <c r="B120" s="124" t="s">
        <v>186</v>
      </c>
      <c r="C120" s="126">
        <v>5801</v>
      </c>
      <c r="D120" s="126" t="s">
        <v>92</v>
      </c>
      <c r="E120" s="94">
        <v>0</v>
      </c>
      <c r="F120" s="94">
        <v>0</v>
      </c>
      <c r="G120" s="94">
        <v>0</v>
      </c>
      <c r="H120" s="94">
        <v>0</v>
      </c>
      <c r="I120" s="94">
        <v>0</v>
      </c>
      <c r="J120" s="94">
        <v>0</v>
      </c>
      <c r="K120" s="94">
        <v>0</v>
      </c>
      <c r="L120" s="94">
        <v>0</v>
      </c>
      <c r="M120" s="94">
        <v>0</v>
      </c>
      <c r="N120" s="94">
        <v>0</v>
      </c>
      <c r="O120" s="94">
        <v>0</v>
      </c>
      <c r="P120" s="94">
        <v>0</v>
      </c>
      <c r="Q120" s="606">
        <v>0</v>
      </c>
      <c r="R120" s="94"/>
      <c r="S120" s="340"/>
      <c r="T120" s="94"/>
    </row>
    <row r="121" spans="1:20" s="95" customFormat="1" ht="12" customHeight="1">
      <c r="A121" s="124"/>
      <c r="B121" s="124" t="s">
        <v>186</v>
      </c>
      <c r="C121" s="102">
        <v>5802</v>
      </c>
      <c r="D121" s="127" t="s">
        <v>170</v>
      </c>
      <c r="E121" s="217">
        <v>0</v>
      </c>
      <c r="F121" s="217">
        <v>0</v>
      </c>
      <c r="G121" s="217">
        <v>0</v>
      </c>
      <c r="H121" s="217">
        <v>5775.847999999999</v>
      </c>
      <c r="I121" s="217">
        <v>5775.847999999999</v>
      </c>
      <c r="J121" s="217">
        <v>5775.847999999999</v>
      </c>
      <c r="K121" s="217">
        <v>0</v>
      </c>
      <c r="L121" s="217">
        <v>0</v>
      </c>
      <c r="M121" s="217">
        <v>0</v>
      </c>
      <c r="N121" s="217">
        <v>0</v>
      </c>
      <c r="O121" s="217">
        <v>0</v>
      </c>
      <c r="P121" s="217">
        <v>0</v>
      </c>
      <c r="Q121" s="606">
        <v>0</v>
      </c>
      <c r="R121" s="94"/>
      <c r="S121" s="213">
        <v>17327.543999999998</v>
      </c>
      <c r="T121" s="94"/>
    </row>
    <row r="122" spans="1:20" s="95" customFormat="1" ht="12" customHeight="1">
      <c r="A122" s="124"/>
      <c r="B122" s="124" t="s">
        <v>186</v>
      </c>
      <c r="C122" s="102">
        <v>5803</v>
      </c>
      <c r="D122" s="127" t="s">
        <v>93</v>
      </c>
      <c r="E122" s="217">
        <v>4809.3987499999994</v>
      </c>
      <c r="F122" s="217">
        <v>4809.3987499999994</v>
      </c>
      <c r="G122" s="217">
        <v>4809.3987499999994</v>
      </c>
      <c r="H122" s="217">
        <v>4809.3987499999994</v>
      </c>
      <c r="I122" s="217">
        <v>4809.3987499999994</v>
      </c>
      <c r="J122" s="217">
        <v>4809.3987499999994</v>
      </c>
      <c r="K122" s="217">
        <v>4809.3987499999994</v>
      </c>
      <c r="L122" s="217">
        <v>4809.3987499999994</v>
      </c>
      <c r="M122" s="217">
        <v>4809.3987499999994</v>
      </c>
      <c r="N122" s="217">
        <v>4809.3987499999994</v>
      </c>
      <c r="O122" s="217">
        <v>4809.3987499999994</v>
      </c>
      <c r="P122" s="217">
        <v>4809.3987499999994</v>
      </c>
      <c r="Q122" s="606">
        <v>0</v>
      </c>
      <c r="R122" s="94"/>
      <c r="S122" s="213">
        <v>57712.784999999996</v>
      </c>
      <c r="T122" s="94"/>
    </row>
    <row r="123" spans="1:20" s="95" customFormat="1" ht="12" customHeight="1">
      <c r="A123" s="124"/>
      <c r="B123" s="124" t="s">
        <v>186</v>
      </c>
      <c r="C123" s="102">
        <v>5804</v>
      </c>
      <c r="D123" s="127" t="s">
        <v>35</v>
      </c>
      <c r="E123" s="217">
        <v>0</v>
      </c>
      <c r="F123" s="217">
        <v>0</v>
      </c>
      <c r="G123" s="217">
        <v>5828.8541999999998</v>
      </c>
      <c r="H123" s="217">
        <v>5828.8541999999998</v>
      </c>
      <c r="I123" s="217">
        <v>5828.8541999999998</v>
      </c>
      <c r="J123" s="217">
        <v>5828.8541999999998</v>
      </c>
      <c r="K123" s="217">
        <v>5828.8541999999998</v>
      </c>
      <c r="L123" s="217">
        <v>5828.8541999999998</v>
      </c>
      <c r="M123" s="217">
        <v>5828.8541999999998</v>
      </c>
      <c r="N123" s="217">
        <v>5828.8541999999998</v>
      </c>
      <c r="O123" s="217">
        <v>5828.8541999999998</v>
      </c>
      <c r="P123" s="217">
        <v>5828.8541999999998</v>
      </c>
      <c r="Q123" s="606">
        <v>0</v>
      </c>
      <c r="R123" s="94"/>
      <c r="S123" s="213">
        <v>58288.542000000009</v>
      </c>
      <c r="T123" s="94"/>
    </row>
    <row r="124" spans="1:20" s="95" customFormat="1" ht="12" customHeight="1">
      <c r="A124" s="124"/>
      <c r="B124" s="124" t="s">
        <v>186</v>
      </c>
      <c r="C124" s="102">
        <v>5805</v>
      </c>
      <c r="D124" s="127" t="s">
        <v>94</v>
      </c>
      <c r="E124" s="217">
        <v>0</v>
      </c>
      <c r="F124" s="217">
        <v>0</v>
      </c>
      <c r="G124" s="217">
        <v>4112.55</v>
      </c>
      <c r="H124" s="217">
        <v>4112.55</v>
      </c>
      <c r="I124" s="217">
        <v>4112.55</v>
      </c>
      <c r="J124" s="217">
        <v>4112.55</v>
      </c>
      <c r="K124" s="217">
        <v>4112.55</v>
      </c>
      <c r="L124" s="217">
        <v>4112.55</v>
      </c>
      <c r="M124" s="217">
        <v>4112.55</v>
      </c>
      <c r="N124" s="217">
        <v>4112.55</v>
      </c>
      <c r="O124" s="217">
        <v>4112.55</v>
      </c>
      <c r="P124" s="217">
        <v>4112.55</v>
      </c>
      <c r="Q124" s="606">
        <v>0</v>
      </c>
      <c r="R124" s="94"/>
      <c r="S124" s="213">
        <v>41125.500000000007</v>
      </c>
      <c r="T124" s="94"/>
    </row>
    <row r="125" spans="1:20" s="95" customFormat="1" ht="12" customHeight="1">
      <c r="A125" s="124"/>
      <c r="B125" s="124" t="s">
        <v>186</v>
      </c>
      <c r="C125" s="102">
        <v>5806</v>
      </c>
      <c r="D125" s="127" t="s">
        <v>81</v>
      </c>
      <c r="E125" s="217">
        <v>22010.264999999999</v>
      </c>
      <c r="F125" s="217">
        <v>36683.774999999994</v>
      </c>
      <c r="G125" s="217">
        <v>36683.774999999994</v>
      </c>
      <c r="H125" s="217">
        <v>51357.285000000003</v>
      </c>
      <c r="I125" s="217">
        <v>51357.284999999996</v>
      </c>
      <c r="J125" s="217">
        <v>73367.549999999988</v>
      </c>
      <c r="K125" s="217">
        <v>73367.55</v>
      </c>
      <c r="L125" s="217">
        <v>73367.550000000017</v>
      </c>
      <c r="M125" s="217">
        <v>73367.550000000017</v>
      </c>
      <c r="N125" s="217">
        <v>73367.550000000017</v>
      </c>
      <c r="O125" s="217">
        <v>73367.549999999988</v>
      </c>
      <c r="P125" s="217">
        <v>95377.814999999944</v>
      </c>
      <c r="Q125" s="606">
        <v>0</v>
      </c>
      <c r="R125" s="94"/>
      <c r="S125" s="213">
        <v>733675.5</v>
      </c>
      <c r="T125" s="94"/>
    </row>
    <row r="126" spans="1:20" s="95" customFormat="1" ht="12" customHeight="1">
      <c r="A126" s="124"/>
      <c r="B126" s="124" t="s">
        <v>186</v>
      </c>
      <c r="C126" s="102">
        <v>5807</v>
      </c>
      <c r="D126" s="127" t="s">
        <v>41</v>
      </c>
      <c r="E126" s="217">
        <v>0</v>
      </c>
      <c r="F126" s="217">
        <v>0</v>
      </c>
      <c r="G126" s="217">
        <v>230.30279999999999</v>
      </c>
      <c r="H126" s="217">
        <v>230.30279999999999</v>
      </c>
      <c r="I126" s="217">
        <v>230.30279999999999</v>
      </c>
      <c r="J126" s="217">
        <v>230.30279999999999</v>
      </c>
      <c r="K126" s="217">
        <v>230.30279999999999</v>
      </c>
      <c r="L126" s="217">
        <v>230.30279999999999</v>
      </c>
      <c r="M126" s="217">
        <v>230.30279999999999</v>
      </c>
      <c r="N126" s="217">
        <v>230.30279999999999</v>
      </c>
      <c r="O126" s="217">
        <v>230.30279999999999</v>
      </c>
      <c r="P126" s="217">
        <v>230.30279999999999</v>
      </c>
      <c r="Q126" s="606">
        <v>0</v>
      </c>
      <c r="R126" s="94"/>
      <c r="S126" s="213">
        <v>2303.0279999999998</v>
      </c>
      <c r="T126" s="94"/>
    </row>
    <row r="127" spans="1:20" s="95" customFormat="1" ht="12" customHeight="1">
      <c r="A127" s="124"/>
      <c r="B127" s="124" t="s">
        <v>186</v>
      </c>
      <c r="C127" s="102">
        <v>5808</v>
      </c>
      <c r="D127" s="127" t="s">
        <v>42</v>
      </c>
      <c r="E127" s="94">
        <v>0</v>
      </c>
      <c r="F127" s="94">
        <v>0</v>
      </c>
      <c r="G127" s="94">
        <v>345.45420000000001</v>
      </c>
      <c r="H127" s="94">
        <v>345.45420000000001</v>
      </c>
      <c r="I127" s="94">
        <v>345.45420000000001</v>
      </c>
      <c r="J127" s="94">
        <v>345.45420000000001</v>
      </c>
      <c r="K127" s="94">
        <v>345.45420000000001</v>
      </c>
      <c r="L127" s="94">
        <v>345.45420000000001</v>
      </c>
      <c r="M127" s="94">
        <v>345.45420000000001</v>
      </c>
      <c r="N127" s="94">
        <v>345.45420000000001</v>
      </c>
      <c r="O127" s="94">
        <v>345.45420000000001</v>
      </c>
      <c r="P127" s="94">
        <v>345.45420000000001</v>
      </c>
      <c r="Q127" s="606">
        <v>0</v>
      </c>
      <c r="R127" s="94"/>
      <c r="S127" s="213">
        <v>3454.5420000000008</v>
      </c>
      <c r="T127" s="94"/>
    </row>
    <row r="128" spans="1:20" s="95" customFormat="1" ht="12" customHeight="1">
      <c r="A128" s="124"/>
      <c r="B128" s="124" t="s">
        <v>186</v>
      </c>
      <c r="C128" s="102">
        <v>5809</v>
      </c>
      <c r="D128" s="127" t="s">
        <v>43</v>
      </c>
      <c r="E128" s="217">
        <v>0</v>
      </c>
      <c r="F128" s="217">
        <v>0</v>
      </c>
      <c r="G128" s="217">
        <v>1370.85</v>
      </c>
      <c r="H128" s="217">
        <v>1370.85</v>
      </c>
      <c r="I128" s="217">
        <v>1370.85</v>
      </c>
      <c r="J128" s="217">
        <v>1370.85</v>
      </c>
      <c r="K128" s="217">
        <v>1370.85</v>
      </c>
      <c r="L128" s="217">
        <v>1370.85</v>
      </c>
      <c r="M128" s="217">
        <v>1370.85</v>
      </c>
      <c r="N128" s="217">
        <v>1370.85</v>
      </c>
      <c r="O128" s="217">
        <v>1370.85</v>
      </c>
      <c r="P128" s="217">
        <v>1370.85</v>
      </c>
      <c r="Q128" s="606">
        <v>0</v>
      </c>
      <c r="R128" s="94"/>
      <c r="S128" s="213">
        <v>13708.500000000002</v>
      </c>
      <c r="T128" s="94"/>
    </row>
    <row r="129" spans="1:20" s="95" customFormat="1" ht="12" customHeight="1">
      <c r="A129" s="124"/>
      <c r="B129" s="124" t="s">
        <v>186</v>
      </c>
      <c r="C129" s="102">
        <v>5810</v>
      </c>
      <c r="D129" s="127" t="s">
        <v>26</v>
      </c>
      <c r="E129" s="217">
        <v>0</v>
      </c>
      <c r="F129" s="217">
        <v>0</v>
      </c>
      <c r="G129" s="217">
        <v>0</v>
      </c>
      <c r="H129" s="217">
        <v>0</v>
      </c>
      <c r="I129" s="217">
        <v>0</v>
      </c>
      <c r="J129" s="217">
        <v>0</v>
      </c>
      <c r="K129" s="217">
        <v>0</v>
      </c>
      <c r="L129" s="217">
        <v>0</v>
      </c>
      <c r="M129" s="217">
        <v>0</v>
      </c>
      <c r="N129" s="217">
        <v>0</v>
      </c>
      <c r="O129" s="217">
        <v>0</v>
      </c>
      <c r="P129" s="217">
        <v>0</v>
      </c>
      <c r="Q129" s="606">
        <v>0</v>
      </c>
      <c r="R129" s="94"/>
      <c r="S129" s="213">
        <v>0</v>
      </c>
      <c r="T129" s="94"/>
    </row>
    <row r="130" spans="1:20" s="95" customFormat="1" ht="12" customHeight="1">
      <c r="A130" s="124"/>
      <c r="B130" s="124" t="s">
        <v>186</v>
      </c>
      <c r="C130" s="102">
        <v>5811</v>
      </c>
      <c r="D130" s="127" t="s">
        <v>27</v>
      </c>
      <c r="E130" s="94">
        <v>0</v>
      </c>
      <c r="F130" s="94">
        <v>0</v>
      </c>
      <c r="G130" s="94">
        <v>30534.600778500007</v>
      </c>
      <c r="H130" s="94">
        <v>297851.09657362499</v>
      </c>
      <c r="I130" s="94">
        <v>7918.9617779999999</v>
      </c>
      <c r="J130" s="94">
        <v>12716.936777999999</v>
      </c>
      <c r="K130" s="94">
        <v>148967.02735424996</v>
      </c>
      <c r="L130" s="94">
        <v>10757.539747499999</v>
      </c>
      <c r="M130" s="94">
        <v>83026.260184874991</v>
      </c>
      <c r="N130" s="94">
        <v>78228.285184874985</v>
      </c>
      <c r="O130" s="94">
        <v>78228.285184874985</v>
      </c>
      <c r="P130" s="94">
        <v>78228.285184874985</v>
      </c>
      <c r="Q130" s="606">
        <v>94897.745788124856</v>
      </c>
      <c r="R130" s="94"/>
      <c r="S130" s="213">
        <v>921355.02453749988</v>
      </c>
      <c r="T130" s="94"/>
    </row>
    <row r="131" spans="1:20" s="95" customFormat="1" ht="12" customHeight="1">
      <c r="A131" s="124"/>
      <c r="B131" s="124" t="s">
        <v>186</v>
      </c>
      <c r="C131" s="102">
        <v>5812</v>
      </c>
      <c r="D131" s="127" t="s">
        <v>95</v>
      </c>
      <c r="E131" s="94">
        <v>0</v>
      </c>
      <c r="F131" s="94">
        <v>0</v>
      </c>
      <c r="G131" s="94">
        <v>13833.219933</v>
      </c>
      <c r="H131" s="94">
        <v>251504.23376024992</v>
      </c>
      <c r="I131" s="94">
        <v>2990.9753639999999</v>
      </c>
      <c r="J131" s="94">
        <v>7103.5253639999992</v>
      </c>
      <c r="K131" s="94">
        <v>123889.31728649995</v>
      </c>
      <c r="L131" s="94">
        <v>5234.2068869999985</v>
      </c>
      <c r="M131" s="94">
        <v>67178.82440474999</v>
      </c>
      <c r="N131" s="94">
        <v>63066.274404749973</v>
      </c>
      <c r="O131" s="94">
        <v>63066.274404749973</v>
      </c>
      <c r="P131" s="94">
        <v>63066.274404749973</v>
      </c>
      <c r="Q131" s="606">
        <v>64561.720961250016</v>
      </c>
      <c r="R131" s="94"/>
      <c r="S131" s="213">
        <v>725494.84717499977</v>
      </c>
      <c r="T131" s="94"/>
    </row>
    <row r="132" spans="1:20" s="95" customFormat="1" ht="12" customHeight="1">
      <c r="A132" s="124"/>
      <c r="B132" s="124" t="s">
        <v>186</v>
      </c>
      <c r="C132" s="102">
        <v>5813</v>
      </c>
      <c r="D132" s="127" t="s">
        <v>243</v>
      </c>
      <c r="E132" s="94">
        <v>0</v>
      </c>
      <c r="F132" s="94">
        <v>0</v>
      </c>
      <c r="G132" s="94">
        <v>0</v>
      </c>
      <c r="H132" s="94">
        <v>0</v>
      </c>
      <c r="I132" s="94">
        <v>0</v>
      </c>
      <c r="J132" s="94">
        <v>0</v>
      </c>
      <c r="K132" s="94">
        <v>0</v>
      </c>
      <c r="L132" s="94">
        <v>0</v>
      </c>
      <c r="M132" s="94">
        <v>0</v>
      </c>
      <c r="N132" s="94">
        <v>0</v>
      </c>
      <c r="O132" s="94">
        <v>0</v>
      </c>
      <c r="P132" s="94">
        <v>0</v>
      </c>
      <c r="Q132" s="606">
        <v>0</v>
      </c>
      <c r="R132" s="94"/>
      <c r="S132" s="213">
        <v>0</v>
      </c>
      <c r="T132" s="94"/>
    </row>
    <row r="133" spans="1:20" s="95" customFormat="1" ht="12" customHeight="1">
      <c r="A133" s="124"/>
      <c r="B133" s="124" t="s">
        <v>186</v>
      </c>
      <c r="C133" s="102">
        <v>5814</v>
      </c>
      <c r="D133" s="127" t="s">
        <v>336</v>
      </c>
      <c r="E133" s="94">
        <v>0</v>
      </c>
      <c r="F133" s="94">
        <v>0</v>
      </c>
      <c r="G133" s="94">
        <v>32904.786720000004</v>
      </c>
      <c r="H133" s="94">
        <v>10124.54976</v>
      </c>
      <c r="I133" s="94">
        <v>10124.54976</v>
      </c>
      <c r="J133" s="94">
        <v>10124.54976</v>
      </c>
      <c r="K133" s="94">
        <v>10124.54976</v>
      </c>
      <c r="L133" s="94">
        <v>10630.777248</v>
      </c>
      <c r="M133" s="94">
        <v>10630.777248</v>
      </c>
      <c r="N133" s="94">
        <v>10630.777248</v>
      </c>
      <c r="O133" s="94">
        <v>10630.777248</v>
      </c>
      <c r="P133" s="94">
        <v>10630.777248</v>
      </c>
      <c r="Q133" s="606">
        <v>-1.4551915228366852E-11</v>
      </c>
      <c r="R133" s="94"/>
      <c r="S133" s="213">
        <v>126556.87199999999</v>
      </c>
      <c r="T133" s="94"/>
    </row>
    <row r="134" spans="1:20" s="95" customFormat="1" ht="12" customHeight="1">
      <c r="A134" s="124"/>
      <c r="B134" s="124" t="s">
        <v>186</v>
      </c>
      <c r="C134" s="102">
        <v>5815</v>
      </c>
      <c r="D134" s="127" t="s">
        <v>316</v>
      </c>
      <c r="E134" s="94">
        <v>0</v>
      </c>
      <c r="F134" s="94">
        <v>0</v>
      </c>
      <c r="G134" s="94">
        <v>2308.5113999999999</v>
      </c>
      <c r="H134" s="94">
        <v>2308.5113999999999</v>
      </c>
      <c r="I134" s="94">
        <v>2308.5113999999999</v>
      </c>
      <c r="J134" s="94">
        <v>2308.5113999999999</v>
      </c>
      <c r="K134" s="94">
        <v>2308.5113999999999</v>
      </c>
      <c r="L134" s="94">
        <v>2308.5113999999999</v>
      </c>
      <c r="M134" s="94">
        <v>2308.5113999999999</v>
      </c>
      <c r="N134" s="94">
        <v>2308.5113999999999</v>
      </c>
      <c r="O134" s="94">
        <v>2308.5113999999999</v>
      </c>
      <c r="P134" s="94">
        <v>2308.5113999999999</v>
      </c>
      <c r="Q134" s="606">
        <v>0</v>
      </c>
      <c r="R134" s="94"/>
      <c r="S134" s="213">
        <v>23085.113999999998</v>
      </c>
      <c r="T134" s="94"/>
    </row>
    <row r="135" spans="1:20" s="95" customFormat="1" ht="12" customHeight="1">
      <c r="A135" s="124"/>
      <c r="B135" s="124"/>
      <c r="C135" s="102">
        <v>5820</v>
      </c>
      <c r="D135" s="127" t="s">
        <v>515</v>
      </c>
      <c r="E135" s="217">
        <v>0</v>
      </c>
      <c r="F135" s="217">
        <v>0</v>
      </c>
      <c r="G135" s="217">
        <v>0</v>
      </c>
      <c r="H135" s="217">
        <v>0</v>
      </c>
      <c r="I135" s="217">
        <v>0</v>
      </c>
      <c r="J135" s="217">
        <v>0</v>
      </c>
      <c r="K135" s="217">
        <v>0</v>
      </c>
      <c r="L135" s="217">
        <v>0</v>
      </c>
      <c r="M135" s="217">
        <v>0</v>
      </c>
      <c r="N135" s="217">
        <v>0</v>
      </c>
      <c r="O135" s="217">
        <v>0</v>
      </c>
      <c r="P135" s="217">
        <v>0</v>
      </c>
      <c r="Q135" s="606">
        <v>0</v>
      </c>
      <c r="R135" s="94"/>
      <c r="S135" s="213"/>
      <c r="T135" s="94"/>
    </row>
    <row r="136" spans="1:20" s="95" customFormat="1" ht="12" customHeight="1">
      <c r="A136" s="124"/>
      <c r="B136" s="124" t="s">
        <v>186</v>
      </c>
      <c r="C136" s="102"/>
      <c r="D136" s="127"/>
      <c r="E136" s="215">
        <v>26819.66375</v>
      </c>
      <c r="F136" s="215">
        <v>41493.173749999994</v>
      </c>
      <c r="G136" s="215">
        <v>132962.3037815</v>
      </c>
      <c r="H136" s="215">
        <v>635618.93444387487</v>
      </c>
      <c r="I136" s="215">
        <v>97173.541251999995</v>
      </c>
      <c r="J136" s="215">
        <v>128094.33125199999</v>
      </c>
      <c r="K136" s="215">
        <v>375354.36575074994</v>
      </c>
      <c r="L136" s="215">
        <v>118995.99523250002</v>
      </c>
      <c r="M136" s="215">
        <v>253209.33318762499</v>
      </c>
      <c r="N136" s="215">
        <v>244298.80818762496</v>
      </c>
      <c r="O136" s="215">
        <v>244298.80818762493</v>
      </c>
      <c r="P136" s="215">
        <v>266309.07318762492</v>
      </c>
      <c r="Q136" s="916">
        <v>159459.46674937487</v>
      </c>
      <c r="R136" s="94"/>
      <c r="S136" s="814">
        <v>2724087.7987124999</v>
      </c>
      <c r="T136" s="94"/>
    </row>
    <row r="137" spans="1:20" s="95" customFormat="1" ht="12" customHeight="1">
      <c r="A137" s="124"/>
      <c r="B137" s="124" t="s">
        <v>107</v>
      </c>
      <c r="C137" s="126"/>
      <c r="D137" s="126"/>
      <c r="Q137" s="606"/>
      <c r="R137" s="94"/>
      <c r="S137" s="340"/>
      <c r="T137" s="94"/>
    </row>
    <row r="138" spans="1:20" s="95" customFormat="1" ht="12" customHeight="1">
      <c r="A138" s="124"/>
      <c r="B138" s="124" t="s">
        <v>186</v>
      </c>
      <c r="C138" s="102">
        <v>6900</v>
      </c>
      <c r="D138" s="103" t="s">
        <v>44</v>
      </c>
      <c r="E138" s="94">
        <v>0</v>
      </c>
      <c r="F138" s="94">
        <v>0</v>
      </c>
      <c r="G138" s="94">
        <v>0</v>
      </c>
      <c r="H138" s="94">
        <v>0</v>
      </c>
      <c r="I138" s="94">
        <v>0</v>
      </c>
      <c r="J138" s="94">
        <v>0</v>
      </c>
      <c r="K138" s="94">
        <v>0</v>
      </c>
      <c r="L138" s="94">
        <v>0</v>
      </c>
      <c r="M138" s="94">
        <v>0</v>
      </c>
      <c r="N138" s="94">
        <v>0</v>
      </c>
      <c r="O138" s="94">
        <v>0</v>
      </c>
      <c r="P138" s="94">
        <v>0</v>
      </c>
      <c r="Q138" s="606">
        <v>0</v>
      </c>
      <c r="R138" s="94"/>
      <c r="S138" s="340">
        <v>0</v>
      </c>
      <c r="T138" s="94"/>
    </row>
    <row r="139" spans="1:20" s="95" customFormat="1" ht="12" customHeight="1">
      <c r="A139" s="124"/>
      <c r="B139" s="124" t="s">
        <v>186</v>
      </c>
      <c r="C139" s="102"/>
      <c r="D139" s="103"/>
      <c r="E139" s="94">
        <v>0</v>
      </c>
      <c r="F139" s="94">
        <v>0</v>
      </c>
      <c r="G139" s="94">
        <v>0</v>
      </c>
      <c r="H139" s="94">
        <v>0</v>
      </c>
      <c r="I139" s="94">
        <v>0</v>
      </c>
      <c r="J139" s="94">
        <v>0</v>
      </c>
      <c r="K139" s="94">
        <v>0</v>
      </c>
      <c r="L139" s="94">
        <v>0</v>
      </c>
      <c r="M139" s="94">
        <v>0</v>
      </c>
      <c r="N139" s="94">
        <v>0</v>
      </c>
      <c r="O139" s="94">
        <v>0</v>
      </c>
      <c r="P139" s="94">
        <v>0</v>
      </c>
      <c r="Q139" s="606">
        <v>0</v>
      </c>
      <c r="R139" s="94"/>
      <c r="S139" s="213">
        <v>0</v>
      </c>
      <c r="T139" s="94"/>
    </row>
    <row r="140" spans="1:20" s="95" customFormat="1" ht="12" customHeight="1">
      <c r="A140" s="124"/>
      <c r="B140" s="124" t="s">
        <v>5</v>
      </c>
      <c r="C140" s="126"/>
      <c r="D140" s="126"/>
      <c r="E140" s="215">
        <v>0</v>
      </c>
      <c r="F140" s="215">
        <v>0</v>
      </c>
      <c r="G140" s="215">
        <v>0</v>
      </c>
      <c r="H140" s="215">
        <v>0</v>
      </c>
      <c r="I140" s="215">
        <v>0</v>
      </c>
      <c r="J140" s="215">
        <v>0</v>
      </c>
      <c r="K140" s="215">
        <v>0</v>
      </c>
      <c r="L140" s="215">
        <v>0</v>
      </c>
      <c r="M140" s="215">
        <v>0</v>
      </c>
      <c r="N140" s="215">
        <v>0</v>
      </c>
      <c r="O140" s="215">
        <v>0</v>
      </c>
      <c r="P140" s="215">
        <v>0</v>
      </c>
      <c r="Q140" s="603">
        <v>0</v>
      </c>
      <c r="R140" s="94"/>
      <c r="S140" s="814">
        <v>0</v>
      </c>
      <c r="T140" s="113"/>
    </row>
    <row r="141" spans="1:20" s="95" customFormat="1" ht="12" customHeight="1">
      <c r="A141" s="124"/>
      <c r="B141" s="124" t="s">
        <v>186</v>
      </c>
      <c r="C141" s="102">
        <v>7438</v>
      </c>
      <c r="D141" s="103" t="s">
        <v>45</v>
      </c>
      <c r="E141" s="94">
        <v>0</v>
      </c>
      <c r="F141" s="94">
        <v>0</v>
      </c>
      <c r="G141" s="94">
        <v>0</v>
      </c>
      <c r="H141" s="94">
        <v>0</v>
      </c>
      <c r="I141" s="94">
        <v>0</v>
      </c>
      <c r="J141" s="94">
        <v>39200</v>
      </c>
      <c r="K141" s="94">
        <v>0</v>
      </c>
      <c r="L141" s="94">
        <v>0</v>
      </c>
      <c r="M141" s="94">
        <v>39200</v>
      </c>
      <c r="N141" s="94">
        <v>0</v>
      </c>
      <c r="O141" s="94">
        <v>47600</v>
      </c>
      <c r="P141" s="94">
        <v>98000</v>
      </c>
      <c r="Q141" s="606">
        <v>0</v>
      </c>
      <c r="R141" s="94"/>
      <c r="S141" s="340">
        <v>224000</v>
      </c>
      <c r="T141" s="94"/>
    </row>
    <row r="142" spans="1:20" s="95" customFormat="1" ht="12" customHeight="1">
      <c r="A142" s="124"/>
      <c r="B142" s="124"/>
      <c r="C142" s="102"/>
      <c r="D142" s="103"/>
      <c r="E142" s="215">
        <v>0</v>
      </c>
      <c r="F142" s="215">
        <v>0</v>
      </c>
      <c r="G142" s="215">
        <v>0</v>
      </c>
      <c r="H142" s="215">
        <v>0</v>
      </c>
      <c r="I142" s="215">
        <v>0</v>
      </c>
      <c r="J142" s="215">
        <v>39200</v>
      </c>
      <c r="K142" s="215">
        <v>0</v>
      </c>
      <c r="L142" s="215">
        <v>0</v>
      </c>
      <c r="M142" s="215">
        <v>39200</v>
      </c>
      <c r="N142" s="215">
        <v>0</v>
      </c>
      <c r="O142" s="215">
        <v>47600</v>
      </c>
      <c r="P142" s="215">
        <v>98000</v>
      </c>
      <c r="Q142" s="606">
        <v>0</v>
      </c>
      <c r="R142" s="94"/>
      <c r="S142" s="814">
        <v>224000</v>
      </c>
      <c r="T142" s="94"/>
    </row>
    <row r="143" spans="1:20" s="95" customFormat="1" ht="12" customHeight="1">
      <c r="A143" s="124"/>
      <c r="B143" s="124"/>
      <c r="C143" s="126"/>
      <c r="D143" s="126"/>
      <c r="Q143" s="606"/>
      <c r="S143" s="340"/>
      <c r="T143" s="113"/>
    </row>
    <row r="144" spans="1:20" s="95" customFormat="1" ht="12" customHeight="1">
      <c r="A144" s="124" t="s">
        <v>6</v>
      </c>
      <c r="B144" s="124"/>
      <c r="C144" s="126"/>
      <c r="D144" s="126"/>
      <c r="E144" s="94">
        <v>1195933.3952500001</v>
      </c>
      <c r="F144" s="94">
        <v>1417442.1316136364</v>
      </c>
      <c r="G144" s="94">
        <v>1613280.5014316365</v>
      </c>
      <c r="H144" s="94">
        <v>3126324.3511351361</v>
      </c>
      <c r="I144" s="94">
        <v>1635244.8007576363</v>
      </c>
      <c r="J144" s="94">
        <v>1919222.7507576363</v>
      </c>
      <c r="K144" s="94">
        <v>2599146.2112926366</v>
      </c>
      <c r="L144" s="94">
        <v>1885510.4529236364</v>
      </c>
      <c r="M144" s="94">
        <v>2290057.1580301365</v>
      </c>
      <c r="N144" s="94">
        <v>2223021.3580301367</v>
      </c>
      <c r="O144" s="94">
        <v>2259078.8010301362</v>
      </c>
      <c r="P144" s="94">
        <v>2529581.4510301366</v>
      </c>
      <c r="Q144" s="606">
        <v>471266.34576749906</v>
      </c>
      <c r="R144" s="94"/>
      <c r="S144" s="340">
        <v>25165109.70905</v>
      </c>
      <c r="T144" s="94"/>
    </row>
    <row r="145" spans="1:20" s="112" customFormat="1" ht="12" customHeight="1">
      <c r="A145" s="91"/>
      <c r="B145" s="91"/>
      <c r="C145" s="91"/>
      <c r="D145" s="91"/>
      <c r="E145" s="216">
        <v>0</v>
      </c>
      <c r="F145" s="216">
        <v>0</v>
      </c>
      <c r="G145" s="216">
        <v>0</v>
      </c>
      <c r="H145" s="216">
        <v>0</v>
      </c>
      <c r="I145" s="216">
        <v>0</v>
      </c>
      <c r="J145" s="216">
        <v>0</v>
      </c>
      <c r="K145" s="216">
        <v>0</v>
      </c>
      <c r="L145" s="216">
        <v>0</v>
      </c>
      <c r="M145" s="216">
        <v>0</v>
      </c>
      <c r="N145" s="216">
        <v>0</v>
      </c>
      <c r="O145" s="216">
        <v>0</v>
      </c>
      <c r="P145" s="216">
        <v>0</v>
      </c>
      <c r="Q145" s="607">
        <v>0</v>
      </c>
      <c r="R145" s="113"/>
      <c r="S145" s="814">
        <v>0</v>
      </c>
      <c r="T145" s="113"/>
    </row>
    <row r="146" spans="1:20" s="95" customFormat="1" ht="12" customHeight="1">
      <c r="A146" s="95" t="s">
        <v>46</v>
      </c>
      <c r="E146" s="94">
        <v>-1195933.3952500001</v>
      </c>
      <c r="F146" s="94">
        <v>-1417442.1316136364</v>
      </c>
      <c r="G146" s="94">
        <v>-740863.33633163641</v>
      </c>
      <c r="H146" s="94">
        <v>5383706.9795398619</v>
      </c>
      <c r="I146" s="94">
        <v>-1408988.7499576365</v>
      </c>
      <c r="J146" s="94">
        <v>-1555881.6999576362</v>
      </c>
      <c r="K146" s="94">
        <v>1657054.570257362</v>
      </c>
      <c r="L146" s="94">
        <v>-1578152.1744236364</v>
      </c>
      <c r="M146" s="94">
        <v>82121.704394862987</v>
      </c>
      <c r="N146" s="94">
        <v>12072.504394862801</v>
      </c>
      <c r="O146" s="94">
        <v>-23984.938605136704</v>
      </c>
      <c r="P146" s="94">
        <v>-294487.58860513708</v>
      </c>
      <c r="Q146" s="606">
        <v>2240097.8196074986</v>
      </c>
      <c r="R146" s="94"/>
      <c r="S146" s="340">
        <v>1159319.5634499937</v>
      </c>
      <c r="T146" s="113"/>
    </row>
    <row r="147" spans="1:20" s="128" customFormat="1" ht="12" customHeight="1" thickBot="1">
      <c r="E147" s="129">
        <v>0</v>
      </c>
      <c r="F147" s="129">
        <v>0</v>
      </c>
      <c r="G147" s="129">
        <v>0</v>
      </c>
      <c r="H147" s="129">
        <v>0</v>
      </c>
      <c r="I147" s="129">
        <v>0</v>
      </c>
      <c r="J147" s="129">
        <v>0</v>
      </c>
      <c r="K147" s="129">
        <v>0</v>
      </c>
      <c r="L147" s="129">
        <v>0</v>
      </c>
      <c r="M147" s="129">
        <v>0</v>
      </c>
      <c r="N147" s="129">
        <v>0</v>
      </c>
      <c r="O147" s="129">
        <v>0</v>
      </c>
      <c r="P147" s="129">
        <v>0</v>
      </c>
      <c r="Q147" s="608">
        <v>0</v>
      </c>
      <c r="R147" s="113"/>
      <c r="S147" s="817">
        <v>4.6068528087245875E-2</v>
      </c>
      <c r="T147" s="113"/>
    </row>
    <row r="148" spans="1:20" s="95" customFormat="1" ht="12" customHeight="1" thickTop="1">
      <c r="A148" s="95" t="s">
        <v>47</v>
      </c>
      <c r="E148" s="94">
        <v>0</v>
      </c>
      <c r="F148" s="94">
        <v>0</v>
      </c>
      <c r="G148" s="94">
        <v>0</v>
      </c>
      <c r="H148" s="94">
        <v>0</v>
      </c>
      <c r="I148" s="94">
        <v>0</v>
      </c>
      <c r="J148" s="94">
        <v>0</v>
      </c>
      <c r="K148" s="94">
        <v>0</v>
      </c>
      <c r="L148" s="94">
        <v>0</v>
      </c>
      <c r="M148" s="94">
        <v>0</v>
      </c>
      <c r="N148" s="94">
        <v>0</v>
      </c>
      <c r="O148" s="94">
        <v>0</v>
      </c>
      <c r="P148" s="94">
        <v>0</v>
      </c>
      <c r="Q148" s="606">
        <v>0</v>
      </c>
      <c r="R148" s="94"/>
      <c r="S148" s="818">
        <v>0</v>
      </c>
      <c r="T148" s="94"/>
    </row>
    <row r="149" spans="1:20" s="95" customFormat="1" ht="12" customHeight="1">
      <c r="A149" s="112"/>
      <c r="C149" s="95" t="s">
        <v>46</v>
      </c>
      <c r="E149" s="94">
        <v>-1195933.3952500001</v>
      </c>
      <c r="F149" s="94">
        <v>-1417442.1316136364</v>
      </c>
      <c r="G149" s="94">
        <v>-740863.33633163641</v>
      </c>
      <c r="H149" s="94">
        <v>5383706.9795398619</v>
      </c>
      <c r="I149" s="94">
        <v>-1408988.7499576365</v>
      </c>
      <c r="J149" s="94">
        <v>-1555881.6999576362</v>
      </c>
      <c r="K149" s="94">
        <v>1657054.570257362</v>
      </c>
      <c r="L149" s="94">
        <v>-1578152.1744236364</v>
      </c>
      <c r="M149" s="94">
        <v>82121.704394862987</v>
      </c>
      <c r="N149" s="94">
        <v>12072.504394862801</v>
      </c>
      <c r="O149" s="94">
        <v>-23984.938605136704</v>
      </c>
      <c r="P149" s="94">
        <v>-294487.58860513708</v>
      </c>
      <c r="Q149" s="606">
        <v>2240097.8196074986</v>
      </c>
      <c r="R149" s="94"/>
      <c r="S149" s="339">
        <v>1159319.5634499923</v>
      </c>
      <c r="T149" s="94"/>
    </row>
    <row r="150" spans="1:20" s="112" customFormat="1" ht="12" customHeight="1">
      <c r="B150" s="112" t="s">
        <v>186</v>
      </c>
      <c r="C150" s="95" t="s">
        <v>48</v>
      </c>
      <c r="D150" s="95"/>
      <c r="E150" s="94">
        <v>0</v>
      </c>
      <c r="F150" s="94">
        <v>0</v>
      </c>
      <c r="G150" s="94">
        <v>0</v>
      </c>
      <c r="H150" s="94">
        <v>0</v>
      </c>
      <c r="I150" s="94">
        <v>0</v>
      </c>
      <c r="J150" s="94">
        <v>0</v>
      </c>
      <c r="K150" s="94">
        <v>0</v>
      </c>
      <c r="L150" s="94">
        <v>0</v>
      </c>
      <c r="M150" s="94">
        <v>0</v>
      </c>
      <c r="N150" s="94">
        <v>0</v>
      </c>
      <c r="O150" s="94">
        <v>0</v>
      </c>
      <c r="P150" s="94">
        <v>0</v>
      </c>
      <c r="Q150" s="606">
        <v>0</v>
      </c>
      <c r="R150" s="94"/>
      <c r="S150" s="340">
        <v>0</v>
      </c>
      <c r="T150" s="113"/>
    </row>
    <row r="151" spans="1:20" s="95" customFormat="1" ht="12" customHeight="1">
      <c r="B151" s="95" t="s">
        <v>186</v>
      </c>
      <c r="D151" s="95" t="s">
        <v>289</v>
      </c>
      <c r="E151" s="94">
        <v>0</v>
      </c>
      <c r="F151" s="94">
        <v>0</v>
      </c>
      <c r="G151" s="94">
        <v>0</v>
      </c>
      <c r="H151" s="94">
        <v>0</v>
      </c>
      <c r="I151" s="94">
        <v>0</v>
      </c>
      <c r="J151" s="94">
        <v>0</v>
      </c>
      <c r="K151" s="94">
        <v>0</v>
      </c>
      <c r="L151" s="94">
        <v>0</v>
      </c>
      <c r="M151" s="94">
        <v>0</v>
      </c>
      <c r="N151" s="94">
        <v>0</v>
      </c>
      <c r="O151" s="94">
        <v>0</v>
      </c>
      <c r="P151" s="94">
        <v>0</v>
      </c>
      <c r="Q151" s="606">
        <v>0</v>
      </c>
      <c r="R151" s="94"/>
      <c r="S151" s="340">
        <v>0</v>
      </c>
      <c r="T151" s="94"/>
    </row>
    <row r="152" spans="1:20" s="95" customFormat="1" ht="12" customHeight="1">
      <c r="B152" s="95" t="s">
        <v>186</v>
      </c>
      <c r="D152" s="130" t="s">
        <v>290</v>
      </c>
      <c r="E152" s="94">
        <v>0</v>
      </c>
      <c r="F152" s="94">
        <v>0</v>
      </c>
      <c r="G152" s="94">
        <v>0</v>
      </c>
      <c r="H152" s="94">
        <v>0</v>
      </c>
      <c r="I152" s="94">
        <v>0</v>
      </c>
      <c r="J152" s="94">
        <v>0</v>
      </c>
      <c r="K152" s="94">
        <v>0</v>
      </c>
      <c r="L152" s="94">
        <v>0</v>
      </c>
      <c r="M152" s="94">
        <v>0</v>
      </c>
      <c r="N152" s="94">
        <v>0</v>
      </c>
      <c r="O152" s="94">
        <v>0</v>
      </c>
      <c r="P152" s="94">
        <v>0</v>
      </c>
      <c r="Q152" s="606">
        <v>-2711364.1653749975</v>
      </c>
      <c r="R152" s="94"/>
      <c r="S152" s="340">
        <v>-2711364.1653749975</v>
      </c>
      <c r="T152" s="94"/>
    </row>
    <row r="153" spans="1:20" s="95" customFormat="1" ht="12" customHeight="1">
      <c r="B153" s="95" t="s">
        <v>186</v>
      </c>
      <c r="D153" s="130" t="s">
        <v>297</v>
      </c>
      <c r="E153" s="94">
        <v>0</v>
      </c>
      <c r="F153" s="94">
        <v>0</v>
      </c>
      <c r="G153" s="94">
        <v>0</v>
      </c>
      <c r="H153" s="94">
        <v>0</v>
      </c>
      <c r="I153" s="94">
        <v>0</v>
      </c>
      <c r="J153" s="94">
        <v>0</v>
      </c>
      <c r="K153" s="94">
        <v>0</v>
      </c>
      <c r="L153" s="94">
        <v>0</v>
      </c>
      <c r="M153" s="94">
        <v>0</v>
      </c>
      <c r="N153" s="94">
        <v>0</v>
      </c>
      <c r="O153" s="94">
        <v>0</v>
      </c>
      <c r="P153" s="94">
        <v>0</v>
      </c>
      <c r="Q153" s="606">
        <v>0</v>
      </c>
      <c r="R153" s="94"/>
      <c r="S153" s="340">
        <v>0</v>
      </c>
      <c r="T153" s="94"/>
    </row>
    <row r="154" spans="1:20" s="95" customFormat="1" ht="12" customHeight="1">
      <c r="B154" s="95" t="s">
        <v>186</v>
      </c>
      <c r="D154" s="130" t="s">
        <v>233</v>
      </c>
      <c r="E154" s="94">
        <v>3500000</v>
      </c>
      <c r="F154" s="94">
        <v>0</v>
      </c>
      <c r="G154" s="94">
        <v>0</v>
      </c>
      <c r="H154" s="94">
        <v>0</v>
      </c>
      <c r="I154" s="94">
        <v>-3500000</v>
      </c>
      <c r="J154" s="94">
        <v>0</v>
      </c>
      <c r="K154" s="94">
        <v>0</v>
      </c>
      <c r="L154" s="94">
        <v>0</v>
      </c>
      <c r="M154" s="94">
        <v>0</v>
      </c>
      <c r="N154" s="94">
        <v>0</v>
      </c>
      <c r="O154" s="94">
        <v>0</v>
      </c>
      <c r="P154" s="94">
        <v>-4000000</v>
      </c>
      <c r="Q154" s="606">
        <v>0</v>
      </c>
      <c r="R154" s="94"/>
      <c r="S154" s="340">
        <v>-4000000</v>
      </c>
      <c r="T154" s="94"/>
    </row>
    <row r="155" spans="1:20" s="95" customFormat="1" ht="12" customHeight="1">
      <c r="B155" s="95" t="s">
        <v>186</v>
      </c>
      <c r="D155" s="130" t="s">
        <v>291</v>
      </c>
      <c r="E155" s="94">
        <v>0</v>
      </c>
      <c r="F155" s="94">
        <v>0</v>
      </c>
      <c r="G155" s="94">
        <v>0</v>
      </c>
      <c r="H155" s="94">
        <v>0</v>
      </c>
      <c r="I155" s="94">
        <v>0</v>
      </c>
      <c r="J155" s="94">
        <v>0</v>
      </c>
      <c r="K155" s="94">
        <v>0</v>
      </c>
      <c r="L155" s="94">
        <v>0</v>
      </c>
      <c r="M155" s="94">
        <v>0</v>
      </c>
      <c r="N155" s="94">
        <v>0</v>
      </c>
      <c r="O155" s="94">
        <v>0</v>
      </c>
      <c r="P155" s="94">
        <v>0</v>
      </c>
      <c r="Q155" s="606">
        <v>0</v>
      </c>
      <c r="R155" s="94"/>
      <c r="S155" s="340">
        <v>0</v>
      </c>
      <c r="T155" s="94"/>
    </row>
    <row r="156" spans="1:20" s="95" customFormat="1" ht="12" customHeight="1">
      <c r="B156" s="95" t="s">
        <v>186</v>
      </c>
      <c r="D156" s="130" t="s">
        <v>292</v>
      </c>
      <c r="E156" s="94">
        <v>0</v>
      </c>
      <c r="F156" s="94">
        <v>0</v>
      </c>
      <c r="G156" s="94">
        <v>0</v>
      </c>
      <c r="H156" s="94">
        <v>0</v>
      </c>
      <c r="I156" s="94">
        <v>0</v>
      </c>
      <c r="J156" s="94">
        <v>0</v>
      </c>
      <c r="K156" s="94">
        <v>0</v>
      </c>
      <c r="L156" s="94">
        <v>0</v>
      </c>
      <c r="M156" s="94">
        <v>0</v>
      </c>
      <c r="N156" s="94">
        <v>0</v>
      </c>
      <c r="O156" s="94">
        <v>0</v>
      </c>
      <c r="P156" s="94">
        <v>0</v>
      </c>
      <c r="Q156" s="606">
        <v>0</v>
      </c>
      <c r="R156" s="94"/>
      <c r="S156" s="340">
        <v>0</v>
      </c>
      <c r="T156" s="94"/>
    </row>
    <row r="157" spans="1:20" s="95" customFormat="1" ht="12" customHeight="1">
      <c r="B157" s="95" t="s">
        <v>186</v>
      </c>
      <c r="D157" s="130" t="s">
        <v>293</v>
      </c>
      <c r="E157" s="94">
        <v>0</v>
      </c>
      <c r="F157" s="94">
        <v>0</v>
      </c>
      <c r="G157" s="94">
        <v>0</v>
      </c>
      <c r="H157" s="94">
        <v>0</v>
      </c>
      <c r="I157" s="94">
        <v>0</v>
      </c>
      <c r="J157" s="94">
        <v>0</v>
      </c>
      <c r="K157" s="94">
        <v>0</v>
      </c>
      <c r="L157" s="94">
        <v>0</v>
      </c>
      <c r="M157" s="94">
        <v>0</v>
      </c>
      <c r="N157" s="94">
        <v>0</v>
      </c>
      <c r="O157" s="94">
        <v>0</v>
      </c>
      <c r="P157" s="94">
        <v>0</v>
      </c>
      <c r="Q157" s="606">
        <v>471266.34576749906</v>
      </c>
      <c r="R157" s="94"/>
      <c r="S157" s="340">
        <v>471266.34576749906</v>
      </c>
      <c r="T157" s="94"/>
    </row>
    <row r="158" spans="1:20" s="95" customFormat="1" ht="12" customHeight="1">
      <c r="B158" s="95" t="s">
        <v>186</v>
      </c>
      <c r="D158" s="130" t="s">
        <v>294</v>
      </c>
      <c r="E158" s="94">
        <v>0</v>
      </c>
      <c r="F158" s="94">
        <v>0</v>
      </c>
      <c r="G158" s="94">
        <v>0</v>
      </c>
      <c r="H158" s="94">
        <v>0</v>
      </c>
      <c r="I158" s="94">
        <v>0</v>
      </c>
      <c r="J158" s="94">
        <v>0</v>
      </c>
      <c r="K158" s="94">
        <v>0</v>
      </c>
      <c r="L158" s="94">
        <v>0</v>
      </c>
      <c r="M158" s="94">
        <v>0</v>
      </c>
      <c r="N158" s="94">
        <v>0</v>
      </c>
      <c r="O158" s="94">
        <v>0</v>
      </c>
      <c r="P158" s="94">
        <v>0</v>
      </c>
      <c r="Q158" s="606">
        <v>0</v>
      </c>
      <c r="R158" s="94"/>
      <c r="S158" s="340">
        <v>0</v>
      </c>
      <c r="T158" s="94"/>
    </row>
    <row r="159" spans="1:20" s="95" customFormat="1" ht="12" customHeight="1">
      <c r="B159" s="95" t="s">
        <v>186</v>
      </c>
      <c r="D159" s="130" t="s">
        <v>234</v>
      </c>
      <c r="E159" s="94">
        <v>0</v>
      </c>
      <c r="F159" s="94">
        <v>0</v>
      </c>
      <c r="G159" s="94">
        <v>0</v>
      </c>
      <c r="H159" s="94">
        <v>0</v>
      </c>
      <c r="I159" s="94">
        <v>0</v>
      </c>
      <c r="J159" s="94">
        <v>0</v>
      </c>
      <c r="K159" s="94">
        <v>0</v>
      </c>
      <c r="L159" s="94">
        <v>0</v>
      </c>
      <c r="M159" s="94">
        <v>0</v>
      </c>
      <c r="N159" s="94">
        <v>0</v>
      </c>
      <c r="O159" s="94">
        <v>0</v>
      </c>
      <c r="P159" s="94">
        <v>0</v>
      </c>
      <c r="Q159" s="606">
        <v>0</v>
      </c>
      <c r="R159" s="94"/>
      <c r="S159" s="340">
        <v>0</v>
      </c>
      <c r="T159" s="94"/>
    </row>
    <row r="160" spans="1:20" s="95" customFormat="1" ht="12" customHeight="1">
      <c r="B160" s="95" t="s">
        <v>186</v>
      </c>
      <c r="C160" s="95" t="s">
        <v>49</v>
      </c>
      <c r="D160" s="130"/>
      <c r="E160" s="94">
        <v>0</v>
      </c>
      <c r="F160" s="94">
        <v>0</v>
      </c>
      <c r="G160" s="94">
        <v>0</v>
      </c>
      <c r="H160" s="94">
        <v>0</v>
      </c>
      <c r="I160" s="94">
        <v>0</v>
      </c>
      <c r="J160" s="94">
        <v>0</v>
      </c>
      <c r="K160" s="94">
        <v>0</v>
      </c>
      <c r="L160" s="94">
        <v>0</v>
      </c>
      <c r="M160" s="94">
        <v>0</v>
      </c>
      <c r="N160" s="94">
        <v>0</v>
      </c>
      <c r="O160" s="94">
        <v>0</v>
      </c>
      <c r="P160" s="94">
        <v>0</v>
      </c>
      <c r="Q160" s="606">
        <v>0</v>
      </c>
      <c r="R160" s="94"/>
      <c r="S160" s="340">
        <v>0</v>
      </c>
      <c r="T160" s="94"/>
    </row>
    <row r="161" spans="1:20" s="95" customFormat="1" ht="11" customHeight="1">
      <c r="B161" s="95" t="s">
        <v>186</v>
      </c>
      <c r="D161" s="130" t="s">
        <v>296</v>
      </c>
      <c r="E161" s="94">
        <v>0</v>
      </c>
      <c r="F161" s="94">
        <v>0</v>
      </c>
      <c r="G161" s="94">
        <v>0</v>
      </c>
      <c r="H161" s="94">
        <v>0</v>
      </c>
      <c r="I161" s="94">
        <v>0</v>
      </c>
      <c r="J161" s="94">
        <v>0</v>
      </c>
      <c r="K161" s="94">
        <v>0</v>
      </c>
      <c r="L161" s="94">
        <v>0</v>
      </c>
      <c r="M161" s="94">
        <v>0</v>
      </c>
      <c r="N161" s="94">
        <v>0</v>
      </c>
      <c r="O161" s="94">
        <v>0</v>
      </c>
      <c r="P161" s="94">
        <v>0</v>
      </c>
      <c r="Q161" s="606">
        <v>0</v>
      </c>
      <c r="R161" s="94"/>
      <c r="S161" s="340">
        <v>0</v>
      </c>
      <c r="T161" s="94"/>
    </row>
    <row r="162" spans="1:20" s="95" customFormat="1" ht="11" customHeight="1">
      <c r="D162" s="130" t="s">
        <v>295</v>
      </c>
      <c r="E162" s="94">
        <v>0</v>
      </c>
      <c r="F162" s="94">
        <v>0</v>
      </c>
      <c r="G162" s="94">
        <v>0</v>
      </c>
      <c r="H162" s="94">
        <v>0</v>
      </c>
      <c r="I162" s="94">
        <v>0</v>
      </c>
      <c r="J162" s="94">
        <v>0</v>
      </c>
      <c r="K162" s="94">
        <v>0</v>
      </c>
      <c r="L162" s="94">
        <v>0</v>
      </c>
      <c r="M162" s="94">
        <v>0</v>
      </c>
      <c r="N162" s="94">
        <v>0</v>
      </c>
      <c r="O162" s="94">
        <v>0</v>
      </c>
      <c r="P162" s="94">
        <v>0</v>
      </c>
      <c r="Q162" s="606">
        <v>0</v>
      </c>
      <c r="R162" s="94"/>
      <c r="S162" s="340">
        <v>0</v>
      </c>
      <c r="T162" s="94"/>
    </row>
    <row r="163" spans="1:20" s="95" customFormat="1" ht="12" customHeight="1">
      <c r="C163" s="95" t="s">
        <v>50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606">
        <v>0</v>
      </c>
      <c r="R163" s="94"/>
      <c r="S163" s="340">
        <v>0</v>
      </c>
      <c r="T163" s="94"/>
    </row>
    <row r="164" spans="1:20" s="95" customFormat="1" ht="12" customHeight="1">
      <c r="D164" s="95" t="s">
        <v>317</v>
      </c>
      <c r="E164" s="94">
        <v>0</v>
      </c>
      <c r="F164" s="94">
        <v>0</v>
      </c>
      <c r="G164" s="94">
        <v>0</v>
      </c>
      <c r="H164" s="94">
        <v>0</v>
      </c>
      <c r="I164" s="94">
        <v>0</v>
      </c>
      <c r="J164" s="94">
        <v>1400000</v>
      </c>
      <c r="K164" s="94">
        <v>0</v>
      </c>
      <c r="L164" s="94">
        <v>0</v>
      </c>
      <c r="M164" s="94">
        <v>1400000</v>
      </c>
      <c r="N164" s="94">
        <v>0</v>
      </c>
      <c r="O164" s="94">
        <v>1700000</v>
      </c>
      <c r="P164" s="94">
        <v>3500000</v>
      </c>
      <c r="Q164" s="606">
        <v>0</v>
      </c>
      <c r="R164" s="94"/>
      <c r="S164" s="340">
        <v>8000000</v>
      </c>
      <c r="T164" s="94"/>
    </row>
    <row r="165" spans="1:20" s="95" customFormat="1" ht="12" customHeight="1">
      <c r="D165" s="95" t="s">
        <v>318</v>
      </c>
      <c r="E165" s="94">
        <v>0</v>
      </c>
      <c r="F165" s="94">
        <v>0</v>
      </c>
      <c r="G165" s="94">
        <v>0</v>
      </c>
      <c r="H165" s="94">
        <v>0</v>
      </c>
      <c r="I165" s="94">
        <v>0</v>
      </c>
      <c r="J165" s="94">
        <v>0</v>
      </c>
      <c r="K165" s="94">
        <v>0</v>
      </c>
      <c r="L165" s="94">
        <v>0</v>
      </c>
      <c r="M165" s="94">
        <v>-1400000</v>
      </c>
      <c r="N165" s="94">
        <v>0</v>
      </c>
      <c r="O165" s="94">
        <v>0</v>
      </c>
      <c r="P165" s="94">
        <v>-1400000</v>
      </c>
      <c r="Q165" s="606">
        <v>0</v>
      </c>
      <c r="R165" s="94"/>
      <c r="S165" s="340">
        <v>-2800000</v>
      </c>
      <c r="T165" s="94"/>
    </row>
    <row r="166" spans="1:20" s="95" customFormat="1" ht="12" customHeight="1">
      <c r="D166" s="95" t="s">
        <v>552</v>
      </c>
      <c r="E166" s="94">
        <v>0</v>
      </c>
      <c r="F166" s="94">
        <v>0</v>
      </c>
      <c r="G166" s="94">
        <v>0</v>
      </c>
      <c r="H166" s="94">
        <v>0</v>
      </c>
      <c r="I166" s="94">
        <v>0</v>
      </c>
      <c r="J166" s="94">
        <v>0</v>
      </c>
      <c r="K166" s="94">
        <v>0</v>
      </c>
      <c r="L166" s="94">
        <v>0</v>
      </c>
      <c r="M166" s="94">
        <v>0</v>
      </c>
      <c r="N166" s="94">
        <v>0</v>
      </c>
      <c r="O166" s="94">
        <v>0</v>
      </c>
      <c r="P166" s="94">
        <v>0</v>
      </c>
      <c r="Q166" s="606">
        <v>0</v>
      </c>
      <c r="R166" s="94"/>
      <c r="S166" s="340">
        <v>0</v>
      </c>
      <c r="T166" s="94"/>
    </row>
    <row r="167" spans="1:20" s="95" customFormat="1" ht="12" customHeight="1">
      <c r="E167" s="132">
        <v>0</v>
      </c>
      <c r="F167" s="132">
        <v>0</v>
      </c>
      <c r="G167" s="132">
        <v>0</v>
      </c>
      <c r="H167" s="132">
        <v>0</v>
      </c>
      <c r="I167" s="132">
        <v>0</v>
      </c>
      <c r="J167" s="132">
        <v>0</v>
      </c>
      <c r="K167" s="132">
        <v>0</v>
      </c>
      <c r="L167" s="132">
        <v>0</v>
      </c>
      <c r="M167" s="132">
        <v>0</v>
      </c>
      <c r="N167" s="132">
        <v>0</v>
      </c>
      <c r="O167" s="132">
        <v>0</v>
      </c>
      <c r="P167" s="132">
        <v>0</v>
      </c>
      <c r="Q167" s="606">
        <v>0</v>
      </c>
      <c r="R167" s="94"/>
      <c r="S167" s="340">
        <v>0</v>
      </c>
      <c r="T167" s="94"/>
    </row>
    <row r="168" spans="1:20" s="95" customFormat="1" ht="12" customHeight="1">
      <c r="B168" s="95" t="s">
        <v>51</v>
      </c>
      <c r="E168" s="94">
        <v>2304066.6047499999</v>
      </c>
      <c r="F168" s="94">
        <v>-1417442.1316136364</v>
      </c>
      <c r="G168" s="94">
        <v>-740863.33633163641</v>
      </c>
      <c r="H168" s="94">
        <v>5383706.9795398619</v>
      </c>
      <c r="I168" s="94">
        <v>-4908988.749957636</v>
      </c>
      <c r="J168" s="94">
        <v>-155881.69995763618</v>
      </c>
      <c r="K168" s="94">
        <v>1657054.570257362</v>
      </c>
      <c r="L168" s="94">
        <v>-1578152.1744236364</v>
      </c>
      <c r="M168" s="94">
        <v>82121.704394862987</v>
      </c>
      <c r="N168" s="94">
        <v>12072.504394862801</v>
      </c>
      <c r="O168" s="94">
        <v>1676015.0613948633</v>
      </c>
      <c r="P168" s="94">
        <v>-2194487.5886051375</v>
      </c>
      <c r="Q168" s="94">
        <v>0</v>
      </c>
      <c r="R168" s="94"/>
      <c r="S168" s="131">
        <v>0</v>
      </c>
      <c r="T168" s="94"/>
    </row>
    <row r="169" spans="1:20" s="95" customFormat="1" ht="12" customHeight="1">
      <c r="E169" s="94">
        <v>0</v>
      </c>
      <c r="F169" s="94">
        <v>0</v>
      </c>
      <c r="G169" s="94">
        <v>0</v>
      </c>
      <c r="H169" s="94">
        <v>0</v>
      </c>
      <c r="I169" s="94">
        <v>0</v>
      </c>
      <c r="J169" s="94">
        <v>0</v>
      </c>
      <c r="K169" s="94">
        <v>0</v>
      </c>
      <c r="L169" s="94">
        <v>0</v>
      </c>
      <c r="M169" s="94">
        <v>0</v>
      </c>
      <c r="N169" s="94">
        <v>0</v>
      </c>
      <c r="O169" s="94">
        <v>0</v>
      </c>
      <c r="P169" s="94">
        <v>0</v>
      </c>
      <c r="Q169" s="94">
        <v>0</v>
      </c>
      <c r="R169" s="94"/>
      <c r="S169" s="94">
        <v>0</v>
      </c>
      <c r="T169" s="94"/>
    </row>
    <row r="170" spans="1:20" s="95" customFormat="1" ht="12" customHeight="1">
      <c r="B170" s="95" t="s">
        <v>52</v>
      </c>
      <c r="E170" s="94">
        <v>0</v>
      </c>
      <c r="F170" s="94">
        <v>2304066.6047499999</v>
      </c>
      <c r="G170" s="94">
        <v>886624.47313636355</v>
      </c>
      <c r="H170" s="94">
        <v>145761.13680472714</v>
      </c>
      <c r="I170" s="94">
        <v>5529468.1163445888</v>
      </c>
      <c r="J170" s="94">
        <v>620479.36638695281</v>
      </c>
      <c r="K170" s="94">
        <v>464597.66642931662</v>
      </c>
      <c r="L170" s="94">
        <v>2121652.2366866786</v>
      </c>
      <c r="M170" s="94">
        <v>543500.0622630422</v>
      </c>
      <c r="N170" s="94">
        <v>625621.76665790519</v>
      </c>
      <c r="O170" s="94">
        <v>637694.27105276799</v>
      </c>
      <c r="P170" s="94">
        <v>2313709.3324476313</v>
      </c>
      <c r="Q170" s="94">
        <v>0</v>
      </c>
      <c r="R170" s="94"/>
      <c r="S170" s="94">
        <v>0</v>
      </c>
      <c r="T170" s="94"/>
    </row>
    <row r="171" spans="1:20" s="95" customFormat="1" ht="12" customHeight="1">
      <c r="E171" s="132">
        <v>0</v>
      </c>
      <c r="F171" s="132">
        <v>0</v>
      </c>
      <c r="G171" s="132">
        <v>0</v>
      </c>
      <c r="H171" s="132">
        <v>0</v>
      </c>
      <c r="I171" s="132">
        <v>0</v>
      </c>
      <c r="J171" s="132">
        <v>0</v>
      </c>
      <c r="K171" s="132">
        <v>0</v>
      </c>
      <c r="L171" s="132">
        <v>0</v>
      </c>
      <c r="M171" s="132">
        <v>0</v>
      </c>
      <c r="N171" s="132">
        <v>0</v>
      </c>
      <c r="O171" s="132">
        <v>0</v>
      </c>
      <c r="P171" s="132">
        <v>0</v>
      </c>
      <c r="Q171" s="94">
        <v>0</v>
      </c>
      <c r="R171" s="94"/>
      <c r="S171" s="94">
        <v>0</v>
      </c>
      <c r="T171" s="94"/>
    </row>
    <row r="172" spans="1:20" s="95" customFormat="1" ht="12" customHeight="1">
      <c r="B172" s="95" t="s">
        <v>53</v>
      </c>
      <c r="E172" s="94">
        <v>2304066.6047499999</v>
      </c>
      <c r="F172" s="94">
        <v>886624.47313636355</v>
      </c>
      <c r="G172" s="94">
        <v>145761.13680472714</v>
      </c>
      <c r="H172" s="94">
        <v>5529468.1163445888</v>
      </c>
      <c r="I172" s="94">
        <v>620479.36638695281</v>
      </c>
      <c r="J172" s="94">
        <v>464597.66642931662</v>
      </c>
      <c r="K172" s="94">
        <v>2121652.2366866786</v>
      </c>
      <c r="L172" s="94">
        <v>543500.0622630422</v>
      </c>
      <c r="M172" s="94">
        <v>625621.76665790519</v>
      </c>
      <c r="N172" s="94">
        <v>637694.27105276799</v>
      </c>
      <c r="O172" s="94">
        <v>2313709.3324476313</v>
      </c>
      <c r="P172" s="94">
        <v>119221.74384249374</v>
      </c>
      <c r="Q172" s="94">
        <v>0</v>
      </c>
      <c r="R172" s="94"/>
      <c r="S172" s="94">
        <v>0</v>
      </c>
      <c r="T172" s="94"/>
    </row>
    <row r="173" spans="1:20" s="112" customFormat="1" ht="12" customHeight="1" thickBot="1"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13"/>
      <c r="R173" s="113"/>
      <c r="S173" s="113"/>
      <c r="T173" s="113"/>
    </row>
    <row r="174" spans="1:20" s="423" customFormat="1" ht="12" customHeight="1" thickTop="1">
      <c r="A174" s="422"/>
      <c r="B174" s="422"/>
      <c r="D174" s="582"/>
      <c r="E174" s="424"/>
      <c r="F174" s="424"/>
      <c r="G174" s="424"/>
      <c r="H174" s="424"/>
      <c r="I174" s="424"/>
      <c r="J174" s="424"/>
      <c r="K174" s="424"/>
      <c r="L174" s="424"/>
      <c r="M174" s="424"/>
      <c r="N174" s="424"/>
      <c r="O174" s="424"/>
      <c r="P174" s="424"/>
      <c r="Q174" s="424"/>
      <c r="R174" s="424"/>
      <c r="S174" s="425"/>
      <c r="T174" s="424"/>
    </row>
    <row r="175" spans="1:20" s="95" customFormat="1" ht="12" customHeight="1">
      <c r="A175" s="112"/>
      <c r="B175" s="112"/>
      <c r="D175" s="95" t="s">
        <v>304</v>
      </c>
      <c r="E175" s="94">
        <v>43647</v>
      </c>
      <c r="F175" s="94">
        <v>43678</v>
      </c>
      <c r="G175" s="94">
        <v>43709</v>
      </c>
      <c r="H175" s="94">
        <v>43740</v>
      </c>
      <c r="I175" s="94">
        <v>43771</v>
      </c>
      <c r="J175" s="94">
        <v>43802</v>
      </c>
      <c r="K175" s="94">
        <v>43833</v>
      </c>
      <c r="L175" s="94">
        <v>43864</v>
      </c>
      <c r="M175" s="94">
        <v>43895</v>
      </c>
      <c r="N175" s="94">
        <v>43926</v>
      </c>
      <c r="O175" s="94">
        <v>43957</v>
      </c>
      <c r="P175" s="94">
        <v>43988</v>
      </c>
      <c r="Q175" s="94"/>
      <c r="R175" s="94"/>
      <c r="S175" s="131"/>
      <c r="T175" s="94"/>
    </row>
    <row r="176" spans="1:20" s="95" customFormat="1" ht="12" customHeight="1">
      <c r="A176" s="112"/>
      <c r="B176" s="112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131"/>
      <c r="T176" s="94"/>
    </row>
    <row r="177" spans="1:20" s="95" customFormat="1" ht="12" customHeight="1">
      <c r="A177" s="112"/>
      <c r="B177" s="112"/>
      <c r="D177" s="95" t="s">
        <v>61</v>
      </c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131"/>
      <c r="T177" s="94"/>
    </row>
    <row r="178" spans="1:20" s="95" customFormat="1" ht="12" customHeight="1">
      <c r="D178" s="95" t="s">
        <v>128</v>
      </c>
      <c r="E178" s="137">
        <v>1357</v>
      </c>
      <c r="F178" s="137">
        <v>1357</v>
      </c>
      <c r="G178" s="137">
        <v>1357</v>
      </c>
      <c r="H178" s="137">
        <v>1357</v>
      </c>
      <c r="I178" s="137">
        <v>1357</v>
      </c>
      <c r="J178" s="137">
        <v>1357</v>
      </c>
      <c r="K178" s="137">
        <v>1357</v>
      </c>
      <c r="L178" s="137">
        <v>1357</v>
      </c>
      <c r="M178" s="137">
        <v>1357</v>
      </c>
      <c r="N178" s="137">
        <v>1357</v>
      </c>
      <c r="O178" s="137">
        <v>1357</v>
      </c>
      <c r="P178" s="137">
        <v>1357</v>
      </c>
      <c r="Q178" s="138"/>
      <c r="R178" s="138"/>
      <c r="S178" s="139"/>
      <c r="T178" s="138"/>
    </row>
    <row r="179" spans="1:20" s="95" customFormat="1" ht="12" customHeight="1">
      <c r="D179" s="95" t="s">
        <v>127</v>
      </c>
      <c r="E179" s="137">
        <v>750</v>
      </c>
      <c r="F179" s="137">
        <v>750</v>
      </c>
      <c r="G179" s="137">
        <v>750</v>
      </c>
      <c r="H179" s="137">
        <v>750</v>
      </c>
      <c r="I179" s="137">
        <v>750</v>
      </c>
      <c r="J179" s="137">
        <v>750</v>
      </c>
      <c r="K179" s="137">
        <v>750</v>
      </c>
      <c r="L179" s="137">
        <v>750</v>
      </c>
      <c r="M179" s="138">
        <v>750</v>
      </c>
      <c r="N179" s="138">
        <v>750</v>
      </c>
      <c r="O179" s="138">
        <v>750</v>
      </c>
      <c r="P179" s="138">
        <v>750</v>
      </c>
      <c r="Q179" s="138"/>
      <c r="R179" s="138"/>
      <c r="S179" s="139"/>
      <c r="T179" s="138"/>
    </row>
    <row r="180" spans="1:20" s="95" customFormat="1" ht="12" customHeight="1">
      <c r="D180" s="95" t="s">
        <v>64</v>
      </c>
      <c r="E180" s="138">
        <v>404</v>
      </c>
      <c r="F180" s="138">
        <v>404</v>
      </c>
      <c r="G180" s="138">
        <v>404</v>
      </c>
      <c r="H180" s="138">
        <v>404</v>
      </c>
      <c r="I180" s="138">
        <v>404</v>
      </c>
      <c r="J180" s="138">
        <v>404</v>
      </c>
      <c r="K180" s="138">
        <v>404</v>
      </c>
      <c r="L180" s="138">
        <v>404</v>
      </c>
      <c r="M180" s="138">
        <v>404</v>
      </c>
      <c r="N180" s="138">
        <v>404</v>
      </c>
      <c r="O180" s="138">
        <v>404</v>
      </c>
      <c r="P180" s="138">
        <v>404</v>
      </c>
      <c r="Q180" s="138"/>
      <c r="R180" s="138"/>
      <c r="S180" s="139"/>
      <c r="T180" s="138"/>
    </row>
    <row r="181" spans="1:20" s="95" customFormat="1" ht="12" customHeight="1">
      <c r="D181" s="95" t="s">
        <v>65</v>
      </c>
      <c r="E181" s="137">
        <v>375</v>
      </c>
      <c r="F181" s="137">
        <v>375</v>
      </c>
      <c r="G181" s="137">
        <v>375</v>
      </c>
      <c r="H181" s="137">
        <v>375</v>
      </c>
      <c r="I181" s="137">
        <v>375</v>
      </c>
      <c r="J181" s="137">
        <v>375</v>
      </c>
      <c r="K181" s="137">
        <v>375</v>
      </c>
      <c r="L181" s="137">
        <v>375</v>
      </c>
      <c r="M181" s="138">
        <v>375</v>
      </c>
      <c r="N181" s="138">
        <v>375</v>
      </c>
      <c r="O181" s="138">
        <v>375</v>
      </c>
      <c r="P181" s="138">
        <v>375</v>
      </c>
      <c r="Q181" s="138"/>
      <c r="R181" s="138"/>
      <c r="S181" s="139"/>
      <c r="T181" s="138"/>
    </row>
    <row r="182" spans="1:20" s="95" customFormat="1" ht="12" customHeight="1">
      <c r="D182" s="95" t="s">
        <v>74</v>
      </c>
      <c r="E182" s="137">
        <v>2886</v>
      </c>
      <c r="F182" s="137">
        <v>2886</v>
      </c>
      <c r="G182" s="137">
        <v>2886</v>
      </c>
      <c r="H182" s="137">
        <v>2886</v>
      </c>
      <c r="I182" s="137">
        <v>2886</v>
      </c>
      <c r="J182" s="137">
        <v>2886</v>
      </c>
      <c r="K182" s="137">
        <v>2886</v>
      </c>
      <c r="L182" s="137">
        <v>2886</v>
      </c>
      <c r="M182" s="137">
        <v>2886</v>
      </c>
      <c r="N182" s="137">
        <v>2886</v>
      </c>
      <c r="O182" s="137">
        <v>2886</v>
      </c>
      <c r="P182" s="137">
        <v>2886</v>
      </c>
      <c r="Q182" s="138"/>
      <c r="R182" s="138"/>
      <c r="S182" s="139"/>
      <c r="T182" s="138"/>
    </row>
    <row r="183" spans="1:20" s="95" customFormat="1" ht="12" customHeight="1"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9"/>
      <c r="T183" s="138"/>
    </row>
    <row r="184" spans="1:20" s="95" customFormat="1">
      <c r="D184" s="95" t="s">
        <v>311</v>
      </c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9"/>
      <c r="T184" s="138"/>
    </row>
    <row r="185" spans="1:20" s="95" customFormat="1">
      <c r="D185" s="95" t="s">
        <v>128</v>
      </c>
      <c r="E185" s="94">
        <v>1289.1499999999999</v>
      </c>
      <c r="F185" s="94">
        <v>1289.1499999999999</v>
      </c>
      <c r="G185" s="94">
        <v>1289.1499999999999</v>
      </c>
      <c r="H185" s="94">
        <v>1289.1499999999999</v>
      </c>
      <c r="I185" s="94">
        <v>1289.1499999999999</v>
      </c>
      <c r="J185" s="94">
        <v>1289.1499999999999</v>
      </c>
      <c r="K185" s="94">
        <v>1289.1499999999999</v>
      </c>
      <c r="L185" s="94">
        <v>1289.1499999999999</v>
      </c>
      <c r="M185" s="94">
        <v>1289.1499999999999</v>
      </c>
      <c r="N185" s="94">
        <v>1289.1499999999999</v>
      </c>
      <c r="O185" s="94">
        <v>1289.1499999999999</v>
      </c>
      <c r="P185" s="94">
        <v>1289.1499999999999</v>
      </c>
      <c r="Q185" s="94"/>
      <c r="R185" s="94"/>
      <c r="S185" s="133"/>
      <c r="T185" s="94"/>
    </row>
    <row r="186" spans="1:20">
      <c r="A186" s="62"/>
      <c r="B186" s="62"/>
      <c r="D186" s="62" t="s">
        <v>127</v>
      </c>
      <c r="E186" s="63">
        <v>712.5</v>
      </c>
      <c r="F186" s="63">
        <v>712.5</v>
      </c>
      <c r="G186" s="63">
        <v>712.5</v>
      </c>
      <c r="H186" s="63">
        <v>712.5</v>
      </c>
      <c r="I186" s="63">
        <v>712.5</v>
      </c>
      <c r="J186" s="63">
        <v>712.5</v>
      </c>
      <c r="K186" s="63">
        <v>712.5</v>
      </c>
      <c r="L186" s="63">
        <v>712.5</v>
      </c>
      <c r="M186" s="63">
        <v>712.5</v>
      </c>
      <c r="N186" s="63">
        <v>712.5</v>
      </c>
      <c r="O186" s="63">
        <v>712.5</v>
      </c>
      <c r="P186" s="63">
        <v>712.5</v>
      </c>
      <c r="S186" s="140"/>
    </row>
    <row r="187" spans="1:20">
      <c r="A187" s="62"/>
      <c r="B187" s="62"/>
      <c r="D187" s="62" t="s">
        <v>64</v>
      </c>
      <c r="E187" s="63">
        <v>383.79999999999995</v>
      </c>
      <c r="F187" s="63">
        <v>383.79999999999995</v>
      </c>
      <c r="G187" s="63">
        <v>383.79999999999995</v>
      </c>
      <c r="H187" s="63">
        <v>383.79999999999995</v>
      </c>
      <c r="I187" s="63">
        <v>383.79999999999995</v>
      </c>
      <c r="J187" s="63">
        <v>383.79999999999995</v>
      </c>
      <c r="K187" s="63">
        <v>383.79999999999995</v>
      </c>
      <c r="L187" s="63">
        <v>383.79999999999995</v>
      </c>
      <c r="M187" s="63">
        <v>383.79999999999995</v>
      </c>
      <c r="N187" s="63">
        <v>383.79999999999995</v>
      </c>
      <c r="O187" s="63">
        <v>383.79999999999995</v>
      </c>
      <c r="P187" s="63">
        <v>383.79999999999995</v>
      </c>
      <c r="S187" s="140"/>
    </row>
    <row r="188" spans="1:20">
      <c r="A188" s="62"/>
      <c r="B188" s="62"/>
      <c r="D188" s="62" t="s">
        <v>65</v>
      </c>
      <c r="E188" s="63">
        <v>356.25</v>
      </c>
      <c r="F188" s="63">
        <v>356.25</v>
      </c>
      <c r="G188" s="63">
        <v>356.25</v>
      </c>
      <c r="H188" s="63">
        <v>356.25</v>
      </c>
      <c r="I188" s="63">
        <v>356.25</v>
      </c>
      <c r="J188" s="63">
        <v>356.25</v>
      </c>
      <c r="K188" s="63">
        <v>356.25</v>
      </c>
      <c r="L188" s="63">
        <v>356.25</v>
      </c>
      <c r="M188" s="63">
        <v>356.25</v>
      </c>
      <c r="N188" s="63">
        <v>356.25</v>
      </c>
      <c r="O188" s="63">
        <v>356.25</v>
      </c>
      <c r="P188" s="63">
        <v>356.25</v>
      </c>
      <c r="S188" s="140"/>
    </row>
    <row r="189" spans="1:20">
      <c r="A189" s="62"/>
      <c r="B189" s="62"/>
      <c r="D189" s="62" t="s">
        <v>74</v>
      </c>
      <c r="E189" s="63">
        <v>2741.7</v>
      </c>
      <c r="F189" s="63">
        <v>2741.7</v>
      </c>
      <c r="G189" s="63">
        <v>2741.7</v>
      </c>
      <c r="H189" s="63">
        <v>2741.7</v>
      </c>
      <c r="I189" s="63">
        <v>2741.7</v>
      </c>
      <c r="J189" s="63">
        <v>2741.7</v>
      </c>
      <c r="K189" s="63">
        <v>2741.7</v>
      </c>
      <c r="L189" s="63">
        <v>2741.7</v>
      </c>
      <c r="M189" s="63">
        <v>2741.7</v>
      </c>
      <c r="N189" s="63">
        <v>2741.7</v>
      </c>
      <c r="O189" s="63">
        <v>2741.7</v>
      </c>
      <c r="P189" s="63">
        <v>2741.7</v>
      </c>
      <c r="S189" s="140"/>
    </row>
    <row r="190" spans="1:20">
      <c r="A190" s="62"/>
      <c r="B190" s="62"/>
      <c r="S190" s="140"/>
    </row>
    <row r="191" spans="1:20">
      <c r="A191" s="62"/>
      <c r="B191" s="62"/>
      <c r="S191" s="140"/>
    </row>
  </sheetData>
  <printOptions horizontalCentered="1"/>
  <pageMargins left="0.15" right="0.15" top="0.35" bottom="0.35" header="0.3" footer="0.3"/>
  <pageSetup scale="75" fitToWidth="2" fitToHeight="4" orientation="landscape" copies="4" r:id="rId1"/>
  <headerFooter alignWithMargins="0">
    <oddFooter xml:space="preserve">&amp;R
</oddFooter>
  </headerFooter>
  <customProperties>
    <customPr name="DrillPoint.FROID" r:id="rId2"/>
    <customPr name="DrillPoint.Mode" r:id="rId3"/>
    <customPr name="DrillPoint.Subsheet" r:id="rId4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J1395"/>
  <sheetViews>
    <sheetView topLeftCell="A1370" zoomScale="115" zoomScaleNormal="115" workbookViewId="0">
      <selection activeCell="L1373" sqref="L1373"/>
    </sheetView>
  </sheetViews>
  <sheetFormatPr baseColWidth="10" defaultColWidth="9.1640625" defaultRowHeight="13"/>
  <cols>
    <col min="1" max="1" width="9.1640625" style="182"/>
    <col min="2" max="2" width="9.1640625" style="179"/>
    <col min="3" max="3" width="9.1640625" style="182"/>
    <col min="4" max="4" width="9.83203125" style="182" bestFit="1" customWidth="1"/>
    <col min="5" max="5" width="11" style="182" bestFit="1" customWidth="1"/>
    <col min="6" max="6" width="9.1640625" style="182"/>
    <col min="7" max="7" width="20" style="182" bestFit="1" customWidth="1"/>
    <col min="8" max="16384" width="9.1640625" style="182"/>
  </cols>
  <sheetData>
    <row r="1" spans="1:10">
      <c r="A1" s="180" t="s">
        <v>108</v>
      </c>
      <c r="B1" s="24" t="s">
        <v>109</v>
      </c>
      <c r="C1" s="24" t="s">
        <v>110</v>
      </c>
      <c r="D1" s="23" t="s">
        <v>111</v>
      </c>
      <c r="E1" s="24" t="s">
        <v>112</v>
      </c>
      <c r="F1" s="24" t="s">
        <v>113</v>
      </c>
      <c r="G1" s="24" t="s">
        <v>114</v>
      </c>
      <c r="H1" s="179" t="s">
        <v>519</v>
      </c>
    </row>
    <row r="2" spans="1:10" ht="14">
      <c r="A2" s="183" t="s">
        <v>147</v>
      </c>
      <c r="B2" s="178">
        <v>1100</v>
      </c>
      <c r="C2" s="25" t="s">
        <v>146</v>
      </c>
      <c r="D2" s="26">
        <v>43647</v>
      </c>
      <c r="E2" s="182">
        <f>SUMIF('FY19-20'!$C$10:$C$172,Import!B2,'FY19-20'!$E$10:$E$172)</f>
        <v>479432.13</v>
      </c>
      <c r="F2" s="182">
        <f>-IF(E2&lt;0,E2,0)</f>
        <v>0</v>
      </c>
      <c r="G2" s="179" t="s">
        <v>408</v>
      </c>
      <c r="H2" s="182">
        <v>1</v>
      </c>
      <c r="J2" s="181"/>
    </row>
    <row r="3" spans="1:10" ht="14">
      <c r="A3" s="183" t="s">
        <v>147</v>
      </c>
      <c r="B3" s="178">
        <v>1170</v>
      </c>
      <c r="C3" s="25" t="s">
        <v>146</v>
      </c>
      <c r="D3" s="26">
        <v>43647</v>
      </c>
      <c r="E3" s="182">
        <f>SUMIF('FY19-20'!$C$10:$C$172,Import!B3,'FY19-20'!$E$10:$E$172)</f>
        <v>0</v>
      </c>
      <c r="F3" s="182">
        <f t="shared" ref="F3:F67" si="0">-IF(E3&lt;0,E3,0)</f>
        <v>0</v>
      </c>
      <c r="G3" s="179" t="s">
        <v>408</v>
      </c>
      <c r="H3" s="182">
        <v>2</v>
      </c>
      <c r="J3" s="181"/>
    </row>
    <row r="4" spans="1:10" ht="14">
      <c r="A4" s="183" t="s">
        <v>147</v>
      </c>
      <c r="B4" s="178">
        <v>1175</v>
      </c>
      <c r="C4" s="25" t="s">
        <v>146</v>
      </c>
      <c r="D4" s="26">
        <v>43647</v>
      </c>
      <c r="E4" s="182">
        <f>SUMIF('FY19-20'!$C$10:$C$172,Import!B4,'FY19-20'!$E$10:$E$172)</f>
        <v>17482.34</v>
      </c>
      <c r="F4" s="182">
        <f t="shared" si="0"/>
        <v>0</v>
      </c>
      <c r="G4" s="179" t="s">
        <v>408</v>
      </c>
      <c r="H4" s="182">
        <v>3</v>
      </c>
      <c r="J4" s="181"/>
    </row>
    <row r="5" spans="1:10" ht="14">
      <c r="A5" s="183" t="s">
        <v>147</v>
      </c>
      <c r="B5" s="178">
        <v>1200</v>
      </c>
      <c r="C5" s="25" t="s">
        <v>146</v>
      </c>
      <c r="D5" s="26">
        <v>43647</v>
      </c>
      <c r="E5" s="182">
        <f>SUMIF('FY19-20'!$C$10:$C$172,Import!B5,'FY19-20'!$E$10:$E$172)</f>
        <v>2427.08</v>
      </c>
      <c r="F5" s="182">
        <f t="shared" si="0"/>
        <v>0</v>
      </c>
      <c r="G5" s="179" t="s">
        <v>408</v>
      </c>
      <c r="H5" s="182">
        <v>4</v>
      </c>
      <c r="J5" s="181"/>
    </row>
    <row r="6" spans="1:10" ht="14">
      <c r="A6" s="183" t="s">
        <v>147</v>
      </c>
      <c r="B6" s="178">
        <v>1300</v>
      </c>
      <c r="C6" s="25" t="s">
        <v>146</v>
      </c>
      <c r="D6" s="26">
        <v>43647</v>
      </c>
      <c r="E6" s="182">
        <f>SUMIF('FY19-20'!$C$10:$C$172,Import!B6,'FY19-20'!$E$10:$E$172)</f>
        <v>70374.98</v>
      </c>
      <c r="F6" s="182">
        <f t="shared" si="0"/>
        <v>0</v>
      </c>
      <c r="G6" s="179" t="s">
        <v>408</v>
      </c>
      <c r="H6" s="182">
        <v>5</v>
      </c>
      <c r="J6" s="181"/>
    </row>
    <row r="7" spans="1:10" ht="14">
      <c r="A7" s="183" t="s">
        <v>147</v>
      </c>
      <c r="B7" s="178">
        <v>1900</v>
      </c>
      <c r="C7" s="25" t="s">
        <v>146</v>
      </c>
      <c r="D7" s="26">
        <v>43647</v>
      </c>
      <c r="E7" s="182">
        <f>SUMIF('FY19-20'!$C$10:$C$172,Import!B7,'FY19-20'!$E$10:$E$172)</f>
        <v>0</v>
      </c>
      <c r="F7" s="182">
        <f t="shared" si="0"/>
        <v>0</v>
      </c>
      <c r="G7" s="179" t="s">
        <v>408</v>
      </c>
      <c r="H7" s="182">
        <v>6</v>
      </c>
      <c r="J7" s="181"/>
    </row>
    <row r="8" spans="1:10" ht="14">
      <c r="A8" s="183" t="s">
        <v>147</v>
      </c>
      <c r="B8" s="178">
        <v>2100</v>
      </c>
      <c r="C8" s="25" t="s">
        <v>146</v>
      </c>
      <c r="D8" s="26">
        <v>43647</v>
      </c>
      <c r="E8" s="182">
        <f>SUMIF('FY19-20'!$C$10:$C$172,Import!B8,'FY19-20'!$E$10:$E$172)</f>
        <v>7719.76</v>
      </c>
      <c r="F8" s="182">
        <f t="shared" si="0"/>
        <v>0</v>
      </c>
      <c r="G8" s="179" t="s">
        <v>408</v>
      </c>
      <c r="H8" s="182">
        <v>7</v>
      </c>
      <c r="J8" s="181"/>
    </row>
    <row r="9" spans="1:10" ht="14">
      <c r="A9" s="183" t="s">
        <v>147</v>
      </c>
      <c r="B9" s="178">
        <v>2200</v>
      </c>
      <c r="C9" s="25" t="s">
        <v>146</v>
      </c>
      <c r="D9" s="26">
        <v>43647</v>
      </c>
      <c r="E9" s="182">
        <f>SUMIF('FY19-20'!$C$10:$C$172,Import!B9,'FY19-20'!$E$10:$E$172)</f>
        <v>0</v>
      </c>
      <c r="F9" s="182">
        <f t="shared" si="0"/>
        <v>0</v>
      </c>
      <c r="G9" s="179" t="s">
        <v>408</v>
      </c>
      <c r="H9" s="182">
        <v>8</v>
      </c>
      <c r="J9" s="181"/>
    </row>
    <row r="10" spans="1:10" ht="14">
      <c r="A10" s="183" t="s">
        <v>147</v>
      </c>
      <c r="B10" s="178">
        <v>2300</v>
      </c>
      <c r="C10" s="25" t="s">
        <v>146</v>
      </c>
      <c r="D10" s="26">
        <v>43647</v>
      </c>
      <c r="E10" s="182">
        <f>SUMIF('FY19-20'!$C$10:$C$172,Import!B10,'FY19-20'!$E$10:$E$172)</f>
        <v>0</v>
      </c>
      <c r="F10" s="182">
        <f t="shared" si="0"/>
        <v>0</v>
      </c>
      <c r="G10" s="179" t="s">
        <v>408</v>
      </c>
      <c r="H10" s="182">
        <v>9</v>
      </c>
      <c r="J10" s="181"/>
    </row>
    <row r="11" spans="1:10" ht="14">
      <c r="A11" s="183" t="s">
        <v>147</v>
      </c>
      <c r="B11" s="178">
        <v>2400</v>
      </c>
      <c r="C11" s="25" t="s">
        <v>146</v>
      </c>
      <c r="D11" s="26">
        <v>43647</v>
      </c>
      <c r="E11" s="182">
        <f>SUMIF('FY19-20'!$C$10:$C$172,Import!B11,'FY19-20'!$E$10:$E$172)</f>
        <v>0</v>
      </c>
      <c r="F11" s="182">
        <f t="shared" si="0"/>
        <v>0</v>
      </c>
      <c r="G11" s="179" t="s">
        <v>408</v>
      </c>
      <c r="H11" s="182">
        <v>10</v>
      </c>
      <c r="J11" s="181"/>
    </row>
    <row r="12" spans="1:10" ht="14">
      <c r="A12" s="183" t="s">
        <v>147</v>
      </c>
      <c r="B12" s="178">
        <v>2900</v>
      </c>
      <c r="C12" s="25" t="s">
        <v>146</v>
      </c>
      <c r="D12" s="26">
        <v>43647</v>
      </c>
      <c r="E12" s="182">
        <f>SUMIF('FY19-20'!$C$10:$C$172,Import!B12,'FY19-20'!$E$10:$E$172)</f>
        <v>0</v>
      </c>
      <c r="F12" s="182">
        <f t="shared" si="0"/>
        <v>0</v>
      </c>
      <c r="G12" s="179" t="s">
        <v>408</v>
      </c>
      <c r="H12" s="182">
        <v>11</v>
      </c>
      <c r="J12" s="181"/>
    </row>
    <row r="13" spans="1:10" ht="14">
      <c r="A13" s="183" t="s">
        <v>147</v>
      </c>
      <c r="B13" s="178">
        <v>3101</v>
      </c>
      <c r="C13" s="25" t="s">
        <v>146</v>
      </c>
      <c r="D13" s="26">
        <v>43647</v>
      </c>
      <c r="E13" s="182">
        <f>SUMIF('FY19-20'!$C$10:$C$172,Import!B13,'FY19-20'!$E$10:$E$172)</f>
        <v>96131.96</v>
      </c>
      <c r="F13" s="182">
        <f t="shared" si="0"/>
        <v>0</v>
      </c>
      <c r="G13" s="179" t="s">
        <v>408</v>
      </c>
      <c r="H13" s="182">
        <v>12</v>
      </c>
      <c r="J13" s="181"/>
    </row>
    <row r="14" spans="1:10" ht="14">
      <c r="A14" s="183" t="s">
        <v>147</v>
      </c>
      <c r="B14" s="178">
        <v>3202</v>
      </c>
      <c r="C14" s="25" t="s">
        <v>146</v>
      </c>
      <c r="D14" s="26">
        <v>43647</v>
      </c>
      <c r="E14" s="182">
        <f>SUMIF('FY19-20'!$C$10:$C$172,Import!B14,'FY19-20'!$E$10:$E$172)</f>
        <v>0</v>
      </c>
      <c r="F14" s="182">
        <f t="shared" si="0"/>
        <v>0</v>
      </c>
      <c r="G14" s="179" t="s">
        <v>408</v>
      </c>
      <c r="H14" s="182">
        <v>13</v>
      </c>
      <c r="J14" s="181"/>
    </row>
    <row r="15" spans="1:10" ht="14">
      <c r="A15" s="183" t="s">
        <v>147</v>
      </c>
      <c r="B15" s="178">
        <v>3301</v>
      </c>
      <c r="C15" s="25" t="s">
        <v>146</v>
      </c>
      <c r="D15" s="26">
        <v>43647</v>
      </c>
      <c r="E15" s="182">
        <f>SUMIF('FY19-20'!$C$10:$C$172,Import!B15,'FY19-20'!$E$10:$E$172)</f>
        <v>525.37</v>
      </c>
      <c r="F15" s="182">
        <f t="shared" si="0"/>
        <v>0</v>
      </c>
      <c r="G15" s="179" t="s">
        <v>408</v>
      </c>
      <c r="H15" s="182">
        <v>14</v>
      </c>
      <c r="J15" s="181"/>
    </row>
    <row r="16" spans="1:10" ht="14">
      <c r="A16" s="183" t="s">
        <v>147</v>
      </c>
      <c r="B16" s="178">
        <v>3302</v>
      </c>
      <c r="C16" s="25" t="s">
        <v>146</v>
      </c>
      <c r="D16" s="26">
        <v>43647</v>
      </c>
      <c r="E16" s="182">
        <f>SUMIF('FY19-20'!$C$10:$C$172,Import!B16,'FY19-20'!$E$10:$E$172)</f>
        <v>0</v>
      </c>
      <c r="F16" s="182">
        <f t="shared" si="0"/>
        <v>0</v>
      </c>
      <c r="G16" s="179" t="s">
        <v>408</v>
      </c>
      <c r="H16" s="182">
        <v>15</v>
      </c>
      <c r="J16" s="181"/>
    </row>
    <row r="17" spans="1:10" ht="14">
      <c r="A17" s="183" t="s">
        <v>147</v>
      </c>
      <c r="B17" s="178">
        <v>3311</v>
      </c>
      <c r="C17" s="25" t="s">
        <v>146</v>
      </c>
      <c r="D17" s="26">
        <v>43647</v>
      </c>
      <c r="E17" s="182">
        <f>SUMIF('FY19-20'!$C$10:$C$172,Import!B17,'FY19-20'!$E$10:$E$172)</f>
        <v>8129.08</v>
      </c>
      <c r="F17" s="182">
        <f t="shared" si="0"/>
        <v>0</v>
      </c>
      <c r="G17" s="179" t="s">
        <v>408</v>
      </c>
      <c r="H17" s="182">
        <v>16</v>
      </c>
      <c r="J17" s="181"/>
    </row>
    <row r="18" spans="1:10" ht="14">
      <c r="A18" s="183" t="s">
        <v>147</v>
      </c>
      <c r="B18" s="178">
        <v>3312</v>
      </c>
      <c r="C18" s="25" t="s">
        <v>146</v>
      </c>
      <c r="D18" s="26">
        <v>43647</v>
      </c>
      <c r="E18" s="182">
        <f>SUMIF('FY19-20'!$C$10:$C$172,Import!B18,'FY19-20'!$E$10:$E$172)</f>
        <v>0</v>
      </c>
      <c r="F18" s="182">
        <f t="shared" si="0"/>
        <v>0</v>
      </c>
      <c r="G18" s="179" t="s">
        <v>408</v>
      </c>
      <c r="H18" s="182">
        <v>17</v>
      </c>
      <c r="J18" s="181"/>
    </row>
    <row r="19" spans="1:10" ht="14">
      <c r="A19" s="183" t="s">
        <v>147</v>
      </c>
      <c r="B19" s="178">
        <v>3401</v>
      </c>
      <c r="C19" s="25" t="s">
        <v>146</v>
      </c>
      <c r="D19" s="26">
        <v>43647</v>
      </c>
      <c r="E19" s="182">
        <f>SUMIF('FY19-20'!$C$10:$C$172,Import!B19,'FY19-20'!$E$10:$E$172)</f>
        <v>-17892.919999999998</v>
      </c>
      <c r="F19" s="182">
        <f t="shared" si="0"/>
        <v>17892.919999999998</v>
      </c>
      <c r="G19" s="179" t="s">
        <v>408</v>
      </c>
      <c r="H19" s="182">
        <v>18</v>
      </c>
      <c r="J19" s="181"/>
    </row>
    <row r="20" spans="1:10" ht="14">
      <c r="A20" s="183" t="s">
        <v>147</v>
      </c>
      <c r="B20" s="178">
        <v>3402</v>
      </c>
      <c r="C20" s="25" t="s">
        <v>146</v>
      </c>
      <c r="D20" s="26">
        <v>43647</v>
      </c>
      <c r="E20" s="182">
        <f>SUMIF('FY19-20'!$C$10:$C$172,Import!B20,'FY19-20'!$E$10:$E$172)</f>
        <v>0</v>
      </c>
      <c r="F20" s="182">
        <f t="shared" si="0"/>
        <v>0</v>
      </c>
      <c r="G20" s="179" t="s">
        <v>408</v>
      </c>
      <c r="H20" s="182">
        <v>19</v>
      </c>
      <c r="J20" s="181"/>
    </row>
    <row r="21" spans="1:10" ht="14">
      <c r="A21" s="183" t="s">
        <v>147</v>
      </c>
      <c r="B21" s="178">
        <v>3501</v>
      </c>
      <c r="C21" s="25" t="s">
        <v>146</v>
      </c>
      <c r="D21" s="26">
        <v>43647</v>
      </c>
      <c r="E21" s="182">
        <f>SUMIF('FY19-20'!$C$10:$C$172,Import!B21,'FY19-20'!$E$10:$E$172)</f>
        <v>18577.21</v>
      </c>
      <c r="F21" s="182">
        <f t="shared" si="0"/>
        <v>0</v>
      </c>
      <c r="G21" s="179" t="s">
        <v>408</v>
      </c>
      <c r="H21" s="182">
        <v>20</v>
      </c>
      <c r="J21" s="181"/>
    </row>
    <row r="22" spans="1:10" ht="14">
      <c r="A22" s="183" t="s">
        <v>147</v>
      </c>
      <c r="B22" s="178">
        <v>3502</v>
      </c>
      <c r="C22" s="25" t="s">
        <v>146</v>
      </c>
      <c r="D22" s="26">
        <v>43647</v>
      </c>
      <c r="E22" s="182">
        <f>SUMIF('FY19-20'!$C$10:$C$172,Import!B22,'FY19-20'!$E$10:$E$172)</f>
        <v>0</v>
      </c>
      <c r="F22" s="182">
        <f t="shared" si="0"/>
        <v>0</v>
      </c>
      <c r="G22" s="179" t="s">
        <v>408</v>
      </c>
      <c r="H22" s="182">
        <v>21</v>
      </c>
      <c r="J22" s="181"/>
    </row>
    <row r="23" spans="1:10" ht="14">
      <c r="A23" s="183" t="s">
        <v>147</v>
      </c>
      <c r="B23" s="178">
        <v>3601</v>
      </c>
      <c r="C23" s="25" t="s">
        <v>146</v>
      </c>
      <c r="D23" s="26">
        <v>43647</v>
      </c>
      <c r="E23" s="182">
        <f>SUMIF('FY19-20'!$C$10:$C$172,Import!B23,'FY19-20'!$E$10:$E$172)</f>
        <v>0</v>
      </c>
      <c r="F23" s="182">
        <f t="shared" si="0"/>
        <v>0</v>
      </c>
      <c r="G23" s="179" t="s">
        <v>408</v>
      </c>
      <c r="H23" s="182">
        <v>22</v>
      </c>
      <c r="J23" s="181"/>
    </row>
    <row r="24" spans="1:10" ht="14">
      <c r="A24" s="183" t="s">
        <v>147</v>
      </c>
      <c r="B24" s="178">
        <v>3602</v>
      </c>
      <c r="C24" s="25" t="s">
        <v>146</v>
      </c>
      <c r="D24" s="26">
        <v>43647</v>
      </c>
      <c r="E24" s="182">
        <f>SUMIF('FY19-20'!$C$10:$C$172,Import!B24,'FY19-20'!$E$10:$E$172)</f>
        <v>0</v>
      </c>
      <c r="F24" s="182">
        <f t="shared" si="0"/>
        <v>0</v>
      </c>
      <c r="G24" s="179" t="s">
        <v>408</v>
      </c>
      <c r="H24" s="182">
        <v>23</v>
      </c>
      <c r="J24" s="181"/>
    </row>
    <row r="25" spans="1:10" ht="14">
      <c r="A25" s="183" t="s">
        <v>147</v>
      </c>
      <c r="B25" s="178">
        <v>3901</v>
      </c>
      <c r="C25" s="25" t="s">
        <v>146</v>
      </c>
      <c r="D25" s="26">
        <v>43647</v>
      </c>
      <c r="E25" s="182">
        <f>SUMIF('FY19-20'!$C$10:$C$172,Import!B25,'FY19-20'!$E$10:$E$172)</f>
        <v>0</v>
      </c>
      <c r="F25" s="182">
        <f t="shared" si="0"/>
        <v>0</v>
      </c>
      <c r="G25" s="179" t="s">
        <v>408</v>
      </c>
      <c r="H25" s="182">
        <v>24</v>
      </c>
      <c r="J25" s="181"/>
    </row>
    <row r="26" spans="1:10" ht="14">
      <c r="A26" s="183" t="s">
        <v>147</v>
      </c>
      <c r="B26" s="178">
        <v>3902</v>
      </c>
      <c r="C26" s="25" t="s">
        <v>146</v>
      </c>
      <c r="D26" s="26">
        <v>43647</v>
      </c>
      <c r="E26" s="182">
        <f>SUMIF('FY19-20'!$C$10:$C$172,Import!B26,'FY19-20'!$E$10:$E$172)</f>
        <v>0</v>
      </c>
      <c r="F26" s="182">
        <f t="shared" si="0"/>
        <v>0</v>
      </c>
      <c r="G26" s="179" t="s">
        <v>408</v>
      </c>
      <c r="H26" s="182">
        <v>25</v>
      </c>
      <c r="J26" s="181"/>
    </row>
    <row r="27" spans="1:10" ht="14">
      <c r="A27" s="183" t="s">
        <v>147</v>
      </c>
      <c r="B27" s="178">
        <v>4100</v>
      </c>
      <c r="C27" s="25" t="s">
        <v>146</v>
      </c>
      <c r="D27" s="26">
        <v>43647</v>
      </c>
      <c r="E27" s="182">
        <f>SUMIF('FY19-20'!$C$10:$C$172,Import!B27,'FY19-20'!$E$10:$E$172)</f>
        <v>0</v>
      </c>
      <c r="F27" s="182">
        <f t="shared" si="0"/>
        <v>0</v>
      </c>
      <c r="G27" s="179" t="s">
        <v>408</v>
      </c>
      <c r="H27" s="182">
        <v>26</v>
      </c>
      <c r="J27" s="181"/>
    </row>
    <row r="28" spans="1:10" ht="14">
      <c r="A28" s="183" t="s">
        <v>147</v>
      </c>
      <c r="B28" s="178">
        <v>4200</v>
      </c>
      <c r="C28" s="25" t="s">
        <v>146</v>
      </c>
      <c r="D28" s="26">
        <v>43647</v>
      </c>
      <c r="E28" s="182">
        <f>SUMIF('FY19-20'!$C$10:$C$172,Import!B28,'FY19-20'!$E$10:$E$172)</f>
        <v>0</v>
      </c>
      <c r="F28" s="182">
        <f t="shared" si="0"/>
        <v>0</v>
      </c>
      <c r="G28" s="179" t="s">
        <v>408</v>
      </c>
      <c r="H28" s="182">
        <v>27</v>
      </c>
      <c r="J28" s="181"/>
    </row>
    <row r="29" spans="1:10" ht="14">
      <c r="A29" s="183" t="s">
        <v>147</v>
      </c>
      <c r="B29" s="178">
        <v>4302</v>
      </c>
      <c r="C29" s="25" t="s">
        <v>146</v>
      </c>
      <c r="D29" s="26">
        <v>43647</v>
      </c>
      <c r="E29" s="182">
        <f>SUMIF('FY19-20'!$C$10:$C$172,Import!B29,'FY19-20'!$E$10:$E$172)</f>
        <v>106326.36</v>
      </c>
      <c r="F29" s="182">
        <f t="shared" si="0"/>
        <v>0</v>
      </c>
      <c r="G29" s="179" t="s">
        <v>408</v>
      </c>
      <c r="H29" s="182">
        <v>28</v>
      </c>
      <c r="J29" s="181"/>
    </row>
    <row r="30" spans="1:10" ht="14">
      <c r="A30" s="183" t="s">
        <v>147</v>
      </c>
      <c r="B30" s="178">
        <v>4305</v>
      </c>
      <c r="C30" s="25" t="s">
        <v>146</v>
      </c>
      <c r="D30" s="26">
        <v>43647</v>
      </c>
      <c r="E30" s="182">
        <f>SUMIF('FY19-20'!$C$10:$C$172,Import!B30,'FY19-20'!$E$10:$E$172)</f>
        <v>10059.290000000001</v>
      </c>
      <c r="F30" s="182">
        <f t="shared" si="0"/>
        <v>0</v>
      </c>
      <c r="G30" s="179" t="s">
        <v>408</v>
      </c>
      <c r="H30" s="182">
        <v>29</v>
      </c>
      <c r="J30" s="181"/>
    </row>
    <row r="31" spans="1:10" ht="14">
      <c r="A31" s="183" t="s">
        <v>147</v>
      </c>
      <c r="B31" s="178">
        <v>4310</v>
      </c>
      <c r="C31" s="25" t="s">
        <v>146</v>
      </c>
      <c r="D31" s="26">
        <v>43647</v>
      </c>
      <c r="E31" s="182">
        <f>SUMIF('FY19-20'!$C$10:$C$172,Import!B31,'FY19-20'!$E$10:$E$172)</f>
        <v>1150.21</v>
      </c>
      <c r="F31" s="182">
        <f t="shared" si="0"/>
        <v>0</v>
      </c>
      <c r="G31" s="179" t="s">
        <v>408</v>
      </c>
      <c r="H31" s="182">
        <v>30</v>
      </c>
      <c r="J31" s="181"/>
    </row>
    <row r="32" spans="1:10" ht="14">
      <c r="A32" s="183" t="s">
        <v>147</v>
      </c>
      <c r="B32" s="178">
        <v>4311</v>
      </c>
      <c r="C32" s="25" t="s">
        <v>146</v>
      </c>
      <c r="D32" s="26">
        <v>43647</v>
      </c>
      <c r="E32" s="182">
        <f>SUMIF('FY19-20'!$C$10:$C$172,Import!B32,'FY19-20'!$E$10:$E$172)</f>
        <v>0</v>
      </c>
      <c r="F32" s="182">
        <f t="shared" si="0"/>
        <v>0</v>
      </c>
      <c r="G32" s="179" t="s">
        <v>408</v>
      </c>
      <c r="H32" s="182">
        <v>31</v>
      </c>
      <c r="J32" s="181"/>
    </row>
    <row r="33" spans="1:10" ht="14">
      <c r="A33" s="183" t="s">
        <v>147</v>
      </c>
      <c r="B33" s="178">
        <v>4312</v>
      </c>
      <c r="C33" s="25" t="s">
        <v>146</v>
      </c>
      <c r="D33" s="26">
        <v>43647</v>
      </c>
      <c r="E33" s="182">
        <f>SUMIF('FY19-20'!$C$10:$C$172,Import!B33,'FY19-20'!$E$10:$E$172)</f>
        <v>0</v>
      </c>
      <c r="F33" s="182">
        <f t="shared" si="0"/>
        <v>0</v>
      </c>
      <c r="G33" s="179" t="s">
        <v>408</v>
      </c>
      <c r="H33" s="182">
        <v>32</v>
      </c>
      <c r="J33" s="181"/>
    </row>
    <row r="34" spans="1:10" ht="14">
      <c r="A34" s="183" t="s">
        <v>147</v>
      </c>
      <c r="B34" s="178">
        <v>4400</v>
      </c>
      <c r="C34" s="25" t="s">
        <v>146</v>
      </c>
      <c r="D34" s="26">
        <v>43647</v>
      </c>
      <c r="E34" s="182">
        <f>SUMIF('FY19-20'!$C$10:$C$172,Import!B34,'FY19-20'!$E$10:$E$172)</f>
        <v>0</v>
      </c>
      <c r="F34" s="182">
        <f t="shared" si="0"/>
        <v>0</v>
      </c>
      <c r="G34" s="179" t="s">
        <v>408</v>
      </c>
      <c r="H34" s="182">
        <v>33</v>
      </c>
      <c r="J34" s="181"/>
    </row>
    <row r="35" spans="1:10" ht="14">
      <c r="A35" s="183" t="s">
        <v>147</v>
      </c>
      <c r="B35" s="178">
        <v>4700</v>
      </c>
      <c r="C35" s="25" t="s">
        <v>146</v>
      </c>
      <c r="D35" s="26">
        <v>43647</v>
      </c>
      <c r="E35" s="182">
        <f>SUMIF('FY19-20'!$C$10:$C$172,Import!B35,'FY19-20'!$E$10:$E$172)</f>
        <v>0</v>
      </c>
      <c r="F35" s="182">
        <f t="shared" si="0"/>
        <v>0</v>
      </c>
      <c r="G35" s="179" t="s">
        <v>408</v>
      </c>
      <c r="H35" s="182">
        <v>34</v>
      </c>
      <c r="J35" s="181"/>
    </row>
    <row r="36" spans="1:10" ht="14">
      <c r="A36" s="183" t="s">
        <v>147</v>
      </c>
      <c r="B36" s="178">
        <v>5101</v>
      </c>
      <c r="C36" s="25" t="s">
        <v>146</v>
      </c>
      <c r="D36" s="26">
        <v>43647</v>
      </c>
      <c r="E36" s="182">
        <f>SUMIF('FY19-20'!$C$10:$C$172,Import!B36,'FY19-20'!$E$10:$E$172)</f>
        <v>0</v>
      </c>
      <c r="F36" s="182">
        <f t="shared" si="0"/>
        <v>0</v>
      </c>
      <c r="G36" s="179" t="s">
        <v>408</v>
      </c>
      <c r="H36" s="182">
        <v>35</v>
      </c>
      <c r="J36" s="181"/>
    </row>
    <row r="37" spans="1:10" ht="14">
      <c r="A37" s="183" t="s">
        <v>147</v>
      </c>
      <c r="B37" s="178">
        <v>5102</v>
      </c>
      <c r="C37" s="25" t="s">
        <v>146</v>
      </c>
      <c r="D37" s="26">
        <v>43647</v>
      </c>
      <c r="E37" s="182">
        <f>SUMIF('FY19-20'!$C$10:$C$172,Import!B37,'FY19-20'!$E$10:$E$172)</f>
        <v>975</v>
      </c>
      <c r="F37" s="182">
        <f t="shared" si="0"/>
        <v>0</v>
      </c>
      <c r="G37" s="179" t="s">
        <v>408</v>
      </c>
      <c r="H37" s="182">
        <v>36</v>
      </c>
      <c r="J37" s="181"/>
    </row>
    <row r="38" spans="1:10" ht="14">
      <c r="A38" s="183" t="s">
        <v>147</v>
      </c>
      <c r="B38" s="178">
        <v>5103</v>
      </c>
      <c r="C38" s="25" t="s">
        <v>146</v>
      </c>
      <c r="D38" s="26">
        <v>43647</v>
      </c>
      <c r="E38" s="182">
        <f>SUMIF('FY19-20'!$C$10:$C$172,Import!B38,'FY19-20'!$E$10:$E$172)</f>
        <v>0</v>
      </c>
      <c r="F38" s="182">
        <f t="shared" si="0"/>
        <v>0</v>
      </c>
      <c r="G38" s="179" t="s">
        <v>408</v>
      </c>
      <c r="H38" s="182">
        <v>37</v>
      </c>
      <c r="J38" s="181"/>
    </row>
    <row r="39" spans="1:10" ht="14">
      <c r="A39" s="183" t="s">
        <v>147</v>
      </c>
      <c r="B39" s="178">
        <v>5104</v>
      </c>
      <c r="C39" s="25" t="s">
        <v>146</v>
      </c>
      <c r="D39" s="26">
        <v>43647</v>
      </c>
      <c r="E39" s="182">
        <f>SUMIF('FY19-20'!$C$10:$C$172,Import!B39,'FY19-20'!$E$10:$E$172)</f>
        <v>0</v>
      </c>
      <c r="F39" s="182">
        <f t="shared" si="0"/>
        <v>0</v>
      </c>
      <c r="G39" s="179" t="s">
        <v>408</v>
      </c>
      <c r="H39" s="182">
        <v>38</v>
      </c>
      <c r="J39" s="181"/>
    </row>
    <row r="40" spans="1:10" ht="14">
      <c r="A40" s="183" t="s">
        <v>147</v>
      </c>
      <c r="B40" s="178">
        <v>5105</v>
      </c>
      <c r="C40" s="25" t="s">
        <v>146</v>
      </c>
      <c r="D40" s="26">
        <v>43647</v>
      </c>
      <c r="E40" s="182">
        <f>SUMIF('FY19-20'!$C$10:$C$172,Import!B40,'FY19-20'!$E$10:$E$172)</f>
        <v>0</v>
      </c>
      <c r="F40" s="182">
        <f t="shared" si="0"/>
        <v>0</v>
      </c>
      <c r="G40" s="179" t="s">
        <v>408</v>
      </c>
      <c r="H40" s="182">
        <v>39</v>
      </c>
      <c r="J40" s="181"/>
    </row>
    <row r="41" spans="1:10" ht="14">
      <c r="A41" s="183" t="s">
        <v>147</v>
      </c>
      <c r="B41" s="178">
        <v>5106</v>
      </c>
      <c r="C41" s="25" t="s">
        <v>146</v>
      </c>
      <c r="D41" s="26">
        <v>43647</v>
      </c>
      <c r="E41" s="182">
        <f>SUMIF('FY19-20'!$C$10:$C$172,Import!B41,'FY19-20'!$E$10:$E$172)</f>
        <v>41827.97</v>
      </c>
      <c r="F41" s="182">
        <f t="shared" si="0"/>
        <v>0</v>
      </c>
      <c r="G41" s="179" t="s">
        <v>408</v>
      </c>
      <c r="H41" s="182">
        <v>40</v>
      </c>
      <c r="J41" s="181"/>
    </row>
    <row r="42" spans="1:10" ht="14">
      <c r="A42" s="183" t="s">
        <v>147</v>
      </c>
      <c r="B42" s="178">
        <v>5107</v>
      </c>
      <c r="C42" s="25" t="s">
        <v>146</v>
      </c>
      <c r="D42" s="26">
        <v>43647</v>
      </c>
      <c r="E42" s="182">
        <f>SUMIF('FY19-20'!$C$10:$C$172,Import!B42,'FY19-20'!$E$10:$E$172)</f>
        <v>0</v>
      </c>
      <c r="F42" s="182">
        <f t="shared" ref="F42" si="1">-IF(E42&lt;0,E42,0)</f>
        <v>0</v>
      </c>
      <c r="G42" s="179" t="s">
        <v>408</v>
      </c>
      <c r="H42" s="182">
        <v>40</v>
      </c>
      <c r="J42" s="181"/>
    </row>
    <row r="43" spans="1:10" ht="14">
      <c r="A43" s="183" t="s">
        <v>147</v>
      </c>
      <c r="B43" s="178">
        <v>5201</v>
      </c>
      <c r="C43" s="25" t="s">
        <v>146</v>
      </c>
      <c r="D43" s="26">
        <v>43647</v>
      </c>
      <c r="E43" s="182">
        <f>SUMIF('FY19-20'!$C$10:$C$172,Import!B43,'FY19-20'!$E$10:$E$172)</f>
        <v>0</v>
      </c>
      <c r="F43" s="182">
        <f t="shared" si="0"/>
        <v>0</v>
      </c>
      <c r="G43" s="179" t="s">
        <v>408</v>
      </c>
      <c r="H43" s="182">
        <v>41</v>
      </c>
      <c r="J43" s="181"/>
    </row>
    <row r="44" spans="1:10" ht="14">
      <c r="A44" s="183" t="s">
        <v>147</v>
      </c>
      <c r="B44" s="178">
        <v>5202</v>
      </c>
      <c r="C44" s="25" t="s">
        <v>146</v>
      </c>
      <c r="D44" s="26">
        <v>43647</v>
      </c>
      <c r="E44" s="182">
        <f>SUMIF('FY19-20'!$C$10:$C$172,Import!B44,'FY19-20'!$E$10:$E$172)</f>
        <v>0</v>
      </c>
      <c r="F44" s="182">
        <f t="shared" si="0"/>
        <v>0</v>
      </c>
      <c r="G44" s="179" t="s">
        <v>408</v>
      </c>
      <c r="H44" s="182">
        <v>42</v>
      </c>
      <c r="J44" s="181"/>
    </row>
    <row r="45" spans="1:10" ht="14">
      <c r="A45" s="183" t="s">
        <v>147</v>
      </c>
      <c r="B45" s="178">
        <v>5203</v>
      </c>
      <c r="C45" s="25" t="s">
        <v>146</v>
      </c>
      <c r="D45" s="26">
        <v>43647</v>
      </c>
      <c r="E45" s="182">
        <f>SUMIF('FY19-20'!$C$10:$C$172,Import!B45,'FY19-20'!$E$10:$E$172)</f>
        <v>0</v>
      </c>
      <c r="F45" s="182">
        <f t="shared" si="0"/>
        <v>0</v>
      </c>
      <c r="G45" s="179" t="s">
        <v>408</v>
      </c>
      <c r="H45" s="182">
        <v>43</v>
      </c>
      <c r="J45" s="181"/>
    </row>
    <row r="46" spans="1:10" ht="14">
      <c r="A46" s="183" t="s">
        <v>147</v>
      </c>
      <c r="B46" s="178">
        <v>5300</v>
      </c>
      <c r="C46" s="25" t="s">
        <v>146</v>
      </c>
      <c r="D46" s="26">
        <v>43647</v>
      </c>
      <c r="E46" s="182">
        <f>SUMIF('FY19-20'!$C$10:$C$172,Import!B46,'FY19-20'!$E$10:$E$172)</f>
        <v>0</v>
      </c>
      <c r="F46" s="182">
        <f t="shared" si="0"/>
        <v>0</v>
      </c>
      <c r="G46" s="179" t="s">
        <v>408</v>
      </c>
      <c r="H46" s="182">
        <v>44</v>
      </c>
      <c r="J46" s="181"/>
    </row>
    <row r="47" spans="1:10" ht="14">
      <c r="A47" s="183" t="s">
        <v>147</v>
      </c>
      <c r="B47" s="178">
        <v>5400</v>
      </c>
      <c r="C47" s="25" t="s">
        <v>146</v>
      </c>
      <c r="D47" s="26">
        <v>43647</v>
      </c>
      <c r="E47" s="182">
        <f>SUMIF('FY19-20'!$C$10:$C$172,Import!B47,'FY19-20'!$E$10:$E$172)</f>
        <v>0</v>
      </c>
      <c r="F47" s="182">
        <f t="shared" si="0"/>
        <v>0</v>
      </c>
      <c r="G47" s="179" t="s">
        <v>408</v>
      </c>
      <c r="H47" s="182">
        <v>45</v>
      </c>
      <c r="J47" s="181"/>
    </row>
    <row r="48" spans="1:10" ht="14">
      <c r="A48" s="183" t="s">
        <v>147</v>
      </c>
      <c r="B48" s="178">
        <v>5501</v>
      </c>
      <c r="C48" s="25" t="s">
        <v>146</v>
      </c>
      <c r="D48" s="26">
        <v>43647</v>
      </c>
      <c r="E48" s="182">
        <f>SUMIF('FY19-20'!$C$10:$C$172,Import!B48,'FY19-20'!$E$10:$E$172)</f>
        <v>154.99</v>
      </c>
      <c r="F48" s="182">
        <f t="shared" si="0"/>
        <v>0</v>
      </c>
      <c r="G48" s="179" t="s">
        <v>408</v>
      </c>
      <c r="H48" s="182">
        <v>46</v>
      </c>
      <c r="J48" s="181"/>
    </row>
    <row r="49" spans="1:10" ht="14">
      <c r="A49" s="183" t="s">
        <v>147</v>
      </c>
      <c r="B49" s="178">
        <v>5502</v>
      </c>
      <c r="C49" s="25" t="s">
        <v>146</v>
      </c>
      <c r="D49" s="26">
        <v>43647</v>
      </c>
      <c r="E49" s="182">
        <f>SUMIF('FY19-20'!$C$10:$C$172,Import!B49,'FY19-20'!$E$10:$E$172)</f>
        <v>0</v>
      </c>
      <c r="F49" s="182">
        <f t="shared" si="0"/>
        <v>0</v>
      </c>
      <c r="G49" s="179" t="s">
        <v>408</v>
      </c>
      <c r="H49" s="182">
        <v>47</v>
      </c>
      <c r="J49" s="181"/>
    </row>
    <row r="50" spans="1:10" ht="14">
      <c r="A50" s="183" t="s">
        <v>147</v>
      </c>
      <c r="B50" s="178">
        <v>5516</v>
      </c>
      <c r="C50" s="25" t="s">
        <v>146</v>
      </c>
      <c r="D50" s="26">
        <v>43647</v>
      </c>
      <c r="E50" s="182">
        <f>SUMIF('FY19-20'!$C$10:$C$172,Import!B50,'FY19-20'!$E$10:$E$172)</f>
        <v>0</v>
      </c>
      <c r="F50" s="182">
        <f t="shared" si="0"/>
        <v>0</v>
      </c>
      <c r="G50" s="179" t="s">
        <v>408</v>
      </c>
      <c r="H50" s="182">
        <v>48</v>
      </c>
      <c r="J50" s="181"/>
    </row>
    <row r="51" spans="1:10" ht="14">
      <c r="A51" s="183" t="s">
        <v>147</v>
      </c>
      <c r="B51" s="178">
        <v>5531</v>
      </c>
      <c r="C51" s="25" t="s">
        <v>146</v>
      </c>
      <c r="D51" s="26">
        <v>43647</v>
      </c>
      <c r="E51" s="182">
        <f>SUMIF('FY19-20'!$C$10:$C$172,Import!B51,'FY19-20'!$E$10:$E$172)</f>
        <v>0</v>
      </c>
      <c r="F51" s="182">
        <f t="shared" si="0"/>
        <v>0</v>
      </c>
      <c r="G51" s="179" t="s">
        <v>408</v>
      </c>
      <c r="H51" s="182">
        <v>51</v>
      </c>
      <c r="J51" s="181"/>
    </row>
    <row r="52" spans="1:10" ht="14">
      <c r="A52" s="183" t="s">
        <v>147</v>
      </c>
      <c r="B52" s="178">
        <v>5540</v>
      </c>
      <c r="C52" s="25" t="s">
        <v>146</v>
      </c>
      <c r="D52" s="26">
        <v>43647</v>
      </c>
      <c r="E52" s="182">
        <f>SUMIF('FY19-20'!$C$10:$C$172,Import!B52,'FY19-20'!$E$10:$E$172)</f>
        <v>0</v>
      </c>
      <c r="F52" s="182">
        <f t="shared" si="0"/>
        <v>0</v>
      </c>
      <c r="G52" s="179" t="s">
        <v>408</v>
      </c>
      <c r="H52" s="182">
        <v>52</v>
      </c>
      <c r="J52" s="181"/>
    </row>
    <row r="53" spans="1:10" ht="14">
      <c r="A53" s="183" t="s">
        <v>147</v>
      </c>
      <c r="B53" s="178">
        <v>5601</v>
      </c>
      <c r="C53" s="25" t="s">
        <v>146</v>
      </c>
      <c r="D53" s="26">
        <v>43647</v>
      </c>
      <c r="E53" s="182">
        <f>SUMIF('FY19-20'!$C$10:$C$172,Import!B53,'FY19-20'!$E$10:$E$172)</f>
        <v>0</v>
      </c>
      <c r="F53" s="182">
        <f t="shared" si="0"/>
        <v>0</v>
      </c>
      <c r="G53" s="179" t="s">
        <v>408</v>
      </c>
      <c r="H53" s="182">
        <v>53</v>
      </c>
      <c r="J53" s="181"/>
    </row>
    <row r="54" spans="1:10" ht="14">
      <c r="A54" s="183" t="s">
        <v>147</v>
      </c>
      <c r="B54" s="178">
        <v>5602</v>
      </c>
      <c r="C54" s="25" t="s">
        <v>146</v>
      </c>
      <c r="D54" s="26">
        <v>43647</v>
      </c>
      <c r="E54" s="182">
        <f>SUMIF('FY19-20'!$C$10:$C$172,Import!B54,'FY19-20'!$E$10:$E$172)</f>
        <v>0</v>
      </c>
      <c r="F54" s="182">
        <f t="shared" si="0"/>
        <v>0</v>
      </c>
      <c r="G54" s="179" t="s">
        <v>408</v>
      </c>
      <c r="H54" s="182">
        <v>54</v>
      </c>
      <c r="J54" s="181"/>
    </row>
    <row r="55" spans="1:10" ht="14">
      <c r="A55" s="183" t="s">
        <v>147</v>
      </c>
      <c r="B55" s="178">
        <v>5603</v>
      </c>
      <c r="C55" s="25" t="s">
        <v>146</v>
      </c>
      <c r="D55" s="26">
        <v>43647</v>
      </c>
      <c r="E55" s="182">
        <f>SUMIF('FY19-20'!$C$10:$C$172,Import!B55,'FY19-20'!$E$10:$E$172)</f>
        <v>0</v>
      </c>
      <c r="F55" s="182">
        <f t="shared" si="0"/>
        <v>0</v>
      </c>
      <c r="G55" s="179" t="s">
        <v>408</v>
      </c>
      <c r="H55" s="182">
        <v>55</v>
      </c>
      <c r="J55" s="181"/>
    </row>
    <row r="56" spans="1:10" ht="14">
      <c r="A56" s="183" t="s">
        <v>147</v>
      </c>
      <c r="B56" s="178">
        <v>5604</v>
      </c>
      <c r="C56" s="25" t="s">
        <v>146</v>
      </c>
      <c r="D56" s="26">
        <v>43647</v>
      </c>
      <c r="E56" s="182">
        <f>SUMIF('FY19-20'!$C$10:$C$172,Import!B56,'FY19-20'!$E$10:$E$172)</f>
        <v>0</v>
      </c>
      <c r="F56" s="182">
        <f t="shared" si="0"/>
        <v>0</v>
      </c>
      <c r="G56" s="179" t="s">
        <v>408</v>
      </c>
      <c r="H56" s="182">
        <v>56</v>
      </c>
      <c r="J56" s="181"/>
    </row>
    <row r="57" spans="1:10" ht="14">
      <c r="A57" s="183" t="s">
        <v>147</v>
      </c>
      <c r="B57" s="178">
        <v>5605</v>
      </c>
      <c r="C57" s="25" t="s">
        <v>146</v>
      </c>
      <c r="D57" s="26">
        <v>43647</v>
      </c>
      <c r="E57" s="182">
        <f>SUMIF('FY19-20'!$C$10:$C$172,Import!B57,'FY19-20'!$E$10:$E$172)</f>
        <v>0</v>
      </c>
      <c r="F57" s="182">
        <f t="shared" si="0"/>
        <v>0</v>
      </c>
      <c r="G57" s="179" t="s">
        <v>408</v>
      </c>
      <c r="H57" s="182">
        <v>57</v>
      </c>
      <c r="J57" s="181"/>
    </row>
    <row r="58" spans="1:10" ht="14">
      <c r="A58" s="183" t="s">
        <v>147</v>
      </c>
      <c r="B58" s="178">
        <v>5610</v>
      </c>
      <c r="C58" s="25" t="s">
        <v>146</v>
      </c>
      <c r="D58" s="26">
        <v>43647</v>
      </c>
      <c r="E58" s="182">
        <f>SUMIF('FY19-20'!$C$10:$C$172,Import!B58,'FY19-20'!$E$10:$E$172)</f>
        <v>0</v>
      </c>
      <c r="F58" s="182">
        <f t="shared" si="0"/>
        <v>0</v>
      </c>
      <c r="G58" s="179" t="s">
        <v>408</v>
      </c>
      <c r="H58" s="182">
        <v>58</v>
      </c>
      <c r="J58" s="181"/>
    </row>
    <row r="59" spans="1:10" ht="14">
      <c r="A59" s="183" t="s">
        <v>147</v>
      </c>
      <c r="B59" s="178">
        <v>5801</v>
      </c>
      <c r="C59" s="25" t="s">
        <v>146</v>
      </c>
      <c r="D59" s="26">
        <v>43647</v>
      </c>
      <c r="E59" s="182">
        <f>SUMIF('FY19-20'!$C$10:$C$172,Import!B59,'FY19-20'!$E$10:$E$172)</f>
        <v>0</v>
      </c>
      <c r="F59" s="182">
        <f t="shared" si="0"/>
        <v>0</v>
      </c>
      <c r="G59" s="179" t="s">
        <v>408</v>
      </c>
      <c r="H59" s="182">
        <v>59</v>
      </c>
      <c r="J59" s="181"/>
    </row>
    <row r="60" spans="1:10" ht="14">
      <c r="A60" s="183" t="s">
        <v>147</v>
      </c>
      <c r="B60" s="178">
        <v>5802</v>
      </c>
      <c r="C60" s="25" t="s">
        <v>146</v>
      </c>
      <c r="D60" s="26">
        <v>43647</v>
      </c>
      <c r="E60" s="182">
        <f>SUMIF('FY19-20'!$C$10:$C$172,Import!B60,'FY19-20'!$E$10:$E$172)</f>
        <v>0</v>
      </c>
      <c r="F60" s="182">
        <f t="shared" si="0"/>
        <v>0</v>
      </c>
      <c r="G60" s="179" t="s">
        <v>408</v>
      </c>
      <c r="H60" s="182">
        <v>60</v>
      </c>
      <c r="J60" s="181"/>
    </row>
    <row r="61" spans="1:10" ht="14">
      <c r="A61" s="183" t="s">
        <v>147</v>
      </c>
      <c r="B61" s="178">
        <v>5803</v>
      </c>
      <c r="C61" s="25" t="s">
        <v>146</v>
      </c>
      <c r="D61" s="26">
        <v>43647</v>
      </c>
      <c r="E61" s="182">
        <f>SUMIF('FY19-20'!$C$10:$C$172,Import!B61,'FY19-20'!$E$10:$E$172)</f>
        <v>3447.69</v>
      </c>
      <c r="F61" s="182">
        <f t="shared" si="0"/>
        <v>0</v>
      </c>
      <c r="G61" s="179" t="s">
        <v>408</v>
      </c>
      <c r="H61" s="182">
        <v>61</v>
      </c>
      <c r="J61" s="181"/>
    </row>
    <row r="62" spans="1:10" ht="14">
      <c r="A62" s="183" t="s">
        <v>147</v>
      </c>
      <c r="B62" s="178">
        <v>5804</v>
      </c>
      <c r="C62" s="25" t="s">
        <v>146</v>
      </c>
      <c r="D62" s="26">
        <v>43647</v>
      </c>
      <c r="E62" s="182">
        <f>SUMIF('FY19-20'!$C$10:$C$172,Import!B62,'FY19-20'!$E$10:$E$172)</f>
        <v>315</v>
      </c>
      <c r="F62" s="182">
        <f t="shared" si="0"/>
        <v>0</v>
      </c>
      <c r="G62" s="179" t="s">
        <v>408</v>
      </c>
      <c r="H62" s="182">
        <v>62</v>
      </c>
      <c r="J62" s="181"/>
    </row>
    <row r="63" spans="1:10" ht="14">
      <c r="A63" s="183" t="s">
        <v>147</v>
      </c>
      <c r="B63" s="178">
        <v>5805</v>
      </c>
      <c r="C63" s="25" t="s">
        <v>146</v>
      </c>
      <c r="D63" s="26">
        <v>43647</v>
      </c>
      <c r="E63" s="182">
        <f>SUMIF('FY19-20'!$C$10:$C$172,Import!B63,'FY19-20'!$E$10:$E$172)</f>
        <v>750</v>
      </c>
      <c r="F63" s="182">
        <f t="shared" si="0"/>
        <v>0</v>
      </c>
      <c r="G63" s="179" t="s">
        <v>408</v>
      </c>
      <c r="H63" s="182">
        <v>63</v>
      </c>
      <c r="J63" s="181"/>
    </row>
    <row r="64" spans="1:10" ht="14">
      <c r="A64" s="183" t="s">
        <v>147</v>
      </c>
      <c r="B64" s="178">
        <v>5806</v>
      </c>
      <c r="C64" s="25" t="s">
        <v>146</v>
      </c>
      <c r="D64" s="26">
        <v>43647</v>
      </c>
      <c r="E64" s="182">
        <f>SUMIF('FY19-20'!$C$10:$C$172,Import!B64,'FY19-20'!$E$10:$E$172)</f>
        <v>27157.200000000001</v>
      </c>
      <c r="F64" s="182">
        <f t="shared" si="0"/>
        <v>0</v>
      </c>
      <c r="G64" s="179" t="s">
        <v>408</v>
      </c>
      <c r="J64" s="181"/>
    </row>
    <row r="65" spans="1:10" ht="14">
      <c r="A65" s="183" t="s">
        <v>147</v>
      </c>
      <c r="B65" s="178">
        <v>5807</v>
      </c>
      <c r="C65" s="25" t="s">
        <v>146</v>
      </c>
      <c r="D65" s="26">
        <v>43647</v>
      </c>
      <c r="E65" s="182">
        <f>SUMIF('FY19-20'!$C$10:$C$172,Import!B65,'FY19-20'!$E$10:$E$172)</f>
        <v>0</v>
      </c>
      <c r="F65" s="182">
        <f t="shared" si="0"/>
        <v>0</v>
      </c>
      <c r="G65" s="179" t="s">
        <v>408</v>
      </c>
      <c r="J65" s="181"/>
    </row>
    <row r="66" spans="1:10" ht="14">
      <c r="A66" s="183" t="s">
        <v>147</v>
      </c>
      <c r="B66" s="178">
        <v>5808</v>
      </c>
      <c r="C66" s="25" t="s">
        <v>146</v>
      </c>
      <c r="D66" s="26">
        <v>43647</v>
      </c>
      <c r="E66" s="182">
        <f>SUMIF('FY19-20'!$C$10:$C$172,Import!B66,'FY19-20'!$E$10:$E$172)</f>
        <v>0</v>
      </c>
      <c r="F66" s="182">
        <f t="shared" si="0"/>
        <v>0</v>
      </c>
      <c r="G66" s="179" t="s">
        <v>408</v>
      </c>
      <c r="J66" s="181"/>
    </row>
    <row r="67" spans="1:10" ht="14">
      <c r="A67" s="183" t="s">
        <v>147</v>
      </c>
      <c r="B67" s="178">
        <v>5809</v>
      </c>
      <c r="C67" s="25" t="s">
        <v>146</v>
      </c>
      <c r="D67" s="26">
        <v>43647</v>
      </c>
      <c r="E67" s="182">
        <f>SUMIF('FY19-20'!$C$10:$C$172,Import!B67,'FY19-20'!$E$10:$E$172)</f>
        <v>160</v>
      </c>
      <c r="F67" s="182">
        <f t="shared" si="0"/>
        <v>0</v>
      </c>
      <c r="G67" s="179" t="s">
        <v>408</v>
      </c>
      <c r="J67" s="181"/>
    </row>
    <row r="68" spans="1:10" ht="14">
      <c r="A68" s="183" t="s">
        <v>147</v>
      </c>
      <c r="B68" s="178">
        <v>5810</v>
      </c>
      <c r="C68" s="25" t="s">
        <v>146</v>
      </c>
      <c r="D68" s="26">
        <v>43647</v>
      </c>
      <c r="E68" s="182">
        <f>SUMIF('FY19-20'!$C$10:$C$172,Import!B68,'FY19-20'!$E$10:$E$172)</f>
        <v>0</v>
      </c>
      <c r="F68" s="182">
        <f t="shared" ref="F68:F110" si="2">-IF(E68&lt;0,E68,0)</f>
        <v>0</v>
      </c>
      <c r="G68" s="179" t="s">
        <v>408</v>
      </c>
      <c r="H68" s="182">
        <v>64</v>
      </c>
      <c r="J68" s="181"/>
    </row>
    <row r="69" spans="1:10" ht="14">
      <c r="A69" s="183" t="s">
        <v>147</v>
      </c>
      <c r="B69" s="178">
        <v>5811</v>
      </c>
      <c r="C69" s="25" t="s">
        <v>146</v>
      </c>
      <c r="D69" s="26">
        <v>43647</v>
      </c>
      <c r="E69" s="182">
        <f>SUMIF('FY19-20'!$C$10:$C$172,Import!B69,'FY19-20'!$E$10:$E$172)</f>
        <v>0</v>
      </c>
      <c r="F69" s="182">
        <f t="shared" si="2"/>
        <v>0</v>
      </c>
      <c r="G69" s="179" t="s">
        <v>408</v>
      </c>
      <c r="H69" s="182">
        <v>65</v>
      </c>
      <c r="J69" s="181"/>
    </row>
    <row r="70" spans="1:10" ht="14">
      <c r="A70" s="183" t="s">
        <v>147</v>
      </c>
      <c r="B70" s="178">
        <v>5812</v>
      </c>
      <c r="C70" s="25" t="s">
        <v>146</v>
      </c>
      <c r="D70" s="26">
        <v>43647</v>
      </c>
      <c r="E70" s="182">
        <f>SUMIF('FY19-20'!$C$10:$C$172,Import!B70,'FY19-20'!$E$10:$E$172)</f>
        <v>0</v>
      </c>
      <c r="F70" s="182">
        <f t="shared" si="2"/>
        <v>0</v>
      </c>
      <c r="G70" s="179" t="s">
        <v>408</v>
      </c>
      <c r="H70" s="182">
        <v>66</v>
      </c>
      <c r="J70" s="181"/>
    </row>
    <row r="71" spans="1:10" ht="14">
      <c r="A71" s="183" t="s">
        <v>147</v>
      </c>
      <c r="B71" s="178">
        <v>5813</v>
      </c>
      <c r="C71" s="25" t="s">
        <v>146</v>
      </c>
      <c r="D71" s="26">
        <v>43647</v>
      </c>
      <c r="E71" s="182">
        <f>SUMIF('FY19-20'!$C$10:$C$172,Import!B71,'FY19-20'!$E$10:$E$172)</f>
        <v>0</v>
      </c>
      <c r="F71" s="182">
        <f t="shared" si="2"/>
        <v>0</v>
      </c>
      <c r="G71" s="179" t="s">
        <v>408</v>
      </c>
      <c r="H71" s="182">
        <v>67</v>
      </c>
      <c r="J71" s="181"/>
    </row>
    <row r="72" spans="1:10" ht="14">
      <c r="A72" s="183" t="s">
        <v>147</v>
      </c>
      <c r="B72" s="178">
        <v>5814</v>
      </c>
      <c r="C72" s="25" t="s">
        <v>146</v>
      </c>
      <c r="D72" s="26">
        <v>43647</v>
      </c>
      <c r="E72" s="182">
        <f>SUMIF('FY19-20'!$C$10:$C$172,Import!B72,'FY19-20'!$E$10:$E$172)</f>
        <v>0</v>
      </c>
      <c r="F72" s="182">
        <f t="shared" si="2"/>
        <v>0</v>
      </c>
      <c r="G72" s="179" t="s">
        <v>408</v>
      </c>
      <c r="H72" s="182">
        <v>68</v>
      </c>
      <c r="J72" s="181"/>
    </row>
    <row r="73" spans="1:10" ht="14">
      <c r="A73" s="183" t="s">
        <v>147</v>
      </c>
      <c r="B73" s="178">
        <v>5815</v>
      </c>
      <c r="C73" s="25" t="s">
        <v>146</v>
      </c>
      <c r="D73" s="26">
        <v>43647</v>
      </c>
      <c r="E73" s="182">
        <f>SUMIF('FY19-20'!$C$10:$C$172,Import!B73,'FY19-20'!$E$10:$E$172)</f>
        <v>0</v>
      </c>
      <c r="F73" s="182">
        <f t="shared" si="2"/>
        <v>0</v>
      </c>
      <c r="G73" s="179" t="s">
        <v>408</v>
      </c>
      <c r="J73" s="181"/>
    </row>
    <row r="74" spans="1:10" ht="14">
      <c r="A74" s="183" t="s">
        <v>147</v>
      </c>
      <c r="B74" s="178">
        <v>5820</v>
      </c>
      <c r="C74" s="25" t="s">
        <v>146</v>
      </c>
      <c r="D74" s="26">
        <v>43647</v>
      </c>
      <c r="E74" s="182">
        <f>SUMIF('FY19-20'!$C$10:$C$172,Import!B74,'FY19-20'!$E$10:$E$172)</f>
        <v>0</v>
      </c>
      <c r="F74" s="182">
        <f t="shared" si="2"/>
        <v>0</v>
      </c>
      <c r="G74" s="179" t="s">
        <v>408</v>
      </c>
      <c r="J74" s="181"/>
    </row>
    <row r="75" spans="1:10" ht="14">
      <c r="A75" s="183" t="s">
        <v>147</v>
      </c>
      <c r="B75" s="178">
        <v>5900</v>
      </c>
      <c r="C75" s="25" t="s">
        <v>146</v>
      </c>
      <c r="D75" s="26">
        <v>43647</v>
      </c>
      <c r="E75" s="182">
        <f>SUMIF('FY19-20'!$C$10:$C$172,Import!B75,'FY19-20'!$E$10:$E$172)</f>
        <v>0</v>
      </c>
      <c r="F75" s="182">
        <f t="shared" si="2"/>
        <v>0</v>
      </c>
      <c r="G75" s="179" t="s">
        <v>408</v>
      </c>
      <c r="H75" s="182">
        <v>69</v>
      </c>
      <c r="J75" s="181"/>
    </row>
    <row r="76" spans="1:10" ht="14">
      <c r="A76" s="183" t="s">
        <v>147</v>
      </c>
      <c r="B76" s="178">
        <v>5901</v>
      </c>
      <c r="C76" s="25" t="s">
        <v>146</v>
      </c>
      <c r="D76" s="26">
        <v>43647</v>
      </c>
      <c r="E76" s="182">
        <f>SUMIF('FY19-20'!$C$10:$C$172,Import!B76,'FY19-20'!$E$10:$E$172)</f>
        <v>0</v>
      </c>
      <c r="F76" s="182">
        <f t="shared" si="2"/>
        <v>0</v>
      </c>
      <c r="G76" s="179" t="s">
        <v>408</v>
      </c>
    </row>
    <row r="77" spans="1:10" ht="14">
      <c r="A77" s="183" t="s">
        <v>147</v>
      </c>
      <c r="B77" s="178">
        <v>6900</v>
      </c>
      <c r="C77" s="25" t="s">
        <v>146</v>
      </c>
      <c r="D77" s="26">
        <v>43647</v>
      </c>
      <c r="E77" s="182">
        <f>SUMIF('FY19-20'!$C$10:$C$172,Import!B77,'FY19-20'!$E$10:$E$172)</f>
        <v>0</v>
      </c>
      <c r="F77" s="182">
        <f t="shared" si="2"/>
        <v>0</v>
      </c>
      <c r="G77" s="179" t="s">
        <v>408</v>
      </c>
      <c r="H77" s="182">
        <v>70</v>
      </c>
      <c r="J77" s="181"/>
    </row>
    <row r="78" spans="1:10" ht="14">
      <c r="A78" s="183" t="s">
        <v>147</v>
      </c>
      <c r="B78" s="178">
        <v>7438</v>
      </c>
      <c r="C78" s="25" t="s">
        <v>146</v>
      </c>
      <c r="D78" s="26">
        <v>43647</v>
      </c>
      <c r="E78" s="182">
        <f>SUMIF('FY19-20'!$C$10:$C$172,Import!B78,'FY19-20'!$E$10:$E$172)</f>
        <v>0</v>
      </c>
      <c r="F78" s="182">
        <f t="shared" si="2"/>
        <v>0</v>
      </c>
      <c r="G78" s="179" t="s">
        <v>408</v>
      </c>
      <c r="H78" s="182">
        <v>71</v>
      </c>
      <c r="J78" s="181"/>
    </row>
    <row r="79" spans="1:10" ht="14">
      <c r="A79" s="183" t="s">
        <v>147</v>
      </c>
      <c r="B79" s="178">
        <v>8011</v>
      </c>
      <c r="C79" s="25" t="s">
        <v>146</v>
      </c>
      <c r="D79" s="26">
        <v>43647</v>
      </c>
      <c r="E79" s="182">
        <f>SUMIF('FY19-20'!$C$10:$C$172,Import!B79,'FY19-20'!$E$10:$E$172)</f>
        <v>0</v>
      </c>
      <c r="F79" s="182">
        <f t="shared" si="2"/>
        <v>0</v>
      </c>
      <c r="G79" s="179" t="s">
        <v>408</v>
      </c>
      <c r="H79" s="182">
        <v>72</v>
      </c>
      <c r="J79" s="181"/>
    </row>
    <row r="80" spans="1:10" ht="14">
      <c r="A80" s="183" t="s">
        <v>147</v>
      </c>
      <c r="B80" s="178">
        <v>8012</v>
      </c>
      <c r="C80" s="25" t="s">
        <v>146</v>
      </c>
      <c r="D80" s="26">
        <v>43647</v>
      </c>
      <c r="E80" s="182">
        <f>SUMIF('FY19-20'!$C$10:$C$172,Import!B80,'FY19-20'!$E$10:$E$172)</f>
        <v>0</v>
      </c>
      <c r="F80" s="182">
        <f t="shared" si="2"/>
        <v>0</v>
      </c>
      <c r="G80" s="179" t="s">
        <v>408</v>
      </c>
      <c r="H80" s="182">
        <v>73</v>
      </c>
      <c r="J80" s="181"/>
    </row>
    <row r="81" spans="1:10" ht="14">
      <c r="A81" s="183" t="s">
        <v>147</v>
      </c>
      <c r="B81" s="178">
        <v>8019</v>
      </c>
      <c r="C81" s="25" t="s">
        <v>146</v>
      </c>
      <c r="D81" s="26">
        <v>43647</v>
      </c>
      <c r="E81" s="182">
        <f>SUMIF('FY19-20'!$C$10:$C$172,Import!B81,'FY19-20'!$E$10:$E$172)</f>
        <v>0</v>
      </c>
      <c r="F81" s="182">
        <f t="shared" si="2"/>
        <v>0</v>
      </c>
      <c r="G81" s="179" t="s">
        <v>408</v>
      </c>
      <c r="H81" s="182">
        <v>74</v>
      </c>
      <c r="J81" s="181"/>
    </row>
    <row r="82" spans="1:10" ht="14">
      <c r="A82" s="183" t="s">
        <v>147</v>
      </c>
      <c r="B82" s="178">
        <v>8096</v>
      </c>
      <c r="C82" s="25" t="s">
        <v>146</v>
      </c>
      <c r="D82" s="26">
        <v>43647</v>
      </c>
      <c r="E82" s="182">
        <f>SUMIF('FY19-20'!$C$10:$C$172,Import!B82,'FY19-20'!$E$10:$E$172)</f>
        <v>0</v>
      </c>
      <c r="F82" s="182">
        <f t="shared" si="2"/>
        <v>0</v>
      </c>
      <c r="G82" s="179" t="s">
        <v>408</v>
      </c>
      <c r="H82" s="182">
        <v>75</v>
      </c>
      <c r="J82" s="181"/>
    </row>
    <row r="83" spans="1:10" ht="14">
      <c r="A83" s="183" t="s">
        <v>147</v>
      </c>
      <c r="B83" s="178">
        <v>8181</v>
      </c>
      <c r="C83" s="25" t="s">
        <v>146</v>
      </c>
      <c r="D83" s="26">
        <v>43647</v>
      </c>
      <c r="E83" s="182">
        <f>SUMIF('FY19-20'!$C$10:$C$172,Import!B83,'FY19-20'!$E$10:$E$172)</f>
        <v>0</v>
      </c>
      <c r="F83" s="182">
        <f t="shared" si="2"/>
        <v>0</v>
      </c>
      <c r="G83" s="179" t="s">
        <v>408</v>
      </c>
      <c r="H83" s="182">
        <v>76</v>
      </c>
      <c r="J83" s="181"/>
    </row>
    <row r="84" spans="1:10" ht="14">
      <c r="A84" s="183" t="s">
        <v>147</v>
      </c>
      <c r="B84" s="178">
        <v>8182</v>
      </c>
      <c r="C84" s="25" t="s">
        <v>146</v>
      </c>
      <c r="D84" s="26">
        <v>43647</v>
      </c>
      <c r="E84" s="182">
        <f>SUMIF('FY19-20'!$C$10:$C$172,Import!B84,'FY19-20'!$E$10:$E$172)</f>
        <v>0</v>
      </c>
      <c r="F84" s="182">
        <f t="shared" si="2"/>
        <v>0</v>
      </c>
      <c r="G84" s="179" t="s">
        <v>408</v>
      </c>
      <c r="H84" s="182">
        <v>77</v>
      </c>
      <c r="J84" s="181"/>
    </row>
    <row r="85" spans="1:10" ht="14">
      <c r="A85" s="183" t="s">
        <v>147</v>
      </c>
      <c r="B85" s="178">
        <v>8220</v>
      </c>
      <c r="C85" s="25" t="s">
        <v>146</v>
      </c>
      <c r="D85" s="26">
        <v>43647</v>
      </c>
      <c r="E85" s="182">
        <f>SUMIF('FY19-20'!$C$10:$C$172,Import!B85,'FY19-20'!$E$10:$E$172)</f>
        <v>0</v>
      </c>
      <c r="F85" s="182">
        <f t="shared" si="2"/>
        <v>0</v>
      </c>
      <c r="G85" s="179" t="s">
        <v>408</v>
      </c>
      <c r="H85" s="182">
        <v>78</v>
      </c>
      <c r="J85" s="181"/>
    </row>
    <row r="86" spans="1:10" ht="14">
      <c r="A86" s="183" t="s">
        <v>147</v>
      </c>
      <c r="B86" s="178">
        <v>8290</v>
      </c>
      <c r="C86" s="25" t="s">
        <v>146</v>
      </c>
      <c r="D86" s="26">
        <v>43647</v>
      </c>
      <c r="E86" s="182">
        <f>SUMIF('FY19-20'!$C$10:$C$172,Import!B86,'FY19-20'!$E$10:$E$172)</f>
        <v>0</v>
      </c>
      <c r="F86" s="182">
        <f t="shared" si="2"/>
        <v>0</v>
      </c>
      <c r="G86" s="179" t="s">
        <v>408</v>
      </c>
      <c r="H86" s="182">
        <v>79</v>
      </c>
      <c r="J86" s="181"/>
    </row>
    <row r="87" spans="1:10" ht="14">
      <c r="A87" s="183" t="s">
        <v>147</v>
      </c>
      <c r="B87" s="178">
        <v>8291</v>
      </c>
      <c r="C87" s="25" t="s">
        <v>146</v>
      </c>
      <c r="D87" s="26">
        <v>43647</v>
      </c>
      <c r="E87" s="182">
        <f>SUMIF('FY19-20'!$C$10:$C$172,Import!B87,'FY19-20'!$E$10:$E$172)</f>
        <v>0</v>
      </c>
      <c r="F87" s="182">
        <f t="shared" si="2"/>
        <v>0</v>
      </c>
      <c r="G87" s="179" t="s">
        <v>408</v>
      </c>
      <c r="H87" s="182">
        <v>80</v>
      </c>
      <c r="J87" s="181"/>
    </row>
    <row r="88" spans="1:10" ht="14">
      <c r="A88" s="183" t="s">
        <v>147</v>
      </c>
      <c r="B88" s="178">
        <v>8292</v>
      </c>
      <c r="C88" s="25" t="s">
        <v>146</v>
      </c>
      <c r="D88" s="26">
        <v>43647</v>
      </c>
      <c r="E88" s="182">
        <f>SUMIF('FY19-20'!$C$10:$C$172,Import!B88,'FY19-20'!$E$10:$E$172)</f>
        <v>0</v>
      </c>
      <c r="F88" s="182">
        <f t="shared" si="2"/>
        <v>0</v>
      </c>
      <c r="G88" s="179" t="s">
        <v>408</v>
      </c>
      <c r="H88" s="182">
        <v>81</v>
      </c>
      <c r="J88" s="181"/>
    </row>
    <row r="89" spans="1:10" ht="14">
      <c r="A89" s="183" t="s">
        <v>147</v>
      </c>
      <c r="B89" s="178">
        <v>8293</v>
      </c>
      <c r="C89" s="25" t="s">
        <v>146</v>
      </c>
      <c r="D89" s="26">
        <v>43647</v>
      </c>
      <c r="E89" s="182">
        <f>SUMIF('FY19-20'!$C$10:$C$172,Import!B89,'FY19-20'!$E$10:$E$172)</f>
        <v>0</v>
      </c>
      <c r="F89" s="182">
        <f t="shared" si="2"/>
        <v>0</v>
      </c>
      <c r="G89" s="179" t="s">
        <v>408</v>
      </c>
      <c r="H89" s="182">
        <v>82</v>
      </c>
      <c r="J89" s="181"/>
    </row>
    <row r="90" spans="1:10" ht="14">
      <c r="A90" s="183" t="s">
        <v>147</v>
      </c>
      <c r="B90" s="178">
        <v>8294</v>
      </c>
      <c r="C90" s="25" t="s">
        <v>146</v>
      </c>
      <c r="D90" s="26">
        <v>43647</v>
      </c>
      <c r="E90" s="182">
        <f>SUMIF('FY19-20'!$C$10:$C$172,Import!B90,'FY19-20'!$E$10:$E$172)</f>
        <v>0</v>
      </c>
      <c r="F90" s="182">
        <f t="shared" si="2"/>
        <v>0</v>
      </c>
      <c r="G90" s="179" t="s">
        <v>408</v>
      </c>
      <c r="H90" s="182">
        <v>83</v>
      </c>
      <c r="J90" s="181"/>
    </row>
    <row r="91" spans="1:10" ht="14">
      <c r="A91" s="183" t="s">
        <v>147</v>
      </c>
      <c r="B91" s="178">
        <v>8295</v>
      </c>
      <c r="C91" s="25" t="s">
        <v>146</v>
      </c>
      <c r="D91" s="26">
        <v>43647</v>
      </c>
      <c r="E91" s="182">
        <f>SUMIF('FY19-20'!$C$10:$C$172,Import!B91,'FY19-20'!$E$10:$E$172)</f>
        <v>0</v>
      </c>
      <c r="F91" s="182">
        <f t="shared" si="2"/>
        <v>0</v>
      </c>
      <c r="G91" s="179" t="s">
        <v>408</v>
      </c>
      <c r="H91" s="182">
        <v>84</v>
      </c>
      <c r="J91" s="181"/>
    </row>
    <row r="92" spans="1:10" ht="14">
      <c r="A92" s="183" t="s">
        <v>147</v>
      </c>
      <c r="B92" s="178">
        <v>8296</v>
      </c>
      <c r="C92" s="25" t="s">
        <v>146</v>
      </c>
      <c r="D92" s="26">
        <v>43647</v>
      </c>
      <c r="E92" s="182">
        <f>SUMIF('FY19-20'!$C$10:$C$172,Import!B92,'FY19-20'!$E$10:$E$172)</f>
        <v>0</v>
      </c>
      <c r="F92" s="182">
        <f t="shared" si="2"/>
        <v>0</v>
      </c>
      <c r="G92" s="179" t="s">
        <v>408</v>
      </c>
      <c r="H92" s="182">
        <v>85</v>
      </c>
      <c r="J92" s="181"/>
    </row>
    <row r="93" spans="1:10" ht="14">
      <c r="A93" s="183" t="s">
        <v>147</v>
      </c>
      <c r="B93" s="178">
        <v>8299</v>
      </c>
      <c r="C93" s="25" t="s">
        <v>146</v>
      </c>
      <c r="D93" s="26">
        <v>43647</v>
      </c>
      <c r="E93" s="182">
        <f>SUMIF('FY19-20'!$C$10:$C$172,Import!B93,'FY19-20'!$E$10:$E$172)</f>
        <v>0</v>
      </c>
      <c r="F93" s="182">
        <f t="shared" si="2"/>
        <v>0</v>
      </c>
      <c r="G93" s="179" t="s">
        <v>408</v>
      </c>
      <c r="H93" s="182">
        <v>86</v>
      </c>
      <c r="J93" s="181"/>
    </row>
    <row r="94" spans="1:10" ht="14">
      <c r="A94" s="183" t="s">
        <v>147</v>
      </c>
      <c r="B94" s="178">
        <v>8311</v>
      </c>
      <c r="C94" s="25" t="s">
        <v>146</v>
      </c>
      <c r="D94" s="26">
        <v>43647</v>
      </c>
      <c r="E94" s="182">
        <f>SUMIF('FY19-20'!$C$10:$C$172,Import!B94,'FY19-20'!$E$10:$E$172)</f>
        <v>0</v>
      </c>
      <c r="F94" s="182">
        <f t="shared" si="2"/>
        <v>0</v>
      </c>
      <c r="G94" s="179" t="s">
        <v>408</v>
      </c>
      <c r="H94" s="182">
        <v>87</v>
      </c>
      <c r="J94" s="181"/>
    </row>
    <row r="95" spans="1:10" ht="14">
      <c r="A95" s="183" t="s">
        <v>147</v>
      </c>
      <c r="B95" s="178">
        <v>8520</v>
      </c>
      <c r="C95" s="25" t="s">
        <v>146</v>
      </c>
      <c r="D95" s="26">
        <v>43647</v>
      </c>
      <c r="E95" s="182">
        <f>SUMIF('FY19-20'!$C$10:$C$172,Import!B95,'FY19-20'!$E$10:$E$172)</f>
        <v>0</v>
      </c>
      <c r="F95" s="182">
        <f t="shared" si="2"/>
        <v>0</v>
      </c>
      <c r="G95" s="179" t="s">
        <v>408</v>
      </c>
      <c r="H95" s="182">
        <v>88</v>
      </c>
      <c r="J95" s="181"/>
    </row>
    <row r="96" spans="1:10" ht="14">
      <c r="A96" s="183" t="s">
        <v>147</v>
      </c>
      <c r="B96" s="178">
        <v>8545</v>
      </c>
      <c r="C96" s="25" t="s">
        <v>146</v>
      </c>
      <c r="D96" s="26">
        <v>43647</v>
      </c>
      <c r="E96" s="182">
        <f>SUMIF('FY19-20'!$C$10:$C$172,Import!B96,'FY19-20'!$E$10:$E$172)</f>
        <v>0</v>
      </c>
      <c r="F96" s="182">
        <f t="shared" si="2"/>
        <v>0</v>
      </c>
      <c r="G96" s="179" t="s">
        <v>408</v>
      </c>
      <c r="H96" s="182">
        <v>89</v>
      </c>
      <c r="J96" s="181"/>
    </row>
    <row r="97" spans="1:10" ht="14">
      <c r="A97" s="183" t="s">
        <v>147</v>
      </c>
      <c r="B97" s="178">
        <v>8550</v>
      </c>
      <c r="C97" s="25" t="s">
        <v>146</v>
      </c>
      <c r="D97" s="26">
        <v>43647</v>
      </c>
      <c r="E97" s="182">
        <f>SUMIF('FY19-20'!$C$10:$C$172,Import!B97,'FY19-20'!$E$10:$E$172)</f>
        <v>0</v>
      </c>
      <c r="F97" s="182">
        <f t="shared" si="2"/>
        <v>0</v>
      </c>
      <c r="G97" s="179" t="s">
        <v>408</v>
      </c>
      <c r="H97" s="182">
        <v>90</v>
      </c>
      <c r="J97" s="181"/>
    </row>
    <row r="98" spans="1:10" ht="14">
      <c r="A98" s="183" t="s">
        <v>147</v>
      </c>
      <c r="B98" s="178">
        <v>8550</v>
      </c>
      <c r="C98" s="25" t="s">
        <v>146</v>
      </c>
      <c r="D98" s="26">
        <v>43647</v>
      </c>
      <c r="E98" s="182">
        <f>SUMIF('FY19-20'!$C$10:$C$172,Import!B98,'FY19-20'!$E$10:$E$172)</f>
        <v>0</v>
      </c>
      <c r="F98" s="182">
        <f t="shared" si="2"/>
        <v>0</v>
      </c>
      <c r="G98" s="179" t="s">
        <v>408</v>
      </c>
      <c r="H98" s="182">
        <v>91</v>
      </c>
      <c r="J98" s="181"/>
    </row>
    <row r="99" spans="1:10" ht="14">
      <c r="A99" s="183" t="s">
        <v>147</v>
      </c>
      <c r="B99" s="178">
        <v>8560</v>
      </c>
      <c r="C99" s="25" t="s">
        <v>146</v>
      </c>
      <c r="D99" s="26">
        <v>43647</v>
      </c>
      <c r="E99" s="182">
        <f>SUMIF('FY19-20'!$C$10:$C$172,Import!B99,'FY19-20'!$E$10:$E$172)</f>
        <v>0</v>
      </c>
      <c r="F99" s="182">
        <f t="shared" si="2"/>
        <v>0</v>
      </c>
      <c r="G99" s="179" t="s">
        <v>408</v>
      </c>
      <c r="H99" s="182">
        <v>92</v>
      </c>
      <c r="J99" s="181"/>
    </row>
    <row r="100" spans="1:10" ht="14">
      <c r="A100" s="183" t="s">
        <v>147</v>
      </c>
      <c r="B100" s="178">
        <v>8598</v>
      </c>
      <c r="C100" s="25" t="s">
        <v>146</v>
      </c>
      <c r="D100" s="26">
        <v>43647</v>
      </c>
      <c r="E100" s="182">
        <f>SUMIF('FY19-20'!$C$10:$C$172,Import!B100,'FY19-20'!$E$10:$E$172)</f>
        <v>0</v>
      </c>
      <c r="F100" s="182">
        <f t="shared" si="2"/>
        <v>0</v>
      </c>
      <c r="G100" s="179" t="s">
        <v>408</v>
      </c>
      <c r="H100" s="182">
        <v>93</v>
      </c>
      <c r="J100" s="181"/>
    </row>
    <row r="101" spans="1:10" ht="14">
      <c r="A101" s="183" t="s">
        <v>147</v>
      </c>
      <c r="B101" s="178">
        <v>8599</v>
      </c>
      <c r="C101" s="25" t="s">
        <v>146</v>
      </c>
      <c r="D101" s="26">
        <v>43647</v>
      </c>
      <c r="E101" s="182">
        <f>SUMIF('FY19-20'!$C$10:$C$172,Import!B101,'FY19-20'!$E$10:$E$172)</f>
        <v>0</v>
      </c>
      <c r="F101" s="182">
        <f t="shared" si="2"/>
        <v>0</v>
      </c>
      <c r="G101" s="179" t="s">
        <v>408</v>
      </c>
      <c r="H101" s="182">
        <v>94</v>
      </c>
      <c r="J101" s="181"/>
    </row>
    <row r="102" spans="1:10" ht="14">
      <c r="A102" s="183" t="s">
        <v>147</v>
      </c>
      <c r="B102" s="178">
        <v>8634</v>
      </c>
      <c r="C102" s="25" t="s">
        <v>146</v>
      </c>
      <c r="D102" s="26">
        <v>43647</v>
      </c>
      <c r="E102" s="182">
        <f>SUMIF('FY19-20'!$C$10:$C$172,Import!B102,'FY19-20'!$E$10:$E$172)</f>
        <v>0</v>
      </c>
      <c r="F102" s="182">
        <f t="shared" si="2"/>
        <v>0</v>
      </c>
      <c r="G102" s="179" t="s">
        <v>408</v>
      </c>
      <c r="H102" s="182">
        <v>95</v>
      </c>
      <c r="J102" s="181"/>
    </row>
    <row r="103" spans="1:10" ht="14">
      <c r="A103" s="183" t="s">
        <v>147</v>
      </c>
      <c r="B103" s="178">
        <v>8650</v>
      </c>
      <c r="C103" s="25" t="s">
        <v>146</v>
      </c>
      <c r="D103" s="26">
        <v>43647</v>
      </c>
      <c r="E103" s="182">
        <f>SUMIF('FY19-20'!$C$10:$C$172,Import!B103,'FY19-20'!$E$10:$E$172)</f>
        <v>0</v>
      </c>
      <c r="F103" s="182">
        <f t="shared" si="2"/>
        <v>0</v>
      </c>
      <c r="G103" s="179" t="s">
        <v>408</v>
      </c>
      <c r="H103" s="182">
        <v>96</v>
      </c>
      <c r="J103" s="181"/>
    </row>
    <row r="104" spans="1:10" ht="14">
      <c r="A104" s="183" t="s">
        <v>147</v>
      </c>
      <c r="B104" s="178">
        <v>8660</v>
      </c>
      <c r="C104" s="25" t="s">
        <v>146</v>
      </c>
      <c r="D104" s="26">
        <v>43647</v>
      </c>
      <c r="E104" s="182">
        <f>SUMIF('FY19-20'!$C$10:$C$172,Import!B104,'FY19-20'!$E$10:$E$172)</f>
        <v>0</v>
      </c>
      <c r="F104" s="182">
        <f t="shared" si="2"/>
        <v>0</v>
      </c>
      <c r="G104" s="179" t="s">
        <v>408</v>
      </c>
      <c r="H104" s="182">
        <v>97</v>
      </c>
      <c r="J104" s="181"/>
    </row>
    <row r="105" spans="1:10" ht="14">
      <c r="A105" s="183" t="s">
        <v>147</v>
      </c>
      <c r="B105" s="178">
        <v>8689</v>
      </c>
      <c r="C105" s="25" t="s">
        <v>146</v>
      </c>
      <c r="D105" s="26">
        <v>43647</v>
      </c>
      <c r="E105" s="182">
        <f>SUMIF('FY19-20'!$C$10:$C$172,Import!B105,'FY19-20'!$E$10:$E$172)</f>
        <v>0</v>
      </c>
      <c r="F105" s="182">
        <f t="shared" si="2"/>
        <v>0</v>
      </c>
      <c r="G105" s="179" t="s">
        <v>408</v>
      </c>
      <c r="H105" s="182">
        <v>98</v>
      </c>
      <c r="J105" s="181"/>
    </row>
    <row r="106" spans="1:10" ht="14">
      <c r="A106" s="183" t="s">
        <v>147</v>
      </c>
      <c r="B106" s="178">
        <v>8698</v>
      </c>
      <c r="C106" s="25" t="s">
        <v>146</v>
      </c>
      <c r="D106" s="26">
        <v>43647</v>
      </c>
      <c r="E106" s="182">
        <f>SUMIF('FY19-20'!$C$10:$C$172,Import!B106,'FY19-20'!$E$10:$E$172)</f>
        <v>0</v>
      </c>
      <c r="F106" s="182">
        <f t="shared" si="2"/>
        <v>0</v>
      </c>
      <c r="G106" s="179" t="s">
        <v>408</v>
      </c>
      <c r="H106" s="182">
        <v>99</v>
      </c>
      <c r="J106" s="181"/>
    </row>
    <row r="107" spans="1:10" ht="14">
      <c r="A107" s="183" t="s">
        <v>147</v>
      </c>
      <c r="B107" s="178">
        <v>8698</v>
      </c>
      <c r="C107" s="25" t="s">
        <v>146</v>
      </c>
      <c r="D107" s="26">
        <v>43647</v>
      </c>
      <c r="E107" s="182">
        <f>SUMIF('FY19-20'!$C$10:$C$172,Import!B107,'FY19-20'!$E$10:$E$172)</f>
        <v>0</v>
      </c>
      <c r="F107" s="182">
        <f t="shared" si="2"/>
        <v>0</v>
      </c>
      <c r="G107" s="179" t="s">
        <v>408</v>
      </c>
      <c r="H107" s="182">
        <v>100</v>
      </c>
      <c r="J107" s="181"/>
    </row>
    <row r="108" spans="1:10" ht="14">
      <c r="A108" s="183" t="s">
        <v>147</v>
      </c>
      <c r="B108" s="178">
        <v>8699</v>
      </c>
      <c r="C108" s="25" t="s">
        <v>146</v>
      </c>
      <c r="D108" s="26">
        <v>43647</v>
      </c>
      <c r="E108" s="182">
        <f>SUMIF('FY19-20'!$C$10:$C$172,Import!B108,'FY19-20'!$E$10:$E$172)</f>
        <v>0</v>
      </c>
      <c r="F108" s="182">
        <f t="shared" si="2"/>
        <v>0</v>
      </c>
      <c r="G108" s="179" t="s">
        <v>408</v>
      </c>
      <c r="H108" s="182">
        <v>101</v>
      </c>
      <c r="J108" s="181"/>
    </row>
    <row r="109" spans="1:10" ht="14">
      <c r="A109" s="183" t="s">
        <v>147</v>
      </c>
      <c r="B109" s="178">
        <v>8980</v>
      </c>
      <c r="C109" s="25" t="s">
        <v>146</v>
      </c>
      <c r="D109" s="26">
        <v>43647</v>
      </c>
      <c r="E109" s="182">
        <f>SUMIF('FY19-20'!$C$10:$C$172,Import!B109,'FY19-20'!$E$10:$E$172)</f>
        <v>0</v>
      </c>
      <c r="F109" s="182">
        <f t="shared" si="2"/>
        <v>0</v>
      </c>
      <c r="G109" s="179" t="s">
        <v>408</v>
      </c>
      <c r="H109" s="182">
        <v>102</v>
      </c>
      <c r="J109" s="181"/>
    </row>
    <row r="110" spans="1:10" ht="14">
      <c r="A110" s="183" t="s">
        <v>147</v>
      </c>
      <c r="B110" s="178">
        <v>8990</v>
      </c>
      <c r="C110" s="25" t="s">
        <v>146</v>
      </c>
      <c r="D110" s="26">
        <v>43647</v>
      </c>
      <c r="E110" s="182">
        <f>SUMIF('FY19-20'!$C$10:$C$172,Import!B110,'FY19-20'!$E$10:$E$172)</f>
        <v>0</v>
      </c>
      <c r="F110" s="182">
        <f t="shared" si="2"/>
        <v>0</v>
      </c>
      <c r="G110" s="179" t="s">
        <v>408</v>
      </c>
      <c r="H110" s="182">
        <v>103</v>
      </c>
      <c r="J110" s="181"/>
    </row>
    <row r="111" spans="1:10" ht="14">
      <c r="A111" s="183" t="s">
        <v>147</v>
      </c>
      <c r="B111" s="178">
        <v>1100</v>
      </c>
      <c r="C111" s="25" t="s">
        <v>146</v>
      </c>
      <c r="D111" s="26">
        <v>43678</v>
      </c>
      <c r="E111" s="182">
        <f>SUMIF('FY19-20'!$C$10:$C$172,Import!B111,'FY19-20'!$F$10:$F$172)</f>
        <v>689249.89</v>
      </c>
      <c r="F111" s="182">
        <f>-IF(E111&lt;0,E111)</f>
        <v>0</v>
      </c>
      <c r="G111" s="179" t="s">
        <v>408</v>
      </c>
      <c r="H111" s="182">
        <v>104</v>
      </c>
      <c r="J111" s="181"/>
    </row>
    <row r="112" spans="1:10" ht="14">
      <c r="A112" s="183" t="s">
        <v>147</v>
      </c>
      <c r="B112" s="178">
        <v>1170</v>
      </c>
      <c r="C112" s="25" t="s">
        <v>146</v>
      </c>
      <c r="D112" s="26">
        <v>43678</v>
      </c>
      <c r="E112" s="182">
        <f>SUMIF('FY19-20'!$C$10:$C$172,Import!B112,'FY19-20'!$F$10:$F$172)</f>
        <v>0</v>
      </c>
      <c r="F112" s="182">
        <f t="shared" ref="F112:F176" si="3">-IF(E112&lt;0,E112)</f>
        <v>0</v>
      </c>
      <c r="G112" s="179" t="s">
        <v>408</v>
      </c>
      <c r="H112" s="182">
        <v>105</v>
      </c>
      <c r="J112" s="181"/>
    </row>
    <row r="113" spans="1:10" ht="14">
      <c r="A113" s="183" t="s">
        <v>147</v>
      </c>
      <c r="B113" s="178">
        <v>1175</v>
      </c>
      <c r="C113" s="25" t="s">
        <v>146</v>
      </c>
      <c r="D113" s="26">
        <v>43678</v>
      </c>
      <c r="E113" s="182">
        <f>SUMIF('FY19-20'!$C$10:$C$172,Import!B113,'FY19-20'!$F$10:$F$172)</f>
        <v>62230.62</v>
      </c>
      <c r="F113" s="182">
        <f t="shared" si="3"/>
        <v>0</v>
      </c>
      <c r="G113" s="179" t="s">
        <v>408</v>
      </c>
      <c r="H113" s="182">
        <v>106</v>
      </c>
      <c r="J113" s="181"/>
    </row>
    <row r="114" spans="1:10" ht="14">
      <c r="A114" s="183" t="s">
        <v>147</v>
      </c>
      <c r="B114" s="178">
        <v>1200</v>
      </c>
      <c r="C114" s="25" t="s">
        <v>146</v>
      </c>
      <c r="D114" s="26">
        <v>43678</v>
      </c>
      <c r="E114" s="182">
        <f>SUMIF('FY19-20'!$C$10:$C$172,Import!B114,'FY19-20'!$F$10:$F$172)</f>
        <v>23403.49</v>
      </c>
      <c r="F114" s="182">
        <f t="shared" si="3"/>
        <v>0</v>
      </c>
      <c r="G114" s="179" t="s">
        <v>408</v>
      </c>
      <c r="H114" s="182">
        <v>107</v>
      </c>
      <c r="J114" s="181"/>
    </row>
    <row r="115" spans="1:10" ht="14">
      <c r="A115" s="183" t="s">
        <v>147</v>
      </c>
      <c r="B115" s="178">
        <v>1300</v>
      </c>
      <c r="C115" s="25" t="s">
        <v>146</v>
      </c>
      <c r="D115" s="26">
        <v>43678</v>
      </c>
      <c r="E115" s="182">
        <f>SUMIF('FY19-20'!$C$10:$C$172,Import!B115,'FY19-20'!$F$10:$F$172)</f>
        <v>79087.47</v>
      </c>
      <c r="F115" s="182">
        <f t="shared" si="3"/>
        <v>0</v>
      </c>
      <c r="G115" s="179" t="s">
        <v>408</v>
      </c>
      <c r="H115" s="182">
        <v>108</v>
      </c>
      <c r="J115" s="181"/>
    </row>
    <row r="116" spans="1:10" ht="14">
      <c r="A116" s="183" t="s">
        <v>147</v>
      </c>
      <c r="B116" s="178">
        <v>1900</v>
      </c>
      <c r="C116" s="25" t="s">
        <v>146</v>
      </c>
      <c r="D116" s="26">
        <v>43678</v>
      </c>
      <c r="E116" s="182">
        <f>SUMIF('FY19-20'!$C$10:$C$172,Import!B116,'FY19-20'!$F$10:$F$172)</f>
        <v>0</v>
      </c>
      <c r="F116" s="182">
        <f t="shared" si="3"/>
        <v>0</v>
      </c>
      <c r="G116" s="179" t="s">
        <v>408</v>
      </c>
      <c r="H116" s="182">
        <v>109</v>
      </c>
      <c r="J116" s="181"/>
    </row>
    <row r="117" spans="1:10" ht="14">
      <c r="A117" s="183" t="s">
        <v>147</v>
      </c>
      <c r="B117" s="178">
        <v>2100</v>
      </c>
      <c r="C117" s="25" t="s">
        <v>146</v>
      </c>
      <c r="D117" s="26">
        <v>43678</v>
      </c>
      <c r="E117" s="182">
        <f>SUMIF('FY19-20'!$C$10:$C$172,Import!B117,'FY19-20'!$F$10:$F$172)</f>
        <v>21016.15</v>
      </c>
      <c r="F117" s="182">
        <f t="shared" si="3"/>
        <v>0</v>
      </c>
      <c r="G117" s="179" t="s">
        <v>408</v>
      </c>
      <c r="H117" s="182">
        <v>110</v>
      </c>
      <c r="J117" s="181"/>
    </row>
    <row r="118" spans="1:10" ht="14">
      <c r="A118" s="183" t="s">
        <v>147</v>
      </c>
      <c r="B118" s="178">
        <v>2200</v>
      </c>
      <c r="C118" s="25" t="s">
        <v>146</v>
      </c>
      <c r="D118" s="26">
        <v>43678</v>
      </c>
      <c r="E118" s="182">
        <f>SUMIF('FY19-20'!$C$10:$C$172,Import!B118,'FY19-20'!$F$10:$F$172)</f>
        <v>0</v>
      </c>
      <c r="F118" s="182">
        <f t="shared" si="3"/>
        <v>0</v>
      </c>
      <c r="G118" s="179" t="s">
        <v>408</v>
      </c>
      <c r="H118" s="182">
        <v>111</v>
      </c>
      <c r="J118" s="181"/>
    </row>
    <row r="119" spans="1:10" ht="14">
      <c r="A119" s="183" t="s">
        <v>147</v>
      </c>
      <c r="B119" s="178">
        <v>2300</v>
      </c>
      <c r="C119" s="25" t="s">
        <v>146</v>
      </c>
      <c r="D119" s="26">
        <v>43678</v>
      </c>
      <c r="E119" s="182">
        <f>SUMIF('FY19-20'!$C$10:$C$172,Import!B119,'FY19-20'!$F$10:$F$172)</f>
        <v>0</v>
      </c>
      <c r="F119" s="182">
        <f t="shared" si="3"/>
        <v>0</v>
      </c>
      <c r="G119" s="179" t="s">
        <v>408</v>
      </c>
      <c r="H119" s="182">
        <v>112</v>
      </c>
      <c r="J119" s="181"/>
    </row>
    <row r="120" spans="1:10" ht="14">
      <c r="A120" s="183" t="s">
        <v>147</v>
      </c>
      <c r="B120" s="178">
        <v>2400</v>
      </c>
      <c r="C120" s="25" t="s">
        <v>146</v>
      </c>
      <c r="D120" s="26">
        <v>43678</v>
      </c>
      <c r="E120" s="182">
        <f>SUMIF('FY19-20'!$C$10:$C$172,Import!B120,'FY19-20'!$F$10:$F$172)</f>
        <v>0</v>
      </c>
      <c r="F120" s="182">
        <f t="shared" si="3"/>
        <v>0</v>
      </c>
      <c r="G120" s="179" t="s">
        <v>408</v>
      </c>
      <c r="H120" s="182">
        <v>113</v>
      </c>
      <c r="J120" s="181"/>
    </row>
    <row r="121" spans="1:10" ht="14">
      <c r="A121" s="183" t="s">
        <v>147</v>
      </c>
      <c r="B121" s="178">
        <v>2900</v>
      </c>
      <c r="C121" s="25" t="s">
        <v>146</v>
      </c>
      <c r="D121" s="26">
        <v>43678</v>
      </c>
      <c r="E121" s="182">
        <f>SUMIF('FY19-20'!$C$10:$C$172,Import!B121,'FY19-20'!$F$10:$F$172)</f>
        <v>0</v>
      </c>
      <c r="F121" s="182">
        <f t="shared" si="3"/>
        <v>0</v>
      </c>
      <c r="G121" s="179" t="s">
        <v>408</v>
      </c>
      <c r="H121" s="182">
        <v>114</v>
      </c>
      <c r="J121" s="181"/>
    </row>
    <row r="122" spans="1:10" ht="14">
      <c r="A122" s="183" t="s">
        <v>147</v>
      </c>
      <c r="B122" s="178">
        <v>3101</v>
      </c>
      <c r="C122" s="25" t="s">
        <v>146</v>
      </c>
      <c r="D122" s="26">
        <v>43678</v>
      </c>
      <c r="E122" s="182">
        <f>SUMIF('FY19-20'!$C$10:$C$172,Import!B122,'FY19-20'!$F$10:$F$172)</f>
        <v>143626.23999999999</v>
      </c>
      <c r="F122" s="182">
        <f t="shared" si="3"/>
        <v>0</v>
      </c>
      <c r="G122" s="179" t="s">
        <v>408</v>
      </c>
      <c r="H122" s="182">
        <v>115</v>
      </c>
      <c r="J122" s="181"/>
    </row>
    <row r="123" spans="1:10" ht="14">
      <c r="A123" s="183" t="s">
        <v>147</v>
      </c>
      <c r="B123" s="178">
        <v>3202</v>
      </c>
      <c r="C123" s="25" t="s">
        <v>146</v>
      </c>
      <c r="D123" s="26">
        <v>43678</v>
      </c>
      <c r="E123" s="182">
        <f>SUMIF('FY19-20'!$C$10:$C$172,Import!B123,'FY19-20'!$F$10:$F$172)</f>
        <v>0</v>
      </c>
      <c r="F123" s="182">
        <f t="shared" si="3"/>
        <v>0</v>
      </c>
      <c r="G123" s="179" t="s">
        <v>408</v>
      </c>
      <c r="H123" s="182">
        <v>116</v>
      </c>
      <c r="J123" s="181"/>
    </row>
    <row r="124" spans="1:10" ht="14">
      <c r="A124" s="183" t="s">
        <v>147</v>
      </c>
      <c r="B124" s="178">
        <v>3301</v>
      </c>
      <c r="C124" s="25" t="s">
        <v>146</v>
      </c>
      <c r="D124" s="26">
        <v>43678</v>
      </c>
      <c r="E124" s="182">
        <f>SUMIF('FY19-20'!$C$10:$C$172,Import!B124,'FY19-20'!$F$10:$F$172)</f>
        <v>1423.54</v>
      </c>
      <c r="F124" s="182">
        <f t="shared" si="3"/>
        <v>0</v>
      </c>
      <c r="G124" s="179" t="s">
        <v>408</v>
      </c>
      <c r="H124" s="182">
        <v>117</v>
      </c>
      <c r="J124" s="181"/>
    </row>
    <row r="125" spans="1:10" ht="14">
      <c r="A125" s="183" t="s">
        <v>147</v>
      </c>
      <c r="B125" s="178">
        <v>3302</v>
      </c>
      <c r="C125" s="25" t="s">
        <v>146</v>
      </c>
      <c r="D125" s="26">
        <v>43678</v>
      </c>
      <c r="E125" s="182">
        <f>SUMIF('FY19-20'!$C$10:$C$172,Import!B125,'FY19-20'!$F$10:$F$172)</f>
        <v>0</v>
      </c>
      <c r="F125" s="182">
        <f t="shared" si="3"/>
        <v>0</v>
      </c>
      <c r="G125" s="179" t="s">
        <v>408</v>
      </c>
      <c r="H125" s="182">
        <v>118</v>
      </c>
      <c r="J125" s="181"/>
    </row>
    <row r="126" spans="1:10" ht="14">
      <c r="A126" s="183" t="s">
        <v>147</v>
      </c>
      <c r="B126" s="178">
        <v>3311</v>
      </c>
      <c r="C126" s="25" t="s">
        <v>146</v>
      </c>
      <c r="D126" s="26">
        <v>43678</v>
      </c>
      <c r="E126" s="182">
        <f>SUMIF('FY19-20'!$C$10:$C$172,Import!B126,'FY19-20'!$F$10:$F$172)</f>
        <v>12411.04</v>
      </c>
      <c r="F126" s="182">
        <f t="shared" si="3"/>
        <v>0</v>
      </c>
      <c r="G126" s="179" t="s">
        <v>408</v>
      </c>
      <c r="H126" s="182">
        <v>119</v>
      </c>
      <c r="J126" s="181"/>
    </row>
    <row r="127" spans="1:10" ht="14">
      <c r="A127" s="183" t="s">
        <v>147</v>
      </c>
      <c r="B127" s="178">
        <v>3312</v>
      </c>
      <c r="C127" s="25" t="s">
        <v>146</v>
      </c>
      <c r="D127" s="26">
        <v>43678</v>
      </c>
      <c r="E127" s="182">
        <f>SUMIF('FY19-20'!$C$10:$C$172,Import!B127,'FY19-20'!$F$10:$F$172)</f>
        <v>0</v>
      </c>
      <c r="F127" s="182">
        <f t="shared" si="3"/>
        <v>0</v>
      </c>
      <c r="G127" s="179" t="s">
        <v>408</v>
      </c>
      <c r="H127" s="182">
        <v>120</v>
      </c>
      <c r="J127" s="181"/>
    </row>
    <row r="128" spans="1:10" ht="14">
      <c r="A128" s="183" t="s">
        <v>147</v>
      </c>
      <c r="B128" s="178">
        <v>3401</v>
      </c>
      <c r="C128" s="25" t="s">
        <v>146</v>
      </c>
      <c r="D128" s="26">
        <v>43678</v>
      </c>
      <c r="E128" s="182">
        <f>SUMIF('FY19-20'!$C$10:$C$172,Import!B128,'FY19-20'!$F$10:$F$172)</f>
        <v>117728.34</v>
      </c>
      <c r="F128" s="182">
        <f t="shared" si="3"/>
        <v>0</v>
      </c>
      <c r="G128" s="179" t="s">
        <v>408</v>
      </c>
      <c r="H128" s="182">
        <v>121</v>
      </c>
      <c r="J128" s="181"/>
    </row>
    <row r="129" spans="1:10" ht="14">
      <c r="A129" s="183" t="s">
        <v>147</v>
      </c>
      <c r="B129" s="178">
        <v>3402</v>
      </c>
      <c r="C129" s="25" t="s">
        <v>146</v>
      </c>
      <c r="D129" s="26">
        <v>43678</v>
      </c>
      <c r="E129" s="182">
        <f>SUMIF('FY19-20'!$C$10:$C$172,Import!B129,'FY19-20'!$F$10:$F$172)</f>
        <v>0</v>
      </c>
      <c r="F129" s="182">
        <f t="shared" si="3"/>
        <v>0</v>
      </c>
      <c r="G129" s="179" t="s">
        <v>408</v>
      </c>
      <c r="H129" s="182">
        <v>122</v>
      </c>
      <c r="J129" s="181"/>
    </row>
    <row r="130" spans="1:10" ht="14">
      <c r="A130" s="183" t="s">
        <v>147</v>
      </c>
      <c r="B130" s="178">
        <v>3501</v>
      </c>
      <c r="C130" s="25" t="s">
        <v>146</v>
      </c>
      <c r="D130" s="26">
        <v>43678</v>
      </c>
      <c r="E130" s="182">
        <f>SUMIF('FY19-20'!$C$10:$C$172,Import!B130,'FY19-20'!$F$10:$F$172)</f>
        <v>15791.71</v>
      </c>
      <c r="F130" s="182">
        <f t="shared" si="3"/>
        <v>0</v>
      </c>
      <c r="G130" s="179" t="s">
        <v>408</v>
      </c>
      <c r="H130" s="182">
        <v>123</v>
      </c>
      <c r="J130" s="181"/>
    </row>
    <row r="131" spans="1:10" ht="14">
      <c r="A131" s="183" t="s">
        <v>147</v>
      </c>
      <c r="B131" s="178">
        <v>3502</v>
      </c>
      <c r="C131" s="25" t="s">
        <v>146</v>
      </c>
      <c r="D131" s="26">
        <v>43678</v>
      </c>
      <c r="E131" s="182">
        <f>SUMIF('FY19-20'!$C$10:$C$172,Import!B131,'FY19-20'!$F$10:$F$172)</f>
        <v>0</v>
      </c>
      <c r="F131" s="182">
        <f t="shared" si="3"/>
        <v>0</v>
      </c>
      <c r="G131" s="179" t="s">
        <v>408</v>
      </c>
      <c r="H131" s="182">
        <v>124</v>
      </c>
      <c r="J131" s="181"/>
    </row>
    <row r="132" spans="1:10" ht="14">
      <c r="A132" s="183" t="s">
        <v>147</v>
      </c>
      <c r="B132" s="178">
        <v>3601</v>
      </c>
      <c r="C132" s="25" t="s">
        <v>146</v>
      </c>
      <c r="D132" s="26">
        <v>43678</v>
      </c>
      <c r="E132" s="182">
        <f>SUMIF('FY19-20'!$C$10:$C$172,Import!B132,'FY19-20'!$F$10:$F$172)</f>
        <v>15627.04</v>
      </c>
      <c r="F132" s="182">
        <f t="shared" si="3"/>
        <v>0</v>
      </c>
      <c r="G132" s="179" t="s">
        <v>408</v>
      </c>
      <c r="H132" s="182">
        <v>125</v>
      </c>
      <c r="J132" s="181"/>
    </row>
    <row r="133" spans="1:10" ht="14">
      <c r="A133" s="183" t="s">
        <v>147</v>
      </c>
      <c r="B133" s="178">
        <v>3602</v>
      </c>
      <c r="C133" s="25" t="s">
        <v>146</v>
      </c>
      <c r="D133" s="26">
        <v>43678</v>
      </c>
      <c r="E133" s="182">
        <f>SUMIF('FY19-20'!$C$10:$C$172,Import!B133,'FY19-20'!$F$10:$F$172)</f>
        <v>0</v>
      </c>
      <c r="F133" s="182">
        <f t="shared" si="3"/>
        <v>0</v>
      </c>
      <c r="G133" s="179" t="s">
        <v>408</v>
      </c>
      <c r="H133" s="182">
        <v>126</v>
      </c>
      <c r="J133" s="181"/>
    </row>
    <row r="134" spans="1:10" ht="14">
      <c r="A134" s="183" t="s">
        <v>147</v>
      </c>
      <c r="B134" s="178">
        <v>3901</v>
      </c>
      <c r="C134" s="25" t="s">
        <v>146</v>
      </c>
      <c r="D134" s="26">
        <v>43678</v>
      </c>
      <c r="E134" s="182">
        <f>SUMIF('FY19-20'!$C$10:$C$172,Import!B134,'FY19-20'!$F$10:$F$172)</f>
        <v>0</v>
      </c>
      <c r="F134" s="182">
        <f t="shared" si="3"/>
        <v>0</v>
      </c>
      <c r="G134" s="179" t="s">
        <v>408</v>
      </c>
      <c r="H134" s="182">
        <v>127</v>
      </c>
      <c r="J134" s="181"/>
    </row>
    <row r="135" spans="1:10" ht="14">
      <c r="A135" s="183" t="s">
        <v>147</v>
      </c>
      <c r="B135" s="178">
        <v>3902</v>
      </c>
      <c r="C135" s="25" t="s">
        <v>146</v>
      </c>
      <c r="D135" s="26">
        <v>43678</v>
      </c>
      <c r="E135" s="182">
        <f>SUMIF('FY19-20'!$C$10:$C$172,Import!B135,'FY19-20'!$F$10:$F$172)</f>
        <v>0</v>
      </c>
      <c r="F135" s="182">
        <f t="shared" si="3"/>
        <v>0</v>
      </c>
      <c r="G135" s="179" t="s">
        <v>408</v>
      </c>
      <c r="H135" s="182">
        <v>128</v>
      </c>
      <c r="J135" s="181"/>
    </row>
    <row r="136" spans="1:10" ht="14">
      <c r="A136" s="183" t="s">
        <v>147</v>
      </c>
      <c r="B136" s="178">
        <v>4100</v>
      </c>
      <c r="C136" s="25" t="s">
        <v>146</v>
      </c>
      <c r="D136" s="26">
        <v>43678</v>
      </c>
      <c r="E136" s="182">
        <f>SUMIF('FY19-20'!$C$10:$C$172,Import!B136,'FY19-20'!$F$10:$F$172)</f>
        <v>0</v>
      </c>
      <c r="F136" s="182">
        <f t="shared" si="3"/>
        <v>0</v>
      </c>
      <c r="G136" s="179" t="s">
        <v>408</v>
      </c>
      <c r="H136" s="182">
        <v>129</v>
      </c>
      <c r="J136" s="181"/>
    </row>
    <row r="137" spans="1:10" ht="14">
      <c r="A137" s="183" t="s">
        <v>147</v>
      </c>
      <c r="B137" s="178">
        <v>4200</v>
      </c>
      <c r="C137" s="25" t="s">
        <v>146</v>
      </c>
      <c r="D137" s="26">
        <v>43678</v>
      </c>
      <c r="E137" s="182">
        <f>SUMIF('FY19-20'!$C$10:$C$172,Import!B137,'FY19-20'!$F$10:$F$172)</f>
        <v>0</v>
      </c>
      <c r="F137" s="182">
        <f t="shared" si="3"/>
        <v>0</v>
      </c>
      <c r="G137" s="179" t="s">
        <v>408</v>
      </c>
      <c r="H137" s="182">
        <v>130</v>
      </c>
      <c r="J137" s="181"/>
    </row>
    <row r="138" spans="1:10" ht="14">
      <c r="A138" s="183" t="s">
        <v>147</v>
      </c>
      <c r="B138" s="178">
        <v>4302</v>
      </c>
      <c r="C138" s="25" t="s">
        <v>146</v>
      </c>
      <c r="D138" s="26">
        <v>43678</v>
      </c>
      <c r="E138" s="182">
        <f>SUMIF('FY19-20'!$C$10:$C$172,Import!B138,'FY19-20'!$F$10:$F$172)</f>
        <v>241668.5</v>
      </c>
      <c r="F138" s="182">
        <f t="shared" si="3"/>
        <v>0</v>
      </c>
      <c r="G138" s="179" t="s">
        <v>408</v>
      </c>
      <c r="H138" s="182">
        <v>131</v>
      </c>
      <c r="J138" s="181"/>
    </row>
    <row r="139" spans="1:10" ht="14">
      <c r="A139" s="183" t="s">
        <v>147</v>
      </c>
      <c r="B139" s="178">
        <v>4305</v>
      </c>
      <c r="C139" s="25" t="s">
        <v>146</v>
      </c>
      <c r="D139" s="26">
        <v>43678</v>
      </c>
      <c r="E139" s="182">
        <f>SUMIF('FY19-20'!$C$10:$C$172,Import!B139,'FY19-20'!$F$10:$F$172)</f>
        <v>11602.94</v>
      </c>
      <c r="F139" s="182">
        <f t="shared" si="3"/>
        <v>0</v>
      </c>
      <c r="G139" s="179" t="s">
        <v>408</v>
      </c>
      <c r="H139" s="182">
        <v>132</v>
      </c>
      <c r="J139" s="181"/>
    </row>
    <row r="140" spans="1:10" ht="14">
      <c r="A140" s="183" t="s">
        <v>147</v>
      </c>
      <c r="B140" s="178">
        <v>4310</v>
      </c>
      <c r="C140" s="25" t="s">
        <v>146</v>
      </c>
      <c r="D140" s="26">
        <v>43678</v>
      </c>
      <c r="E140" s="182">
        <f>SUMIF('FY19-20'!$C$10:$C$172,Import!B140,'FY19-20'!$F$10:$F$172)</f>
        <v>1868.12</v>
      </c>
      <c r="F140" s="182">
        <f t="shared" si="3"/>
        <v>0</v>
      </c>
      <c r="G140" s="179" t="s">
        <v>408</v>
      </c>
      <c r="H140" s="182">
        <v>133</v>
      </c>
      <c r="J140" s="181"/>
    </row>
    <row r="141" spans="1:10" ht="14">
      <c r="A141" s="183" t="s">
        <v>147</v>
      </c>
      <c r="B141" s="178">
        <v>4311</v>
      </c>
      <c r="C141" s="25" t="s">
        <v>146</v>
      </c>
      <c r="D141" s="26">
        <v>43678</v>
      </c>
      <c r="E141" s="182">
        <f>SUMIF('FY19-20'!$C$10:$C$172,Import!B141,'FY19-20'!$F$10:$F$172)</f>
        <v>484.72</v>
      </c>
      <c r="F141" s="182">
        <f t="shared" si="3"/>
        <v>0</v>
      </c>
      <c r="G141" s="179" t="s">
        <v>408</v>
      </c>
      <c r="H141" s="182">
        <v>134</v>
      </c>
      <c r="J141" s="181"/>
    </row>
    <row r="142" spans="1:10" ht="14">
      <c r="A142" s="183" t="s">
        <v>147</v>
      </c>
      <c r="B142" s="178">
        <v>4312</v>
      </c>
      <c r="C142" s="25" t="s">
        <v>146</v>
      </c>
      <c r="D142" s="26">
        <v>43678</v>
      </c>
      <c r="E142" s="182">
        <f>SUMIF('FY19-20'!$C$10:$C$172,Import!B142,'FY19-20'!$F$10:$F$172)</f>
        <v>0</v>
      </c>
      <c r="F142" s="182">
        <f t="shared" si="3"/>
        <v>0</v>
      </c>
      <c r="G142" s="179" t="s">
        <v>408</v>
      </c>
      <c r="H142" s="182">
        <v>135</v>
      </c>
      <c r="J142" s="181"/>
    </row>
    <row r="143" spans="1:10" ht="14">
      <c r="A143" s="183" t="s">
        <v>147</v>
      </c>
      <c r="B143" s="178">
        <v>4400</v>
      </c>
      <c r="C143" s="25" t="s">
        <v>146</v>
      </c>
      <c r="D143" s="26">
        <v>43678</v>
      </c>
      <c r="E143" s="182">
        <f>SUMIF('FY19-20'!$C$10:$C$172,Import!B143,'FY19-20'!$F$10:$F$172)</f>
        <v>0</v>
      </c>
      <c r="F143" s="182">
        <f t="shared" si="3"/>
        <v>0</v>
      </c>
      <c r="G143" s="179" t="s">
        <v>408</v>
      </c>
      <c r="H143" s="182">
        <v>136</v>
      </c>
      <c r="J143" s="181"/>
    </row>
    <row r="144" spans="1:10" ht="14">
      <c r="A144" s="183" t="s">
        <v>147</v>
      </c>
      <c r="B144" s="178">
        <v>4700</v>
      </c>
      <c r="C144" s="25" t="s">
        <v>146</v>
      </c>
      <c r="D144" s="26">
        <v>43678</v>
      </c>
      <c r="E144" s="182">
        <f>SUMIF('FY19-20'!$C$10:$C$172,Import!B144,'FY19-20'!$F$10:$F$172)</f>
        <v>0</v>
      </c>
      <c r="F144" s="182">
        <f t="shared" si="3"/>
        <v>0</v>
      </c>
      <c r="G144" s="179" t="s">
        <v>408</v>
      </c>
      <c r="H144" s="182">
        <v>137</v>
      </c>
      <c r="J144" s="181"/>
    </row>
    <row r="145" spans="1:10" ht="14">
      <c r="A145" s="183" t="s">
        <v>147</v>
      </c>
      <c r="B145" s="178">
        <v>5101</v>
      </c>
      <c r="C145" s="25" t="s">
        <v>146</v>
      </c>
      <c r="D145" s="26">
        <v>43678</v>
      </c>
      <c r="E145" s="182">
        <f>SUMIF('FY19-20'!$C$10:$C$172,Import!B145,'FY19-20'!$F$10:$F$172)</f>
        <v>0</v>
      </c>
      <c r="F145" s="182">
        <f t="shared" si="3"/>
        <v>0</v>
      </c>
      <c r="G145" s="179" t="s">
        <v>408</v>
      </c>
      <c r="H145" s="182">
        <v>138</v>
      </c>
      <c r="J145" s="181"/>
    </row>
    <row r="146" spans="1:10" ht="14">
      <c r="A146" s="183" t="s">
        <v>147</v>
      </c>
      <c r="B146" s="178">
        <v>5102</v>
      </c>
      <c r="C146" s="25" t="s">
        <v>146</v>
      </c>
      <c r="D146" s="26">
        <v>43678</v>
      </c>
      <c r="E146" s="182">
        <f>SUMIF('FY19-20'!$C$10:$C$172,Import!B146,'FY19-20'!$F$10:$F$172)</f>
        <v>16371.6</v>
      </c>
      <c r="F146" s="182">
        <f t="shared" si="3"/>
        <v>0</v>
      </c>
      <c r="G146" s="179" t="s">
        <v>408</v>
      </c>
      <c r="H146" s="182">
        <v>139</v>
      </c>
      <c r="J146" s="181"/>
    </row>
    <row r="147" spans="1:10" ht="14">
      <c r="A147" s="183" t="s">
        <v>147</v>
      </c>
      <c r="B147" s="178">
        <v>5103</v>
      </c>
      <c r="C147" s="25" t="s">
        <v>146</v>
      </c>
      <c r="D147" s="26">
        <v>43678</v>
      </c>
      <c r="E147" s="182">
        <f>SUMIF('FY19-20'!$C$10:$C$172,Import!B147,'FY19-20'!$F$10:$F$172)</f>
        <v>0</v>
      </c>
      <c r="F147" s="182">
        <f t="shared" si="3"/>
        <v>0</v>
      </c>
      <c r="G147" s="179" t="s">
        <v>408</v>
      </c>
      <c r="H147" s="182">
        <v>140</v>
      </c>
      <c r="J147" s="181"/>
    </row>
    <row r="148" spans="1:10" ht="14">
      <c r="A148" s="183" t="s">
        <v>147</v>
      </c>
      <c r="B148" s="178">
        <v>5104</v>
      </c>
      <c r="C148" s="25" t="s">
        <v>146</v>
      </c>
      <c r="D148" s="26">
        <v>43678</v>
      </c>
      <c r="E148" s="182">
        <f>SUMIF('FY19-20'!$C$10:$C$172,Import!B148,'FY19-20'!$F$10:$F$172)</f>
        <v>0</v>
      </c>
      <c r="F148" s="182">
        <f t="shared" si="3"/>
        <v>0</v>
      </c>
      <c r="G148" s="179" t="s">
        <v>408</v>
      </c>
      <c r="H148" s="182">
        <v>141</v>
      </c>
      <c r="J148" s="181"/>
    </row>
    <row r="149" spans="1:10" ht="14">
      <c r="A149" s="183" t="s">
        <v>147</v>
      </c>
      <c r="B149" s="178">
        <v>5105</v>
      </c>
      <c r="C149" s="25" t="s">
        <v>146</v>
      </c>
      <c r="D149" s="26">
        <v>43678</v>
      </c>
      <c r="E149" s="182">
        <f>SUMIF('FY19-20'!$C$10:$C$172,Import!B149,'FY19-20'!$F$10:$F$172)</f>
        <v>57.99</v>
      </c>
      <c r="F149" s="182">
        <f t="shared" si="3"/>
        <v>0</v>
      </c>
      <c r="G149" s="179" t="s">
        <v>408</v>
      </c>
      <c r="H149" s="182">
        <v>142</v>
      </c>
      <c r="J149" s="181"/>
    </row>
    <row r="150" spans="1:10" ht="14">
      <c r="A150" s="183" t="s">
        <v>147</v>
      </c>
      <c r="B150" s="178">
        <v>5106</v>
      </c>
      <c r="C150" s="25" t="s">
        <v>146</v>
      </c>
      <c r="D150" s="26">
        <v>43678</v>
      </c>
      <c r="E150" s="182">
        <f>SUMIF('FY19-20'!$C$10:$C$172,Import!B150,'FY19-20'!$F$10:$F$172)</f>
        <v>50651.63</v>
      </c>
      <c r="F150" s="182">
        <f t="shared" si="3"/>
        <v>0</v>
      </c>
      <c r="G150" s="179" t="s">
        <v>408</v>
      </c>
      <c r="H150" s="182">
        <v>143</v>
      </c>
      <c r="J150" s="181"/>
    </row>
    <row r="151" spans="1:10" ht="14">
      <c r="A151" s="183" t="s">
        <v>147</v>
      </c>
      <c r="B151" s="178">
        <v>5107</v>
      </c>
      <c r="C151" s="25" t="s">
        <v>146</v>
      </c>
      <c r="D151" s="26">
        <v>43678</v>
      </c>
      <c r="E151" s="182">
        <f>SUMIF('FY19-20'!$C$10:$C$172,Import!B151,'FY19-20'!$F$10:$F$172)</f>
        <v>0</v>
      </c>
      <c r="F151" s="182">
        <f t="shared" ref="F151" si="4">-IF(E151&lt;0,E151)</f>
        <v>0</v>
      </c>
      <c r="G151" s="179" t="s">
        <v>408</v>
      </c>
      <c r="H151" s="182">
        <v>143</v>
      </c>
      <c r="J151" s="181"/>
    </row>
    <row r="152" spans="1:10" ht="14">
      <c r="A152" s="183" t="s">
        <v>147</v>
      </c>
      <c r="B152" s="178">
        <v>5201</v>
      </c>
      <c r="C152" s="25" t="s">
        <v>146</v>
      </c>
      <c r="D152" s="26">
        <v>43678</v>
      </c>
      <c r="E152" s="182">
        <f>SUMIF('FY19-20'!$C$10:$C$172,Import!B152,'FY19-20'!$F$10:$F$172)</f>
        <v>525.84</v>
      </c>
      <c r="F152" s="182">
        <f t="shared" si="3"/>
        <v>0</v>
      </c>
      <c r="G152" s="179" t="s">
        <v>408</v>
      </c>
      <c r="H152" s="182">
        <v>144</v>
      </c>
      <c r="J152" s="181"/>
    </row>
    <row r="153" spans="1:10" ht="14">
      <c r="A153" s="183" t="s">
        <v>147</v>
      </c>
      <c r="B153" s="178">
        <v>5202</v>
      </c>
      <c r="C153" s="25" t="s">
        <v>146</v>
      </c>
      <c r="D153" s="26">
        <v>43678</v>
      </c>
      <c r="E153" s="182">
        <f>SUMIF('FY19-20'!$C$10:$C$172,Import!B153,'FY19-20'!$F$10:$F$172)</f>
        <v>0</v>
      </c>
      <c r="F153" s="182">
        <f t="shared" si="3"/>
        <v>0</v>
      </c>
      <c r="G153" s="179" t="s">
        <v>408</v>
      </c>
      <c r="H153" s="182">
        <v>145</v>
      </c>
      <c r="J153" s="181"/>
    </row>
    <row r="154" spans="1:10" ht="14">
      <c r="A154" s="183" t="s">
        <v>147</v>
      </c>
      <c r="B154" s="178">
        <v>5203</v>
      </c>
      <c r="C154" s="25" t="s">
        <v>146</v>
      </c>
      <c r="D154" s="26">
        <v>43678</v>
      </c>
      <c r="E154" s="182">
        <f>SUMIF('FY19-20'!$C$10:$C$172,Import!B154,'FY19-20'!$F$10:$F$172)</f>
        <v>0</v>
      </c>
      <c r="F154" s="182">
        <f t="shared" si="3"/>
        <v>0</v>
      </c>
      <c r="G154" s="179" t="s">
        <v>408</v>
      </c>
      <c r="H154" s="182">
        <v>146</v>
      </c>
      <c r="J154" s="181"/>
    </row>
    <row r="155" spans="1:10" ht="14">
      <c r="A155" s="183" t="s">
        <v>147</v>
      </c>
      <c r="B155" s="178">
        <v>5300</v>
      </c>
      <c r="C155" s="25" t="s">
        <v>146</v>
      </c>
      <c r="D155" s="26">
        <v>43678</v>
      </c>
      <c r="E155" s="182">
        <f>SUMIF('FY19-20'!$C$10:$C$172,Import!B155,'FY19-20'!$F$10:$F$172)</f>
        <v>0</v>
      </c>
      <c r="F155" s="182">
        <f t="shared" si="3"/>
        <v>0</v>
      </c>
      <c r="G155" s="179" t="s">
        <v>408</v>
      </c>
      <c r="H155" s="182">
        <v>147</v>
      </c>
      <c r="J155" s="181"/>
    </row>
    <row r="156" spans="1:10" ht="14">
      <c r="A156" s="183" t="s">
        <v>147</v>
      </c>
      <c r="B156" s="178">
        <v>5400</v>
      </c>
      <c r="C156" s="25" t="s">
        <v>146</v>
      </c>
      <c r="D156" s="26">
        <v>43678</v>
      </c>
      <c r="E156" s="182">
        <f>SUMIF('FY19-20'!$C$10:$C$172,Import!B156,'FY19-20'!$F$10:$F$172)</f>
        <v>2592.44</v>
      </c>
      <c r="F156" s="182">
        <f t="shared" si="3"/>
        <v>0</v>
      </c>
      <c r="G156" s="179" t="s">
        <v>408</v>
      </c>
      <c r="H156" s="182">
        <v>148</v>
      </c>
      <c r="J156" s="181"/>
    </row>
    <row r="157" spans="1:10" ht="14">
      <c r="A157" s="183" t="s">
        <v>147</v>
      </c>
      <c r="B157" s="178">
        <v>5501</v>
      </c>
      <c r="C157" s="25" t="s">
        <v>146</v>
      </c>
      <c r="D157" s="26">
        <v>43678</v>
      </c>
      <c r="E157" s="182">
        <f>SUMIF('FY19-20'!$C$10:$C$172,Import!B157,'FY19-20'!$F$10:$F$172)</f>
        <v>0</v>
      </c>
      <c r="F157" s="182">
        <f t="shared" si="3"/>
        <v>0</v>
      </c>
      <c r="G157" s="179" t="s">
        <v>408</v>
      </c>
      <c r="H157" s="182">
        <v>149</v>
      </c>
      <c r="J157" s="181"/>
    </row>
    <row r="158" spans="1:10" ht="14">
      <c r="A158" s="183" t="s">
        <v>147</v>
      </c>
      <c r="B158" s="178">
        <v>5502</v>
      </c>
      <c r="C158" s="25" t="s">
        <v>146</v>
      </c>
      <c r="D158" s="26">
        <v>43678</v>
      </c>
      <c r="E158" s="182">
        <f>SUMIF('FY19-20'!$C$10:$C$172,Import!B158,'FY19-20'!$F$10:$F$172)</f>
        <v>590</v>
      </c>
      <c r="F158" s="182">
        <f t="shared" si="3"/>
        <v>0</v>
      </c>
      <c r="G158" s="179" t="s">
        <v>408</v>
      </c>
      <c r="H158" s="182">
        <v>150</v>
      </c>
      <c r="J158" s="181"/>
    </row>
    <row r="159" spans="1:10" ht="14">
      <c r="A159" s="183" t="s">
        <v>147</v>
      </c>
      <c r="B159" s="178">
        <v>5516</v>
      </c>
      <c r="C159" s="25" t="s">
        <v>146</v>
      </c>
      <c r="D159" s="26">
        <v>43678</v>
      </c>
      <c r="E159" s="182">
        <f>SUMIF('FY19-20'!$C$10:$C$172,Import!B159,'FY19-20'!$F$10:$F$172)</f>
        <v>0</v>
      </c>
      <c r="F159" s="182">
        <f t="shared" si="3"/>
        <v>0</v>
      </c>
      <c r="G159" s="179" t="s">
        <v>408</v>
      </c>
      <c r="H159" s="182">
        <v>151</v>
      </c>
      <c r="J159" s="181"/>
    </row>
    <row r="160" spans="1:10" ht="14">
      <c r="A160" s="183" t="s">
        <v>147</v>
      </c>
      <c r="B160" s="178">
        <v>5531</v>
      </c>
      <c r="C160" s="25" t="s">
        <v>146</v>
      </c>
      <c r="D160" s="26">
        <v>43678</v>
      </c>
      <c r="E160" s="182">
        <f>SUMIF('FY19-20'!$C$10:$C$172,Import!B160,'FY19-20'!$F$10:$F$172)</f>
        <v>0</v>
      </c>
      <c r="F160" s="182">
        <f t="shared" si="3"/>
        <v>0</v>
      </c>
      <c r="G160" s="179" t="s">
        <v>408</v>
      </c>
      <c r="H160" s="182">
        <v>154</v>
      </c>
      <c r="J160" s="181"/>
    </row>
    <row r="161" spans="1:10" ht="14">
      <c r="A161" s="183" t="s">
        <v>147</v>
      </c>
      <c r="B161" s="178">
        <v>5540</v>
      </c>
      <c r="C161" s="25" t="s">
        <v>146</v>
      </c>
      <c r="D161" s="26">
        <v>43678</v>
      </c>
      <c r="E161" s="182">
        <f>SUMIF('FY19-20'!$C$10:$C$172,Import!B161,'FY19-20'!$F$10:$F$172)</f>
        <v>0</v>
      </c>
      <c r="F161" s="182">
        <f t="shared" si="3"/>
        <v>0</v>
      </c>
      <c r="G161" s="179" t="s">
        <v>408</v>
      </c>
      <c r="H161" s="182">
        <v>155</v>
      </c>
      <c r="J161" s="181"/>
    </row>
    <row r="162" spans="1:10" ht="14">
      <c r="A162" s="183" t="s">
        <v>147</v>
      </c>
      <c r="B162" s="178">
        <v>5601</v>
      </c>
      <c r="C162" s="25" t="s">
        <v>146</v>
      </c>
      <c r="D162" s="26">
        <v>43678</v>
      </c>
      <c r="E162" s="182">
        <f>SUMIF('FY19-20'!$C$10:$C$172,Import!B162,'FY19-20'!$F$10:$F$172)</f>
        <v>0</v>
      </c>
      <c r="F162" s="182">
        <f t="shared" si="3"/>
        <v>0</v>
      </c>
      <c r="G162" s="179" t="s">
        <v>408</v>
      </c>
      <c r="H162" s="182">
        <v>156</v>
      </c>
      <c r="J162" s="181"/>
    </row>
    <row r="163" spans="1:10" ht="14">
      <c r="A163" s="183" t="s">
        <v>147</v>
      </c>
      <c r="B163" s="178">
        <v>5602</v>
      </c>
      <c r="C163" s="25" t="s">
        <v>146</v>
      </c>
      <c r="D163" s="26">
        <v>43678</v>
      </c>
      <c r="E163" s="182">
        <f>SUMIF('FY19-20'!$C$10:$C$172,Import!B163,'FY19-20'!$F$10:$F$172)</f>
        <v>0</v>
      </c>
      <c r="F163" s="182">
        <f t="shared" si="3"/>
        <v>0</v>
      </c>
      <c r="G163" s="179" t="s">
        <v>408</v>
      </c>
      <c r="H163" s="182">
        <v>157</v>
      </c>
      <c r="J163" s="181"/>
    </row>
    <row r="164" spans="1:10" ht="14">
      <c r="A164" s="183" t="s">
        <v>147</v>
      </c>
      <c r="B164" s="178">
        <v>5603</v>
      </c>
      <c r="C164" s="25" t="s">
        <v>146</v>
      </c>
      <c r="D164" s="26">
        <v>43678</v>
      </c>
      <c r="E164" s="182">
        <f>SUMIF('FY19-20'!$C$10:$C$172,Import!B164,'FY19-20'!$F$10:$F$172)</f>
        <v>0</v>
      </c>
      <c r="F164" s="182">
        <f t="shared" si="3"/>
        <v>0</v>
      </c>
      <c r="G164" s="179" t="s">
        <v>408</v>
      </c>
      <c r="H164" s="182">
        <v>158</v>
      </c>
      <c r="J164" s="181"/>
    </row>
    <row r="165" spans="1:10" ht="14">
      <c r="A165" s="183" t="s">
        <v>147</v>
      </c>
      <c r="B165" s="178">
        <v>5604</v>
      </c>
      <c r="C165" s="25" t="s">
        <v>146</v>
      </c>
      <c r="D165" s="26">
        <v>43678</v>
      </c>
      <c r="E165" s="182">
        <f>SUMIF('FY19-20'!$C$10:$C$172,Import!B165,'FY19-20'!$F$10:$F$172)</f>
        <v>0</v>
      </c>
      <c r="F165" s="182">
        <f t="shared" si="3"/>
        <v>0</v>
      </c>
      <c r="G165" s="179" t="s">
        <v>408</v>
      </c>
      <c r="H165" s="182">
        <v>159</v>
      </c>
      <c r="J165" s="181"/>
    </row>
    <row r="166" spans="1:10" ht="14">
      <c r="A166" s="183" t="s">
        <v>147</v>
      </c>
      <c r="B166" s="178">
        <v>5605</v>
      </c>
      <c r="C166" s="25" t="s">
        <v>146</v>
      </c>
      <c r="D166" s="26">
        <v>43678</v>
      </c>
      <c r="E166" s="182">
        <f>SUMIF('FY19-20'!$C$10:$C$172,Import!B166,'FY19-20'!$F$10:$F$172)</f>
        <v>0</v>
      </c>
      <c r="F166" s="182">
        <f t="shared" si="3"/>
        <v>0</v>
      </c>
      <c r="G166" s="179" t="s">
        <v>408</v>
      </c>
      <c r="H166" s="182">
        <v>160</v>
      </c>
      <c r="J166" s="181"/>
    </row>
    <row r="167" spans="1:10" ht="14">
      <c r="A167" s="183" t="s">
        <v>147</v>
      </c>
      <c r="B167" s="178">
        <v>5610</v>
      </c>
      <c r="C167" s="25" t="s">
        <v>146</v>
      </c>
      <c r="D167" s="26">
        <v>43678</v>
      </c>
      <c r="E167" s="182">
        <f>SUMIF('FY19-20'!$C$10:$C$172,Import!B167,'FY19-20'!$F$10:$F$172)</f>
        <v>0</v>
      </c>
      <c r="F167" s="182">
        <f t="shared" si="3"/>
        <v>0</v>
      </c>
      <c r="G167" s="179" t="s">
        <v>408</v>
      </c>
      <c r="H167" s="182">
        <v>161</v>
      </c>
      <c r="J167" s="181"/>
    </row>
    <row r="168" spans="1:10" ht="14">
      <c r="A168" s="183" t="s">
        <v>147</v>
      </c>
      <c r="B168" s="178">
        <v>5801</v>
      </c>
      <c r="C168" s="25" t="s">
        <v>146</v>
      </c>
      <c r="D168" s="26">
        <v>43678</v>
      </c>
      <c r="E168" s="182">
        <f>SUMIF('FY19-20'!$C$10:$C$172,Import!B168,'FY19-20'!$F$10:$F$172)</f>
        <v>0</v>
      </c>
      <c r="F168" s="182">
        <f t="shared" si="3"/>
        <v>0</v>
      </c>
      <c r="G168" s="179" t="s">
        <v>408</v>
      </c>
      <c r="H168" s="182">
        <v>162</v>
      </c>
      <c r="J168" s="181"/>
    </row>
    <row r="169" spans="1:10" ht="14">
      <c r="A169" s="183" t="s">
        <v>147</v>
      </c>
      <c r="B169" s="178">
        <v>5802</v>
      </c>
      <c r="C169" s="25" t="s">
        <v>146</v>
      </c>
      <c r="D169" s="26">
        <v>43678</v>
      </c>
      <c r="E169" s="182">
        <f>SUMIF('FY19-20'!$C$10:$C$172,Import!B169,'FY19-20'!$F$10:$F$172)</f>
        <v>0</v>
      </c>
      <c r="F169" s="182">
        <f t="shared" si="3"/>
        <v>0</v>
      </c>
      <c r="G169" s="179" t="s">
        <v>408</v>
      </c>
      <c r="H169" s="182">
        <v>163</v>
      </c>
      <c r="J169" s="181"/>
    </row>
    <row r="170" spans="1:10" ht="14">
      <c r="A170" s="183" t="s">
        <v>147</v>
      </c>
      <c r="B170" s="178">
        <v>5803</v>
      </c>
      <c r="C170" s="25" t="s">
        <v>146</v>
      </c>
      <c r="D170" s="26">
        <v>43678</v>
      </c>
      <c r="E170" s="182">
        <f>SUMIF('FY19-20'!$C$10:$C$172,Import!B170,'FY19-20'!$F$10:$F$172)</f>
        <v>360</v>
      </c>
      <c r="F170" s="182">
        <f t="shared" si="3"/>
        <v>0</v>
      </c>
      <c r="G170" s="179" t="s">
        <v>408</v>
      </c>
      <c r="H170" s="182">
        <v>164</v>
      </c>
      <c r="J170" s="181"/>
    </row>
    <row r="171" spans="1:10" ht="14">
      <c r="A171" s="183" t="s">
        <v>147</v>
      </c>
      <c r="B171" s="178">
        <v>5804</v>
      </c>
      <c r="C171" s="25" t="s">
        <v>146</v>
      </c>
      <c r="D171" s="26">
        <v>43678</v>
      </c>
      <c r="E171" s="182">
        <f>SUMIF('FY19-20'!$C$10:$C$172,Import!B171,'FY19-20'!$F$10:$F$172)</f>
        <v>0</v>
      </c>
      <c r="F171" s="182">
        <f t="shared" si="3"/>
        <v>0</v>
      </c>
      <c r="G171" s="179" t="s">
        <v>408</v>
      </c>
      <c r="H171" s="182">
        <v>165</v>
      </c>
      <c r="J171" s="181"/>
    </row>
    <row r="172" spans="1:10" ht="14">
      <c r="A172" s="183" t="s">
        <v>147</v>
      </c>
      <c r="B172" s="178">
        <v>5805</v>
      </c>
      <c r="C172" s="25" t="s">
        <v>146</v>
      </c>
      <c r="D172" s="26">
        <v>43678</v>
      </c>
      <c r="E172" s="182">
        <f>SUMIF('FY19-20'!$C$10:$C$172,Import!B172,'FY19-20'!$F$10:$F$172)</f>
        <v>500</v>
      </c>
      <c r="F172" s="182">
        <f t="shared" si="3"/>
        <v>0</v>
      </c>
      <c r="G172" s="179" t="s">
        <v>408</v>
      </c>
      <c r="H172" s="182">
        <v>166</v>
      </c>
      <c r="J172" s="181"/>
    </row>
    <row r="173" spans="1:10" ht="14">
      <c r="A173" s="183" t="s">
        <v>147</v>
      </c>
      <c r="B173" s="178">
        <v>5806</v>
      </c>
      <c r="C173" s="25" t="s">
        <v>146</v>
      </c>
      <c r="D173" s="26">
        <v>43678</v>
      </c>
      <c r="E173" s="182">
        <f>SUMIF('FY19-20'!$C$10:$C$172,Import!B173,'FY19-20'!$F$10:$F$172)</f>
        <v>44496.39</v>
      </c>
      <c r="F173" s="182">
        <f t="shared" si="3"/>
        <v>0</v>
      </c>
      <c r="G173" s="179" t="s">
        <v>408</v>
      </c>
      <c r="J173" s="181"/>
    </row>
    <row r="174" spans="1:10" ht="14">
      <c r="A174" s="183" t="s">
        <v>147</v>
      </c>
      <c r="B174" s="178">
        <v>5807</v>
      </c>
      <c r="C174" s="25" t="s">
        <v>146</v>
      </c>
      <c r="D174" s="26">
        <v>43678</v>
      </c>
      <c r="E174" s="182">
        <f>SUMIF('FY19-20'!$C$10:$C$172,Import!B174,'FY19-20'!$F$10:$F$172)</f>
        <v>24</v>
      </c>
      <c r="F174" s="182">
        <f t="shared" si="3"/>
        <v>0</v>
      </c>
      <c r="G174" s="179" t="s">
        <v>408</v>
      </c>
      <c r="J174" s="181"/>
    </row>
    <row r="175" spans="1:10" ht="14">
      <c r="A175" s="183" t="s">
        <v>147</v>
      </c>
      <c r="B175" s="178">
        <v>5808</v>
      </c>
      <c r="C175" s="25" t="s">
        <v>146</v>
      </c>
      <c r="D175" s="26">
        <v>43678</v>
      </c>
      <c r="E175" s="182">
        <f>SUMIF('FY19-20'!$C$10:$C$172,Import!B175,'FY19-20'!$F$10:$F$172)</f>
        <v>0</v>
      </c>
      <c r="F175" s="182">
        <f t="shared" si="3"/>
        <v>0</v>
      </c>
      <c r="G175" s="179" t="s">
        <v>408</v>
      </c>
      <c r="J175" s="181"/>
    </row>
    <row r="176" spans="1:10" ht="14">
      <c r="A176" s="183" t="s">
        <v>147</v>
      </c>
      <c r="B176" s="178">
        <v>5809</v>
      </c>
      <c r="C176" s="25" t="s">
        <v>146</v>
      </c>
      <c r="D176" s="26">
        <v>43678</v>
      </c>
      <c r="E176" s="182">
        <f>SUMIF('FY19-20'!$C$10:$C$172,Import!B176,'FY19-20'!$F$10:$F$172)</f>
        <v>60</v>
      </c>
      <c r="F176" s="182">
        <f t="shared" si="3"/>
        <v>0</v>
      </c>
      <c r="G176" s="179" t="s">
        <v>408</v>
      </c>
      <c r="J176" s="181"/>
    </row>
    <row r="177" spans="1:10" ht="14">
      <c r="A177" s="183" t="s">
        <v>147</v>
      </c>
      <c r="B177" s="178">
        <v>5810</v>
      </c>
      <c r="C177" s="25" t="s">
        <v>146</v>
      </c>
      <c r="D177" s="26">
        <v>43678</v>
      </c>
      <c r="E177" s="182">
        <f>SUMIF('FY19-20'!$C$10:$C$172,Import!B177,'FY19-20'!$F$10:$F$172)</f>
        <v>0</v>
      </c>
      <c r="F177" s="182">
        <f t="shared" ref="F177:F217" si="5">-IF(E177&lt;0,E177)</f>
        <v>0</v>
      </c>
      <c r="G177" s="179" t="s">
        <v>408</v>
      </c>
      <c r="H177" s="182">
        <v>167</v>
      </c>
      <c r="J177" s="181"/>
    </row>
    <row r="178" spans="1:10" ht="14">
      <c r="A178" s="183" t="s">
        <v>147</v>
      </c>
      <c r="B178" s="178">
        <v>5811</v>
      </c>
      <c r="C178" s="25" t="s">
        <v>146</v>
      </c>
      <c r="D178" s="26">
        <v>43678</v>
      </c>
      <c r="E178" s="182">
        <f>SUMIF('FY19-20'!$C$10:$C$172,Import!B178,'FY19-20'!$F$10:$F$172)</f>
        <v>0</v>
      </c>
      <c r="F178" s="182">
        <f t="shared" si="5"/>
        <v>0</v>
      </c>
      <c r="G178" s="179" t="s">
        <v>408</v>
      </c>
      <c r="H178" s="182">
        <v>168</v>
      </c>
      <c r="J178" s="181"/>
    </row>
    <row r="179" spans="1:10" ht="14">
      <c r="A179" s="183" t="s">
        <v>147</v>
      </c>
      <c r="B179" s="178">
        <v>5812</v>
      </c>
      <c r="C179" s="25" t="s">
        <v>146</v>
      </c>
      <c r="D179" s="26">
        <v>43678</v>
      </c>
      <c r="E179" s="182">
        <f>SUMIF('FY19-20'!$C$10:$C$172,Import!B179,'FY19-20'!$F$10:$F$172)</f>
        <v>0</v>
      </c>
      <c r="F179" s="182">
        <f t="shared" si="5"/>
        <v>0</v>
      </c>
      <c r="G179" s="179" t="s">
        <v>408</v>
      </c>
      <c r="H179" s="182">
        <v>169</v>
      </c>
      <c r="J179" s="181"/>
    </row>
    <row r="180" spans="1:10" ht="14">
      <c r="A180" s="183" t="s">
        <v>147</v>
      </c>
      <c r="B180" s="178">
        <v>5813</v>
      </c>
      <c r="C180" s="25" t="s">
        <v>146</v>
      </c>
      <c r="D180" s="26">
        <v>43678</v>
      </c>
      <c r="E180" s="182">
        <f>SUMIF('FY19-20'!$C$10:$C$172,Import!B180,'FY19-20'!$F$10:$F$172)</f>
        <v>0</v>
      </c>
      <c r="F180" s="182">
        <f t="shared" si="5"/>
        <v>0</v>
      </c>
      <c r="G180" s="179" t="s">
        <v>408</v>
      </c>
      <c r="H180" s="182">
        <v>170</v>
      </c>
      <c r="J180" s="181"/>
    </row>
    <row r="181" spans="1:10" ht="14">
      <c r="A181" s="183" t="s">
        <v>147</v>
      </c>
      <c r="B181" s="178">
        <v>5814</v>
      </c>
      <c r="C181" s="25" t="s">
        <v>146</v>
      </c>
      <c r="D181" s="26">
        <v>43678</v>
      </c>
      <c r="E181" s="182">
        <f>SUMIF('FY19-20'!$C$10:$C$172,Import!B181,'FY19-20'!$F$10:$F$172)</f>
        <v>0</v>
      </c>
      <c r="F181" s="182">
        <f t="shared" si="5"/>
        <v>0</v>
      </c>
      <c r="G181" s="179" t="s">
        <v>408</v>
      </c>
      <c r="H181" s="182">
        <v>171</v>
      </c>
      <c r="J181" s="181"/>
    </row>
    <row r="182" spans="1:10" ht="14">
      <c r="A182" s="183" t="s">
        <v>147</v>
      </c>
      <c r="B182" s="178">
        <v>5815</v>
      </c>
      <c r="C182" s="25" t="s">
        <v>146</v>
      </c>
      <c r="D182" s="26">
        <v>43678</v>
      </c>
      <c r="E182" s="182">
        <f>SUMIF('FY19-20'!$C$10:$C$172,Import!B182,'FY19-20'!$F$10:$F$172)</f>
        <v>0</v>
      </c>
      <c r="F182" s="182">
        <f t="shared" si="5"/>
        <v>0</v>
      </c>
      <c r="G182" s="179" t="s">
        <v>408</v>
      </c>
      <c r="J182" s="181"/>
    </row>
    <row r="183" spans="1:10" ht="14">
      <c r="A183" s="183" t="s">
        <v>147</v>
      </c>
      <c r="B183" s="178">
        <v>5820</v>
      </c>
      <c r="C183" s="25" t="s">
        <v>146</v>
      </c>
      <c r="D183" s="26">
        <v>43678</v>
      </c>
      <c r="E183" s="182">
        <f>SUMIF('FY19-20'!$C$10:$C$172,Import!B183,'FY19-20'!$F$10:$F$172)</f>
        <v>0</v>
      </c>
      <c r="F183" s="182">
        <f t="shared" si="5"/>
        <v>0</v>
      </c>
      <c r="G183" s="179" t="s">
        <v>408</v>
      </c>
      <c r="J183" s="181"/>
    </row>
    <row r="184" spans="1:10" ht="14">
      <c r="A184" s="183" t="s">
        <v>147</v>
      </c>
      <c r="B184" s="178">
        <v>5900</v>
      </c>
      <c r="C184" s="25" t="s">
        <v>146</v>
      </c>
      <c r="D184" s="26">
        <v>43678</v>
      </c>
      <c r="E184" s="182">
        <f>SUMIF('FY19-20'!$C$10:$C$172,Import!B184,'FY19-20'!$F$10:$F$172)</f>
        <v>323.8</v>
      </c>
      <c r="F184" s="182">
        <f t="shared" si="5"/>
        <v>0</v>
      </c>
      <c r="G184" s="179" t="s">
        <v>408</v>
      </c>
      <c r="H184" s="182">
        <v>172</v>
      </c>
      <c r="J184" s="181"/>
    </row>
    <row r="185" spans="1:10" ht="14">
      <c r="A185" s="183" t="s">
        <v>147</v>
      </c>
      <c r="B185" s="178">
        <v>5901</v>
      </c>
      <c r="C185" s="25" t="s">
        <v>146</v>
      </c>
      <c r="D185" s="26">
        <v>43678</v>
      </c>
      <c r="E185" s="182">
        <f>SUMIF('FY19-20'!$C$10:$C$172,Import!B185,'FY19-20'!$F$10:$F$172)</f>
        <v>0</v>
      </c>
      <c r="F185" s="182">
        <f t="shared" si="5"/>
        <v>0</v>
      </c>
      <c r="G185" s="179" t="s">
        <v>408</v>
      </c>
    </row>
    <row r="186" spans="1:10" ht="14">
      <c r="A186" s="183" t="s">
        <v>147</v>
      </c>
      <c r="B186" s="178">
        <v>6900</v>
      </c>
      <c r="C186" s="25" t="s">
        <v>146</v>
      </c>
      <c r="D186" s="26">
        <v>43678</v>
      </c>
      <c r="E186" s="182">
        <f>SUMIF('FY19-20'!$C$10:$C$172,Import!B186,'FY19-20'!$F$10:$F$172)</f>
        <v>0</v>
      </c>
      <c r="F186" s="182">
        <f t="shared" si="5"/>
        <v>0</v>
      </c>
      <c r="G186" s="179" t="s">
        <v>408</v>
      </c>
      <c r="H186" s="182">
        <v>173</v>
      </c>
      <c r="J186" s="181"/>
    </row>
    <row r="187" spans="1:10" ht="14">
      <c r="A187" s="183" t="s">
        <v>147</v>
      </c>
      <c r="B187" s="178">
        <v>7438</v>
      </c>
      <c r="C187" s="25" t="s">
        <v>146</v>
      </c>
      <c r="D187" s="26">
        <v>43678</v>
      </c>
      <c r="E187" s="182">
        <f>SUMIF('FY19-20'!$C$10:$C$172,Import!B187,'FY19-20'!$F$10:$F$172)</f>
        <v>0</v>
      </c>
      <c r="F187" s="182">
        <f t="shared" si="5"/>
        <v>0</v>
      </c>
      <c r="G187" s="179" t="s">
        <v>408</v>
      </c>
      <c r="H187" s="182">
        <v>174</v>
      </c>
      <c r="J187" s="181"/>
    </row>
    <row r="188" spans="1:10" ht="14">
      <c r="A188" s="183" t="s">
        <v>147</v>
      </c>
      <c r="B188" s="178">
        <v>8011</v>
      </c>
      <c r="C188" s="25" t="s">
        <v>146</v>
      </c>
      <c r="D188" s="26">
        <v>43678</v>
      </c>
      <c r="E188" s="182">
        <f>SUMIF('FY19-20'!$C$10:$C$172,Import!B188,'FY19-20'!$F$10:$F$172)</f>
        <v>0</v>
      </c>
      <c r="F188" s="182">
        <f t="shared" si="5"/>
        <v>0</v>
      </c>
      <c r="G188" s="179" t="s">
        <v>408</v>
      </c>
      <c r="H188" s="182">
        <v>175</v>
      </c>
      <c r="J188" s="181"/>
    </row>
    <row r="189" spans="1:10" ht="14">
      <c r="A189" s="183" t="s">
        <v>147</v>
      </c>
      <c r="B189" s="178">
        <v>8012</v>
      </c>
      <c r="C189" s="25" t="s">
        <v>146</v>
      </c>
      <c r="D189" s="26">
        <v>43678</v>
      </c>
      <c r="E189" s="182">
        <f>SUMIF('FY19-20'!$C$10:$C$172,Import!B189,'FY19-20'!$F$10:$F$172)</f>
        <v>0</v>
      </c>
      <c r="F189" s="182">
        <f t="shared" si="5"/>
        <v>0</v>
      </c>
      <c r="G189" s="179" t="s">
        <v>408</v>
      </c>
      <c r="H189" s="182">
        <v>176</v>
      </c>
      <c r="J189" s="181"/>
    </row>
    <row r="190" spans="1:10" ht="14">
      <c r="A190" s="183" t="s">
        <v>147</v>
      </c>
      <c r="B190" s="178">
        <v>8019</v>
      </c>
      <c r="C190" s="25" t="s">
        <v>146</v>
      </c>
      <c r="D190" s="26">
        <v>43678</v>
      </c>
      <c r="E190" s="182">
        <f>SUMIF('FY19-20'!$C$10:$C$172,Import!B190,'FY19-20'!$F$10:$F$172)</f>
        <v>0</v>
      </c>
      <c r="F190" s="182">
        <f t="shared" si="5"/>
        <v>0</v>
      </c>
      <c r="G190" s="179" t="s">
        <v>408</v>
      </c>
      <c r="H190" s="182">
        <v>177</v>
      </c>
      <c r="J190" s="181"/>
    </row>
    <row r="191" spans="1:10" ht="14">
      <c r="A191" s="183" t="s">
        <v>147</v>
      </c>
      <c r="B191" s="178">
        <v>8096</v>
      </c>
      <c r="C191" s="25" t="s">
        <v>146</v>
      </c>
      <c r="D191" s="26">
        <v>43678</v>
      </c>
      <c r="E191" s="182">
        <f>SUMIF('FY19-20'!$C$10:$C$172,Import!B191,'FY19-20'!$F$10:$F$172)</f>
        <v>0</v>
      </c>
      <c r="F191" s="182">
        <f t="shared" si="5"/>
        <v>0</v>
      </c>
      <c r="G191" s="179" t="s">
        <v>408</v>
      </c>
      <c r="H191" s="182">
        <v>178</v>
      </c>
      <c r="J191" s="181"/>
    </row>
    <row r="192" spans="1:10" ht="14">
      <c r="A192" s="183" t="s">
        <v>147</v>
      </c>
      <c r="B192" s="178">
        <v>8181</v>
      </c>
      <c r="C192" s="25" t="s">
        <v>146</v>
      </c>
      <c r="D192" s="26">
        <v>43678</v>
      </c>
      <c r="E192" s="182">
        <f>SUMIF('FY19-20'!$C$10:$C$172,Import!B192,'FY19-20'!$F$10:$F$172)</f>
        <v>0</v>
      </c>
      <c r="F192" s="182">
        <f t="shared" si="5"/>
        <v>0</v>
      </c>
      <c r="G192" s="179" t="s">
        <v>408</v>
      </c>
      <c r="H192" s="182">
        <v>179</v>
      </c>
      <c r="J192" s="181"/>
    </row>
    <row r="193" spans="1:10" ht="14">
      <c r="A193" s="183" t="s">
        <v>147</v>
      </c>
      <c r="B193" s="178">
        <v>8182</v>
      </c>
      <c r="C193" s="25" t="s">
        <v>146</v>
      </c>
      <c r="D193" s="26">
        <v>43678</v>
      </c>
      <c r="E193" s="182">
        <f>SUMIF('FY19-20'!$C$10:$C$172,Import!B193,'FY19-20'!$F$10:$F$172)</f>
        <v>0</v>
      </c>
      <c r="F193" s="182">
        <f t="shared" si="5"/>
        <v>0</v>
      </c>
      <c r="G193" s="179" t="s">
        <v>408</v>
      </c>
      <c r="H193" s="182">
        <v>180</v>
      </c>
      <c r="J193" s="181"/>
    </row>
    <row r="194" spans="1:10" ht="14">
      <c r="A194" s="183" t="s">
        <v>147</v>
      </c>
      <c r="B194" s="178">
        <v>8220</v>
      </c>
      <c r="C194" s="25" t="s">
        <v>146</v>
      </c>
      <c r="D194" s="26">
        <v>43678</v>
      </c>
      <c r="E194" s="182">
        <f>SUMIF('FY19-20'!$C$10:$C$172,Import!B194,'FY19-20'!$F$10:$F$172)</f>
        <v>0</v>
      </c>
      <c r="F194" s="182">
        <f t="shared" si="5"/>
        <v>0</v>
      </c>
      <c r="G194" s="179" t="s">
        <v>408</v>
      </c>
      <c r="H194" s="182">
        <v>181</v>
      </c>
      <c r="J194" s="181"/>
    </row>
    <row r="195" spans="1:10" ht="14">
      <c r="A195" s="183" t="s">
        <v>147</v>
      </c>
      <c r="B195" s="178">
        <v>8290</v>
      </c>
      <c r="C195" s="25" t="s">
        <v>146</v>
      </c>
      <c r="D195" s="26">
        <v>43678</v>
      </c>
      <c r="E195" s="182">
        <f>SUMIF('FY19-20'!$C$10:$C$172,Import!B195,'FY19-20'!$F$10:$F$172)</f>
        <v>0</v>
      </c>
      <c r="F195" s="182">
        <f t="shared" si="5"/>
        <v>0</v>
      </c>
      <c r="G195" s="179" t="s">
        <v>408</v>
      </c>
      <c r="H195" s="182">
        <v>182</v>
      </c>
      <c r="J195" s="181"/>
    </row>
    <row r="196" spans="1:10" ht="14">
      <c r="A196" s="183" t="s">
        <v>147</v>
      </c>
      <c r="B196" s="178">
        <v>8291</v>
      </c>
      <c r="C196" s="25" t="s">
        <v>146</v>
      </c>
      <c r="D196" s="26">
        <v>43678</v>
      </c>
      <c r="E196" s="182">
        <f>SUMIF('FY19-20'!$C$10:$C$172,Import!B196,'FY19-20'!$F$10:$F$172)</f>
        <v>0</v>
      </c>
      <c r="F196" s="182">
        <f t="shared" si="5"/>
        <v>0</v>
      </c>
      <c r="G196" s="179" t="s">
        <v>408</v>
      </c>
      <c r="H196" s="182">
        <v>183</v>
      </c>
      <c r="J196" s="181"/>
    </row>
    <row r="197" spans="1:10" ht="14">
      <c r="A197" s="183" t="s">
        <v>147</v>
      </c>
      <c r="B197" s="178">
        <v>8292</v>
      </c>
      <c r="C197" s="25" t="s">
        <v>146</v>
      </c>
      <c r="D197" s="26">
        <v>43678</v>
      </c>
      <c r="E197" s="182">
        <f>SUMIF('FY19-20'!$C$10:$C$172,Import!B197,'FY19-20'!$F$10:$F$172)</f>
        <v>0</v>
      </c>
      <c r="F197" s="182">
        <f t="shared" si="5"/>
        <v>0</v>
      </c>
      <c r="G197" s="179" t="s">
        <v>408</v>
      </c>
      <c r="H197" s="182">
        <v>184</v>
      </c>
      <c r="J197" s="181"/>
    </row>
    <row r="198" spans="1:10" ht="14">
      <c r="A198" s="183" t="s">
        <v>147</v>
      </c>
      <c r="B198" s="178">
        <v>8293</v>
      </c>
      <c r="C198" s="25" t="s">
        <v>146</v>
      </c>
      <c r="D198" s="26">
        <v>43678</v>
      </c>
      <c r="E198" s="182">
        <f>SUMIF('FY19-20'!$C$10:$C$172,Import!B198,'FY19-20'!$F$10:$F$172)</f>
        <v>0</v>
      </c>
      <c r="F198" s="182">
        <f t="shared" si="5"/>
        <v>0</v>
      </c>
      <c r="G198" s="179" t="s">
        <v>408</v>
      </c>
      <c r="H198" s="182">
        <v>185</v>
      </c>
      <c r="J198" s="181"/>
    </row>
    <row r="199" spans="1:10" ht="14">
      <c r="A199" s="183" t="s">
        <v>147</v>
      </c>
      <c r="B199" s="178">
        <v>8294</v>
      </c>
      <c r="C199" s="25" t="s">
        <v>146</v>
      </c>
      <c r="D199" s="26">
        <v>43678</v>
      </c>
      <c r="E199" s="182">
        <f>SUMIF('FY19-20'!$C$10:$C$172,Import!B199,'FY19-20'!$F$10:$F$172)</f>
        <v>0</v>
      </c>
      <c r="F199" s="182">
        <f t="shared" si="5"/>
        <v>0</v>
      </c>
      <c r="G199" s="179" t="s">
        <v>408</v>
      </c>
      <c r="H199" s="182">
        <v>186</v>
      </c>
      <c r="J199" s="181"/>
    </row>
    <row r="200" spans="1:10" ht="14">
      <c r="A200" s="183" t="s">
        <v>147</v>
      </c>
      <c r="B200" s="178">
        <v>8295</v>
      </c>
      <c r="C200" s="25" t="s">
        <v>146</v>
      </c>
      <c r="D200" s="26">
        <v>43678</v>
      </c>
      <c r="E200" s="182">
        <f>SUMIF('FY19-20'!$C$10:$C$172,Import!B200,'FY19-20'!$F$10:$F$172)</f>
        <v>0</v>
      </c>
      <c r="F200" s="182">
        <f t="shared" si="5"/>
        <v>0</v>
      </c>
      <c r="G200" s="179" t="s">
        <v>408</v>
      </c>
      <c r="H200" s="182">
        <v>187</v>
      </c>
      <c r="J200" s="181"/>
    </row>
    <row r="201" spans="1:10" ht="14">
      <c r="A201" s="183" t="s">
        <v>147</v>
      </c>
      <c r="B201" s="178">
        <v>8296</v>
      </c>
      <c r="C201" s="25" t="s">
        <v>146</v>
      </c>
      <c r="D201" s="26">
        <v>43678</v>
      </c>
      <c r="E201" s="182">
        <f>SUMIF('FY19-20'!$C$10:$C$172,Import!B201,'FY19-20'!$F$10:$F$172)</f>
        <v>0</v>
      </c>
      <c r="F201" s="182">
        <f t="shared" si="5"/>
        <v>0</v>
      </c>
      <c r="G201" s="179" t="s">
        <v>408</v>
      </c>
      <c r="H201" s="182">
        <v>188</v>
      </c>
      <c r="J201" s="181"/>
    </row>
    <row r="202" spans="1:10" ht="14">
      <c r="A202" s="183" t="s">
        <v>147</v>
      </c>
      <c r="B202" s="178">
        <v>8299</v>
      </c>
      <c r="C202" s="25" t="s">
        <v>146</v>
      </c>
      <c r="D202" s="26">
        <v>43678</v>
      </c>
      <c r="E202" s="182">
        <f>SUMIF('FY19-20'!$C$10:$C$172,Import!B202,'FY19-20'!$F$10:$F$172)</f>
        <v>0</v>
      </c>
      <c r="F202" s="182">
        <f t="shared" si="5"/>
        <v>0</v>
      </c>
      <c r="G202" s="179" t="s">
        <v>408</v>
      </c>
      <c r="H202" s="182">
        <v>189</v>
      </c>
      <c r="J202" s="181"/>
    </row>
    <row r="203" spans="1:10" ht="14">
      <c r="A203" s="183" t="s">
        <v>147</v>
      </c>
      <c r="B203" s="178">
        <v>8311</v>
      </c>
      <c r="C203" s="25" t="s">
        <v>146</v>
      </c>
      <c r="D203" s="26">
        <v>43678</v>
      </c>
      <c r="E203" s="182">
        <f>SUMIF('FY19-20'!$C$10:$C$172,Import!B203,'FY19-20'!$F$10:$F$172)</f>
        <v>0</v>
      </c>
      <c r="F203" s="182">
        <f t="shared" si="5"/>
        <v>0</v>
      </c>
      <c r="G203" s="179" t="s">
        <v>408</v>
      </c>
      <c r="H203" s="182">
        <v>190</v>
      </c>
      <c r="J203" s="181"/>
    </row>
    <row r="204" spans="1:10" ht="14">
      <c r="A204" s="183" t="s">
        <v>147</v>
      </c>
      <c r="B204" s="178">
        <v>8520</v>
      </c>
      <c r="C204" s="25" t="s">
        <v>146</v>
      </c>
      <c r="D204" s="26">
        <v>43678</v>
      </c>
      <c r="E204" s="182">
        <f>SUMIF('FY19-20'!$C$10:$C$172,Import!B204,'FY19-20'!$F$10:$F$172)</f>
        <v>0</v>
      </c>
      <c r="F204" s="182">
        <f t="shared" si="5"/>
        <v>0</v>
      </c>
      <c r="G204" s="179" t="s">
        <v>408</v>
      </c>
      <c r="H204" s="182">
        <v>191</v>
      </c>
      <c r="J204" s="181"/>
    </row>
    <row r="205" spans="1:10" ht="14">
      <c r="A205" s="183" t="s">
        <v>147</v>
      </c>
      <c r="B205" s="178">
        <v>8545</v>
      </c>
      <c r="C205" s="25" t="s">
        <v>146</v>
      </c>
      <c r="D205" s="26">
        <v>43678</v>
      </c>
      <c r="E205" s="182">
        <f>SUMIF('FY19-20'!$C$10:$C$172,Import!B205,'FY19-20'!$F$10:$F$172)</f>
        <v>0</v>
      </c>
      <c r="F205" s="182">
        <f t="shared" si="5"/>
        <v>0</v>
      </c>
      <c r="G205" s="179" t="s">
        <v>408</v>
      </c>
      <c r="H205" s="182">
        <v>192</v>
      </c>
      <c r="J205" s="181"/>
    </row>
    <row r="206" spans="1:10" ht="14">
      <c r="A206" s="183" t="s">
        <v>147</v>
      </c>
      <c r="B206" s="178">
        <v>8550</v>
      </c>
      <c r="C206" s="25" t="s">
        <v>146</v>
      </c>
      <c r="D206" s="26">
        <v>43678</v>
      </c>
      <c r="E206" s="182">
        <f>SUMIF('FY19-20'!$C$10:$C$172,Import!B206,'FY19-20'!$F$10:$F$172)</f>
        <v>0</v>
      </c>
      <c r="F206" s="182">
        <f t="shared" si="5"/>
        <v>0</v>
      </c>
      <c r="G206" s="179" t="s">
        <v>408</v>
      </c>
      <c r="H206" s="182">
        <v>193</v>
      </c>
      <c r="J206" s="181"/>
    </row>
    <row r="207" spans="1:10" ht="14">
      <c r="A207" s="183" t="s">
        <v>147</v>
      </c>
      <c r="B207" s="178">
        <v>8560</v>
      </c>
      <c r="C207" s="25" t="s">
        <v>146</v>
      </c>
      <c r="D207" s="26">
        <v>43678</v>
      </c>
      <c r="E207" s="182">
        <f>SUMIF('FY19-20'!$C$10:$C$172,Import!B207,'FY19-20'!$F$10:$F$172)</f>
        <v>0</v>
      </c>
      <c r="F207" s="182">
        <f t="shared" si="5"/>
        <v>0</v>
      </c>
      <c r="G207" s="179" t="s">
        <v>408</v>
      </c>
      <c r="H207" s="182">
        <v>194</v>
      </c>
      <c r="J207" s="181"/>
    </row>
    <row r="208" spans="1:10" ht="14">
      <c r="A208" s="183" t="s">
        <v>147</v>
      </c>
      <c r="B208" s="178">
        <v>8598</v>
      </c>
      <c r="C208" s="25" t="s">
        <v>146</v>
      </c>
      <c r="D208" s="26">
        <v>43678</v>
      </c>
      <c r="E208" s="182">
        <f>SUMIF('FY19-20'!$C$10:$C$172,Import!B208,'FY19-20'!$F$10:$F$172)</f>
        <v>0</v>
      </c>
      <c r="F208" s="182">
        <f t="shared" si="5"/>
        <v>0</v>
      </c>
      <c r="G208" s="179" t="s">
        <v>408</v>
      </c>
      <c r="H208" s="182">
        <v>195</v>
      </c>
      <c r="J208" s="181"/>
    </row>
    <row r="209" spans="1:10" ht="14">
      <c r="A209" s="183" t="s">
        <v>147</v>
      </c>
      <c r="B209" s="178">
        <v>8599</v>
      </c>
      <c r="C209" s="25" t="s">
        <v>146</v>
      </c>
      <c r="D209" s="26">
        <v>43678</v>
      </c>
      <c r="E209" s="182">
        <f>SUMIF('FY19-20'!$C$10:$C$172,Import!B209,'FY19-20'!$F$10:$F$172)</f>
        <v>0</v>
      </c>
      <c r="F209" s="182">
        <f t="shared" si="5"/>
        <v>0</v>
      </c>
      <c r="G209" s="179" t="s">
        <v>408</v>
      </c>
      <c r="H209" s="182">
        <v>196</v>
      </c>
      <c r="J209" s="181"/>
    </row>
    <row r="210" spans="1:10" ht="14">
      <c r="A210" s="183" t="s">
        <v>147</v>
      </c>
      <c r="B210" s="178">
        <v>8634</v>
      </c>
      <c r="C210" s="25" t="s">
        <v>146</v>
      </c>
      <c r="D210" s="26">
        <v>43678</v>
      </c>
      <c r="E210" s="182">
        <f>SUMIF('FY19-20'!$C$10:$C$172,Import!B210,'FY19-20'!$F$10:$F$172)</f>
        <v>0</v>
      </c>
      <c r="F210" s="182">
        <f t="shared" si="5"/>
        <v>0</v>
      </c>
      <c r="G210" s="179" t="s">
        <v>408</v>
      </c>
      <c r="H210" s="182">
        <v>197</v>
      </c>
      <c r="J210" s="181"/>
    </row>
    <row r="211" spans="1:10" ht="14">
      <c r="A211" s="183" t="s">
        <v>147</v>
      </c>
      <c r="B211" s="178">
        <v>8650</v>
      </c>
      <c r="C211" s="25" t="s">
        <v>146</v>
      </c>
      <c r="D211" s="26">
        <v>43678</v>
      </c>
      <c r="E211" s="182">
        <f>SUMIF('FY19-20'!$C$10:$C$172,Import!B211,'FY19-20'!$F$10:$F$172)</f>
        <v>0</v>
      </c>
      <c r="F211" s="182">
        <f t="shared" si="5"/>
        <v>0</v>
      </c>
      <c r="G211" s="179" t="s">
        <v>408</v>
      </c>
      <c r="H211" s="182">
        <v>198</v>
      </c>
      <c r="J211" s="181"/>
    </row>
    <row r="212" spans="1:10" ht="14">
      <c r="A212" s="183" t="s">
        <v>147</v>
      </c>
      <c r="B212" s="178">
        <v>8660</v>
      </c>
      <c r="C212" s="25" t="s">
        <v>146</v>
      </c>
      <c r="D212" s="26">
        <v>43678</v>
      </c>
      <c r="E212" s="182">
        <f>SUMIF('FY19-20'!$C$10:$C$172,Import!B212,'FY19-20'!$F$10:$F$172)</f>
        <v>0</v>
      </c>
      <c r="F212" s="182">
        <f t="shared" si="5"/>
        <v>0</v>
      </c>
      <c r="G212" s="179" t="s">
        <v>408</v>
      </c>
      <c r="H212" s="182">
        <v>199</v>
      </c>
      <c r="J212" s="181"/>
    </row>
    <row r="213" spans="1:10" ht="14">
      <c r="A213" s="183" t="s">
        <v>147</v>
      </c>
      <c r="B213" s="178">
        <v>8689</v>
      </c>
      <c r="C213" s="25" t="s">
        <v>146</v>
      </c>
      <c r="D213" s="26">
        <v>43678</v>
      </c>
      <c r="E213" s="182">
        <f>SUMIF('FY19-20'!$C$10:$C$172,Import!B213,'FY19-20'!$F$10:$F$172)</f>
        <v>0</v>
      </c>
      <c r="F213" s="182">
        <f t="shared" si="5"/>
        <v>0</v>
      </c>
      <c r="G213" s="179" t="s">
        <v>408</v>
      </c>
      <c r="H213" s="182">
        <v>200</v>
      </c>
      <c r="J213" s="181"/>
    </row>
    <row r="214" spans="1:10" ht="14">
      <c r="A214" s="183" t="s">
        <v>147</v>
      </c>
      <c r="B214" s="178">
        <v>8698</v>
      </c>
      <c r="C214" s="25" t="s">
        <v>146</v>
      </c>
      <c r="D214" s="26">
        <v>43678</v>
      </c>
      <c r="E214" s="182">
        <f>SUMIF('FY19-20'!$C$10:$C$172,Import!B214,'FY19-20'!$F$10:$F$172)</f>
        <v>0</v>
      </c>
      <c r="F214" s="182">
        <f t="shared" si="5"/>
        <v>0</v>
      </c>
      <c r="G214" s="179" t="s">
        <v>408</v>
      </c>
      <c r="H214" s="182">
        <v>201</v>
      </c>
      <c r="J214" s="181"/>
    </row>
    <row r="215" spans="1:10" ht="14">
      <c r="A215" s="183" t="s">
        <v>147</v>
      </c>
      <c r="B215" s="178">
        <v>8699</v>
      </c>
      <c r="C215" s="25" t="s">
        <v>146</v>
      </c>
      <c r="D215" s="26">
        <v>43678</v>
      </c>
      <c r="E215" s="182">
        <f>SUMIF('FY19-20'!$C$10:$C$172,Import!B215,'FY19-20'!$F$10:$F$172)</f>
        <v>0</v>
      </c>
      <c r="F215" s="182">
        <f t="shared" si="5"/>
        <v>0</v>
      </c>
      <c r="G215" s="179" t="s">
        <v>408</v>
      </c>
      <c r="H215" s="182">
        <v>202</v>
      </c>
      <c r="J215" s="181"/>
    </row>
    <row r="216" spans="1:10" ht="14">
      <c r="A216" s="183" t="s">
        <v>147</v>
      </c>
      <c r="B216" s="178">
        <v>8980</v>
      </c>
      <c r="C216" s="25" t="s">
        <v>146</v>
      </c>
      <c r="D216" s="26">
        <v>43678</v>
      </c>
      <c r="E216" s="182">
        <f>SUMIF('FY19-20'!$C$10:$C$172,Import!B216,'FY19-20'!$F$10:$F$172)</f>
        <v>0</v>
      </c>
      <c r="F216" s="182">
        <f t="shared" si="5"/>
        <v>0</v>
      </c>
      <c r="G216" s="179" t="s">
        <v>408</v>
      </c>
      <c r="H216" s="182">
        <v>203</v>
      </c>
      <c r="J216" s="181"/>
    </row>
    <row r="217" spans="1:10" ht="14">
      <c r="A217" s="183" t="s">
        <v>147</v>
      </c>
      <c r="B217" s="178">
        <v>8990</v>
      </c>
      <c r="C217" s="25" t="s">
        <v>146</v>
      </c>
      <c r="D217" s="26">
        <v>43678</v>
      </c>
      <c r="E217" s="182">
        <f>SUMIF('FY19-20'!$C$10:$C$172,Import!B217,'FY19-20'!$F$10:$F$172)</f>
        <v>0</v>
      </c>
      <c r="F217" s="182">
        <f t="shared" si="5"/>
        <v>0</v>
      </c>
      <c r="G217" s="179" t="s">
        <v>408</v>
      </c>
      <c r="H217" s="182">
        <v>204</v>
      </c>
      <c r="J217" s="181"/>
    </row>
    <row r="218" spans="1:10" ht="14">
      <c r="A218" s="183" t="s">
        <v>147</v>
      </c>
      <c r="B218" s="178">
        <v>1100</v>
      </c>
      <c r="C218" s="25" t="s">
        <v>146</v>
      </c>
      <c r="D218" s="26">
        <v>43709</v>
      </c>
      <c r="E218" s="182">
        <f>SUMIF('FY19-20'!$C$10:$C$172,Import!B218,'FY19-20'!$G$10:$G$172)</f>
        <v>706821.21</v>
      </c>
      <c r="F218" s="182">
        <f t="shared" ref="F218:F249" si="6">-IF(E218&lt;0,E218)</f>
        <v>0</v>
      </c>
      <c r="G218" s="179" t="s">
        <v>408</v>
      </c>
      <c r="H218" s="182">
        <v>205</v>
      </c>
      <c r="J218" s="181"/>
    </row>
    <row r="219" spans="1:10" ht="14">
      <c r="A219" s="183" t="s">
        <v>147</v>
      </c>
      <c r="B219" s="178">
        <v>1170</v>
      </c>
      <c r="C219" s="25" t="s">
        <v>146</v>
      </c>
      <c r="D219" s="26">
        <v>43709</v>
      </c>
      <c r="E219" s="182">
        <f>SUMIF('FY19-20'!$C$10:$C$172,Import!B219,'FY19-20'!$G$10:$G$172)</f>
        <v>0</v>
      </c>
      <c r="F219" s="182">
        <f t="shared" si="6"/>
        <v>0</v>
      </c>
      <c r="G219" s="179" t="s">
        <v>408</v>
      </c>
      <c r="H219" s="182">
        <v>206</v>
      </c>
      <c r="J219" s="181"/>
    </row>
    <row r="220" spans="1:10" ht="14">
      <c r="A220" s="183" t="s">
        <v>147</v>
      </c>
      <c r="B220" s="178">
        <v>1175</v>
      </c>
      <c r="C220" s="25" t="s">
        <v>146</v>
      </c>
      <c r="D220" s="26">
        <v>43709</v>
      </c>
      <c r="E220" s="182">
        <f>SUMIF('FY19-20'!$C$10:$C$172,Import!B220,'FY19-20'!$G$10:$G$172)</f>
        <v>135604.01</v>
      </c>
      <c r="F220" s="182">
        <f t="shared" si="6"/>
        <v>0</v>
      </c>
      <c r="G220" s="179" t="s">
        <v>408</v>
      </c>
      <c r="H220" s="182">
        <v>207</v>
      </c>
      <c r="J220" s="181"/>
    </row>
    <row r="221" spans="1:10" ht="14">
      <c r="A221" s="183" t="s">
        <v>147</v>
      </c>
      <c r="B221" s="178">
        <v>1200</v>
      </c>
      <c r="C221" s="25" t="s">
        <v>146</v>
      </c>
      <c r="D221" s="26">
        <v>43709</v>
      </c>
      <c r="E221" s="182">
        <f>SUMIF('FY19-20'!$C$10:$C$172,Import!B221,'FY19-20'!$G$10:$G$172)</f>
        <v>25091.34</v>
      </c>
      <c r="F221" s="182">
        <f t="shared" si="6"/>
        <v>0</v>
      </c>
      <c r="G221" s="179" t="s">
        <v>408</v>
      </c>
      <c r="H221" s="182">
        <v>208</v>
      </c>
      <c r="J221" s="181"/>
    </row>
    <row r="222" spans="1:10" ht="14">
      <c r="A222" s="183" t="s">
        <v>147</v>
      </c>
      <c r="B222" s="178">
        <v>1300</v>
      </c>
      <c r="C222" s="25" t="s">
        <v>146</v>
      </c>
      <c r="D222" s="26">
        <v>43709</v>
      </c>
      <c r="E222" s="182">
        <f>SUMIF('FY19-20'!$C$10:$C$172,Import!B222,'FY19-20'!$G$10:$G$172)</f>
        <v>108616.64</v>
      </c>
      <c r="F222" s="182">
        <f t="shared" si="6"/>
        <v>0</v>
      </c>
      <c r="G222" s="179" t="s">
        <v>408</v>
      </c>
      <c r="H222" s="182">
        <v>209</v>
      </c>
      <c r="J222" s="181"/>
    </row>
    <row r="223" spans="1:10" ht="14">
      <c r="A223" s="183" t="s">
        <v>147</v>
      </c>
      <c r="B223" s="178">
        <v>1900</v>
      </c>
      <c r="C223" s="25" t="s">
        <v>146</v>
      </c>
      <c r="D223" s="26">
        <v>43709</v>
      </c>
      <c r="E223" s="182">
        <f>SUMIF('FY19-20'!$C$10:$C$172,Import!B223,'FY19-20'!$G$10:$G$172)</f>
        <v>0</v>
      </c>
      <c r="F223" s="182">
        <f t="shared" si="6"/>
        <v>0</v>
      </c>
      <c r="G223" s="179" t="s">
        <v>408</v>
      </c>
      <c r="H223" s="182">
        <v>210</v>
      </c>
      <c r="J223" s="181"/>
    </row>
    <row r="224" spans="1:10" ht="14">
      <c r="A224" s="183" t="s">
        <v>147</v>
      </c>
      <c r="B224" s="178">
        <v>2100</v>
      </c>
      <c r="C224" s="25" t="s">
        <v>146</v>
      </c>
      <c r="D224" s="26">
        <v>43709</v>
      </c>
      <c r="E224" s="182">
        <f>SUMIF('FY19-20'!$C$10:$C$172,Import!B224,'FY19-20'!$G$10:$G$172)</f>
        <v>23143.88</v>
      </c>
      <c r="F224" s="182">
        <f t="shared" si="6"/>
        <v>0</v>
      </c>
      <c r="G224" s="179" t="s">
        <v>408</v>
      </c>
      <c r="H224" s="182">
        <v>211</v>
      </c>
      <c r="J224" s="181"/>
    </row>
    <row r="225" spans="1:10" ht="14">
      <c r="A225" s="183" t="s">
        <v>147</v>
      </c>
      <c r="B225" s="178">
        <v>2200</v>
      </c>
      <c r="C225" s="25" t="s">
        <v>146</v>
      </c>
      <c r="D225" s="26">
        <v>43709</v>
      </c>
      <c r="E225" s="182">
        <f>SUMIF('FY19-20'!$C$10:$C$172,Import!B225,'FY19-20'!$G$10:$G$172)</f>
        <v>0</v>
      </c>
      <c r="F225" s="182">
        <f t="shared" si="6"/>
        <v>0</v>
      </c>
      <c r="G225" s="179" t="s">
        <v>408</v>
      </c>
      <c r="H225" s="182">
        <v>212</v>
      </c>
      <c r="J225" s="181"/>
    </row>
    <row r="226" spans="1:10" ht="14">
      <c r="A226" s="183" t="s">
        <v>147</v>
      </c>
      <c r="B226" s="178">
        <v>2300</v>
      </c>
      <c r="C226" s="25" t="s">
        <v>146</v>
      </c>
      <c r="D226" s="26">
        <v>43709</v>
      </c>
      <c r="E226" s="182">
        <f>SUMIF('FY19-20'!$C$10:$C$172,Import!B226,'FY19-20'!$G$10:$G$172)</f>
        <v>0</v>
      </c>
      <c r="F226" s="182">
        <f t="shared" si="6"/>
        <v>0</v>
      </c>
      <c r="G226" s="179" t="s">
        <v>408</v>
      </c>
      <c r="H226" s="182">
        <v>213</v>
      </c>
      <c r="J226" s="181"/>
    </row>
    <row r="227" spans="1:10" ht="14">
      <c r="A227" s="183" t="s">
        <v>147</v>
      </c>
      <c r="B227" s="178">
        <v>2400</v>
      </c>
      <c r="C227" s="25" t="s">
        <v>146</v>
      </c>
      <c r="D227" s="26">
        <v>43709</v>
      </c>
      <c r="E227" s="182">
        <f>SUMIF('FY19-20'!$C$10:$C$172,Import!B227,'FY19-20'!$G$10:$G$172)</f>
        <v>0</v>
      </c>
      <c r="F227" s="182">
        <f t="shared" si="6"/>
        <v>0</v>
      </c>
      <c r="G227" s="179" t="s">
        <v>408</v>
      </c>
      <c r="H227" s="182">
        <v>214</v>
      </c>
      <c r="J227" s="181"/>
    </row>
    <row r="228" spans="1:10" ht="14">
      <c r="A228" s="183" t="s">
        <v>147</v>
      </c>
      <c r="B228" s="178">
        <v>2900</v>
      </c>
      <c r="C228" s="25" t="s">
        <v>146</v>
      </c>
      <c r="D228" s="26">
        <v>43709</v>
      </c>
      <c r="E228" s="182">
        <f>SUMIF('FY19-20'!$C$10:$C$172,Import!B228,'FY19-20'!$G$10:$G$172)</f>
        <v>0</v>
      </c>
      <c r="F228" s="182">
        <f t="shared" si="6"/>
        <v>0</v>
      </c>
      <c r="G228" s="179" t="s">
        <v>408</v>
      </c>
      <c r="H228" s="182">
        <v>215</v>
      </c>
      <c r="J228" s="181"/>
    </row>
    <row r="229" spans="1:10" ht="14">
      <c r="A229" s="183" t="s">
        <v>147</v>
      </c>
      <c r="B229" s="178">
        <v>3101</v>
      </c>
      <c r="C229" s="25" t="s">
        <v>146</v>
      </c>
      <c r="D229" s="26">
        <v>43709</v>
      </c>
      <c r="E229" s="182">
        <f>SUMIF('FY19-20'!$C$10:$C$172,Import!B229,'FY19-20'!$G$10:$G$172)</f>
        <v>163919.47</v>
      </c>
      <c r="F229" s="182">
        <f t="shared" si="6"/>
        <v>0</v>
      </c>
      <c r="G229" s="179" t="s">
        <v>408</v>
      </c>
      <c r="H229" s="182">
        <v>216</v>
      </c>
      <c r="J229" s="181"/>
    </row>
    <row r="230" spans="1:10" ht="14">
      <c r="A230" s="183" t="s">
        <v>147</v>
      </c>
      <c r="B230" s="178">
        <v>3202</v>
      </c>
      <c r="C230" s="25" t="s">
        <v>146</v>
      </c>
      <c r="D230" s="26">
        <v>43709</v>
      </c>
      <c r="E230" s="182">
        <f>SUMIF('FY19-20'!$C$10:$C$172,Import!B230,'FY19-20'!$G$10:$G$172)</f>
        <v>0</v>
      </c>
      <c r="F230" s="182">
        <f t="shared" si="6"/>
        <v>0</v>
      </c>
      <c r="G230" s="179" t="s">
        <v>408</v>
      </c>
      <c r="H230" s="182">
        <v>217</v>
      </c>
      <c r="J230" s="181"/>
    </row>
    <row r="231" spans="1:10" ht="14">
      <c r="A231" s="183" t="s">
        <v>147</v>
      </c>
      <c r="B231" s="178">
        <v>3301</v>
      </c>
      <c r="C231" s="25" t="s">
        <v>146</v>
      </c>
      <c r="D231" s="26">
        <v>43709</v>
      </c>
      <c r="E231" s="182">
        <f>SUMIF('FY19-20'!$C$10:$C$172,Import!B231,'FY19-20'!$G$10:$G$172)</f>
        <v>1523.34</v>
      </c>
      <c r="F231" s="182">
        <f t="shared" si="6"/>
        <v>0</v>
      </c>
      <c r="G231" s="179" t="s">
        <v>408</v>
      </c>
      <c r="H231" s="182">
        <v>218</v>
      </c>
      <c r="J231" s="181"/>
    </row>
    <row r="232" spans="1:10" ht="14">
      <c r="A232" s="183" t="s">
        <v>147</v>
      </c>
      <c r="B232" s="178">
        <v>3302</v>
      </c>
      <c r="C232" s="25" t="s">
        <v>146</v>
      </c>
      <c r="D232" s="26">
        <v>43709</v>
      </c>
      <c r="E232" s="182">
        <f>SUMIF('FY19-20'!$C$10:$C$172,Import!B232,'FY19-20'!$G$10:$G$172)</f>
        <v>0</v>
      </c>
      <c r="F232" s="182">
        <f t="shared" si="6"/>
        <v>0</v>
      </c>
      <c r="G232" s="179" t="s">
        <v>408</v>
      </c>
      <c r="H232" s="182">
        <v>219</v>
      </c>
      <c r="J232" s="181"/>
    </row>
    <row r="233" spans="1:10" ht="14">
      <c r="A233" s="183" t="s">
        <v>147</v>
      </c>
      <c r="B233" s="178">
        <v>3311</v>
      </c>
      <c r="C233" s="25" t="s">
        <v>146</v>
      </c>
      <c r="D233" s="26">
        <v>43709</v>
      </c>
      <c r="E233" s="182">
        <f>SUMIF('FY19-20'!$C$10:$C$172,Import!B233,'FY19-20'!$G$10:$G$172)</f>
        <v>14074.54</v>
      </c>
      <c r="F233" s="182">
        <f t="shared" si="6"/>
        <v>0</v>
      </c>
      <c r="G233" s="179" t="s">
        <v>408</v>
      </c>
      <c r="H233" s="182">
        <v>220</v>
      </c>
      <c r="J233" s="181"/>
    </row>
    <row r="234" spans="1:10" ht="14">
      <c r="A234" s="183" t="s">
        <v>147</v>
      </c>
      <c r="B234" s="178">
        <v>3312</v>
      </c>
      <c r="C234" s="25" t="s">
        <v>146</v>
      </c>
      <c r="D234" s="26">
        <v>43709</v>
      </c>
      <c r="E234" s="182">
        <f>SUMIF('FY19-20'!$C$10:$C$172,Import!B234,'FY19-20'!$G$10:$G$172)</f>
        <v>0</v>
      </c>
      <c r="F234" s="182">
        <f t="shared" si="6"/>
        <v>0</v>
      </c>
      <c r="G234" s="179" t="s">
        <v>408</v>
      </c>
      <c r="H234" s="182">
        <v>221</v>
      </c>
      <c r="J234" s="181"/>
    </row>
    <row r="235" spans="1:10" ht="14">
      <c r="A235" s="183" t="s">
        <v>147</v>
      </c>
      <c r="B235" s="178">
        <v>3401</v>
      </c>
      <c r="C235" s="25" t="s">
        <v>146</v>
      </c>
      <c r="D235" s="26">
        <v>43709</v>
      </c>
      <c r="E235" s="182">
        <f>SUMIF('FY19-20'!$C$10:$C$172,Import!B235,'FY19-20'!$G$10:$G$172)</f>
        <v>87837.5</v>
      </c>
      <c r="F235" s="182">
        <f t="shared" si="6"/>
        <v>0</v>
      </c>
      <c r="G235" s="179" t="s">
        <v>408</v>
      </c>
      <c r="H235" s="182">
        <v>222</v>
      </c>
      <c r="J235" s="181"/>
    </row>
    <row r="236" spans="1:10" ht="14">
      <c r="A236" s="183" t="s">
        <v>147</v>
      </c>
      <c r="B236" s="178">
        <v>3402</v>
      </c>
      <c r="C236" s="25" t="s">
        <v>146</v>
      </c>
      <c r="D236" s="26">
        <v>43709</v>
      </c>
      <c r="E236" s="182">
        <f>SUMIF('FY19-20'!$C$10:$C$172,Import!B236,'FY19-20'!$G$10:$G$172)</f>
        <v>0</v>
      </c>
      <c r="F236" s="182">
        <f t="shared" si="6"/>
        <v>0</v>
      </c>
      <c r="G236" s="179" t="s">
        <v>408</v>
      </c>
      <c r="H236" s="182">
        <v>223</v>
      </c>
      <c r="J236" s="181"/>
    </row>
    <row r="237" spans="1:10" ht="14">
      <c r="A237" s="183" t="s">
        <v>147</v>
      </c>
      <c r="B237" s="178">
        <v>3501</v>
      </c>
      <c r="C237" s="25" t="s">
        <v>146</v>
      </c>
      <c r="D237" s="26">
        <v>43709</v>
      </c>
      <c r="E237" s="182">
        <f>SUMIF('FY19-20'!$C$10:$C$172,Import!B237,'FY19-20'!$G$10:$G$172)</f>
        <v>5328.29</v>
      </c>
      <c r="F237" s="182">
        <f t="shared" si="6"/>
        <v>0</v>
      </c>
      <c r="G237" s="179" t="s">
        <v>408</v>
      </c>
      <c r="H237" s="182">
        <v>224</v>
      </c>
      <c r="J237" s="181"/>
    </row>
    <row r="238" spans="1:10" ht="14">
      <c r="A238" s="183" t="s">
        <v>147</v>
      </c>
      <c r="B238" s="178">
        <v>3502</v>
      </c>
      <c r="C238" s="25" t="s">
        <v>146</v>
      </c>
      <c r="D238" s="26">
        <v>43709</v>
      </c>
      <c r="E238" s="182">
        <f>SUMIF('FY19-20'!$C$10:$C$172,Import!B238,'FY19-20'!$G$10:$G$172)</f>
        <v>0</v>
      </c>
      <c r="F238" s="182">
        <f t="shared" si="6"/>
        <v>0</v>
      </c>
      <c r="G238" s="179" t="s">
        <v>408</v>
      </c>
      <c r="H238" s="182">
        <v>225</v>
      </c>
      <c r="J238" s="181"/>
    </row>
    <row r="239" spans="1:10" ht="14">
      <c r="A239" s="183" t="s">
        <v>147</v>
      </c>
      <c r="B239" s="178">
        <v>3601</v>
      </c>
      <c r="C239" s="25" t="s">
        <v>146</v>
      </c>
      <c r="D239" s="26">
        <v>43709</v>
      </c>
      <c r="E239" s="182">
        <f>SUMIF('FY19-20'!$C$10:$C$172,Import!B239,'FY19-20'!$G$10:$G$172)</f>
        <v>7813.52</v>
      </c>
      <c r="F239" s="182">
        <f t="shared" si="6"/>
        <v>0</v>
      </c>
      <c r="G239" s="179" t="s">
        <v>408</v>
      </c>
      <c r="H239" s="182">
        <v>226</v>
      </c>
      <c r="J239" s="181"/>
    </row>
    <row r="240" spans="1:10" ht="14">
      <c r="A240" s="183" t="s">
        <v>147</v>
      </c>
      <c r="B240" s="178">
        <v>3602</v>
      </c>
      <c r="C240" s="25" t="s">
        <v>146</v>
      </c>
      <c r="D240" s="26">
        <v>43709</v>
      </c>
      <c r="E240" s="182">
        <f>SUMIF('FY19-20'!$C$10:$C$172,Import!B240,'FY19-20'!$G$10:$G$172)</f>
        <v>0</v>
      </c>
      <c r="F240" s="182">
        <f t="shared" si="6"/>
        <v>0</v>
      </c>
      <c r="G240" s="179" t="s">
        <v>408</v>
      </c>
      <c r="H240" s="182">
        <v>227</v>
      </c>
      <c r="J240" s="181"/>
    </row>
    <row r="241" spans="1:10" ht="14">
      <c r="A241" s="183" t="s">
        <v>147</v>
      </c>
      <c r="B241" s="178">
        <v>3901</v>
      </c>
      <c r="C241" s="25" t="s">
        <v>146</v>
      </c>
      <c r="D241" s="26">
        <v>43709</v>
      </c>
      <c r="E241" s="182">
        <f>SUMIF('FY19-20'!$C$10:$C$172,Import!B241,'FY19-20'!$G$10:$G$172)</f>
        <v>0</v>
      </c>
      <c r="F241" s="182">
        <f t="shared" si="6"/>
        <v>0</v>
      </c>
      <c r="G241" s="179" t="s">
        <v>408</v>
      </c>
      <c r="H241" s="182">
        <v>228</v>
      </c>
      <c r="J241" s="181"/>
    </row>
    <row r="242" spans="1:10" ht="14">
      <c r="A242" s="183" t="s">
        <v>147</v>
      </c>
      <c r="B242" s="178">
        <v>3902</v>
      </c>
      <c r="C242" s="25" t="s">
        <v>146</v>
      </c>
      <c r="D242" s="26">
        <v>43709</v>
      </c>
      <c r="E242" s="182">
        <f>SUMIF('FY19-20'!$C$10:$C$172,Import!B242,'FY19-20'!$G$10:$G$172)</f>
        <v>0</v>
      </c>
      <c r="F242" s="182">
        <f t="shared" si="6"/>
        <v>0</v>
      </c>
      <c r="G242" s="179" t="s">
        <v>408</v>
      </c>
      <c r="H242" s="182">
        <v>229</v>
      </c>
      <c r="J242" s="181"/>
    </row>
    <row r="243" spans="1:10" ht="14">
      <c r="A243" s="183" t="s">
        <v>147</v>
      </c>
      <c r="B243" s="178">
        <v>4100</v>
      </c>
      <c r="C243" s="25" t="s">
        <v>146</v>
      </c>
      <c r="D243" s="26">
        <v>43709</v>
      </c>
      <c r="E243" s="182">
        <f>SUMIF('FY19-20'!$C$10:$C$172,Import!B243,'FY19-20'!$G$10:$G$172)</f>
        <v>0</v>
      </c>
      <c r="F243" s="182">
        <f t="shared" si="6"/>
        <v>0</v>
      </c>
      <c r="G243" s="179" t="s">
        <v>408</v>
      </c>
      <c r="H243" s="182">
        <v>230</v>
      </c>
      <c r="J243" s="181"/>
    </row>
    <row r="244" spans="1:10" ht="14">
      <c r="A244" s="183" t="s">
        <v>147</v>
      </c>
      <c r="B244" s="178">
        <v>4200</v>
      </c>
      <c r="C244" s="25" t="s">
        <v>146</v>
      </c>
      <c r="D244" s="26">
        <v>43709</v>
      </c>
      <c r="E244" s="182">
        <f>SUMIF('FY19-20'!$C$10:$C$172,Import!B244,'FY19-20'!$G$10:$G$172)</f>
        <v>0</v>
      </c>
      <c r="F244" s="182">
        <f t="shared" si="6"/>
        <v>0</v>
      </c>
      <c r="G244" s="179" t="s">
        <v>408</v>
      </c>
      <c r="H244" s="182">
        <v>231</v>
      </c>
      <c r="J244" s="181"/>
    </row>
    <row r="245" spans="1:10" ht="14">
      <c r="A245" s="183" t="s">
        <v>147</v>
      </c>
      <c r="B245" s="178">
        <v>4302</v>
      </c>
      <c r="C245" s="25" t="s">
        <v>146</v>
      </c>
      <c r="D245" s="26">
        <v>43709</v>
      </c>
      <c r="E245" s="182">
        <f>SUMIF('FY19-20'!$C$10:$C$172,Import!B245,'FY19-20'!$G$10:$G$172)</f>
        <v>319568.2</v>
      </c>
      <c r="F245" s="182">
        <f t="shared" si="6"/>
        <v>0</v>
      </c>
      <c r="G245" s="179" t="s">
        <v>408</v>
      </c>
      <c r="H245" s="182">
        <v>232</v>
      </c>
      <c r="J245" s="181"/>
    </row>
    <row r="246" spans="1:10" ht="14">
      <c r="A246" s="183" t="s">
        <v>147</v>
      </c>
      <c r="B246" s="178">
        <v>4305</v>
      </c>
      <c r="C246" s="25" t="s">
        <v>146</v>
      </c>
      <c r="D246" s="26">
        <v>43709</v>
      </c>
      <c r="E246" s="182">
        <f>SUMIF('FY19-20'!$C$10:$C$172,Import!B246,'FY19-20'!$G$10:$G$172)</f>
        <v>17069.580000000002</v>
      </c>
      <c r="F246" s="182">
        <f t="shared" si="6"/>
        <v>0</v>
      </c>
      <c r="G246" s="179" t="s">
        <v>408</v>
      </c>
      <c r="H246" s="182">
        <v>233</v>
      </c>
      <c r="J246" s="181"/>
    </row>
    <row r="247" spans="1:10" ht="14">
      <c r="A247" s="183" t="s">
        <v>147</v>
      </c>
      <c r="B247" s="178">
        <v>4310</v>
      </c>
      <c r="C247" s="25" t="s">
        <v>146</v>
      </c>
      <c r="D247" s="26">
        <v>43709</v>
      </c>
      <c r="E247" s="182">
        <f>SUMIF('FY19-20'!$C$10:$C$172,Import!B247,'FY19-20'!$G$10:$G$172)</f>
        <v>1260.97</v>
      </c>
      <c r="F247" s="182">
        <f t="shared" si="6"/>
        <v>0</v>
      </c>
      <c r="G247" s="179" t="s">
        <v>408</v>
      </c>
      <c r="H247" s="182">
        <v>234</v>
      </c>
      <c r="J247" s="181"/>
    </row>
    <row r="248" spans="1:10" ht="14">
      <c r="A248" s="183" t="s">
        <v>147</v>
      </c>
      <c r="B248" s="178">
        <v>4311</v>
      </c>
      <c r="C248" s="25" t="s">
        <v>146</v>
      </c>
      <c r="D248" s="26">
        <v>43709</v>
      </c>
      <c r="E248" s="182">
        <f>SUMIF('FY19-20'!$C$10:$C$172,Import!B248,'FY19-20'!$G$10:$G$172)</f>
        <v>459.63</v>
      </c>
      <c r="F248" s="182">
        <f t="shared" si="6"/>
        <v>0</v>
      </c>
      <c r="G248" s="179" t="s">
        <v>408</v>
      </c>
      <c r="H248" s="182">
        <v>235</v>
      </c>
      <c r="J248" s="181"/>
    </row>
    <row r="249" spans="1:10" ht="14">
      <c r="A249" s="183" t="s">
        <v>147</v>
      </c>
      <c r="B249" s="178">
        <v>4312</v>
      </c>
      <c r="C249" s="25" t="s">
        <v>146</v>
      </c>
      <c r="D249" s="26">
        <v>43709</v>
      </c>
      <c r="E249" s="182">
        <f>SUMIF('FY19-20'!$C$10:$C$172,Import!B249,'FY19-20'!$G$10:$G$172)</f>
        <v>0</v>
      </c>
      <c r="F249" s="182">
        <f t="shared" si="6"/>
        <v>0</v>
      </c>
      <c r="G249" s="179" t="s">
        <v>408</v>
      </c>
      <c r="H249" s="182">
        <v>236</v>
      </c>
      <c r="J249" s="181"/>
    </row>
    <row r="250" spans="1:10" ht="14">
      <c r="A250" s="183" t="s">
        <v>147</v>
      </c>
      <c r="B250" s="178">
        <v>4400</v>
      </c>
      <c r="C250" s="25" t="s">
        <v>146</v>
      </c>
      <c r="D250" s="26">
        <v>43709</v>
      </c>
      <c r="E250" s="182">
        <f>SUMIF('FY19-20'!$C$10:$C$172,Import!B250,'FY19-20'!$G$10:$G$172)</f>
        <v>0</v>
      </c>
      <c r="F250" s="182">
        <f t="shared" ref="F250:F279" si="7">-IF(E250&lt;0,E250)</f>
        <v>0</v>
      </c>
      <c r="G250" s="179" t="s">
        <v>408</v>
      </c>
      <c r="H250" s="182">
        <v>237</v>
      </c>
      <c r="J250" s="181"/>
    </row>
    <row r="251" spans="1:10" ht="14">
      <c r="A251" s="183" t="s">
        <v>147</v>
      </c>
      <c r="B251" s="178">
        <v>4700</v>
      </c>
      <c r="C251" s="25" t="s">
        <v>146</v>
      </c>
      <c r="D251" s="26">
        <v>43709</v>
      </c>
      <c r="E251" s="182">
        <f>SUMIF('FY19-20'!$C$10:$C$172,Import!B251,'FY19-20'!$G$10:$G$172)</f>
        <v>0</v>
      </c>
      <c r="F251" s="182">
        <f t="shared" si="7"/>
        <v>0</v>
      </c>
      <c r="G251" s="179" t="s">
        <v>408</v>
      </c>
      <c r="H251" s="182">
        <v>238</v>
      </c>
      <c r="J251" s="181"/>
    </row>
    <row r="252" spans="1:10" ht="14">
      <c r="A252" s="183" t="s">
        <v>147</v>
      </c>
      <c r="B252" s="178">
        <v>5101</v>
      </c>
      <c r="C252" s="25" t="s">
        <v>146</v>
      </c>
      <c r="D252" s="26">
        <v>43709</v>
      </c>
      <c r="E252" s="182">
        <f>SUMIF('FY19-20'!$C$10:$C$172,Import!B252,'FY19-20'!$G$10:$G$172)</f>
        <v>0</v>
      </c>
      <c r="F252" s="182">
        <f t="shared" si="7"/>
        <v>0</v>
      </c>
      <c r="G252" s="179" t="s">
        <v>408</v>
      </c>
      <c r="H252" s="182">
        <v>239</v>
      </c>
      <c r="J252" s="181"/>
    </row>
    <row r="253" spans="1:10" ht="14">
      <c r="A253" s="183" t="s">
        <v>147</v>
      </c>
      <c r="B253" s="178">
        <v>5102</v>
      </c>
      <c r="C253" s="25" t="s">
        <v>146</v>
      </c>
      <c r="D253" s="26">
        <v>43709</v>
      </c>
      <c r="E253" s="182">
        <f>SUMIF('FY19-20'!$C$10:$C$172,Import!B253,'FY19-20'!$G$10:$G$172)</f>
        <v>42936.27</v>
      </c>
      <c r="F253" s="182">
        <f t="shared" si="7"/>
        <v>0</v>
      </c>
      <c r="G253" s="179" t="s">
        <v>408</v>
      </c>
      <c r="H253" s="182">
        <v>240</v>
      </c>
      <c r="J253" s="181"/>
    </row>
    <row r="254" spans="1:10" ht="14">
      <c r="A254" s="183" t="s">
        <v>147</v>
      </c>
      <c r="B254" s="178">
        <v>5103</v>
      </c>
      <c r="C254" s="25" t="s">
        <v>146</v>
      </c>
      <c r="D254" s="26">
        <v>43709</v>
      </c>
      <c r="E254" s="182">
        <f>SUMIF('FY19-20'!$C$10:$C$172,Import!B254,'FY19-20'!$G$10:$G$172)</f>
        <v>0</v>
      </c>
      <c r="F254" s="182">
        <f t="shared" si="7"/>
        <v>0</v>
      </c>
      <c r="G254" s="179" t="s">
        <v>408</v>
      </c>
      <c r="H254" s="182">
        <v>241</v>
      </c>
      <c r="J254" s="181"/>
    </row>
    <row r="255" spans="1:10" ht="14">
      <c r="A255" s="183" t="s">
        <v>147</v>
      </c>
      <c r="B255" s="178">
        <v>5104</v>
      </c>
      <c r="C255" s="25" t="s">
        <v>146</v>
      </c>
      <c r="D255" s="26">
        <v>43709</v>
      </c>
      <c r="E255" s="182">
        <f>SUMIF('FY19-20'!$C$10:$C$172,Import!B255,'FY19-20'!$G$10:$G$172)</f>
        <v>0</v>
      </c>
      <c r="F255" s="182">
        <f t="shared" si="7"/>
        <v>0</v>
      </c>
      <c r="G255" s="179" t="s">
        <v>408</v>
      </c>
      <c r="H255" s="182">
        <v>242</v>
      </c>
      <c r="J255" s="181"/>
    </row>
    <row r="256" spans="1:10" ht="14">
      <c r="A256" s="183" t="s">
        <v>147</v>
      </c>
      <c r="B256" s="178">
        <v>5105</v>
      </c>
      <c r="C256" s="25" t="s">
        <v>146</v>
      </c>
      <c r="D256" s="26">
        <v>43709</v>
      </c>
      <c r="E256" s="182">
        <f>SUMIF('FY19-20'!$C$10:$C$172,Import!B256,'FY19-20'!$G$10:$G$172)</f>
        <v>57.99</v>
      </c>
      <c r="F256" s="182">
        <f t="shared" si="7"/>
        <v>0</v>
      </c>
      <c r="G256" s="179" t="s">
        <v>408</v>
      </c>
      <c r="H256" s="182">
        <v>243</v>
      </c>
      <c r="J256" s="181"/>
    </row>
    <row r="257" spans="1:10" ht="14">
      <c r="A257" s="183" t="s">
        <v>147</v>
      </c>
      <c r="B257" s="178">
        <v>5106</v>
      </c>
      <c r="C257" s="25" t="s">
        <v>146</v>
      </c>
      <c r="D257" s="26">
        <v>43709</v>
      </c>
      <c r="E257" s="182">
        <f>SUMIF('FY19-20'!$C$10:$C$172,Import!B257,'FY19-20'!$G$10:$G$172)</f>
        <v>91702.45</v>
      </c>
      <c r="F257" s="182">
        <f t="shared" si="7"/>
        <v>0</v>
      </c>
      <c r="G257" s="179" t="s">
        <v>408</v>
      </c>
      <c r="H257" s="182">
        <v>244</v>
      </c>
      <c r="J257" s="181"/>
    </row>
    <row r="258" spans="1:10" ht="14">
      <c r="A258" s="183" t="s">
        <v>147</v>
      </c>
      <c r="B258" s="178">
        <v>5107</v>
      </c>
      <c r="C258" s="25" t="s">
        <v>146</v>
      </c>
      <c r="D258" s="26">
        <v>43709</v>
      </c>
      <c r="E258" s="182">
        <f>SUMIF('FY19-20'!$C$10:$C$172,Import!B258,'FY19-20'!$G$10:$G$172)</f>
        <v>895166.65</v>
      </c>
      <c r="F258" s="182">
        <f t="shared" ref="F258" si="8">-IF(E258&lt;0,E258)</f>
        <v>0</v>
      </c>
      <c r="G258" s="179" t="s">
        <v>408</v>
      </c>
      <c r="H258" s="182">
        <v>244</v>
      </c>
      <c r="J258" s="181"/>
    </row>
    <row r="259" spans="1:10" ht="14">
      <c r="A259" s="183" t="s">
        <v>147</v>
      </c>
      <c r="B259" s="178">
        <v>5201</v>
      </c>
      <c r="C259" s="25" t="s">
        <v>146</v>
      </c>
      <c r="D259" s="26">
        <v>43709</v>
      </c>
      <c r="E259" s="182">
        <f>SUMIF('FY19-20'!$C$10:$C$172,Import!B259,'FY19-20'!$G$10:$G$172)</f>
        <v>155.44</v>
      </c>
      <c r="F259" s="182">
        <f t="shared" si="7"/>
        <v>0</v>
      </c>
      <c r="G259" s="179" t="s">
        <v>408</v>
      </c>
      <c r="H259" s="182">
        <v>245</v>
      </c>
      <c r="J259" s="181"/>
    </row>
    <row r="260" spans="1:10" ht="14">
      <c r="A260" s="183" t="s">
        <v>147</v>
      </c>
      <c r="B260" s="178">
        <v>5202</v>
      </c>
      <c r="C260" s="25" t="s">
        <v>146</v>
      </c>
      <c r="D260" s="26">
        <v>43709</v>
      </c>
      <c r="E260" s="182">
        <f>SUMIF('FY19-20'!$C$10:$C$172,Import!B260,'FY19-20'!$G$10:$G$172)</f>
        <v>0</v>
      </c>
      <c r="F260" s="182">
        <f t="shared" si="7"/>
        <v>0</v>
      </c>
      <c r="G260" s="179" t="s">
        <v>408</v>
      </c>
      <c r="H260" s="182">
        <v>246</v>
      </c>
      <c r="J260" s="181"/>
    </row>
    <row r="261" spans="1:10" ht="14">
      <c r="A261" s="183" t="s">
        <v>147</v>
      </c>
      <c r="B261" s="178">
        <v>5203</v>
      </c>
      <c r="C261" s="25" t="s">
        <v>146</v>
      </c>
      <c r="D261" s="26">
        <v>43709</v>
      </c>
      <c r="E261" s="182">
        <f>SUMIF('FY19-20'!$C$10:$C$172,Import!B261,'FY19-20'!$G$10:$G$172)</f>
        <v>0</v>
      </c>
      <c r="F261" s="182">
        <f t="shared" si="7"/>
        <v>0</v>
      </c>
      <c r="G261" s="179" t="s">
        <v>408</v>
      </c>
      <c r="H261" s="182">
        <v>247</v>
      </c>
      <c r="J261" s="181"/>
    </row>
    <row r="262" spans="1:10" ht="14">
      <c r="A262" s="183" t="s">
        <v>147</v>
      </c>
      <c r="B262" s="178">
        <v>5300</v>
      </c>
      <c r="C262" s="25" t="s">
        <v>146</v>
      </c>
      <c r="D262" s="26">
        <v>43709</v>
      </c>
      <c r="E262" s="182">
        <f>SUMIF('FY19-20'!$C$10:$C$172,Import!B262,'FY19-20'!$G$10:$G$172)</f>
        <v>0</v>
      </c>
      <c r="F262" s="182">
        <f t="shared" si="7"/>
        <v>0</v>
      </c>
      <c r="G262" s="179" t="s">
        <v>408</v>
      </c>
      <c r="H262" s="182">
        <v>248</v>
      </c>
      <c r="J262" s="181"/>
    </row>
    <row r="263" spans="1:10" ht="14">
      <c r="A263" s="183" t="s">
        <v>147</v>
      </c>
      <c r="B263" s="178">
        <v>5400</v>
      </c>
      <c r="C263" s="25" t="s">
        <v>146</v>
      </c>
      <c r="D263" s="26">
        <v>43709</v>
      </c>
      <c r="E263" s="182">
        <f>SUMIF('FY19-20'!$C$10:$C$172,Import!B263,'FY19-20'!$G$10:$G$172)</f>
        <v>1296.22</v>
      </c>
      <c r="F263" s="182">
        <f t="shared" si="7"/>
        <v>0</v>
      </c>
      <c r="G263" s="179" t="s">
        <v>408</v>
      </c>
      <c r="H263" s="182">
        <v>249</v>
      </c>
      <c r="J263" s="181"/>
    </row>
    <row r="264" spans="1:10" ht="14">
      <c r="A264" s="183" t="s">
        <v>147</v>
      </c>
      <c r="B264" s="178">
        <v>5501</v>
      </c>
      <c r="C264" s="25" t="s">
        <v>146</v>
      </c>
      <c r="D264" s="26">
        <v>43709</v>
      </c>
      <c r="E264" s="182">
        <f>SUMIF('FY19-20'!$C$10:$C$172,Import!B264,'FY19-20'!$G$10:$G$172)</f>
        <v>0</v>
      </c>
      <c r="F264" s="182">
        <f t="shared" si="7"/>
        <v>0</v>
      </c>
      <c r="G264" s="179" t="s">
        <v>408</v>
      </c>
      <c r="H264" s="182">
        <v>250</v>
      </c>
      <c r="J264" s="181"/>
    </row>
    <row r="265" spans="1:10" ht="14">
      <c r="A265" s="183" t="s">
        <v>147</v>
      </c>
      <c r="B265" s="178">
        <v>5502</v>
      </c>
      <c r="C265" s="25" t="s">
        <v>146</v>
      </c>
      <c r="D265" s="26">
        <v>43709</v>
      </c>
      <c r="E265" s="182">
        <f>SUMIF('FY19-20'!$C$10:$C$172,Import!B265,'FY19-20'!$G$10:$G$172)</f>
        <v>500</v>
      </c>
      <c r="F265" s="182">
        <f t="shared" si="7"/>
        <v>0</v>
      </c>
      <c r="G265" s="179" t="s">
        <v>408</v>
      </c>
      <c r="H265" s="182">
        <v>251</v>
      </c>
      <c r="J265" s="181"/>
    </row>
    <row r="266" spans="1:10" ht="14">
      <c r="A266" s="183" t="s">
        <v>147</v>
      </c>
      <c r="B266" s="178">
        <v>5516</v>
      </c>
      <c r="C266" s="25" t="s">
        <v>146</v>
      </c>
      <c r="D266" s="26">
        <v>43709</v>
      </c>
      <c r="E266" s="182">
        <f>SUMIF('FY19-20'!$C$10:$C$172,Import!B266,'FY19-20'!$G$10:$G$172)</f>
        <v>0</v>
      </c>
      <c r="F266" s="182">
        <f t="shared" si="7"/>
        <v>0</v>
      </c>
      <c r="G266" s="179" t="s">
        <v>408</v>
      </c>
      <c r="H266" s="182">
        <v>252</v>
      </c>
      <c r="J266" s="181"/>
    </row>
    <row r="267" spans="1:10" ht="14">
      <c r="A267" s="183" t="s">
        <v>147</v>
      </c>
      <c r="B267" s="178">
        <v>5531</v>
      </c>
      <c r="C267" s="25" t="s">
        <v>146</v>
      </c>
      <c r="D267" s="26">
        <v>43709</v>
      </c>
      <c r="E267" s="182">
        <f>SUMIF('FY19-20'!$C$10:$C$172,Import!B267,'FY19-20'!$G$10:$G$172)</f>
        <v>0</v>
      </c>
      <c r="F267" s="182">
        <f t="shared" si="7"/>
        <v>0</v>
      </c>
      <c r="G267" s="179" t="s">
        <v>408</v>
      </c>
      <c r="H267" s="182">
        <v>255</v>
      </c>
      <c r="J267" s="181"/>
    </row>
    <row r="268" spans="1:10" ht="14">
      <c r="A268" s="183" t="s">
        <v>147</v>
      </c>
      <c r="B268" s="178">
        <v>5540</v>
      </c>
      <c r="C268" s="25" t="s">
        <v>146</v>
      </c>
      <c r="D268" s="26">
        <v>43709</v>
      </c>
      <c r="E268" s="182">
        <f>SUMIF('FY19-20'!$C$10:$C$172,Import!B268,'FY19-20'!$G$10:$G$172)</f>
        <v>0</v>
      </c>
      <c r="F268" s="182">
        <f t="shared" si="7"/>
        <v>0</v>
      </c>
      <c r="G268" s="179" t="s">
        <v>408</v>
      </c>
      <c r="H268" s="182">
        <v>256</v>
      </c>
      <c r="J268" s="181"/>
    </row>
    <row r="269" spans="1:10" ht="14">
      <c r="A269" s="183" t="s">
        <v>147</v>
      </c>
      <c r="B269" s="178">
        <v>5601</v>
      </c>
      <c r="C269" s="25" t="s">
        <v>146</v>
      </c>
      <c r="D269" s="26">
        <v>43709</v>
      </c>
      <c r="E269" s="182">
        <f>SUMIF('FY19-20'!$C$10:$C$172,Import!B269,'FY19-20'!$G$10:$G$172)</f>
        <v>4175</v>
      </c>
      <c r="F269" s="182">
        <f t="shared" si="7"/>
        <v>0</v>
      </c>
      <c r="G269" s="179" t="s">
        <v>408</v>
      </c>
      <c r="H269" s="182">
        <v>257</v>
      </c>
      <c r="J269" s="181"/>
    </row>
    <row r="270" spans="1:10" ht="14">
      <c r="A270" s="183" t="s">
        <v>147</v>
      </c>
      <c r="B270" s="178">
        <v>5602</v>
      </c>
      <c r="C270" s="25" t="s">
        <v>146</v>
      </c>
      <c r="D270" s="26">
        <v>43709</v>
      </c>
      <c r="E270" s="182">
        <f>SUMIF('FY19-20'!$C$10:$C$172,Import!B270,'FY19-20'!$G$10:$G$172)</f>
        <v>0</v>
      </c>
      <c r="F270" s="182">
        <f t="shared" si="7"/>
        <v>0</v>
      </c>
      <c r="G270" s="179" t="s">
        <v>408</v>
      </c>
      <c r="H270" s="182">
        <v>258</v>
      </c>
      <c r="J270" s="181"/>
    </row>
    <row r="271" spans="1:10" ht="14">
      <c r="A271" s="183" t="s">
        <v>147</v>
      </c>
      <c r="B271" s="178">
        <v>5603</v>
      </c>
      <c r="C271" s="25" t="s">
        <v>146</v>
      </c>
      <c r="D271" s="26">
        <v>43709</v>
      </c>
      <c r="E271" s="182">
        <f>SUMIF('FY19-20'!$C$10:$C$172,Import!B271,'FY19-20'!$G$10:$G$172)</f>
        <v>0</v>
      </c>
      <c r="F271" s="182">
        <f t="shared" si="7"/>
        <v>0</v>
      </c>
      <c r="G271" s="179" t="s">
        <v>408</v>
      </c>
      <c r="H271" s="182">
        <v>259</v>
      </c>
      <c r="J271" s="181"/>
    </row>
    <row r="272" spans="1:10" ht="14">
      <c r="A272" s="183" t="s">
        <v>147</v>
      </c>
      <c r="B272" s="178">
        <v>5604</v>
      </c>
      <c r="C272" s="25" t="s">
        <v>146</v>
      </c>
      <c r="D272" s="26">
        <v>43709</v>
      </c>
      <c r="E272" s="182">
        <f>SUMIF('FY19-20'!$C$10:$C$172,Import!B272,'FY19-20'!$G$10:$G$172)</f>
        <v>0</v>
      </c>
      <c r="F272" s="182">
        <f t="shared" si="7"/>
        <v>0</v>
      </c>
      <c r="G272" s="179" t="s">
        <v>408</v>
      </c>
      <c r="H272" s="182">
        <v>260</v>
      </c>
      <c r="J272" s="181"/>
    </row>
    <row r="273" spans="1:10" ht="14">
      <c r="A273" s="183" t="s">
        <v>147</v>
      </c>
      <c r="B273" s="178">
        <v>5605</v>
      </c>
      <c r="C273" s="25" t="s">
        <v>146</v>
      </c>
      <c r="D273" s="26">
        <v>43709</v>
      </c>
      <c r="E273" s="182">
        <f>SUMIF('FY19-20'!$C$10:$C$172,Import!B273,'FY19-20'!$G$10:$G$172)</f>
        <v>0</v>
      </c>
      <c r="F273" s="182">
        <f t="shared" si="7"/>
        <v>0</v>
      </c>
      <c r="G273" s="179" t="s">
        <v>408</v>
      </c>
      <c r="H273" s="182">
        <v>261</v>
      </c>
      <c r="J273" s="181"/>
    </row>
    <row r="274" spans="1:10" ht="14">
      <c r="A274" s="183" t="s">
        <v>147</v>
      </c>
      <c r="B274" s="178">
        <v>5610</v>
      </c>
      <c r="C274" s="25" t="s">
        <v>146</v>
      </c>
      <c r="D274" s="26">
        <v>43709</v>
      </c>
      <c r="E274" s="182">
        <f>SUMIF('FY19-20'!$C$10:$C$172,Import!B274,'FY19-20'!$G$10:$G$172)</f>
        <v>35</v>
      </c>
      <c r="F274" s="182">
        <f t="shared" si="7"/>
        <v>0</v>
      </c>
      <c r="G274" s="179" t="s">
        <v>408</v>
      </c>
      <c r="H274" s="182">
        <v>262</v>
      </c>
      <c r="J274" s="181"/>
    </row>
    <row r="275" spans="1:10" ht="14">
      <c r="A275" s="183" t="s">
        <v>147</v>
      </c>
      <c r="B275" s="178">
        <v>5801</v>
      </c>
      <c r="C275" s="25" t="s">
        <v>146</v>
      </c>
      <c r="D275" s="26">
        <v>43709</v>
      </c>
      <c r="E275" s="182">
        <f>SUMIF('FY19-20'!$C$10:$C$172,Import!B275,'FY19-20'!$G$10:$G$172)</f>
        <v>0</v>
      </c>
      <c r="F275" s="182">
        <f t="shared" si="7"/>
        <v>0</v>
      </c>
      <c r="G275" s="179" t="s">
        <v>408</v>
      </c>
      <c r="H275" s="182">
        <v>263</v>
      </c>
      <c r="J275" s="181"/>
    </row>
    <row r="276" spans="1:10" ht="14">
      <c r="A276" s="183" t="s">
        <v>147</v>
      </c>
      <c r="B276" s="178">
        <v>5802</v>
      </c>
      <c r="C276" s="25" t="s">
        <v>146</v>
      </c>
      <c r="D276" s="26">
        <v>43709</v>
      </c>
      <c r="E276" s="182">
        <f>SUMIF('FY19-20'!$C$10:$C$172,Import!B276,'FY19-20'!$G$10:$G$172)</f>
        <v>0</v>
      </c>
      <c r="F276" s="182">
        <f t="shared" si="7"/>
        <v>0</v>
      </c>
      <c r="G276" s="179" t="s">
        <v>408</v>
      </c>
      <c r="H276" s="182">
        <v>264</v>
      </c>
      <c r="J276" s="181"/>
    </row>
    <row r="277" spans="1:10" ht="14">
      <c r="A277" s="183" t="s">
        <v>147</v>
      </c>
      <c r="B277" s="178">
        <v>5803</v>
      </c>
      <c r="C277" s="25" t="s">
        <v>146</v>
      </c>
      <c r="D277" s="26">
        <v>43709</v>
      </c>
      <c r="E277" s="182">
        <f>SUMIF('FY19-20'!$C$10:$C$172,Import!B277,'FY19-20'!$G$10:$G$172)</f>
        <v>440</v>
      </c>
      <c r="F277" s="182">
        <f t="shared" si="7"/>
        <v>0</v>
      </c>
      <c r="G277" s="179" t="s">
        <v>408</v>
      </c>
      <c r="H277" s="182">
        <v>265</v>
      </c>
      <c r="J277" s="181"/>
    </row>
    <row r="278" spans="1:10" ht="14">
      <c r="A278" s="183" t="s">
        <v>147</v>
      </c>
      <c r="B278" s="178">
        <v>5804</v>
      </c>
      <c r="C278" s="25" t="s">
        <v>146</v>
      </c>
      <c r="D278" s="26">
        <v>43709</v>
      </c>
      <c r="E278" s="182">
        <f>SUMIF('FY19-20'!$C$10:$C$172,Import!B278,'FY19-20'!$G$10:$G$172)</f>
        <v>0</v>
      </c>
      <c r="F278" s="182">
        <f t="shared" si="7"/>
        <v>0</v>
      </c>
      <c r="G278" s="179" t="s">
        <v>408</v>
      </c>
      <c r="H278" s="182">
        <v>266</v>
      </c>
      <c r="J278" s="181"/>
    </row>
    <row r="279" spans="1:10" ht="14">
      <c r="A279" s="183" t="s">
        <v>147</v>
      </c>
      <c r="B279" s="178">
        <v>5805</v>
      </c>
      <c r="C279" s="25" t="s">
        <v>146</v>
      </c>
      <c r="D279" s="26">
        <v>43709</v>
      </c>
      <c r="E279" s="182">
        <f>SUMIF('FY19-20'!$C$10:$C$172,Import!B279,'FY19-20'!$G$10:$G$172)</f>
        <v>0</v>
      </c>
      <c r="F279" s="182">
        <f t="shared" si="7"/>
        <v>0</v>
      </c>
      <c r="G279" s="179" t="s">
        <v>408</v>
      </c>
      <c r="H279" s="182">
        <v>267</v>
      </c>
      <c r="J279" s="181"/>
    </row>
    <row r="280" spans="1:10" ht="14">
      <c r="A280" s="183" t="s">
        <v>147</v>
      </c>
      <c r="B280" s="178">
        <v>5806</v>
      </c>
      <c r="C280" s="25" t="s">
        <v>146</v>
      </c>
      <c r="D280" s="26">
        <v>43709</v>
      </c>
      <c r="E280" s="182">
        <f>SUMIF('FY19-20'!$C$10:$C$172,Import!B280,'FY19-20'!$G$10:$G$172)</f>
        <v>66104.86</v>
      </c>
      <c r="F280" s="182">
        <f>-IF(E280&lt;0,E280,0)</f>
        <v>0</v>
      </c>
      <c r="G280" s="179" t="s">
        <v>408</v>
      </c>
      <c r="J280" s="181"/>
    </row>
    <row r="281" spans="1:10" ht="14">
      <c r="A281" s="183" t="s">
        <v>147</v>
      </c>
      <c r="B281" s="178">
        <v>5807</v>
      </c>
      <c r="C281" s="25" t="s">
        <v>146</v>
      </c>
      <c r="D281" s="26">
        <v>43709</v>
      </c>
      <c r="E281" s="182">
        <f>SUMIF('FY19-20'!$C$10:$C$172,Import!B281,'FY19-20'!$G$10:$G$172)</f>
        <v>339.05</v>
      </c>
      <c r="F281" s="182">
        <f>-IF(E281&lt;0,E281,0)</f>
        <v>0</v>
      </c>
      <c r="G281" s="179" t="s">
        <v>408</v>
      </c>
      <c r="J281" s="181"/>
    </row>
    <row r="282" spans="1:10" ht="14">
      <c r="A282" s="183" t="s">
        <v>147</v>
      </c>
      <c r="B282" s="178">
        <v>5808</v>
      </c>
      <c r="C282" s="25" t="s">
        <v>146</v>
      </c>
      <c r="D282" s="26">
        <v>43709</v>
      </c>
      <c r="E282" s="182">
        <f>SUMIF('FY19-20'!$C$10:$C$172,Import!B282,'FY19-20'!$G$10:$G$172)</f>
        <v>0</v>
      </c>
      <c r="F282" s="182">
        <f>-IF(E282&lt;0,E282,0)</f>
        <v>0</v>
      </c>
      <c r="G282" s="179" t="s">
        <v>408</v>
      </c>
      <c r="J282" s="181"/>
    </row>
    <row r="283" spans="1:10" ht="14">
      <c r="A283" s="183" t="s">
        <v>147</v>
      </c>
      <c r="B283" s="178">
        <v>5809</v>
      </c>
      <c r="C283" s="25" t="s">
        <v>146</v>
      </c>
      <c r="D283" s="26">
        <v>43709</v>
      </c>
      <c r="E283" s="182">
        <f>SUMIF('FY19-20'!$C$10:$C$172,Import!B283,'FY19-20'!$G$10:$G$172)</f>
        <v>0</v>
      </c>
      <c r="F283" s="182">
        <f>-IF(E283&lt;0,E283,0)</f>
        <v>0</v>
      </c>
      <c r="G283" s="179" t="s">
        <v>408</v>
      </c>
      <c r="J283" s="181"/>
    </row>
    <row r="284" spans="1:10" ht="14">
      <c r="A284" s="183" t="s">
        <v>147</v>
      </c>
      <c r="B284" s="178">
        <v>5810</v>
      </c>
      <c r="C284" s="25" t="s">
        <v>146</v>
      </c>
      <c r="D284" s="26">
        <v>43709</v>
      </c>
      <c r="E284" s="182">
        <f>SUMIF('FY19-20'!$C$10:$C$172,Import!B284,'FY19-20'!$G$10:$G$172)</f>
        <v>0</v>
      </c>
      <c r="F284" s="182">
        <f>-IF(E284&lt;0,E284)</f>
        <v>0</v>
      </c>
      <c r="G284" s="179" t="s">
        <v>408</v>
      </c>
      <c r="H284" s="182">
        <v>268</v>
      </c>
      <c r="J284" s="181"/>
    </row>
    <row r="285" spans="1:10" ht="14">
      <c r="A285" s="183" t="s">
        <v>147</v>
      </c>
      <c r="B285" s="178">
        <v>5811</v>
      </c>
      <c r="C285" s="25" t="s">
        <v>146</v>
      </c>
      <c r="D285" s="26">
        <v>43709</v>
      </c>
      <c r="E285" s="182">
        <f>SUMIF('FY19-20'!$C$10:$C$172,Import!B285,'FY19-20'!$G$10:$G$172)</f>
        <v>272442.03000000003</v>
      </c>
      <c r="F285" s="182">
        <f>-IF(E285&lt;0,E285)</f>
        <v>0</v>
      </c>
      <c r="G285" s="179" t="s">
        <v>408</v>
      </c>
      <c r="H285" s="182">
        <v>269</v>
      </c>
      <c r="J285" s="181"/>
    </row>
    <row r="286" spans="1:10" ht="14">
      <c r="A286" s="183" t="s">
        <v>147</v>
      </c>
      <c r="B286" s="178">
        <v>5812</v>
      </c>
      <c r="C286" s="25" t="s">
        <v>146</v>
      </c>
      <c r="D286" s="26">
        <v>43709</v>
      </c>
      <c r="E286" s="182">
        <f>SUMIF('FY19-20'!$C$10:$C$172,Import!B286,'FY19-20'!$G$10:$G$172)</f>
        <v>0</v>
      </c>
      <c r="F286" s="182">
        <f>-IF(E286&lt;0,E286)</f>
        <v>0</v>
      </c>
      <c r="G286" s="179" t="s">
        <v>408</v>
      </c>
      <c r="H286" s="182">
        <v>270</v>
      </c>
      <c r="J286" s="181"/>
    </row>
    <row r="287" spans="1:10" ht="14">
      <c r="A287" s="183" t="s">
        <v>147</v>
      </c>
      <c r="B287" s="178">
        <v>5813</v>
      </c>
      <c r="C287" s="25" t="s">
        <v>146</v>
      </c>
      <c r="D287" s="26">
        <v>43709</v>
      </c>
      <c r="E287" s="182">
        <f>SUMIF('FY19-20'!$C$10:$C$172,Import!B287,'FY19-20'!$G$10:$G$172)</f>
        <v>0</v>
      </c>
      <c r="F287" s="182">
        <f>-IF(E287&lt;0,E287)</f>
        <v>0</v>
      </c>
      <c r="G287" s="179" t="s">
        <v>408</v>
      </c>
      <c r="H287" s="182">
        <v>271</v>
      </c>
      <c r="J287" s="181"/>
    </row>
    <row r="288" spans="1:10" ht="14">
      <c r="A288" s="183" t="s">
        <v>147</v>
      </c>
      <c r="B288" s="178">
        <v>5814</v>
      </c>
      <c r="C288" s="25" t="s">
        <v>146</v>
      </c>
      <c r="D288" s="26">
        <v>43709</v>
      </c>
      <c r="E288" s="182">
        <f>SUMIF('FY19-20'!$C$10:$C$172,Import!B288,'FY19-20'!$G$10:$G$172)</f>
        <v>0</v>
      </c>
      <c r="F288" s="182">
        <f>-IF(E288&lt;0,E288)</f>
        <v>0</v>
      </c>
      <c r="G288" s="179" t="s">
        <v>408</v>
      </c>
      <c r="H288" s="182">
        <v>272</v>
      </c>
      <c r="J288" s="181"/>
    </row>
    <row r="289" spans="1:10" ht="14">
      <c r="A289" s="183" t="s">
        <v>147</v>
      </c>
      <c r="B289" s="178">
        <v>5815</v>
      </c>
      <c r="C289" s="25" t="s">
        <v>146</v>
      </c>
      <c r="D289" s="26">
        <v>43709</v>
      </c>
      <c r="E289" s="182">
        <f>SUMIF('FY19-20'!$C$10:$C$172,Import!B289,'FY19-20'!$G$10:$G$172)</f>
        <v>0</v>
      </c>
      <c r="F289" s="182">
        <f>-IF(E289&lt;0,E289,0)</f>
        <v>0</v>
      </c>
      <c r="G289" s="179" t="s">
        <v>408</v>
      </c>
      <c r="J289" s="181"/>
    </row>
    <row r="290" spans="1:10" ht="14">
      <c r="A290" s="183" t="s">
        <v>147</v>
      </c>
      <c r="B290" s="178">
        <v>5820</v>
      </c>
      <c r="C290" s="25" t="s">
        <v>146</v>
      </c>
      <c r="D290" s="26">
        <v>43709</v>
      </c>
      <c r="E290" s="182">
        <f>SUMIF('FY19-20'!$C$10:$C$172,Import!B290,'FY19-20'!$G$10:$G$172)</f>
        <v>0</v>
      </c>
      <c r="F290" s="182">
        <f>-IF(E290&lt;0,E290,0)</f>
        <v>0</v>
      </c>
      <c r="G290" s="179" t="s">
        <v>408</v>
      </c>
      <c r="J290" s="181"/>
    </row>
    <row r="291" spans="1:10" ht="14">
      <c r="A291" s="183" t="s">
        <v>147</v>
      </c>
      <c r="B291" s="178">
        <v>5900</v>
      </c>
      <c r="C291" s="25" t="s">
        <v>146</v>
      </c>
      <c r="D291" s="26">
        <v>43709</v>
      </c>
      <c r="E291" s="182">
        <f>SUMIF('FY19-20'!$C$10:$C$172,Import!B291,'FY19-20'!$G$10:$G$172)</f>
        <v>323.8</v>
      </c>
      <c r="F291" s="182">
        <f>-IF(E291&lt;0,E291)</f>
        <v>0</v>
      </c>
      <c r="G291" s="179" t="s">
        <v>408</v>
      </c>
      <c r="H291" s="182">
        <v>273</v>
      </c>
      <c r="J291" s="181"/>
    </row>
    <row r="292" spans="1:10" ht="14">
      <c r="A292" s="183" t="s">
        <v>147</v>
      </c>
      <c r="B292" s="178">
        <v>5901</v>
      </c>
      <c r="C292" s="25" t="s">
        <v>146</v>
      </c>
      <c r="D292" s="26">
        <v>43709</v>
      </c>
      <c r="E292" s="182">
        <f>SUMIF('FY19-20'!$C$10:$C$172,Import!B292,'FY19-20'!$G$10:$G$172)</f>
        <v>19.510000000000002</v>
      </c>
      <c r="F292" s="182">
        <f>-IF(E292&lt;0,E292,0)</f>
        <v>0</v>
      </c>
      <c r="G292" s="179" t="s">
        <v>408</v>
      </c>
    </row>
    <row r="293" spans="1:10" ht="14">
      <c r="A293" s="183" t="s">
        <v>147</v>
      </c>
      <c r="B293" s="178">
        <v>6900</v>
      </c>
      <c r="C293" s="25" t="s">
        <v>146</v>
      </c>
      <c r="D293" s="26">
        <v>43709</v>
      </c>
      <c r="E293" s="182">
        <f>SUMIF('FY19-20'!$C$10:$C$172,Import!B293,'FY19-20'!$G$10:$G$172)</f>
        <v>0</v>
      </c>
      <c r="F293" s="182">
        <f t="shared" ref="F293:F324" si="9">-IF(E293&lt;0,E293)</f>
        <v>0</v>
      </c>
      <c r="G293" s="179" t="s">
        <v>408</v>
      </c>
      <c r="H293" s="182">
        <v>274</v>
      </c>
      <c r="J293" s="181"/>
    </row>
    <row r="294" spans="1:10" ht="14">
      <c r="A294" s="183" t="s">
        <v>147</v>
      </c>
      <c r="B294" s="178">
        <v>7438</v>
      </c>
      <c r="C294" s="25" t="s">
        <v>146</v>
      </c>
      <c r="D294" s="26">
        <v>43709</v>
      </c>
      <c r="E294" s="182">
        <f>SUMIF('FY19-20'!$C$10:$C$172,Import!B294,'FY19-20'!$G$10:$G$172)</f>
        <v>156202</v>
      </c>
      <c r="F294" s="182">
        <f t="shared" si="9"/>
        <v>0</v>
      </c>
      <c r="G294" s="179" t="s">
        <v>408</v>
      </c>
      <c r="H294" s="182">
        <v>275</v>
      </c>
      <c r="J294" s="181"/>
    </row>
    <row r="295" spans="1:10" ht="14">
      <c r="A295" s="183" t="s">
        <v>147</v>
      </c>
      <c r="B295" s="178">
        <v>8011</v>
      </c>
      <c r="C295" s="25" t="s">
        <v>146</v>
      </c>
      <c r="D295" s="26">
        <v>43709</v>
      </c>
      <c r="E295" s="182">
        <f>SUMIF('FY19-20'!$C$10:$C$172,Import!B295,'FY19-20'!$G$10:$G$172)</f>
        <v>0</v>
      </c>
      <c r="F295" s="182">
        <f t="shared" si="9"/>
        <v>0</v>
      </c>
      <c r="G295" s="179" t="s">
        <v>408</v>
      </c>
      <c r="H295" s="182">
        <v>276</v>
      </c>
      <c r="J295" s="181"/>
    </row>
    <row r="296" spans="1:10" ht="14">
      <c r="A296" s="183" t="s">
        <v>147</v>
      </c>
      <c r="B296" s="178">
        <v>8012</v>
      </c>
      <c r="C296" s="25" t="s">
        <v>146</v>
      </c>
      <c r="D296" s="26">
        <v>43709</v>
      </c>
      <c r="E296" s="182">
        <f>SUMIF('FY19-20'!$C$10:$C$172,Import!B296,'FY19-20'!$G$10:$G$172)</f>
        <v>0</v>
      </c>
      <c r="F296" s="182">
        <f t="shared" si="9"/>
        <v>0</v>
      </c>
      <c r="G296" s="179" t="s">
        <v>408</v>
      </c>
      <c r="H296" s="182">
        <v>277</v>
      </c>
      <c r="J296" s="181"/>
    </row>
    <row r="297" spans="1:10" ht="14">
      <c r="A297" s="183" t="s">
        <v>147</v>
      </c>
      <c r="B297" s="178">
        <v>8019</v>
      </c>
      <c r="C297" s="25" t="s">
        <v>146</v>
      </c>
      <c r="D297" s="26">
        <v>43709</v>
      </c>
      <c r="E297" s="182">
        <f>SUMIF('FY19-20'!$C$10:$C$172,Import!B297,'FY19-20'!$G$10:$G$172)</f>
        <v>0</v>
      </c>
      <c r="F297" s="182">
        <f t="shared" si="9"/>
        <v>0</v>
      </c>
      <c r="G297" s="179" t="s">
        <v>408</v>
      </c>
      <c r="H297" s="182">
        <v>278</v>
      </c>
      <c r="J297" s="181"/>
    </row>
    <row r="298" spans="1:10" ht="14">
      <c r="A298" s="183" t="s">
        <v>147</v>
      </c>
      <c r="B298" s="178">
        <v>8096</v>
      </c>
      <c r="C298" s="25" t="s">
        <v>146</v>
      </c>
      <c r="D298" s="26">
        <v>43709</v>
      </c>
      <c r="E298" s="182">
        <f>SUMIF('FY19-20'!$C$10:$C$172,Import!B298,'FY19-20'!$G$10:$G$172)</f>
        <v>0</v>
      </c>
      <c r="F298" s="182">
        <f t="shared" si="9"/>
        <v>0</v>
      </c>
      <c r="G298" s="179" t="s">
        <v>408</v>
      </c>
      <c r="H298" s="182">
        <v>279</v>
      </c>
      <c r="J298" s="181"/>
    </row>
    <row r="299" spans="1:10" ht="14">
      <c r="A299" s="183" t="s">
        <v>147</v>
      </c>
      <c r="B299" s="178">
        <v>8181</v>
      </c>
      <c r="C299" s="25" t="s">
        <v>146</v>
      </c>
      <c r="D299" s="26">
        <v>43709</v>
      </c>
      <c r="E299" s="182">
        <f>SUMIF('FY19-20'!$C$10:$C$172,Import!B299,'FY19-20'!$G$10:$G$172)</f>
        <v>0</v>
      </c>
      <c r="F299" s="182">
        <f t="shared" si="9"/>
        <v>0</v>
      </c>
      <c r="G299" s="179" t="s">
        <v>408</v>
      </c>
      <c r="H299" s="182">
        <v>280</v>
      </c>
      <c r="J299" s="181"/>
    </row>
    <row r="300" spans="1:10" ht="14">
      <c r="A300" s="183" t="s">
        <v>147</v>
      </c>
      <c r="B300" s="178">
        <v>8182</v>
      </c>
      <c r="C300" s="25" t="s">
        <v>146</v>
      </c>
      <c r="D300" s="26">
        <v>43709</v>
      </c>
      <c r="E300" s="182">
        <f>SUMIF('FY19-20'!$C$10:$C$172,Import!B300,'FY19-20'!$G$10:$G$172)</f>
        <v>0</v>
      </c>
      <c r="F300" s="182">
        <f t="shared" si="9"/>
        <v>0</v>
      </c>
      <c r="G300" s="179" t="s">
        <v>408</v>
      </c>
      <c r="H300" s="182">
        <v>281</v>
      </c>
      <c r="J300" s="181"/>
    </row>
    <row r="301" spans="1:10" ht="14">
      <c r="A301" s="183" t="s">
        <v>147</v>
      </c>
      <c r="B301" s="178">
        <v>8220</v>
      </c>
      <c r="C301" s="25" t="s">
        <v>146</v>
      </c>
      <c r="D301" s="26">
        <v>43709</v>
      </c>
      <c r="E301" s="182">
        <f>SUMIF('FY19-20'!$C$10:$C$172,Import!B301,'FY19-20'!$G$10:$G$172)</f>
        <v>0</v>
      </c>
      <c r="F301" s="182">
        <f t="shared" si="9"/>
        <v>0</v>
      </c>
      <c r="G301" s="179" t="s">
        <v>408</v>
      </c>
      <c r="H301" s="182">
        <v>282</v>
      </c>
      <c r="J301" s="181"/>
    </row>
    <row r="302" spans="1:10" ht="14">
      <c r="A302" s="183" t="s">
        <v>147</v>
      </c>
      <c r="B302" s="178">
        <v>8290</v>
      </c>
      <c r="C302" s="25" t="s">
        <v>146</v>
      </c>
      <c r="D302" s="26">
        <v>43709</v>
      </c>
      <c r="E302" s="182">
        <f>SUMIF('FY19-20'!$C$10:$C$172,Import!B302,'FY19-20'!$G$10:$G$172)</f>
        <v>0</v>
      </c>
      <c r="F302" s="182">
        <f t="shared" si="9"/>
        <v>0</v>
      </c>
      <c r="G302" s="179" t="s">
        <v>408</v>
      </c>
      <c r="H302" s="182">
        <v>283</v>
      </c>
      <c r="J302" s="181"/>
    </row>
    <row r="303" spans="1:10" ht="14">
      <c r="A303" s="183" t="s">
        <v>147</v>
      </c>
      <c r="B303" s="178">
        <v>8291</v>
      </c>
      <c r="C303" s="25" t="s">
        <v>146</v>
      </c>
      <c r="D303" s="26">
        <v>43709</v>
      </c>
      <c r="E303" s="182">
        <f>SUMIF('FY19-20'!$C$10:$C$172,Import!B303,'FY19-20'!$G$10:$G$172)</f>
        <v>0</v>
      </c>
      <c r="F303" s="182">
        <f t="shared" si="9"/>
        <v>0</v>
      </c>
      <c r="G303" s="179" t="s">
        <v>408</v>
      </c>
      <c r="H303" s="182">
        <v>284</v>
      </c>
      <c r="J303" s="181"/>
    </row>
    <row r="304" spans="1:10" ht="14">
      <c r="A304" s="183" t="s">
        <v>147</v>
      </c>
      <c r="B304" s="178">
        <v>8292</v>
      </c>
      <c r="C304" s="25" t="s">
        <v>146</v>
      </c>
      <c r="D304" s="26">
        <v>43709</v>
      </c>
      <c r="E304" s="182">
        <f>SUMIF('FY19-20'!$C$10:$C$172,Import!B304,'FY19-20'!$G$10:$G$172)</f>
        <v>0</v>
      </c>
      <c r="F304" s="182">
        <f t="shared" si="9"/>
        <v>0</v>
      </c>
      <c r="G304" s="179" t="s">
        <v>408</v>
      </c>
      <c r="H304" s="182">
        <v>285</v>
      </c>
      <c r="J304" s="181"/>
    </row>
    <row r="305" spans="1:10" ht="14">
      <c r="A305" s="183" t="s">
        <v>147</v>
      </c>
      <c r="B305" s="178">
        <v>8293</v>
      </c>
      <c r="C305" s="25" t="s">
        <v>146</v>
      </c>
      <c r="D305" s="26">
        <v>43709</v>
      </c>
      <c r="E305" s="182">
        <f>SUMIF('FY19-20'!$C$10:$C$172,Import!B305,'FY19-20'!$G$10:$G$172)</f>
        <v>0</v>
      </c>
      <c r="F305" s="182">
        <f t="shared" si="9"/>
        <v>0</v>
      </c>
      <c r="G305" s="179" t="s">
        <v>408</v>
      </c>
      <c r="H305" s="182">
        <v>286</v>
      </c>
      <c r="J305" s="181"/>
    </row>
    <row r="306" spans="1:10" ht="14">
      <c r="A306" s="183" t="s">
        <v>147</v>
      </c>
      <c r="B306" s="178">
        <v>8294</v>
      </c>
      <c r="C306" s="25" t="s">
        <v>146</v>
      </c>
      <c r="D306" s="26">
        <v>43709</v>
      </c>
      <c r="E306" s="182">
        <f>SUMIF('FY19-20'!$C$10:$C$172,Import!B306,'FY19-20'!$G$10:$G$172)</f>
        <v>0</v>
      </c>
      <c r="F306" s="182">
        <f t="shared" si="9"/>
        <v>0</v>
      </c>
      <c r="G306" s="179" t="s">
        <v>408</v>
      </c>
      <c r="H306" s="182">
        <v>287</v>
      </c>
      <c r="J306" s="181"/>
    </row>
    <row r="307" spans="1:10" ht="14">
      <c r="A307" s="183" t="s">
        <v>147</v>
      </c>
      <c r="B307" s="178">
        <v>8295</v>
      </c>
      <c r="C307" s="25" t="s">
        <v>146</v>
      </c>
      <c r="D307" s="26">
        <v>43709</v>
      </c>
      <c r="E307" s="182">
        <f>SUMIF('FY19-20'!$C$10:$C$172,Import!B307,'FY19-20'!$G$10:$G$172)</f>
        <v>0</v>
      </c>
      <c r="F307" s="182">
        <f t="shared" si="9"/>
        <v>0</v>
      </c>
      <c r="G307" s="179" t="s">
        <v>408</v>
      </c>
      <c r="H307" s="182">
        <v>288</v>
      </c>
      <c r="J307" s="181"/>
    </row>
    <row r="308" spans="1:10" ht="14">
      <c r="A308" s="183" t="s">
        <v>147</v>
      </c>
      <c r="B308" s="178">
        <v>8296</v>
      </c>
      <c r="C308" s="25" t="s">
        <v>146</v>
      </c>
      <c r="D308" s="26">
        <v>43709</v>
      </c>
      <c r="E308" s="182">
        <f>SUMIF('FY19-20'!$C$10:$C$172,Import!B308,'FY19-20'!$G$10:$G$172)</f>
        <v>0</v>
      </c>
      <c r="F308" s="182">
        <f t="shared" si="9"/>
        <v>0</v>
      </c>
      <c r="G308" s="179" t="s">
        <v>408</v>
      </c>
      <c r="H308" s="182">
        <v>289</v>
      </c>
      <c r="J308" s="181"/>
    </row>
    <row r="309" spans="1:10" ht="14">
      <c r="A309" s="183" t="s">
        <v>147</v>
      </c>
      <c r="B309" s="178">
        <v>8299</v>
      </c>
      <c r="C309" s="25" t="s">
        <v>146</v>
      </c>
      <c r="D309" s="26">
        <v>43709</v>
      </c>
      <c r="E309" s="182">
        <f>SUMIF('FY19-20'!$C$10:$C$172,Import!B309,'FY19-20'!$G$10:$G$172)</f>
        <v>0</v>
      </c>
      <c r="F309" s="182">
        <f t="shared" si="9"/>
        <v>0</v>
      </c>
      <c r="G309" s="179" t="s">
        <v>408</v>
      </c>
      <c r="H309" s="182">
        <v>290</v>
      </c>
      <c r="J309" s="181"/>
    </row>
    <row r="310" spans="1:10" ht="14">
      <c r="A310" s="183" t="s">
        <v>147</v>
      </c>
      <c r="B310" s="178">
        <v>8311</v>
      </c>
      <c r="C310" s="25" t="s">
        <v>146</v>
      </c>
      <c r="D310" s="26">
        <v>43709</v>
      </c>
      <c r="E310" s="182">
        <f>SUMIF('FY19-20'!$C$10:$C$172,Import!B310,'FY19-20'!$G$10:$G$172)</f>
        <v>0</v>
      </c>
      <c r="F310" s="182">
        <f t="shared" si="9"/>
        <v>0</v>
      </c>
      <c r="G310" s="179" t="s">
        <v>408</v>
      </c>
      <c r="H310" s="182">
        <v>291</v>
      </c>
      <c r="J310" s="181"/>
    </row>
    <row r="311" spans="1:10" ht="14">
      <c r="A311" s="183" t="s">
        <v>147</v>
      </c>
      <c r="B311" s="178">
        <v>8520</v>
      </c>
      <c r="C311" s="25" t="s">
        <v>146</v>
      </c>
      <c r="D311" s="26">
        <v>43709</v>
      </c>
      <c r="E311" s="182">
        <f>SUMIF('FY19-20'!$C$10:$C$172,Import!B311,'FY19-20'!$G$10:$G$172)</f>
        <v>0</v>
      </c>
      <c r="F311" s="182">
        <f t="shared" si="9"/>
        <v>0</v>
      </c>
      <c r="G311" s="179" t="s">
        <v>408</v>
      </c>
      <c r="H311" s="182">
        <v>292</v>
      </c>
      <c r="J311" s="181"/>
    </row>
    <row r="312" spans="1:10" ht="14">
      <c r="A312" s="183" t="s">
        <v>147</v>
      </c>
      <c r="B312" s="178">
        <v>8545</v>
      </c>
      <c r="C312" s="25" t="s">
        <v>146</v>
      </c>
      <c r="D312" s="26">
        <v>43709</v>
      </c>
      <c r="E312" s="182">
        <f>SUMIF('FY19-20'!$C$10:$C$172,Import!B312,'FY19-20'!$G$10:$G$172)</f>
        <v>0</v>
      </c>
      <c r="F312" s="182">
        <f t="shared" si="9"/>
        <v>0</v>
      </c>
      <c r="G312" s="179" t="s">
        <v>408</v>
      </c>
      <c r="H312" s="182">
        <v>293</v>
      </c>
      <c r="J312" s="181"/>
    </row>
    <row r="313" spans="1:10" ht="14">
      <c r="A313" s="183" t="s">
        <v>147</v>
      </c>
      <c r="B313" s="178">
        <v>8550</v>
      </c>
      <c r="C313" s="25" t="s">
        <v>146</v>
      </c>
      <c r="D313" s="26">
        <v>43709</v>
      </c>
      <c r="E313" s="182">
        <f>SUMIF('FY19-20'!$C$10:$C$172,Import!B313,'FY19-20'!$G$10:$G$172)</f>
        <v>0</v>
      </c>
      <c r="F313" s="182">
        <f t="shared" si="9"/>
        <v>0</v>
      </c>
      <c r="G313" s="179" t="s">
        <v>408</v>
      </c>
      <c r="H313" s="182">
        <v>294</v>
      </c>
      <c r="J313" s="181"/>
    </row>
    <row r="314" spans="1:10" ht="14">
      <c r="A314" s="183" t="s">
        <v>147</v>
      </c>
      <c r="B314" s="178">
        <v>8560</v>
      </c>
      <c r="C314" s="25" t="s">
        <v>146</v>
      </c>
      <c r="D314" s="26">
        <v>43709</v>
      </c>
      <c r="E314" s="182">
        <f>SUMIF('FY19-20'!$C$10:$C$172,Import!B314,'FY19-20'!$G$10:$G$172)</f>
        <v>0</v>
      </c>
      <c r="F314" s="182">
        <f t="shared" si="9"/>
        <v>0</v>
      </c>
      <c r="G314" s="179" t="s">
        <v>408</v>
      </c>
      <c r="H314" s="182">
        <v>295</v>
      </c>
      <c r="J314" s="181"/>
    </row>
    <row r="315" spans="1:10" ht="14">
      <c r="A315" s="183" t="s">
        <v>147</v>
      </c>
      <c r="B315" s="178">
        <v>8598</v>
      </c>
      <c r="C315" s="25" t="s">
        <v>146</v>
      </c>
      <c r="D315" s="26">
        <v>43709</v>
      </c>
      <c r="E315" s="182">
        <f>SUMIF('FY19-20'!$C$10:$C$172,Import!B315,'FY19-20'!$G$10:$G$172)</f>
        <v>0</v>
      </c>
      <c r="F315" s="182">
        <f t="shared" si="9"/>
        <v>0</v>
      </c>
      <c r="G315" s="179" t="s">
        <v>408</v>
      </c>
      <c r="H315" s="182">
        <v>296</v>
      </c>
      <c r="J315" s="181"/>
    </row>
    <row r="316" spans="1:10" ht="14">
      <c r="A316" s="183" t="s">
        <v>147</v>
      </c>
      <c r="B316" s="178">
        <v>8599</v>
      </c>
      <c r="C316" s="25" t="s">
        <v>146</v>
      </c>
      <c r="D316" s="26">
        <v>43709</v>
      </c>
      <c r="E316" s="182">
        <f>SUMIF('FY19-20'!$C$10:$C$172,Import!B316,'FY19-20'!$G$10:$G$172)</f>
        <v>0</v>
      </c>
      <c r="F316" s="182">
        <f t="shared" si="9"/>
        <v>0</v>
      </c>
      <c r="G316" s="179" t="s">
        <v>408</v>
      </c>
      <c r="H316" s="182">
        <v>297</v>
      </c>
      <c r="J316" s="181"/>
    </row>
    <row r="317" spans="1:10" ht="14">
      <c r="A317" s="183" t="s">
        <v>147</v>
      </c>
      <c r="B317" s="178">
        <v>8634</v>
      </c>
      <c r="C317" s="25" t="s">
        <v>146</v>
      </c>
      <c r="D317" s="26">
        <v>43709</v>
      </c>
      <c r="E317" s="182">
        <f>SUMIF('FY19-20'!$C$10:$C$172,Import!B317,'FY19-20'!$G$10:$G$172)</f>
        <v>0</v>
      </c>
      <c r="F317" s="182">
        <f t="shared" si="9"/>
        <v>0</v>
      </c>
      <c r="G317" s="179" t="s">
        <v>408</v>
      </c>
      <c r="H317" s="182">
        <v>298</v>
      </c>
      <c r="J317" s="181"/>
    </row>
    <row r="318" spans="1:10" ht="14">
      <c r="A318" s="183" t="s">
        <v>147</v>
      </c>
      <c r="B318" s="178">
        <v>8650</v>
      </c>
      <c r="C318" s="25" t="s">
        <v>146</v>
      </c>
      <c r="D318" s="26">
        <v>43709</v>
      </c>
      <c r="E318" s="182">
        <f>SUMIF('FY19-20'!$C$10:$C$172,Import!B318,'FY19-20'!$G$10:$G$172)</f>
        <v>0</v>
      </c>
      <c r="F318" s="182">
        <f t="shared" si="9"/>
        <v>0</v>
      </c>
      <c r="G318" s="179" t="s">
        <v>408</v>
      </c>
      <c r="H318" s="182">
        <v>299</v>
      </c>
      <c r="J318" s="181"/>
    </row>
    <row r="319" spans="1:10" ht="14">
      <c r="A319" s="183" t="s">
        <v>147</v>
      </c>
      <c r="B319" s="178">
        <v>8660</v>
      </c>
      <c r="C319" s="25" t="s">
        <v>146</v>
      </c>
      <c r="D319" s="26">
        <v>43709</v>
      </c>
      <c r="E319" s="182">
        <f>SUMIF('FY19-20'!$C$10:$C$172,Import!B319,'FY19-20'!$G$10:$G$172)</f>
        <v>0</v>
      </c>
      <c r="F319" s="182">
        <f t="shared" si="9"/>
        <v>0</v>
      </c>
      <c r="G319" s="179" t="s">
        <v>408</v>
      </c>
      <c r="H319" s="182">
        <v>300</v>
      </c>
      <c r="J319" s="181"/>
    </row>
    <row r="320" spans="1:10" ht="14">
      <c r="A320" s="183" t="s">
        <v>147</v>
      </c>
      <c r="B320" s="178">
        <v>8689</v>
      </c>
      <c r="C320" s="25" t="s">
        <v>146</v>
      </c>
      <c r="D320" s="26">
        <v>43709</v>
      </c>
      <c r="E320" s="182">
        <f>SUMIF('FY19-20'!$C$10:$C$172,Import!B320,'FY19-20'!$G$10:$G$172)</f>
        <v>0</v>
      </c>
      <c r="F320" s="182">
        <f t="shared" si="9"/>
        <v>0</v>
      </c>
      <c r="G320" s="179" t="s">
        <v>408</v>
      </c>
      <c r="H320" s="182">
        <v>301</v>
      </c>
      <c r="J320" s="181"/>
    </row>
    <row r="321" spans="1:10" ht="14">
      <c r="A321" s="183" t="s">
        <v>147</v>
      </c>
      <c r="B321" s="178">
        <v>8698</v>
      </c>
      <c r="C321" s="25" t="s">
        <v>146</v>
      </c>
      <c r="D321" s="26">
        <v>43709</v>
      </c>
      <c r="E321" s="182">
        <f>SUMIF('FY19-20'!$C$10:$C$172,Import!B321,'FY19-20'!$G$10:$G$172)</f>
        <v>0</v>
      </c>
      <c r="F321" s="182">
        <f t="shared" si="9"/>
        <v>0</v>
      </c>
      <c r="G321" s="179" t="s">
        <v>408</v>
      </c>
      <c r="H321" s="182">
        <v>302</v>
      </c>
      <c r="J321" s="181"/>
    </row>
    <row r="322" spans="1:10" ht="14">
      <c r="A322" s="183" t="s">
        <v>147</v>
      </c>
      <c r="B322" s="178">
        <v>8699</v>
      </c>
      <c r="C322" s="25" t="s">
        <v>146</v>
      </c>
      <c r="D322" s="26">
        <v>43709</v>
      </c>
      <c r="E322" s="182">
        <f>SUMIF('FY19-20'!$C$10:$C$172,Import!B322,'FY19-20'!$G$10:$G$172)</f>
        <v>0</v>
      </c>
      <c r="F322" s="182">
        <f t="shared" si="9"/>
        <v>0</v>
      </c>
      <c r="G322" s="179" t="s">
        <v>408</v>
      </c>
      <c r="H322" s="182">
        <v>303</v>
      </c>
      <c r="J322" s="181"/>
    </row>
    <row r="323" spans="1:10" ht="14">
      <c r="A323" s="183" t="s">
        <v>147</v>
      </c>
      <c r="B323" s="178">
        <v>8980</v>
      </c>
      <c r="C323" s="25" t="s">
        <v>146</v>
      </c>
      <c r="D323" s="26">
        <v>43709</v>
      </c>
      <c r="E323" s="182">
        <f>SUMIF('FY19-20'!$C$10:$C$172,Import!B323,'FY19-20'!$G$10:$G$172)</f>
        <v>0</v>
      </c>
      <c r="F323" s="182">
        <f t="shared" si="9"/>
        <v>0</v>
      </c>
      <c r="G323" s="179" t="s">
        <v>408</v>
      </c>
      <c r="H323" s="182">
        <v>304</v>
      </c>
      <c r="J323" s="181"/>
    </row>
    <row r="324" spans="1:10" ht="14">
      <c r="A324" s="183" t="s">
        <v>147</v>
      </c>
      <c r="B324" s="178">
        <v>8990</v>
      </c>
      <c r="C324" s="25" t="s">
        <v>146</v>
      </c>
      <c r="D324" s="26">
        <v>43709</v>
      </c>
      <c r="E324" s="182">
        <f>SUMIF('FY19-20'!$C$10:$C$172,Import!B324,'FY19-20'!$G$10:$G$172)</f>
        <v>0</v>
      </c>
      <c r="F324" s="182">
        <f t="shared" si="9"/>
        <v>0</v>
      </c>
      <c r="G324" s="179" t="s">
        <v>408</v>
      </c>
      <c r="H324" s="182">
        <v>305</v>
      </c>
      <c r="J324" s="181"/>
    </row>
    <row r="325" spans="1:10" ht="14">
      <c r="A325" s="183" t="s">
        <v>147</v>
      </c>
      <c r="B325" s="178">
        <v>1100</v>
      </c>
      <c r="C325" s="25" t="s">
        <v>146</v>
      </c>
      <c r="D325" s="26">
        <v>43739</v>
      </c>
      <c r="E325" s="182">
        <f>SUMIF('FY19-20'!$C$10:$C$172,Import!B325,'FY19-20'!$H$10:$H$172)</f>
        <v>699989.92</v>
      </c>
      <c r="F325" s="182">
        <f t="shared" ref="F325:F356" si="10">-IF(E325&lt;0,E325)</f>
        <v>0</v>
      </c>
      <c r="G325" s="179" t="s">
        <v>408</v>
      </c>
      <c r="H325" s="182">
        <v>306</v>
      </c>
      <c r="J325" s="181"/>
    </row>
    <row r="326" spans="1:10" ht="14">
      <c r="A326" s="183" t="s">
        <v>147</v>
      </c>
      <c r="B326" s="178">
        <v>1170</v>
      </c>
      <c r="C326" s="25" t="s">
        <v>146</v>
      </c>
      <c r="D326" s="26">
        <v>43739</v>
      </c>
      <c r="E326" s="182">
        <f>SUMIF('FY19-20'!$C$10:$C$172,Import!B326,'FY19-20'!$H$10:$H$172)</f>
        <v>0</v>
      </c>
      <c r="F326" s="182">
        <f t="shared" si="10"/>
        <v>0</v>
      </c>
      <c r="G326" s="179" t="s">
        <v>408</v>
      </c>
      <c r="H326" s="182">
        <v>307</v>
      </c>
      <c r="J326" s="181"/>
    </row>
    <row r="327" spans="1:10" ht="14">
      <c r="A327" s="183" t="s">
        <v>147</v>
      </c>
      <c r="B327" s="178">
        <v>1175</v>
      </c>
      <c r="C327" s="25" t="s">
        <v>146</v>
      </c>
      <c r="D327" s="26">
        <v>43739</v>
      </c>
      <c r="E327" s="182">
        <f>SUMIF('FY19-20'!$C$10:$C$172,Import!B327,'FY19-20'!$H$10:$H$172)</f>
        <v>147417.39000000001</v>
      </c>
      <c r="F327" s="182">
        <f t="shared" si="10"/>
        <v>0</v>
      </c>
      <c r="G327" s="179" t="s">
        <v>408</v>
      </c>
      <c r="H327" s="182">
        <v>308</v>
      </c>
      <c r="J327" s="181"/>
    </row>
    <row r="328" spans="1:10" ht="14">
      <c r="A328" s="183" t="s">
        <v>147</v>
      </c>
      <c r="B328" s="178">
        <v>1200</v>
      </c>
      <c r="C328" s="25" t="s">
        <v>146</v>
      </c>
      <c r="D328" s="26">
        <v>43739</v>
      </c>
      <c r="E328" s="182">
        <f>SUMIF('FY19-20'!$C$10:$C$172,Import!B328,'FY19-20'!$H$10:$H$172)</f>
        <v>25341.34</v>
      </c>
      <c r="F328" s="182">
        <f t="shared" si="10"/>
        <v>0</v>
      </c>
      <c r="G328" s="179" t="s">
        <v>408</v>
      </c>
      <c r="H328" s="182">
        <v>309</v>
      </c>
      <c r="J328" s="181"/>
    </row>
    <row r="329" spans="1:10" ht="14">
      <c r="A329" s="183" t="s">
        <v>147</v>
      </c>
      <c r="B329" s="178">
        <v>1300</v>
      </c>
      <c r="C329" s="25" t="s">
        <v>146</v>
      </c>
      <c r="D329" s="26">
        <v>43739</v>
      </c>
      <c r="E329" s="182">
        <f>SUMIF('FY19-20'!$C$10:$C$172,Import!B329,'FY19-20'!$H$10:$H$172)</f>
        <v>102183.32</v>
      </c>
      <c r="F329" s="182">
        <f t="shared" si="10"/>
        <v>0</v>
      </c>
      <c r="G329" s="179" t="s">
        <v>408</v>
      </c>
      <c r="H329" s="182">
        <v>310</v>
      </c>
      <c r="J329" s="181"/>
    </row>
    <row r="330" spans="1:10" ht="14">
      <c r="A330" s="183" t="s">
        <v>147</v>
      </c>
      <c r="B330" s="178">
        <v>1900</v>
      </c>
      <c r="C330" s="25" t="s">
        <v>146</v>
      </c>
      <c r="D330" s="26">
        <v>43739</v>
      </c>
      <c r="E330" s="182">
        <f>SUMIF('FY19-20'!$C$10:$C$172,Import!B330,'FY19-20'!$H$10:$H$172)</f>
        <v>0</v>
      </c>
      <c r="F330" s="182">
        <f t="shared" si="10"/>
        <v>0</v>
      </c>
      <c r="G330" s="179" t="s">
        <v>408</v>
      </c>
      <c r="H330" s="182">
        <v>311</v>
      </c>
      <c r="J330" s="181"/>
    </row>
    <row r="331" spans="1:10" ht="14">
      <c r="A331" s="183" t="s">
        <v>147</v>
      </c>
      <c r="B331" s="178">
        <v>2100</v>
      </c>
      <c r="C331" s="25" t="s">
        <v>146</v>
      </c>
      <c r="D331" s="26">
        <v>43739</v>
      </c>
      <c r="E331" s="182">
        <f>SUMIF('FY19-20'!$C$10:$C$172,Import!B331,'FY19-20'!$H$10:$H$172)</f>
        <v>24735.21</v>
      </c>
      <c r="F331" s="182">
        <f t="shared" si="10"/>
        <v>0</v>
      </c>
      <c r="G331" s="179" t="s">
        <v>408</v>
      </c>
      <c r="H331" s="182">
        <v>312</v>
      </c>
      <c r="J331" s="181"/>
    </row>
    <row r="332" spans="1:10" ht="14">
      <c r="A332" s="183" t="s">
        <v>147</v>
      </c>
      <c r="B332" s="178">
        <v>2200</v>
      </c>
      <c r="C332" s="25" t="s">
        <v>146</v>
      </c>
      <c r="D332" s="26">
        <v>43739</v>
      </c>
      <c r="E332" s="182">
        <f>SUMIF('FY19-20'!$C$10:$C$172,Import!B332,'FY19-20'!$H$10:$H$172)</f>
        <v>0</v>
      </c>
      <c r="F332" s="182">
        <f t="shared" si="10"/>
        <v>0</v>
      </c>
      <c r="G332" s="179" t="s">
        <v>408</v>
      </c>
      <c r="H332" s="182">
        <v>313</v>
      </c>
      <c r="J332" s="181"/>
    </row>
    <row r="333" spans="1:10" ht="14">
      <c r="A333" s="183" t="s">
        <v>147</v>
      </c>
      <c r="B333" s="178">
        <v>2300</v>
      </c>
      <c r="C333" s="25" t="s">
        <v>146</v>
      </c>
      <c r="D333" s="26">
        <v>43739</v>
      </c>
      <c r="E333" s="182">
        <f>SUMIF('FY19-20'!$C$10:$C$172,Import!B333,'FY19-20'!$H$10:$H$172)</f>
        <v>0</v>
      </c>
      <c r="F333" s="182">
        <f t="shared" si="10"/>
        <v>0</v>
      </c>
      <c r="G333" s="179" t="s">
        <v>408</v>
      </c>
      <c r="H333" s="182">
        <v>314</v>
      </c>
      <c r="J333" s="181"/>
    </row>
    <row r="334" spans="1:10" ht="14">
      <c r="A334" s="183" t="s">
        <v>147</v>
      </c>
      <c r="B334" s="178">
        <v>2400</v>
      </c>
      <c r="C334" s="25" t="s">
        <v>146</v>
      </c>
      <c r="D334" s="26">
        <v>43739</v>
      </c>
      <c r="E334" s="182">
        <f>SUMIF('FY19-20'!$C$10:$C$172,Import!B334,'FY19-20'!$H$10:$H$172)</f>
        <v>0</v>
      </c>
      <c r="F334" s="182">
        <f t="shared" si="10"/>
        <v>0</v>
      </c>
      <c r="G334" s="179" t="s">
        <v>408</v>
      </c>
      <c r="H334" s="182">
        <v>315</v>
      </c>
      <c r="J334" s="181"/>
    </row>
    <row r="335" spans="1:10" ht="14">
      <c r="A335" s="183" t="s">
        <v>147</v>
      </c>
      <c r="B335" s="178">
        <v>2900</v>
      </c>
      <c r="C335" s="25" t="s">
        <v>146</v>
      </c>
      <c r="D335" s="26">
        <v>43739</v>
      </c>
      <c r="E335" s="182">
        <f>SUMIF('FY19-20'!$C$10:$C$172,Import!B335,'FY19-20'!$H$10:$H$172)</f>
        <v>0</v>
      </c>
      <c r="F335" s="182">
        <f t="shared" si="10"/>
        <v>0</v>
      </c>
      <c r="G335" s="179" t="s">
        <v>408</v>
      </c>
      <c r="H335" s="182">
        <v>316</v>
      </c>
      <c r="J335" s="181"/>
    </row>
    <row r="336" spans="1:10" ht="14">
      <c r="A336" s="183" t="s">
        <v>147</v>
      </c>
      <c r="B336" s="178">
        <v>3101</v>
      </c>
      <c r="C336" s="25" t="s">
        <v>146</v>
      </c>
      <c r="D336" s="26">
        <v>43739</v>
      </c>
      <c r="E336" s="182">
        <f>SUMIF('FY19-20'!$C$10:$C$172,Import!B336,'FY19-20'!$H$10:$H$172)</f>
        <v>164433.09</v>
      </c>
      <c r="F336" s="182">
        <f t="shared" si="10"/>
        <v>0</v>
      </c>
      <c r="G336" s="179" t="s">
        <v>408</v>
      </c>
      <c r="H336" s="182">
        <v>317</v>
      </c>
      <c r="J336" s="181"/>
    </row>
    <row r="337" spans="1:10" ht="14">
      <c r="A337" s="183" t="s">
        <v>147</v>
      </c>
      <c r="B337" s="178">
        <v>3202</v>
      </c>
      <c r="C337" s="25" t="s">
        <v>146</v>
      </c>
      <c r="D337" s="26">
        <v>43739</v>
      </c>
      <c r="E337" s="182">
        <f>SUMIF('FY19-20'!$C$10:$C$172,Import!B337,'FY19-20'!$H$10:$H$172)</f>
        <v>0</v>
      </c>
      <c r="F337" s="182">
        <f t="shared" si="10"/>
        <v>0</v>
      </c>
      <c r="G337" s="179" t="s">
        <v>408</v>
      </c>
      <c r="H337" s="182">
        <v>318</v>
      </c>
      <c r="J337" s="181"/>
    </row>
    <row r="338" spans="1:10" ht="14">
      <c r="A338" s="183" t="s">
        <v>147</v>
      </c>
      <c r="B338" s="178">
        <v>3301</v>
      </c>
      <c r="C338" s="25" t="s">
        <v>146</v>
      </c>
      <c r="D338" s="26">
        <v>43739</v>
      </c>
      <c r="E338" s="182">
        <f>SUMIF('FY19-20'!$C$10:$C$172,Import!B338,'FY19-20'!$H$10:$H$172)</f>
        <v>1494.61</v>
      </c>
      <c r="F338" s="182">
        <f t="shared" si="10"/>
        <v>0</v>
      </c>
      <c r="G338" s="179" t="s">
        <v>408</v>
      </c>
      <c r="H338" s="182">
        <v>319</v>
      </c>
      <c r="J338" s="181"/>
    </row>
    <row r="339" spans="1:10" ht="14">
      <c r="A339" s="183" t="s">
        <v>147</v>
      </c>
      <c r="B339" s="178">
        <v>3302</v>
      </c>
      <c r="C339" s="25" t="s">
        <v>146</v>
      </c>
      <c r="D339" s="26">
        <v>43739</v>
      </c>
      <c r="E339" s="182">
        <f>SUMIF('FY19-20'!$C$10:$C$172,Import!B339,'FY19-20'!$H$10:$H$172)</f>
        <v>0</v>
      </c>
      <c r="F339" s="182">
        <f t="shared" si="10"/>
        <v>0</v>
      </c>
      <c r="G339" s="179" t="s">
        <v>408</v>
      </c>
      <c r="H339" s="182">
        <v>320</v>
      </c>
      <c r="J339" s="181"/>
    </row>
    <row r="340" spans="1:10" ht="14">
      <c r="A340" s="183" t="s">
        <v>147</v>
      </c>
      <c r="B340" s="178">
        <v>3311</v>
      </c>
      <c r="C340" s="25" t="s">
        <v>146</v>
      </c>
      <c r="D340" s="26">
        <v>43739</v>
      </c>
      <c r="E340" s="182">
        <f>SUMIF('FY19-20'!$C$10:$C$172,Import!B340,'FY19-20'!$H$10:$H$172)</f>
        <v>14094.86</v>
      </c>
      <c r="F340" s="182">
        <f t="shared" si="10"/>
        <v>0</v>
      </c>
      <c r="G340" s="179" t="s">
        <v>408</v>
      </c>
      <c r="H340" s="182">
        <v>321</v>
      </c>
      <c r="J340" s="181"/>
    </row>
    <row r="341" spans="1:10" ht="14">
      <c r="A341" s="183" t="s">
        <v>147</v>
      </c>
      <c r="B341" s="178">
        <v>3312</v>
      </c>
      <c r="C341" s="25" t="s">
        <v>146</v>
      </c>
      <c r="D341" s="26">
        <v>43739</v>
      </c>
      <c r="E341" s="182">
        <f>SUMIF('FY19-20'!$C$10:$C$172,Import!B341,'FY19-20'!$H$10:$H$172)</f>
        <v>0</v>
      </c>
      <c r="F341" s="182">
        <f t="shared" si="10"/>
        <v>0</v>
      </c>
      <c r="G341" s="179" t="s">
        <v>408</v>
      </c>
      <c r="H341" s="182">
        <v>322</v>
      </c>
      <c r="J341" s="181"/>
    </row>
    <row r="342" spans="1:10" ht="14">
      <c r="A342" s="183" t="s">
        <v>147</v>
      </c>
      <c r="B342" s="178">
        <v>3401</v>
      </c>
      <c r="C342" s="25" t="s">
        <v>146</v>
      </c>
      <c r="D342" s="26">
        <v>43739</v>
      </c>
      <c r="E342" s="182">
        <f>SUMIF('FY19-20'!$C$10:$C$172,Import!B342,'FY19-20'!$H$10:$H$172)</f>
        <v>100487.59</v>
      </c>
      <c r="F342" s="182">
        <f t="shared" si="10"/>
        <v>0</v>
      </c>
      <c r="G342" s="179" t="s">
        <v>408</v>
      </c>
      <c r="H342" s="182">
        <v>323</v>
      </c>
      <c r="J342" s="181"/>
    </row>
    <row r="343" spans="1:10" ht="14">
      <c r="A343" s="183" t="s">
        <v>147</v>
      </c>
      <c r="B343" s="178">
        <v>3402</v>
      </c>
      <c r="C343" s="25" t="s">
        <v>146</v>
      </c>
      <c r="D343" s="26">
        <v>43739</v>
      </c>
      <c r="E343" s="182">
        <f>SUMIF('FY19-20'!$C$10:$C$172,Import!B343,'FY19-20'!$H$10:$H$172)</f>
        <v>0</v>
      </c>
      <c r="F343" s="182">
        <f t="shared" si="10"/>
        <v>0</v>
      </c>
      <c r="G343" s="179" t="s">
        <v>408</v>
      </c>
      <c r="H343" s="182">
        <v>324</v>
      </c>
      <c r="J343" s="181"/>
    </row>
    <row r="344" spans="1:10" ht="14">
      <c r="A344" s="183" t="s">
        <v>147</v>
      </c>
      <c r="B344" s="178">
        <v>3501</v>
      </c>
      <c r="C344" s="25" t="s">
        <v>146</v>
      </c>
      <c r="D344" s="26">
        <v>43739</v>
      </c>
      <c r="E344" s="182">
        <f>SUMIF('FY19-20'!$C$10:$C$172,Import!B344,'FY19-20'!$H$10:$H$172)</f>
        <v>2553.88</v>
      </c>
      <c r="F344" s="182">
        <f t="shared" si="10"/>
        <v>0</v>
      </c>
      <c r="G344" s="179" t="s">
        <v>408</v>
      </c>
      <c r="H344" s="182">
        <v>325</v>
      </c>
      <c r="J344" s="181"/>
    </row>
    <row r="345" spans="1:10" ht="14">
      <c r="A345" s="183" t="s">
        <v>147</v>
      </c>
      <c r="B345" s="178">
        <v>3502</v>
      </c>
      <c r="C345" s="25" t="s">
        <v>146</v>
      </c>
      <c r="D345" s="26">
        <v>43739</v>
      </c>
      <c r="E345" s="182">
        <f>SUMIF('FY19-20'!$C$10:$C$172,Import!B345,'FY19-20'!$H$10:$H$172)</f>
        <v>0</v>
      </c>
      <c r="F345" s="182">
        <f t="shared" si="10"/>
        <v>0</v>
      </c>
      <c r="G345" s="179" t="s">
        <v>408</v>
      </c>
      <c r="H345" s="182">
        <v>326</v>
      </c>
      <c r="J345" s="181"/>
    </row>
    <row r="346" spans="1:10" ht="14">
      <c r="A346" s="183" t="s">
        <v>147</v>
      </c>
      <c r="B346" s="178">
        <v>3601</v>
      </c>
      <c r="C346" s="25" t="s">
        <v>146</v>
      </c>
      <c r="D346" s="26">
        <v>43739</v>
      </c>
      <c r="E346" s="182">
        <f>SUMIF('FY19-20'!$C$10:$C$172,Import!B346,'FY19-20'!$H$10:$H$172)</f>
        <v>7813.52</v>
      </c>
      <c r="F346" s="182">
        <f t="shared" si="10"/>
        <v>0</v>
      </c>
      <c r="G346" s="179" t="s">
        <v>408</v>
      </c>
      <c r="H346" s="182">
        <v>327</v>
      </c>
      <c r="J346" s="181"/>
    </row>
    <row r="347" spans="1:10" ht="14">
      <c r="A347" s="183" t="s">
        <v>147</v>
      </c>
      <c r="B347" s="178">
        <v>3602</v>
      </c>
      <c r="C347" s="25" t="s">
        <v>146</v>
      </c>
      <c r="D347" s="26">
        <v>43739</v>
      </c>
      <c r="E347" s="182">
        <f>SUMIF('FY19-20'!$C$10:$C$172,Import!B347,'FY19-20'!$H$10:$H$172)</f>
        <v>0</v>
      </c>
      <c r="F347" s="182">
        <f t="shared" si="10"/>
        <v>0</v>
      </c>
      <c r="G347" s="179" t="s">
        <v>408</v>
      </c>
      <c r="H347" s="182">
        <v>328</v>
      </c>
      <c r="J347" s="181"/>
    </row>
    <row r="348" spans="1:10" ht="14">
      <c r="A348" s="183" t="s">
        <v>147</v>
      </c>
      <c r="B348" s="178">
        <v>3901</v>
      </c>
      <c r="C348" s="25" t="s">
        <v>146</v>
      </c>
      <c r="D348" s="26">
        <v>43739</v>
      </c>
      <c r="E348" s="182">
        <f>SUMIF('FY19-20'!$C$10:$C$172,Import!B348,'FY19-20'!$H$10:$H$172)</f>
        <v>0</v>
      </c>
      <c r="F348" s="182">
        <f t="shared" si="10"/>
        <v>0</v>
      </c>
      <c r="G348" s="179" t="s">
        <v>408</v>
      </c>
      <c r="H348" s="182">
        <v>329</v>
      </c>
      <c r="J348" s="181"/>
    </row>
    <row r="349" spans="1:10" ht="14">
      <c r="A349" s="183" t="s">
        <v>147</v>
      </c>
      <c r="B349" s="178">
        <v>3902</v>
      </c>
      <c r="C349" s="25" t="s">
        <v>146</v>
      </c>
      <c r="D349" s="26">
        <v>43739</v>
      </c>
      <c r="E349" s="182">
        <f>SUMIF('FY19-20'!$C$10:$C$172,Import!B349,'FY19-20'!$H$10:$H$172)</f>
        <v>0</v>
      </c>
      <c r="F349" s="182">
        <f t="shared" si="10"/>
        <v>0</v>
      </c>
      <c r="G349" s="179" t="s">
        <v>408</v>
      </c>
      <c r="H349" s="182">
        <v>330</v>
      </c>
      <c r="J349" s="181"/>
    </row>
    <row r="350" spans="1:10" ht="14">
      <c r="A350" s="183" t="s">
        <v>147</v>
      </c>
      <c r="B350" s="178">
        <v>4100</v>
      </c>
      <c r="C350" s="25" t="s">
        <v>146</v>
      </c>
      <c r="D350" s="26">
        <v>43739</v>
      </c>
      <c r="E350" s="182">
        <f>SUMIF('FY19-20'!$C$10:$C$172,Import!B350,'FY19-20'!$H$10:$H$172)</f>
        <v>0</v>
      </c>
      <c r="F350" s="182">
        <f t="shared" si="10"/>
        <v>0</v>
      </c>
      <c r="G350" s="179" t="s">
        <v>408</v>
      </c>
      <c r="H350" s="182">
        <v>331</v>
      </c>
      <c r="J350" s="181"/>
    </row>
    <row r="351" spans="1:10" ht="14">
      <c r="A351" s="183" t="s">
        <v>147</v>
      </c>
      <c r="B351" s="178">
        <v>4200</v>
      </c>
      <c r="C351" s="25" t="s">
        <v>146</v>
      </c>
      <c r="D351" s="26">
        <v>43739</v>
      </c>
      <c r="E351" s="182">
        <f>SUMIF('FY19-20'!$C$10:$C$172,Import!B351,'FY19-20'!$H$10:$H$172)</f>
        <v>0</v>
      </c>
      <c r="F351" s="182">
        <f t="shared" si="10"/>
        <v>0</v>
      </c>
      <c r="G351" s="179" t="s">
        <v>408</v>
      </c>
      <c r="H351" s="182">
        <v>332</v>
      </c>
      <c r="J351" s="181"/>
    </row>
    <row r="352" spans="1:10" ht="14">
      <c r="A352" s="183" t="s">
        <v>147</v>
      </c>
      <c r="B352" s="178">
        <v>4302</v>
      </c>
      <c r="C352" s="25" t="s">
        <v>146</v>
      </c>
      <c r="D352" s="26">
        <v>43739</v>
      </c>
      <c r="E352" s="182">
        <f>SUMIF('FY19-20'!$C$10:$C$172,Import!B352,'FY19-20'!$H$10:$H$172)</f>
        <v>339881.56</v>
      </c>
      <c r="F352" s="182">
        <f t="shared" si="10"/>
        <v>0</v>
      </c>
      <c r="G352" s="179" t="s">
        <v>408</v>
      </c>
      <c r="H352" s="182">
        <v>333</v>
      </c>
      <c r="J352" s="181"/>
    </row>
    <row r="353" spans="1:10" ht="14">
      <c r="A353" s="183" t="s">
        <v>147</v>
      </c>
      <c r="B353" s="178">
        <v>4305</v>
      </c>
      <c r="C353" s="25" t="s">
        <v>146</v>
      </c>
      <c r="D353" s="26">
        <v>43739</v>
      </c>
      <c r="E353" s="182">
        <f>SUMIF('FY19-20'!$C$10:$C$172,Import!B353,'FY19-20'!$H$10:$H$172)</f>
        <v>10495.68</v>
      </c>
      <c r="F353" s="182">
        <f t="shared" si="10"/>
        <v>0</v>
      </c>
      <c r="G353" s="179" t="s">
        <v>408</v>
      </c>
      <c r="H353" s="182">
        <v>334</v>
      </c>
      <c r="J353" s="181"/>
    </row>
    <row r="354" spans="1:10" ht="14">
      <c r="A354" s="183" t="s">
        <v>147</v>
      </c>
      <c r="B354" s="178">
        <v>4310</v>
      </c>
      <c r="C354" s="25" t="s">
        <v>146</v>
      </c>
      <c r="D354" s="26">
        <v>43739</v>
      </c>
      <c r="E354" s="182">
        <f>SUMIF('FY19-20'!$C$10:$C$172,Import!B354,'FY19-20'!$H$10:$H$172)</f>
        <v>2440.62</v>
      </c>
      <c r="F354" s="182">
        <f t="shared" si="10"/>
        <v>0</v>
      </c>
      <c r="G354" s="179" t="s">
        <v>408</v>
      </c>
      <c r="H354" s="182">
        <v>335</v>
      </c>
      <c r="J354" s="181"/>
    </row>
    <row r="355" spans="1:10" ht="14">
      <c r="A355" s="183" t="s">
        <v>147</v>
      </c>
      <c r="B355" s="178">
        <v>4311</v>
      </c>
      <c r="C355" s="25" t="s">
        <v>146</v>
      </c>
      <c r="D355" s="26">
        <v>43739</v>
      </c>
      <c r="E355" s="182">
        <f>SUMIF('FY19-20'!$C$10:$C$172,Import!B355,'FY19-20'!$H$10:$H$172)</f>
        <v>71.8</v>
      </c>
      <c r="F355" s="182">
        <f t="shared" si="10"/>
        <v>0</v>
      </c>
      <c r="G355" s="179" t="s">
        <v>408</v>
      </c>
      <c r="H355" s="182">
        <v>336</v>
      </c>
      <c r="J355" s="181"/>
    </row>
    <row r="356" spans="1:10" ht="14">
      <c r="A356" s="183" t="s">
        <v>147</v>
      </c>
      <c r="B356" s="178">
        <v>4312</v>
      </c>
      <c r="C356" s="25" t="s">
        <v>146</v>
      </c>
      <c r="D356" s="26">
        <v>43739</v>
      </c>
      <c r="E356" s="182">
        <f>SUMIF('FY19-20'!$C$10:$C$172,Import!B356,'FY19-20'!$H$10:$H$172)</f>
        <v>0</v>
      </c>
      <c r="F356" s="182">
        <f t="shared" si="10"/>
        <v>0</v>
      </c>
      <c r="G356" s="179" t="s">
        <v>408</v>
      </c>
      <c r="H356" s="182">
        <v>337</v>
      </c>
      <c r="J356" s="181"/>
    </row>
    <row r="357" spans="1:10" ht="14">
      <c r="A357" s="183" t="s">
        <v>147</v>
      </c>
      <c r="B357" s="178">
        <v>4400</v>
      </c>
      <c r="C357" s="25" t="s">
        <v>146</v>
      </c>
      <c r="D357" s="26">
        <v>43739</v>
      </c>
      <c r="E357" s="182">
        <f>SUMIF('FY19-20'!$C$10:$C$172,Import!B357,'FY19-20'!$H$10:$H$172)</f>
        <v>0</v>
      </c>
      <c r="F357" s="182">
        <f t="shared" ref="F357:F386" si="11">-IF(E357&lt;0,E357)</f>
        <v>0</v>
      </c>
      <c r="G357" s="179" t="s">
        <v>408</v>
      </c>
      <c r="H357" s="182">
        <v>338</v>
      </c>
      <c r="J357" s="181"/>
    </row>
    <row r="358" spans="1:10" ht="14">
      <c r="A358" s="183" t="s">
        <v>147</v>
      </c>
      <c r="B358" s="178">
        <v>4700</v>
      </c>
      <c r="C358" s="25" t="s">
        <v>146</v>
      </c>
      <c r="D358" s="26">
        <v>43739</v>
      </c>
      <c r="E358" s="182">
        <f>SUMIF('FY19-20'!$C$10:$C$172,Import!B358,'FY19-20'!$H$10:$H$172)</f>
        <v>0</v>
      </c>
      <c r="F358" s="182">
        <f t="shared" si="11"/>
        <v>0</v>
      </c>
      <c r="G358" s="179" t="s">
        <v>408</v>
      </c>
      <c r="H358" s="182">
        <v>339</v>
      </c>
      <c r="J358" s="181"/>
    </row>
    <row r="359" spans="1:10" ht="14">
      <c r="A359" s="183" t="s">
        <v>147</v>
      </c>
      <c r="B359" s="178">
        <v>5101</v>
      </c>
      <c r="C359" s="25" t="s">
        <v>146</v>
      </c>
      <c r="D359" s="26">
        <v>43739</v>
      </c>
      <c r="E359" s="182">
        <f>SUMIF('FY19-20'!$C$10:$C$172,Import!B359,'FY19-20'!$H$10:$H$172)</f>
        <v>0</v>
      </c>
      <c r="F359" s="182">
        <f t="shared" si="11"/>
        <v>0</v>
      </c>
      <c r="G359" s="179" t="s">
        <v>408</v>
      </c>
      <c r="H359" s="182">
        <v>340</v>
      </c>
      <c r="J359" s="181"/>
    </row>
    <row r="360" spans="1:10" ht="14">
      <c r="A360" s="183" t="s">
        <v>147</v>
      </c>
      <c r="B360" s="178">
        <v>5102</v>
      </c>
      <c r="C360" s="25" t="s">
        <v>146</v>
      </c>
      <c r="D360" s="26">
        <v>43739</v>
      </c>
      <c r="E360" s="182">
        <f>SUMIF('FY19-20'!$C$10:$C$172,Import!B360,'FY19-20'!$H$10:$H$172)</f>
        <v>52759.09</v>
      </c>
      <c r="F360" s="182">
        <f t="shared" si="11"/>
        <v>0</v>
      </c>
      <c r="G360" s="179" t="s">
        <v>408</v>
      </c>
      <c r="H360" s="182">
        <v>341</v>
      </c>
      <c r="J360" s="181"/>
    </row>
    <row r="361" spans="1:10" ht="14">
      <c r="A361" s="183" t="s">
        <v>147</v>
      </c>
      <c r="B361" s="178">
        <v>5103</v>
      </c>
      <c r="C361" s="25" t="s">
        <v>146</v>
      </c>
      <c r="D361" s="26">
        <v>43739</v>
      </c>
      <c r="E361" s="182">
        <f>SUMIF('FY19-20'!$C$10:$C$172,Import!B361,'FY19-20'!$H$10:$H$172)</f>
        <v>0</v>
      </c>
      <c r="F361" s="182">
        <f t="shared" si="11"/>
        <v>0</v>
      </c>
      <c r="G361" s="179" t="s">
        <v>408</v>
      </c>
      <c r="H361" s="182">
        <v>342</v>
      </c>
      <c r="J361" s="181"/>
    </row>
    <row r="362" spans="1:10" ht="14">
      <c r="A362" s="183" t="s">
        <v>147</v>
      </c>
      <c r="B362" s="178">
        <v>5104</v>
      </c>
      <c r="C362" s="25" t="s">
        <v>146</v>
      </c>
      <c r="D362" s="26">
        <v>43739</v>
      </c>
      <c r="E362" s="182">
        <f>SUMIF('FY19-20'!$C$10:$C$172,Import!B362,'FY19-20'!$H$10:$H$172)</f>
        <v>0</v>
      </c>
      <c r="F362" s="182">
        <f t="shared" si="11"/>
        <v>0</v>
      </c>
      <c r="G362" s="179" t="s">
        <v>408</v>
      </c>
      <c r="H362" s="182">
        <v>343</v>
      </c>
      <c r="J362" s="181"/>
    </row>
    <row r="363" spans="1:10" ht="14">
      <c r="A363" s="183" t="s">
        <v>147</v>
      </c>
      <c r="B363" s="178">
        <v>5105</v>
      </c>
      <c r="C363" s="25" t="s">
        <v>146</v>
      </c>
      <c r="D363" s="26">
        <v>43739</v>
      </c>
      <c r="E363" s="182">
        <f>SUMIF('FY19-20'!$C$10:$C$172,Import!B363,'FY19-20'!$H$10:$H$172)</f>
        <v>0</v>
      </c>
      <c r="F363" s="182">
        <f t="shared" si="11"/>
        <v>0</v>
      </c>
      <c r="G363" s="179" t="s">
        <v>408</v>
      </c>
      <c r="H363" s="182">
        <v>344</v>
      </c>
      <c r="J363" s="181"/>
    </row>
    <row r="364" spans="1:10" ht="12.5" customHeight="1">
      <c r="A364" s="183" t="s">
        <v>147</v>
      </c>
      <c r="B364" s="178">
        <v>5106</v>
      </c>
      <c r="C364" s="25" t="s">
        <v>146</v>
      </c>
      <c r="D364" s="26">
        <v>43739</v>
      </c>
      <c r="E364" s="182">
        <f>SUMIF('FY19-20'!$C$10:$C$172,Import!B364,'FY19-20'!$H$10:$H$172)</f>
        <v>409466.4</v>
      </c>
      <c r="F364" s="182">
        <f t="shared" si="11"/>
        <v>0</v>
      </c>
      <c r="G364" s="179" t="s">
        <v>408</v>
      </c>
      <c r="H364" s="182">
        <v>345</v>
      </c>
      <c r="J364" s="181"/>
    </row>
    <row r="365" spans="1:10" ht="12.5" customHeight="1">
      <c r="A365" s="183" t="s">
        <v>147</v>
      </c>
      <c r="B365" s="178">
        <v>5107</v>
      </c>
      <c r="C365" s="25" t="s">
        <v>146</v>
      </c>
      <c r="D365" s="26">
        <v>43739</v>
      </c>
      <c r="E365" s="182">
        <f>SUMIF('FY19-20'!$C$10:$C$172,Import!B365,'FY19-20'!$H$10:$H$172)</f>
        <v>298388.88</v>
      </c>
      <c r="F365" s="182">
        <f t="shared" ref="F365" si="12">-IF(E365&lt;0,E365)</f>
        <v>0</v>
      </c>
      <c r="G365" s="179" t="s">
        <v>408</v>
      </c>
      <c r="H365" s="182">
        <v>345</v>
      </c>
      <c r="J365" s="181"/>
    </row>
    <row r="366" spans="1:10" ht="14">
      <c r="A366" s="183" t="s">
        <v>147</v>
      </c>
      <c r="B366" s="178">
        <v>5201</v>
      </c>
      <c r="C366" s="25" t="s">
        <v>146</v>
      </c>
      <c r="D366" s="26">
        <v>43739</v>
      </c>
      <c r="E366" s="182">
        <f>SUMIF('FY19-20'!$C$10:$C$172,Import!B366,'FY19-20'!$H$10:$H$172)</f>
        <v>0</v>
      </c>
      <c r="F366" s="182">
        <f t="shared" si="11"/>
        <v>0</v>
      </c>
      <c r="G366" s="179" t="s">
        <v>408</v>
      </c>
      <c r="H366" s="182">
        <v>346</v>
      </c>
      <c r="J366" s="181"/>
    </row>
    <row r="367" spans="1:10" ht="14">
      <c r="A367" s="183" t="s">
        <v>147</v>
      </c>
      <c r="B367" s="178">
        <v>5202</v>
      </c>
      <c r="C367" s="25" t="s">
        <v>146</v>
      </c>
      <c r="D367" s="26">
        <v>43739</v>
      </c>
      <c r="E367" s="182">
        <f>SUMIF('FY19-20'!$C$10:$C$172,Import!B367,'FY19-20'!$H$10:$H$172)</f>
        <v>0</v>
      </c>
      <c r="F367" s="182">
        <f t="shared" si="11"/>
        <v>0</v>
      </c>
      <c r="G367" s="179" t="s">
        <v>408</v>
      </c>
      <c r="H367" s="182">
        <v>347</v>
      </c>
      <c r="J367" s="181"/>
    </row>
    <row r="368" spans="1:10" ht="14">
      <c r="A368" s="183" t="s">
        <v>147</v>
      </c>
      <c r="B368" s="178">
        <v>5203</v>
      </c>
      <c r="C368" s="25" t="s">
        <v>146</v>
      </c>
      <c r="D368" s="26">
        <v>43739</v>
      </c>
      <c r="E368" s="182">
        <f>SUMIF('FY19-20'!$C$10:$C$172,Import!B368,'FY19-20'!$H$10:$H$172)</f>
        <v>0</v>
      </c>
      <c r="F368" s="182">
        <f t="shared" si="11"/>
        <v>0</v>
      </c>
      <c r="G368" s="179" t="s">
        <v>408</v>
      </c>
      <c r="H368" s="182">
        <v>348</v>
      </c>
      <c r="J368" s="181"/>
    </row>
    <row r="369" spans="1:10" ht="14">
      <c r="A369" s="183" t="s">
        <v>147</v>
      </c>
      <c r="B369" s="178">
        <v>5300</v>
      </c>
      <c r="C369" s="25" t="s">
        <v>146</v>
      </c>
      <c r="D369" s="26">
        <v>43739</v>
      </c>
      <c r="E369" s="182">
        <f>SUMIF('FY19-20'!$C$10:$C$172,Import!B369,'FY19-20'!$H$10:$H$172)</f>
        <v>0</v>
      </c>
      <c r="F369" s="182">
        <f t="shared" si="11"/>
        <v>0</v>
      </c>
      <c r="G369" s="179" t="s">
        <v>408</v>
      </c>
      <c r="H369" s="182">
        <v>349</v>
      </c>
      <c r="J369" s="181"/>
    </row>
    <row r="370" spans="1:10" ht="14">
      <c r="A370" s="183" t="s">
        <v>147</v>
      </c>
      <c r="B370" s="178">
        <v>5400</v>
      </c>
      <c r="C370" s="25" t="s">
        <v>146</v>
      </c>
      <c r="D370" s="26">
        <v>43739</v>
      </c>
      <c r="E370" s="182">
        <f>SUMIF('FY19-20'!$C$10:$C$172,Import!B370,'FY19-20'!$H$10:$H$172)</f>
        <v>1296.22</v>
      </c>
      <c r="F370" s="182">
        <f t="shared" si="11"/>
        <v>0</v>
      </c>
      <c r="G370" s="179" t="s">
        <v>408</v>
      </c>
      <c r="H370" s="182">
        <v>350</v>
      </c>
      <c r="J370" s="181"/>
    </row>
    <row r="371" spans="1:10" ht="14">
      <c r="A371" s="183" t="s">
        <v>147</v>
      </c>
      <c r="B371" s="178">
        <v>5501</v>
      </c>
      <c r="C371" s="25" t="s">
        <v>146</v>
      </c>
      <c r="D371" s="26">
        <v>43739</v>
      </c>
      <c r="E371" s="182">
        <f>SUMIF('FY19-20'!$C$10:$C$172,Import!B371,'FY19-20'!$H$10:$H$172)</f>
        <v>0</v>
      </c>
      <c r="F371" s="182">
        <f t="shared" si="11"/>
        <v>0</v>
      </c>
      <c r="G371" s="179" t="s">
        <v>408</v>
      </c>
      <c r="H371" s="182">
        <v>351</v>
      </c>
      <c r="J371" s="181"/>
    </row>
    <row r="372" spans="1:10" ht="14">
      <c r="A372" s="183" t="s">
        <v>147</v>
      </c>
      <c r="B372" s="178">
        <v>5502</v>
      </c>
      <c r="C372" s="25" t="s">
        <v>146</v>
      </c>
      <c r="D372" s="26">
        <v>43739</v>
      </c>
      <c r="E372" s="182">
        <f>SUMIF('FY19-20'!$C$10:$C$172,Import!B372,'FY19-20'!$H$10:$H$172)</f>
        <v>0</v>
      </c>
      <c r="F372" s="182">
        <f t="shared" si="11"/>
        <v>0</v>
      </c>
      <c r="G372" s="179" t="s">
        <v>408</v>
      </c>
      <c r="H372" s="182">
        <v>352</v>
      </c>
      <c r="J372" s="181"/>
    </row>
    <row r="373" spans="1:10" ht="14">
      <c r="A373" s="183" t="s">
        <v>147</v>
      </c>
      <c r="B373" s="178">
        <v>5516</v>
      </c>
      <c r="C373" s="25" t="s">
        <v>146</v>
      </c>
      <c r="D373" s="26">
        <v>43739</v>
      </c>
      <c r="E373" s="182">
        <f>SUMIF('FY19-20'!$C$10:$C$172,Import!B373,'FY19-20'!$H$10:$H$172)</f>
        <v>0</v>
      </c>
      <c r="F373" s="182">
        <f t="shared" si="11"/>
        <v>0</v>
      </c>
      <c r="G373" s="179" t="s">
        <v>408</v>
      </c>
      <c r="H373" s="182">
        <v>353</v>
      </c>
      <c r="J373" s="181"/>
    </row>
    <row r="374" spans="1:10" ht="14">
      <c r="A374" s="183" t="s">
        <v>147</v>
      </c>
      <c r="B374" s="178">
        <v>5531</v>
      </c>
      <c r="C374" s="25" t="s">
        <v>146</v>
      </c>
      <c r="D374" s="26">
        <v>43739</v>
      </c>
      <c r="E374" s="182">
        <f>SUMIF('FY19-20'!$C$10:$C$172,Import!B374,'FY19-20'!$H$10:$H$172)</f>
        <v>0</v>
      </c>
      <c r="F374" s="182">
        <f t="shared" si="11"/>
        <v>0</v>
      </c>
      <c r="G374" s="179" t="s">
        <v>408</v>
      </c>
      <c r="H374" s="182">
        <v>356</v>
      </c>
      <c r="J374" s="181"/>
    </row>
    <row r="375" spans="1:10" ht="14">
      <c r="A375" s="183" t="s">
        <v>147</v>
      </c>
      <c r="B375" s="178">
        <v>5540</v>
      </c>
      <c r="C375" s="25" t="s">
        <v>146</v>
      </c>
      <c r="D375" s="26">
        <v>43739</v>
      </c>
      <c r="E375" s="182">
        <f>SUMIF('FY19-20'!$C$10:$C$172,Import!B375,'FY19-20'!$H$10:$H$172)</f>
        <v>0</v>
      </c>
      <c r="F375" s="182">
        <f t="shared" si="11"/>
        <v>0</v>
      </c>
      <c r="G375" s="179" t="s">
        <v>408</v>
      </c>
      <c r="H375" s="182">
        <v>357</v>
      </c>
      <c r="J375" s="181"/>
    </row>
    <row r="376" spans="1:10" ht="14">
      <c r="A376" s="183" t="s">
        <v>147</v>
      </c>
      <c r="B376" s="178">
        <v>5601</v>
      </c>
      <c r="C376" s="25" t="s">
        <v>146</v>
      </c>
      <c r="D376" s="26">
        <v>43739</v>
      </c>
      <c r="E376" s="182">
        <f>SUMIF('FY19-20'!$C$10:$C$172,Import!B376,'FY19-20'!$H$10:$H$172)</f>
        <v>20087.599999999999</v>
      </c>
      <c r="F376" s="182">
        <f t="shared" si="11"/>
        <v>0</v>
      </c>
      <c r="G376" s="179" t="s">
        <v>408</v>
      </c>
      <c r="H376" s="182">
        <v>358</v>
      </c>
      <c r="J376" s="181"/>
    </row>
    <row r="377" spans="1:10" ht="14">
      <c r="A377" s="183" t="s">
        <v>147</v>
      </c>
      <c r="B377" s="178">
        <v>5602</v>
      </c>
      <c r="C377" s="25" t="s">
        <v>146</v>
      </c>
      <c r="D377" s="26">
        <v>43739</v>
      </c>
      <c r="E377" s="182">
        <f>SUMIF('FY19-20'!$C$10:$C$172,Import!B377,'FY19-20'!$H$10:$H$172)</f>
        <v>0</v>
      </c>
      <c r="F377" s="182">
        <f t="shared" si="11"/>
        <v>0</v>
      </c>
      <c r="G377" s="179" t="s">
        <v>408</v>
      </c>
      <c r="H377" s="182">
        <v>359</v>
      </c>
      <c r="J377" s="181"/>
    </row>
    <row r="378" spans="1:10" ht="14">
      <c r="A378" s="183" t="s">
        <v>147</v>
      </c>
      <c r="B378" s="178">
        <v>5603</v>
      </c>
      <c r="C378" s="25" t="s">
        <v>146</v>
      </c>
      <c r="D378" s="26">
        <v>43739</v>
      </c>
      <c r="E378" s="182">
        <f>SUMIF('FY19-20'!$C$10:$C$172,Import!B378,'FY19-20'!$H$10:$H$172)</f>
        <v>0</v>
      </c>
      <c r="F378" s="182">
        <f t="shared" si="11"/>
        <v>0</v>
      </c>
      <c r="G378" s="179" t="s">
        <v>408</v>
      </c>
      <c r="H378" s="182">
        <v>360</v>
      </c>
      <c r="J378" s="181"/>
    </row>
    <row r="379" spans="1:10" ht="14">
      <c r="A379" s="183" t="s">
        <v>147</v>
      </c>
      <c r="B379" s="178">
        <v>5604</v>
      </c>
      <c r="C379" s="25" t="s">
        <v>146</v>
      </c>
      <c r="D379" s="26">
        <v>43739</v>
      </c>
      <c r="E379" s="182">
        <f>SUMIF('FY19-20'!$C$10:$C$172,Import!B379,'FY19-20'!$H$10:$H$172)</f>
        <v>0</v>
      </c>
      <c r="F379" s="182">
        <f t="shared" si="11"/>
        <v>0</v>
      </c>
      <c r="G379" s="179" t="s">
        <v>408</v>
      </c>
      <c r="H379" s="182">
        <v>361</v>
      </c>
      <c r="J379" s="181"/>
    </row>
    <row r="380" spans="1:10" ht="14">
      <c r="A380" s="183" t="s">
        <v>147</v>
      </c>
      <c r="B380" s="178">
        <v>5605</v>
      </c>
      <c r="C380" s="25" t="s">
        <v>146</v>
      </c>
      <c r="D380" s="26">
        <v>43739</v>
      </c>
      <c r="E380" s="182">
        <f>SUMIF('FY19-20'!$C$10:$C$172,Import!B380,'FY19-20'!$H$10:$H$172)</f>
        <v>0</v>
      </c>
      <c r="F380" s="182">
        <f t="shared" si="11"/>
        <v>0</v>
      </c>
      <c r="G380" s="179" t="s">
        <v>408</v>
      </c>
      <c r="H380" s="182">
        <v>362</v>
      </c>
      <c r="J380" s="181"/>
    </row>
    <row r="381" spans="1:10" ht="14">
      <c r="A381" s="183" t="s">
        <v>147</v>
      </c>
      <c r="B381" s="178">
        <v>5610</v>
      </c>
      <c r="C381" s="25" t="s">
        <v>146</v>
      </c>
      <c r="D381" s="26">
        <v>43739</v>
      </c>
      <c r="E381" s="182">
        <f>SUMIF('FY19-20'!$C$10:$C$172,Import!B381,'FY19-20'!$H$10:$H$172)</f>
        <v>0</v>
      </c>
      <c r="F381" s="182">
        <f t="shared" si="11"/>
        <v>0</v>
      </c>
      <c r="G381" s="179" t="s">
        <v>408</v>
      </c>
      <c r="H381" s="182">
        <v>363</v>
      </c>
      <c r="J381" s="181"/>
    </row>
    <row r="382" spans="1:10" ht="14">
      <c r="A382" s="183" t="s">
        <v>147</v>
      </c>
      <c r="B382" s="178">
        <v>5801</v>
      </c>
      <c r="C382" s="25" t="s">
        <v>146</v>
      </c>
      <c r="D382" s="26">
        <v>43739</v>
      </c>
      <c r="E382" s="182">
        <f>SUMIF('FY19-20'!$C$10:$C$172,Import!B382,'FY19-20'!$H$10:$H$172)</f>
        <v>700</v>
      </c>
      <c r="F382" s="182">
        <f t="shared" si="11"/>
        <v>0</v>
      </c>
      <c r="G382" s="179" t="s">
        <v>408</v>
      </c>
      <c r="H382" s="182">
        <v>364</v>
      </c>
      <c r="J382" s="181"/>
    </row>
    <row r="383" spans="1:10" ht="14">
      <c r="A383" s="183" t="s">
        <v>147</v>
      </c>
      <c r="B383" s="178">
        <v>5802</v>
      </c>
      <c r="C383" s="25" t="s">
        <v>146</v>
      </c>
      <c r="D383" s="26">
        <v>43739</v>
      </c>
      <c r="E383" s="182">
        <f>SUMIF('FY19-20'!$C$10:$C$172,Import!B383,'FY19-20'!$H$10:$H$172)</f>
        <v>0</v>
      </c>
      <c r="F383" s="182">
        <f t="shared" si="11"/>
        <v>0</v>
      </c>
      <c r="G383" s="179" t="s">
        <v>408</v>
      </c>
      <c r="H383" s="182">
        <v>365</v>
      </c>
      <c r="J383" s="181"/>
    </row>
    <row r="384" spans="1:10" ht="14">
      <c r="A384" s="183" t="s">
        <v>147</v>
      </c>
      <c r="B384" s="178">
        <v>5803</v>
      </c>
      <c r="C384" s="25" t="s">
        <v>146</v>
      </c>
      <c r="D384" s="26">
        <v>43739</v>
      </c>
      <c r="E384" s="182">
        <f>SUMIF('FY19-20'!$C$10:$C$172,Import!B384,'FY19-20'!$H$10:$H$172)</f>
        <v>1521</v>
      </c>
      <c r="F384" s="182">
        <f t="shared" si="11"/>
        <v>0</v>
      </c>
      <c r="G384" s="179" t="s">
        <v>408</v>
      </c>
      <c r="H384" s="182">
        <v>366</v>
      </c>
      <c r="J384" s="181"/>
    </row>
    <row r="385" spans="1:10" ht="14">
      <c r="A385" s="183" t="s">
        <v>147</v>
      </c>
      <c r="B385" s="178">
        <v>5804</v>
      </c>
      <c r="C385" s="25" t="s">
        <v>146</v>
      </c>
      <c r="D385" s="26">
        <v>43739</v>
      </c>
      <c r="E385" s="182">
        <f>SUMIF('FY19-20'!$C$10:$C$172,Import!B385,'FY19-20'!$H$10:$H$172)</f>
        <v>159.84</v>
      </c>
      <c r="F385" s="182">
        <f t="shared" si="11"/>
        <v>0</v>
      </c>
      <c r="G385" s="179" t="s">
        <v>408</v>
      </c>
      <c r="H385" s="182">
        <v>367</v>
      </c>
      <c r="J385" s="181"/>
    </row>
    <row r="386" spans="1:10" ht="14">
      <c r="A386" s="183" t="s">
        <v>147</v>
      </c>
      <c r="B386" s="178">
        <v>5805</v>
      </c>
      <c r="C386" s="25" t="s">
        <v>146</v>
      </c>
      <c r="D386" s="26">
        <v>43739</v>
      </c>
      <c r="E386" s="182">
        <f>SUMIF('FY19-20'!$C$10:$C$172,Import!B386,'FY19-20'!$H$10:$H$172)</f>
        <v>2848</v>
      </c>
      <c r="F386" s="182">
        <f t="shared" si="11"/>
        <v>0</v>
      </c>
      <c r="G386" s="179" t="s">
        <v>408</v>
      </c>
      <c r="H386" s="182">
        <v>368</v>
      </c>
      <c r="J386" s="181"/>
    </row>
    <row r="387" spans="1:10" ht="14">
      <c r="A387" s="183" t="s">
        <v>147</v>
      </c>
      <c r="B387" s="178">
        <v>5806</v>
      </c>
      <c r="C387" s="25" t="s">
        <v>146</v>
      </c>
      <c r="D387" s="26">
        <v>43739</v>
      </c>
      <c r="E387" s="182">
        <f>SUMIF('FY19-20'!$C$10:$C$172,Import!B387,'FY19-20'!$H$10:$H$172)</f>
        <v>15421.05</v>
      </c>
      <c r="F387" s="182">
        <f>-IF(E387&lt;0,E387,0)</f>
        <v>0</v>
      </c>
      <c r="G387" s="179" t="s">
        <v>408</v>
      </c>
      <c r="J387" s="181"/>
    </row>
    <row r="388" spans="1:10" ht="14">
      <c r="A388" s="183" t="s">
        <v>147</v>
      </c>
      <c r="B388" s="178">
        <v>5807</v>
      </c>
      <c r="C388" s="25" t="s">
        <v>146</v>
      </c>
      <c r="D388" s="26">
        <v>43739</v>
      </c>
      <c r="E388" s="182">
        <f>SUMIF('FY19-20'!$C$10:$C$172,Import!B388,'FY19-20'!$H$10:$H$172)</f>
        <v>884.88</v>
      </c>
      <c r="F388" s="182">
        <f>-IF(E388&lt;0,E388,0)</f>
        <v>0</v>
      </c>
      <c r="G388" s="179" t="s">
        <v>408</v>
      </c>
      <c r="J388" s="181"/>
    </row>
    <row r="389" spans="1:10" ht="14">
      <c r="A389" s="183" t="s">
        <v>147</v>
      </c>
      <c r="B389" s="178">
        <v>5808</v>
      </c>
      <c r="C389" s="25" t="s">
        <v>146</v>
      </c>
      <c r="D389" s="26">
        <v>43739</v>
      </c>
      <c r="E389" s="182">
        <f>SUMIF('FY19-20'!$C$10:$C$172,Import!B389,'FY19-20'!$H$10:$H$172)</f>
        <v>0</v>
      </c>
      <c r="F389" s="182">
        <f>-IF(E389&lt;0,E389,0)</f>
        <v>0</v>
      </c>
      <c r="G389" s="179" t="s">
        <v>408</v>
      </c>
      <c r="J389" s="181"/>
    </row>
    <row r="390" spans="1:10" ht="14">
      <c r="A390" s="183" t="s">
        <v>147</v>
      </c>
      <c r="B390" s="178">
        <v>5809</v>
      </c>
      <c r="C390" s="25" t="s">
        <v>146</v>
      </c>
      <c r="D390" s="26">
        <v>43739</v>
      </c>
      <c r="E390" s="182">
        <f>SUMIF('FY19-20'!$C$10:$C$172,Import!B390,'FY19-20'!$H$10:$H$172)</f>
        <v>0</v>
      </c>
      <c r="F390" s="182">
        <f>-IF(E390&lt;0,E390,0)</f>
        <v>0</v>
      </c>
      <c r="G390" s="179" t="s">
        <v>408</v>
      </c>
      <c r="J390" s="181"/>
    </row>
    <row r="391" spans="1:10" ht="14">
      <c r="A391" s="183" t="s">
        <v>147</v>
      </c>
      <c r="B391" s="178">
        <v>5810</v>
      </c>
      <c r="C391" s="25" t="s">
        <v>146</v>
      </c>
      <c r="D391" s="26">
        <v>43739</v>
      </c>
      <c r="E391" s="182">
        <f>SUMIF('FY19-20'!$C$10:$C$172,Import!B391,'FY19-20'!$H$10:$H$172)</f>
        <v>0</v>
      </c>
      <c r="F391" s="182">
        <f>-IF(E391&lt;0,E391)</f>
        <v>0</v>
      </c>
      <c r="G391" s="179" t="s">
        <v>408</v>
      </c>
      <c r="H391" s="182">
        <v>369</v>
      </c>
      <c r="J391" s="181"/>
    </row>
    <row r="392" spans="1:10" ht="14">
      <c r="A392" s="183" t="s">
        <v>147</v>
      </c>
      <c r="B392" s="178">
        <v>5811</v>
      </c>
      <c r="C392" s="25" t="s">
        <v>146</v>
      </c>
      <c r="D392" s="26">
        <v>43739</v>
      </c>
      <c r="E392" s="182">
        <f>SUMIF('FY19-20'!$C$10:$C$172,Import!B392,'FY19-20'!$H$10:$H$172)</f>
        <v>90814.01</v>
      </c>
      <c r="F392" s="182">
        <f>-IF(E392&lt;0,E392)</f>
        <v>0</v>
      </c>
      <c r="G392" s="179" t="s">
        <v>408</v>
      </c>
      <c r="H392" s="182">
        <v>370</v>
      </c>
      <c r="J392" s="181"/>
    </row>
    <row r="393" spans="1:10" ht="14">
      <c r="A393" s="183" t="s">
        <v>147</v>
      </c>
      <c r="B393" s="178">
        <v>5812</v>
      </c>
      <c r="C393" s="25" t="s">
        <v>146</v>
      </c>
      <c r="D393" s="26">
        <v>43739</v>
      </c>
      <c r="E393" s="182">
        <f>SUMIF('FY19-20'!$C$10:$C$172,Import!B393,'FY19-20'!$H$10:$H$172)</f>
        <v>200000</v>
      </c>
      <c r="F393" s="182">
        <f>-IF(E393&lt;0,E393)</f>
        <v>0</v>
      </c>
      <c r="G393" s="179" t="s">
        <v>408</v>
      </c>
      <c r="H393" s="182">
        <v>371</v>
      </c>
      <c r="J393" s="181"/>
    </row>
    <row r="394" spans="1:10" ht="14">
      <c r="A394" s="183" t="s">
        <v>147</v>
      </c>
      <c r="B394" s="178">
        <v>5813</v>
      </c>
      <c r="C394" s="25" t="s">
        <v>146</v>
      </c>
      <c r="D394" s="26">
        <v>43739</v>
      </c>
      <c r="E394" s="182">
        <f>SUMIF('FY19-20'!$C$10:$C$172,Import!B394,'FY19-20'!$H$10:$H$172)</f>
        <v>0</v>
      </c>
      <c r="F394" s="182">
        <f>-IF(E394&lt;0,E394)</f>
        <v>0</v>
      </c>
      <c r="G394" s="179" t="s">
        <v>408</v>
      </c>
      <c r="H394" s="182">
        <v>372</v>
      </c>
      <c r="J394" s="181"/>
    </row>
    <row r="395" spans="1:10" ht="14">
      <c r="A395" s="183" t="s">
        <v>147</v>
      </c>
      <c r="B395" s="178">
        <v>5814</v>
      </c>
      <c r="C395" s="25" t="s">
        <v>146</v>
      </c>
      <c r="D395" s="26">
        <v>43739</v>
      </c>
      <c r="E395" s="182">
        <f>SUMIF('FY19-20'!$C$10:$C$172,Import!B395,'FY19-20'!$H$10:$H$172)</f>
        <v>0</v>
      </c>
      <c r="F395" s="182">
        <f>-IF(E395&lt;0,E395)</f>
        <v>0</v>
      </c>
      <c r="G395" s="179" t="s">
        <v>408</v>
      </c>
      <c r="H395" s="182">
        <v>373</v>
      </c>
      <c r="J395" s="181"/>
    </row>
    <row r="396" spans="1:10" ht="14">
      <c r="A396" s="183" t="s">
        <v>147</v>
      </c>
      <c r="B396" s="178">
        <v>5815</v>
      </c>
      <c r="C396" s="25" t="s">
        <v>146</v>
      </c>
      <c r="D396" s="26">
        <v>43739</v>
      </c>
      <c r="E396" s="182">
        <f>SUMIF('FY19-20'!$C$10:$C$172,Import!B396,'FY19-20'!$H$10:$H$172)</f>
        <v>0</v>
      </c>
      <c r="F396" s="182">
        <f>-IF(E396&lt;0,E396,0)</f>
        <v>0</v>
      </c>
      <c r="G396" s="179" t="s">
        <v>408</v>
      </c>
      <c r="J396" s="181"/>
    </row>
    <row r="397" spans="1:10" ht="14">
      <c r="A397" s="183" t="s">
        <v>147</v>
      </c>
      <c r="B397" s="178">
        <v>5820</v>
      </c>
      <c r="C397" s="25" t="s">
        <v>146</v>
      </c>
      <c r="D397" s="26">
        <v>43739</v>
      </c>
      <c r="E397" s="182">
        <f>SUMIF('FY19-20'!$C$10:$C$172,Import!B397,'FY19-20'!$H$10:$H$172)</f>
        <v>0</v>
      </c>
      <c r="F397" s="182">
        <f>-IF(E397&lt;0,E397,0)</f>
        <v>0</v>
      </c>
      <c r="G397" s="179" t="s">
        <v>408</v>
      </c>
      <c r="J397" s="181"/>
    </row>
    <row r="398" spans="1:10" ht="14">
      <c r="A398" s="183" t="s">
        <v>147</v>
      </c>
      <c r="B398" s="178">
        <v>5900</v>
      </c>
      <c r="C398" s="25" t="s">
        <v>146</v>
      </c>
      <c r="D398" s="26">
        <v>43739</v>
      </c>
      <c r="E398" s="182">
        <f>SUMIF('FY19-20'!$C$10:$C$172,Import!B398,'FY19-20'!$H$10:$H$172)</f>
        <v>0</v>
      </c>
      <c r="F398" s="182">
        <f>-IF(E398&lt;0,E398)</f>
        <v>0</v>
      </c>
      <c r="G398" s="179" t="s">
        <v>408</v>
      </c>
      <c r="H398" s="182">
        <v>374</v>
      </c>
      <c r="J398" s="181"/>
    </row>
    <row r="399" spans="1:10" ht="14">
      <c r="A399" s="183" t="s">
        <v>147</v>
      </c>
      <c r="B399" s="178">
        <v>5901</v>
      </c>
      <c r="C399" s="25" t="s">
        <v>146</v>
      </c>
      <c r="D399" s="26">
        <v>43739</v>
      </c>
      <c r="E399" s="182">
        <f>SUMIF('FY19-20'!$C$10:$C$172,Import!B399,'FY19-20'!$H$10:$H$172)</f>
        <v>0</v>
      </c>
      <c r="F399" s="182">
        <f>-IF(E399&lt;0,E399,0)</f>
        <v>0</v>
      </c>
      <c r="G399" s="179" t="s">
        <v>408</v>
      </c>
    </row>
    <row r="400" spans="1:10" ht="14">
      <c r="A400" s="183" t="s">
        <v>147</v>
      </c>
      <c r="B400" s="178">
        <v>6900</v>
      </c>
      <c r="C400" s="25" t="s">
        <v>146</v>
      </c>
      <c r="D400" s="26">
        <v>43739</v>
      </c>
      <c r="E400" s="182">
        <f>SUMIF('FY19-20'!$C$10:$C$172,Import!B400,'FY19-20'!$H$10:$H$172)</f>
        <v>0</v>
      </c>
      <c r="F400" s="182">
        <f t="shared" ref="F400:F431" si="13">-IF(E400&lt;0,E400)</f>
        <v>0</v>
      </c>
      <c r="G400" s="179" t="s">
        <v>408</v>
      </c>
      <c r="H400" s="182">
        <v>375</v>
      </c>
      <c r="J400" s="181"/>
    </row>
    <row r="401" spans="1:10" ht="14">
      <c r="A401" s="183" t="s">
        <v>147</v>
      </c>
      <c r="B401" s="178">
        <v>7438</v>
      </c>
      <c r="C401" s="25" t="s">
        <v>146</v>
      </c>
      <c r="D401" s="26">
        <v>43739</v>
      </c>
      <c r="E401" s="182">
        <f>SUMIF('FY19-20'!$C$10:$C$172,Import!B401,'FY19-20'!$H$10:$H$172)</f>
        <v>0</v>
      </c>
      <c r="F401" s="182">
        <f t="shared" si="13"/>
        <v>0</v>
      </c>
      <c r="G401" s="179" t="s">
        <v>408</v>
      </c>
      <c r="H401" s="182">
        <v>376</v>
      </c>
      <c r="J401" s="181"/>
    </row>
    <row r="402" spans="1:10" ht="14">
      <c r="A402" s="183" t="s">
        <v>147</v>
      </c>
      <c r="B402" s="178">
        <v>8011</v>
      </c>
      <c r="C402" s="25" t="s">
        <v>146</v>
      </c>
      <c r="D402" s="26">
        <v>43739</v>
      </c>
      <c r="E402" s="182">
        <f>SUMIF('FY19-20'!$C$10:$C$172,Import!B402,'FY19-20'!$H$10:$H$172)</f>
        <v>11771579</v>
      </c>
      <c r="F402" s="182">
        <f t="shared" si="13"/>
        <v>0</v>
      </c>
      <c r="G402" s="179" t="s">
        <v>408</v>
      </c>
      <c r="H402" s="182">
        <v>377</v>
      </c>
      <c r="J402" s="181"/>
    </row>
    <row r="403" spans="1:10" ht="14">
      <c r="A403" s="183" t="s">
        <v>147</v>
      </c>
      <c r="B403" s="178">
        <v>8012</v>
      </c>
      <c r="C403" s="25" t="s">
        <v>146</v>
      </c>
      <c r="D403" s="26">
        <v>43739</v>
      </c>
      <c r="E403" s="182">
        <f>SUMIF('FY19-20'!$C$10:$C$172,Import!B403,'FY19-20'!$H$10:$H$172)</f>
        <v>147000</v>
      </c>
      <c r="F403" s="182">
        <f t="shared" si="13"/>
        <v>0</v>
      </c>
      <c r="G403" s="179" t="s">
        <v>408</v>
      </c>
      <c r="H403" s="182">
        <v>378</v>
      </c>
      <c r="J403" s="181"/>
    </row>
    <row r="404" spans="1:10" ht="14">
      <c r="A404" s="183" t="s">
        <v>147</v>
      </c>
      <c r="B404" s="178">
        <v>8019</v>
      </c>
      <c r="C404" s="25" t="s">
        <v>146</v>
      </c>
      <c r="D404" s="26">
        <v>43739</v>
      </c>
      <c r="E404" s="182">
        <f>SUMIF('FY19-20'!$C$10:$C$172,Import!B404,'FY19-20'!$H$10:$H$172)</f>
        <v>0</v>
      </c>
      <c r="F404" s="182">
        <f t="shared" si="13"/>
        <v>0</v>
      </c>
      <c r="G404" s="179" t="s">
        <v>408</v>
      </c>
      <c r="H404" s="182">
        <v>379</v>
      </c>
      <c r="J404" s="181"/>
    </row>
    <row r="405" spans="1:10" ht="14">
      <c r="A405" s="183" t="s">
        <v>147</v>
      </c>
      <c r="B405" s="178">
        <v>8096</v>
      </c>
      <c r="C405" s="25" t="s">
        <v>146</v>
      </c>
      <c r="D405" s="26">
        <v>43739</v>
      </c>
      <c r="E405" s="182">
        <f>SUMIF('FY19-20'!$C$10:$C$172,Import!B405,'FY19-20'!$H$10:$H$172)</f>
        <v>0</v>
      </c>
      <c r="F405" s="182">
        <f t="shared" si="13"/>
        <v>0</v>
      </c>
      <c r="G405" s="179" t="s">
        <v>408</v>
      </c>
      <c r="H405" s="182">
        <v>380</v>
      </c>
      <c r="J405" s="181"/>
    </row>
    <row r="406" spans="1:10" ht="14">
      <c r="A406" s="183" t="s">
        <v>147</v>
      </c>
      <c r="B406" s="178">
        <v>8181</v>
      </c>
      <c r="C406" s="25" t="s">
        <v>146</v>
      </c>
      <c r="D406" s="26">
        <v>43739</v>
      </c>
      <c r="E406" s="182">
        <f>SUMIF('FY19-20'!$C$10:$C$172,Import!B406,'FY19-20'!$H$10:$H$172)</f>
        <v>0</v>
      </c>
      <c r="F406" s="182">
        <f t="shared" si="13"/>
        <v>0</v>
      </c>
      <c r="G406" s="179" t="s">
        <v>408</v>
      </c>
      <c r="H406" s="182">
        <v>381</v>
      </c>
      <c r="J406" s="181"/>
    </row>
    <row r="407" spans="1:10" ht="14">
      <c r="A407" s="183" t="s">
        <v>147</v>
      </c>
      <c r="B407" s="178">
        <v>8182</v>
      </c>
      <c r="C407" s="25" t="s">
        <v>146</v>
      </c>
      <c r="D407" s="26">
        <v>43739</v>
      </c>
      <c r="E407" s="182">
        <f>SUMIF('FY19-20'!$C$10:$C$172,Import!B407,'FY19-20'!$H$10:$H$172)</f>
        <v>0</v>
      </c>
      <c r="F407" s="182">
        <f t="shared" si="13"/>
        <v>0</v>
      </c>
      <c r="G407" s="179" t="s">
        <v>408</v>
      </c>
      <c r="H407" s="182">
        <v>382</v>
      </c>
      <c r="J407" s="181"/>
    </row>
    <row r="408" spans="1:10" ht="14">
      <c r="A408" s="183" t="s">
        <v>147</v>
      </c>
      <c r="B408" s="178">
        <v>8220</v>
      </c>
      <c r="C408" s="25" t="s">
        <v>146</v>
      </c>
      <c r="D408" s="26">
        <v>43739</v>
      </c>
      <c r="E408" s="182">
        <f>SUMIF('FY19-20'!$C$10:$C$172,Import!B408,'FY19-20'!$H$10:$H$172)</f>
        <v>0</v>
      </c>
      <c r="F408" s="182">
        <f t="shared" si="13"/>
        <v>0</v>
      </c>
      <c r="G408" s="179" t="s">
        <v>408</v>
      </c>
      <c r="H408" s="182">
        <v>383</v>
      </c>
      <c r="J408" s="181"/>
    </row>
    <row r="409" spans="1:10" ht="14">
      <c r="A409" s="183" t="s">
        <v>147</v>
      </c>
      <c r="B409" s="178">
        <v>8290</v>
      </c>
      <c r="C409" s="25" t="s">
        <v>146</v>
      </c>
      <c r="D409" s="26">
        <v>43739</v>
      </c>
      <c r="E409" s="182">
        <f>SUMIF('FY19-20'!$C$10:$C$172,Import!B409,'FY19-20'!$H$10:$H$172)</f>
        <v>0</v>
      </c>
      <c r="F409" s="182">
        <f t="shared" si="13"/>
        <v>0</v>
      </c>
      <c r="G409" s="179" t="s">
        <v>408</v>
      </c>
      <c r="H409" s="182">
        <v>384</v>
      </c>
      <c r="J409" s="181"/>
    </row>
    <row r="410" spans="1:10" ht="14">
      <c r="A410" s="183" t="s">
        <v>147</v>
      </c>
      <c r="B410" s="178">
        <v>8291</v>
      </c>
      <c r="C410" s="25" t="s">
        <v>146</v>
      </c>
      <c r="D410" s="26">
        <v>43739</v>
      </c>
      <c r="E410" s="182">
        <f>SUMIF('FY19-20'!$C$10:$C$172,Import!B410,'FY19-20'!$H$10:$H$172)</f>
        <v>0</v>
      </c>
      <c r="F410" s="182">
        <f t="shared" si="13"/>
        <v>0</v>
      </c>
      <c r="G410" s="179" t="s">
        <v>408</v>
      </c>
      <c r="H410" s="182">
        <v>385</v>
      </c>
      <c r="J410" s="181"/>
    </row>
    <row r="411" spans="1:10" ht="14">
      <c r="A411" s="183" t="s">
        <v>147</v>
      </c>
      <c r="B411" s="178">
        <v>8292</v>
      </c>
      <c r="C411" s="25" t="s">
        <v>146</v>
      </c>
      <c r="D411" s="26">
        <v>43739</v>
      </c>
      <c r="E411" s="182">
        <f>SUMIF('FY19-20'!$C$10:$C$172,Import!B411,'FY19-20'!$H$10:$H$172)</f>
        <v>0</v>
      </c>
      <c r="F411" s="182">
        <f t="shared" si="13"/>
        <v>0</v>
      </c>
      <c r="G411" s="179" t="s">
        <v>408</v>
      </c>
      <c r="H411" s="182">
        <v>386</v>
      </c>
      <c r="J411" s="181"/>
    </row>
    <row r="412" spans="1:10" ht="14">
      <c r="A412" s="183" t="s">
        <v>147</v>
      </c>
      <c r="B412" s="178">
        <v>8293</v>
      </c>
      <c r="C412" s="25" t="s">
        <v>146</v>
      </c>
      <c r="D412" s="26">
        <v>43739</v>
      </c>
      <c r="E412" s="182">
        <f>SUMIF('FY19-20'!$C$10:$C$172,Import!B412,'FY19-20'!$H$10:$H$172)</f>
        <v>0</v>
      </c>
      <c r="F412" s="182">
        <f t="shared" si="13"/>
        <v>0</v>
      </c>
      <c r="G412" s="179" t="s">
        <v>408</v>
      </c>
      <c r="H412" s="182">
        <v>387</v>
      </c>
      <c r="J412" s="181"/>
    </row>
    <row r="413" spans="1:10" ht="14">
      <c r="A413" s="183" t="s">
        <v>147</v>
      </c>
      <c r="B413" s="178">
        <v>8294</v>
      </c>
      <c r="C413" s="25" t="s">
        <v>146</v>
      </c>
      <c r="D413" s="26">
        <v>43739</v>
      </c>
      <c r="E413" s="182">
        <f>SUMIF('FY19-20'!$C$10:$C$172,Import!B413,'FY19-20'!$H$10:$H$172)</f>
        <v>0</v>
      </c>
      <c r="F413" s="182">
        <f t="shared" si="13"/>
        <v>0</v>
      </c>
      <c r="G413" s="179" t="s">
        <v>408</v>
      </c>
      <c r="H413" s="182">
        <v>388</v>
      </c>
      <c r="J413" s="181"/>
    </row>
    <row r="414" spans="1:10" ht="14">
      <c r="A414" s="183" t="s">
        <v>147</v>
      </c>
      <c r="B414" s="178">
        <v>8295</v>
      </c>
      <c r="C414" s="25" t="s">
        <v>146</v>
      </c>
      <c r="D414" s="26">
        <v>43739</v>
      </c>
      <c r="E414" s="182">
        <f>SUMIF('FY19-20'!$C$10:$C$172,Import!B414,'FY19-20'!$H$10:$H$172)</f>
        <v>0</v>
      </c>
      <c r="F414" s="182">
        <f t="shared" si="13"/>
        <v>0</v>
      </c>
      <c r="G414" s="179" t="s">
        <v>408</v>
      </c>
      <c r="H414" s="182">
        <v>389</v>
      </c>
      <c r="J414" s="181"/>
    </row>
    <row r="415" spans="1:10" ht="14">
      <c r="A415" s="183" t="s">
        <v>147</v>
      </c>
      <c r="B415" s="178">
        <v>8296</v>
      </c>
      <c r="C415" s="25" t="s">
        <v>146</v>
      </c>
      <c r="D415" s="26">
        <v>43739</v>
      </c>
      <c r="E415" s="182">
        <f>SUMIF('FY19-20'!$C$10:$C$172,Import!B415,'FY19-20'!$H$10:$H$172)</f>
        <v>0</v>
      </c>
      <c r="F415" s="182">
        <f t="shared" si="13"/>
        <v>0</v>
      </c>
      <c r="G415" s="179" t="s">
        <v>408</v>
      </c>
      <c r="H415" s="182">
        <v>390</v>
      </c>
      <c r="J415" s="181"/>
    </row>
    <row r="416" spans="1:10" ht="14">
      <c r="A416" s="183" t="s">
        <v>147</v>
      </c>
      <c r="B416" s="178">
        <v>8299</v>
      </c>
      <c r="C416" s="25" t="s">
        <v>146</v>
      </c>
      <c r="D416" s="26">
        <v>43739</v>
      </c>
      <c r="E416" s="182">
        <f>SUMIF('FY19-20'!$C$10:$C$172,Import!B416,'FY19-20'!$H$10:$H$172)</f>
        <v>0</v>
      </c>
      <c r="F416" s="182">
        <f t="shared" si="13"/>
        <v>0</v>
      </c>
      <c r="G416" s="179" t="s">
        <v>408</v>
      </c>
      <c r="H416" s="182">
        <v>391</v>
      </c>
      <c r="J416" s="181"/>
    </row>
    <row r="417" spans="1:10" ht="14">
      <c r="A417" s="183" t="s">
        <v>147</v>
      </c>
      <c r="B417" s="178">
        <v>8311</v>
      </c>
      <c r="C417" s="25" t="s">
        <v>146</v>
      </c>
      <c r="D417" s="26">
        <v>43739</v>
      </c>
      <c r="E417" s="182">
        <f>SUMIF('FY19-20'!$C$10:$C$172,Import!B417,'FY19-20'!$H$10:$H$172)</f>
        <v>0</v>
      </c>
      <c r="F417" s="182">
        <f t="shared" si="13"/>
        <v>0</v>
      </c>
      <c r="G417" s="179" t="s">
        <v>408</v>
      </c>
      <c r="H417" s="182">
        <v>392</v>
      </c>
      <c r="J417" s="181"/>
    </row>
    <row r="418" spans="1:10" ht="14">
      <c r="A418" s="183" t="s">
        <v>147</v>
      </c>
      <c r="B418" s="178">
        <v>8520</v>
      </c>
      <c r="C418" s="25" t="s">
        <v>146</v>
      </c>
      <c r="D418" s="26">
        <v>43739</v>
      </c>
      <c r="E418" s="182">
        <f>SUMIF('FY19-20'!$C$10:$C$172,Import!B418,'FY19-20'!$H$10:$H$172)</f>
        <v>0</v>
      </c>
      <c r="F418" s="182">
        <f t="shared" si="13"/>
        <v>0</v>
      </c>
      <c r="G418" s="179" t="s">
        <v>408</v>
      </c>
      <c r="H418" s="182">
        <v>393</v>
      </c>
      <c r="J418" s="181"/>
    </row>
    <row r="419" spans="1:10" ht="14">
      <c r="A419" s="183" t="s">
        <v>147</v>
      </c>
      <c r="B419" s="178">
        <v>8545</v>
      </c>
      <c r="C419" s="25" t="s">
        <v>146</v>
      </c>
      <c r="D419" s="26">
        <v>43739</v>
      </c>
      <c r="E419" s="182">
        <f>SUMIF('FY19-20'!$C$10:$C$172,Import!B419,'FY19-20'!$H$10:$H$172)</f>
        <v>0</v>
      </c>
      <c r="F419" s="182">
        <f t="shared" si="13"/>
        <v>0</v>
      </c>
      <c r="G419" s="179" t="s">
        <v>408</v>
      </c>
      <c r="H419" s="182">
        <v>394</v>
      </c>
      <c r="J419" s="181"/>
    </row>
    <row r="420" spans="1:10" ht="14">
      <c r="A420" s="183" t="s">
        <v>147</v>
      </c>
      <c r="B420" s="178">
        <v>8550</v>
      </c>
      <c r="C420" s="25" t="s">
        <v>146</v>
      </c>
      <c r="D420" s="26">
        <v>43739</v>
      </c>
      <c r="E420" s="182">
        <f>SUMIF('FY19-20'!$C$10:$C$172,Import!B420,'FY19-20'!$H$10:$H$172)</f>
        <v>0</v>
      </c>
      <c r="F420" s="182">
        <f t="shared" si="13"/>
        <v>0</v>
      </c>
      <c r="G420" s="179" t="s">
        <v>408</v>
      </c>
      <c r="H420" s="182">
        <v>395</v>
      </c>
      <c r="J420" s="181"/>
    </row>
    <row r="421" spans="1:10" ht="14">
      <c r="A421" s="183" t="s">
        <v>147</v>
      </c>
      <c r="B421" s="178">
        <v>8560</v>
      </c>
      <c r="C421" s="25" t="s">
        <v>146</v>
      </c>
      <c r="D421" s="26">
        <v>43739</v>
      </c>
      <c r="E421" s="182">
        <f>SUMIF('FY19-20'!$C$10:$C$172,Import!B421,'FY19-20'!$H$10:$H$172)</f>
        <v>0</v>
      </c>
      <c r="F421" s="182">
        <f t="shared" si="13"/>
        <v>0</v>
      </c>
      <c r="G421" s="179" t="s">
        <v>408</v>
      </c>
      <c r="H421" s="182">
        <v>396</v>
      </c>
      <c r="J421" s="181"/>
    </row>
    <row r="422" spans="1:10" ht="14">
      <c r="A422" s="183" t="s">
        <v>147</v>
      </c>
      <c r="B422" s="178">
        <v>8598</v>
      </c>
      <c r="C422" s="25" t="s">
        <v>146</v>
      </c>
      <c r="D422" s="26">
        <v>43739</v>
      </c>
      <c r="E422" s="182">
        <f>SUMIF('FY19-20'!$C$10:$C$172,Import!B422,'FY19-20'!$H$10:$H$172)</f>
        <v>0</v>
      </c>
      <c r="F422" s="182">
        <f t="shared" si="13"/>
        <v>0</v>
      </c>
      <c r="G422" s="179" t="s">
        <v>408</v>
      </c>
      <c r="H422" s="182">
        <v>397</v>
      </c>
      <c r="J422" s="181"/>
    </row>
    <row r="423" spans="1:10" ht="14">
      <c r="A423" s="183" t="s">
        <v>147</v>
      </c>
      <c r="B423" s="178">
        <v>8599</v>
      </c>
      <c r="C423" s="25" t="s">
        <v>146</v>
      </c>
      <c r="D423" s="26">
        <v>43739</v>
      </c>
      <c r="E423" s="182">
        <f>SUMIF('FY19-20'!$C$10:$C$172,Import!B423,'FY19-20'!$H$10:$H$172)</f>
        <v>0</v>
      </c>
      <c r="F423" s="182">
        <f t="shared" si="13"/>
        <v>0</v>
      </c>
      <c r="G423" s="179" t="s">
        <v>408</v>
      </c>
      <c r="H423" s="182">
        <v>398</v>
      </c>
      <c r="J423" s="181"/>
    </row>
    <row r="424" spans="1:10" ht="14">
      <c r="A424" s="183" t="s">
        <v>147</v>
      </c>
      <c r="B424" s="178">
        <v>8634</v>
      </c>
      <c r="C424" s="25" t="s">
        <v>146</v>
      </c>
      <c r="D424" s="26">
        <v>43739</v>
      </c>
      <c r="E424" s="182">
        <f>SUMIF('FY19-20'!$C$10:$C$172,Import!B424,'FY19-20'!$H$10:$H$172)</f>
        <v>0</v>
      </c>
      <c r="F424" s="182">
        <f t="shared" si="13"/>
        <v>0</v>
      </c>
      <c r="G424" s="179" t="s">
        <v>408</v>
      </c>
      <c r="H424" s="182">
        <v>399</v>
      </c>
      <c r="J424" s="181"/>
    </row>
    <row r="425" spans="1:10" ht="14">
      <c r="A425" s="183" t="s">
        <v>147</v>
      </c>
      <c r="B425" s="178">
        <v>8650</v>
      </c>
      <c r="C425" s="25" t="s">
        <v>146</v>
      </c>
      <c r="D425" s="26">
        <v>43739</v>
      </c>
      <c r="E425" s="182">
        <f>SUMIF('FY19-20'!$C$10:$C$172,Import!B425,'FY19-20'!$H$10:$H$172)</f>
        <v>0</v>
      </c>
      <c r="F425" s="182">
        <f t="shared" si="13"/>
        <v>0</v>
      </c>
      <c r="G425" s="179" t="s">
        <v>408</v>
      </c>
      <c r="H425" s="182">
        <v>400</v>
      </c>
      <c r="J425" s="181"/>
    </row>
    <row r="426" spans="1:10" ht="14">
      <c r="A426" s="183" t="s">
        <v>147</v>
      </c>
      <c r="B426" s="178">
        <v>8660</v>
      </c>
      <c r="C426" s="25" t="s">
        <v>146</v>
      </c>
      <c r="D426" s="26">
        <v>43739</v>
      </c>
      <c r="E426" s="182">
        <f>SUMIF('FY19-20'!$C$10:$C$172,Import!B426,'FY19-20'!$H$10:$H$172)</f>
        <v>0</v>
      </c>
      <c r="F426" s="182">
        <f t="shared" si="13"/>
        <v>0</v>
      </c>
      <c r="G426" s="179" t="s">
        <v>408</v>
      </c>
      <c r="H426" s="182">
        <v>401</v>
      </c>
      <c r="J426" s="181"/>
    </row>
    <row r="427" spans="1:10" ht="14">
      <c r="A427" s="183" t="s">
        <v>147</v>
      </c>
      <c r="B427" s="178">
        <v>8689</v>
      </c>
      <c r="C427" s="25" t="s">
        <v>146</v>
      </c>
      <c r="D427" s="26">
        <v>43739</v>
      </c>
      <c r="E427" s="182">
        <f>SUMIF('FY19-20'!$C$10:$C$172,Import!B427,'FY19-20'!$H$10:$H$172)</f>
        <v>0</v>
      </c>
      <c r="F427" s="182">
        <f t="shared" si="13"/>
        <v>0</v>
      </c>
      <c r="G427" s="179" t="s">
        <v>408</v>
      </c>
      <c r="H427" s="182">
        <v>402</v>
      </c>
      <c r="J427" s="181"/>
    </row>
    <row r="428" spans="1:10" ht="14">
      <c r="A428" s="183" t="s">
        <v>147</v>
      </c>
      <c r="B428" s="178">
        <v>8698</v>
      </c>
      <c r="C428" s="25" t="s">
        <v>146</v>
      </c>
      <c r="D428" s="26">
        <v>43739</v>
      </c>
      <c r="E428" s="182">
        <f>SUMIF('FY19-20'!$C$10:$C$172,Import!B428,'FY19-20'!$H$10:$H$172)</f>
        <v>0</v>
      </c>
      <c r="F428" s="182">
        <f t="shared" si="13"/>
        <v>0</v>
      </c>
      <c r="G428" s="179" t="s">
        <v>408</v>
      </c>
      <c r="H428" s="182">
        <v>403</v>
      </c>
      <c r="J428" s="181"/>
    </row>
    <row r="429" spans="1:10" ht="14">
      <c r="A429" s="183" t="s">
        <v>147</v>
      </c>
      <c r="B429" s="178">
        <v>8699</v>
      </c>
      <c r="C429" s="25" t="s">
        <v>146</v>
      </c>
      <c r="D429" s="26">
        <v>43739</v>
      </c>
      <c r="E429" s="182">
        <f>SUMIF('FY19-20'!$C$10:$C$172,Import!B429,'FY19-20'!$H$10:$H$172)</f>
        <v>0</v>
      </c>
      <c r="F429" s="182">
        <f t="shared" si="13"/>
        <v>0</v>
      </c>
      <c r="G429" s="179" t="s">
        <v>408</v>
      </c>
      <c r="H429" s="182">
        <v>404</v>
      </c>
      <c r="J429" s="181"/>
    </row>
    <row r="430" spans="1:10" ht="14">
      <c r="A430" s="183" t="s">
        <v>147</v>
      </c>
      <c r="B430" s="178">
        <v>8980</v>
      </c>
      <c r="C430" s="25" t="s">
        <v>146</v>
      </c>
      <c r="D430" s="26">
        <v>43739</v>
      </c>
      <c r="E430" s="182">
        <f>SUMIF('FY19-20'!$C$10:$C$172,Import!B430,'FY19-20'!$H$10:$H$172)</f>
        <v>0</v>
      </c>
      <c r="F430" s="182">
        <f t="shared" si="13"/>
        <v>0</v>
      </c>
      <c r="G430" s="179" t="s">
        <v>408</v>
      </c>
      <c r="H430" s="182">
        <v>405</v>
      </c>
      <c r="J430" s="181"/>
    </row>
    <row r="431" spans="1:10" ht="14">
      <c r="A431" s="183" t="s">
        <v>147</v>
      </c>
      <c r="B431" s="178">
        <v>8990</v>
      </c>
      <c r="C431" s="25" t="s">
        <v>146</v>
      </c>
      <c r="D431" s="26">
        <v>43739</v>
      </c>
      <c r="E431" s="182">
        <f>SUMIF('FY19-20'!$C$10:$C$172,Import!B431,'FY19-20'!$H$10:$H$172)</f>
        <v>0</v>
      </c>
      <c r="F431" s="182">
        <f t="shared" si="13"/>
        <v>0</v>
      </c>
      <c r="G431" s="179" t="s">
        <v>408</v>
      </c>
      <c r="H431" s="182">
        <v>406</v>
      </c>
      <c r="J431" s="181"/>
    </row>
    <row r="432" spans="1:10" ht="14">
      <c r="A432" s="183" t="s">
        <v>147</v>
      </c>
      <c r="B432" s="178">
        <v>1100</v>
      </c>
      <c r="C432" s="25" t="s">
        <v>146</v>
      </c>
      <c r="D432" s="26">
        <v>43770</v>
      </c>
      <c r="E432" s="182">
        <f>SUMIF('FY19-20'!$C$10:$C$172,Import!B432,'FY19-20'!$I$10:$I$172)</f>
        <v>67011.399999999994</v>
      </c>
      <c r="F432" s="182">
        <f t="shared" ref="F432:F463" si="14">-IF(E432&lt;0,E432)</f>
        <v>0</v>
      </c>
      <c r="G432" s="179" t="s">
        <v>408</v>
      </c>
      <c r="H432" s="182">
        <v>407</v>
      </c>
      <c r="J432" s="181"/>
    </row>
    <row r="433" spans="1:10" ht="14">
      <c r="A433" s="183" t="s">
        <v>147</v>
      </c>
      <c r="B433" s="178">
        <v>1170</v>
      </c>
      <c r="C433" s="25" t="s">
        <v>146</v>
      </c>
      <c r="D433" s="26">
        <v>43770</v>
      </c>
      <c r="E433" s="182">
        <f>SUMIF('FY19-20'!$C$10:$C$172,Import!B433,'FY19-20'!$I$10:$I$172)</f>
        <v>0</v>
      </c>
      <c r="F433" s="182">
        <f t="shared" si="14"/>
        <v>0</v>
      </c>
      <c r="G433" s="179" t="s">
        <v>408</v>
      </c>
      <c r="H433" s="182">
        <v>408</v>
      </c>
      <c r="J433" s="181"/>
    </row>
    <row r="434" spans="1:10" ht="14">
      <c r="A434" s="183" t="s">
        <v>147</v>
      </c>
      <c r="B434" s="178">
        <v>1175</v>
      </c>
      <c r="C434" s="25" t="s">
        <v>146</v>
      </c>
      <c r="D434" s="26">
        <v>43770</v>
      </c>
      <c r="E434" s="182">
        <f>SUMIF('FY19-20'!$C$10:$C$172,Import!B434,'FY19-20'!$I$10:$I$172)</f>
        <v>47691.32</v>
      </c>
      <c r="F434" s="182">
        <f t="shared" si="14"/>
        <v>0</v>
      </c>
      <c r="G434" s="179" t="s">
        <v>408</v>
      </c>
      <c r="H434" s="182">
        <v>409</v>
      </c>
      <c r="J434" s="181"/>
    </row>
    <row r="435" spans="1:10" ht="14">
      <c r="A435" s="183" t="s">
        <v>147</v>
      </c>
      <c r="B435" s="178">
        <v>1200</v>
      </c>
      <c r="C435" s="25" t="s">
        <v>146</v>
      </c>
      <c r="D435" s="26">
        <v>43770</v>
      </c>
      <c r="E435" s="182">
        <f>SUMIF('FY19-20'!$C$10:$C$172,Import!B435,'FY19-20'!$I$10:$I$172)</f>
        <v>21358.41</v>
      </c>
      <c r="F435" s="182">
        <f t="shared" si="14"/>
        <v>0</v>
      </c>
      <c r="G435" s="179" t="s">
        <v>408</v>
      </c>
      <c r="H435" s="182">
        <v>410</v>
      </c>
      <c r="J435" s="181"/>
    </row>
    <row r="436" spans="1:10" ht="14">
      <c r="A436" s="183" t="s">
        <v>147</v>
      </c>
      <c r="B436" s="178">
        <v>1300</v>
      </c>
      <c r="C436" s="25" t="s">
        <v>146</v>
      </c>
      <c r="D436" s="26">
        <v>43770</v>
      </c>
      <c r="E436" s="182">
        <f>SUMIF('FY19-20'!$C$10:$C$172,Import!B436,'FY19-20'!$I$10:$I$172)</f>
        <v>64583.06</v>
      </c>
      <c r="F436" s="182">
        <f t="shared" si="14"/>
        <v>0</v>
      </c>
      <c r="G436" s="179" t="s">
        <v>408</v>
      </c>
      <c r="H436" s="182">
        <v>411</v>
      </c>
      <c r="J436" s="181"/>
    </row>
    <row r="437" spans="1:10" ht="14">
      <c r="A437" s="183" t="s">
        <v>147</v>
      </c>
      <c r="B437" s="178">
        <v>1900</v>
      </c>
      <c r="C437" s="25" t="s">
        <v>146</v>
      </c>
      <c r="D437" s="26">
        <v>43770</v>
      </c>
      <c r="E437" s="182">
        <f>SUMIF('FY19-20'!$C$10:$C$172,Import!B437,'FY19-20'!$I$10:$I$172)</f>
        <v>0</v>
      </c>
      <c r="F437" s="182">
        <f t="shared" si="14"/>
        <v>0</v>
      </c>
      <c r="G437" s="179" t="s">
        <v>408</v>
      </c>
      <c r="H437" s="182">
        <v>412</v>
      </c>
      <c r="J437" s="181"/>
    </row>
    <row r="438" spans="1:10" ht="14">
      <c r="A438" s="183" t="s">
        <v>147</v>
      </c>
      <c r="B438" s="178">
        <v>2100</v>
      </c>
      <c r="C438" s="25" t="s">
        <v>146</v>
      </c>
      <c r="D438" s="26">
        <v>43770</v>
      </c>
      <c r="E438" s="182">
        <f>SUMIF('FY19-20'!$C$10:$C$172,Import!B438,'FY19-20'!$I$10:$I$172)</f>
        <v>22165.39</v>
      </c>
      <c r="F438" s="182">
        <f t="shared" si="14"/>
        <v>0</v>
      </c>
      <c r="G438" s="179" t="s">
        <v>408</v>
      </c>
      <c r="H438" s="182">
        <v>413</v>
      </c>
      <c r="J438" s="181"/>
    </row>
    <row r="439" spans="1:10" ht="14">
      <c r="A439" s="183" t="s">
        <v>147</v>
      </c>
      <c r="B439" s="178">
        <v>2200</v>
      </c>
      <c r="C439" s="25" t="s">
        <v>146</v>
      </c>
      <c r="D439" s="26">
        <v>43770</v>
      </c>
      <c r="E439" s="182">
        <f>SUMIF('FY19-20'!$C$10:$C$172,Import!B439,'FY19-20'!$I$10:$I$172)</f>
        <v>0</v>
      </c>
      <c r="F439" s="182">
        <f t="shared" si="14"/>
        <v>0</v>
      </c>
      <c r="G439" s="179" t="s">
        <v>408</v>
      </c>
      <c r="H439" s="182">
        <v>414</v>
      </c>
      <c r="J439" s="181"/>
    </row>
    <row r="440" spans="1:10" ht="14">
      <c r="A440" s="183" t="s">
        <v>147</v>
      </c>
      <c r="B440" s="178">
        <v>2300</v>
      </c>
      <c r="C440" s="25" t="s">
        <v>146</v>
      </c>
      <c r="D440" s="26">
        <v>43770</v>
      </c>
      <c r="E440" s="182">
        <f>SUMIF('FY19-20'!$C$10:$C$172,Import!B440,'FY19-20'!$I$10:$I$172)</f>
        <v>0</v>
      </c>
      <c r="F440" s="182">
        <f t="shared" si="14"/>
        <v>0</v>
      </c>
      <c r="G440" s="179" t="s">
        <v>408</v>
      </c>
      <c r="H440" s="182">
        <v>415</v>
      </c>
      <c r="J440" s="181"/>
    </row>
    <row r="441" spans="1:10" ht="14">
      <c r="A441" s="183" t="s">
        <v>147</v>
      </c>
      <c r="B441" s="178">
        <v>2400</v>
      </c>
      <c r="C441" s="25" t="s">
        <v>146</v>
      </c>
      <c r="D441" s="26">
        <v>43770</v>
      </c>
      <c r="E441" s="182">
        <f>SUMIF('FY19-20'!$C$10:$C$172,Import!B441,'FY19-20'!$I$10:$I$172)</f>
        <v>0</v>
      </c>
      <c r="F441" s="182">
        <f t="shared" si="14"/>
        <v>0</v>
      </c>
      <c r="G441" s="179" t="s">
        <v>408</v>
      </c>
      <c r="H441" s="182">
        <v>416</v>
      </c>
      <c r="J441" s="181"/>
    </row>
    <row r="442" spans="1:10" ht="14">
      <c r="A442" s="183" t="s">
        <v>147</v>
      </c>
      <c r="B442" s="178">
        <v>2900</v>
      </c>
      <c r="C442" s="25" t="s">
        <v>146</v>
      </c>
      <c r="D442" s="26">
        <v>43770</v>
      </c>
      <c r="E442" s="182">
        <f>SUMIF('FY19-20'!$C$10:$C$172,Import!B442,'FY19-20'!$I$10:$I$172)</f>
        <v>0</v>
      </c>
      <c r="F442" s="182">
        <f t="shared" si="14"/>
        <v>0</v>
      </c>
      <c r="G442" s="179" t="s">
        <v>408</v>
      </c>
      <c r="H442" s="182">
        <v>417</v>
      </c>
      <c r="J442" s="181"/>
    </row>
    <row r="443" spans="1:10" ht="14">
      <c r="A443" s="183" t="s">
        <v>147</v>
      </c>
      <c r="B443" s="178">
        <v>3101</v>
      </c>
      <c r="C443" s="25" t="s">
        <v>146</v>
      </c>
      <c r="D443" s="26">
        <v>43770</v>
      </c>
      <c r="E443" s="182">
        <f>SUMIF('FY19-20'!$C$10:$C$172,Import!B443,'FY19-20'!$I$10:$I$172)</f>
        <v>34466.71</v>
      </c>
      <c r="F443" s="182">
        <f t="shared" si="14"/>
        <v>0</v>
      </c>
      <c r="G443" s="179" t="s">
        <v>408</v>
      </c>
      <c r="H443" s="182">
        <v>418</v>
      </c>
      <c r="J443" s="181"/>
    </row>
    <row r="444" spans="1:10" ht="14">
      <c r="A444" s="183" t="s">
        <v>147</v>
      </c>
      <c r="B444" s="178">
        <v>3202</v>
      </c>
      <c r="C444" s="25" t="s">
        <v>146</v>
      </c>
      <c r="D444" s="26">
        <v>43770</v>
      </c>
      <c r="E444" s="182">
        <f>SUMIF('FY19-20'!$C$10:$C$172,Import!B444,'FY19-20'!$I$10:$I$172)</f>
        <v>0</v>
      </c>
      <c r="F444" s="182">
        <f t="shared" si="14"/>
        <v>0</v>
      </c>
      <c r="G444" s="179" t="s">
        <v>408</v>
      </c>
      <c r="H444" s="182">
        <v>419</v>
      </c>
      <c r="J444" s="181"/>
    </row>
    <row r="445" spans="1:10" ht="14">
      <c r="A445" s="183" t="s">
        <v>147</v>
      </c>
      <c r="B445" s="178">
        <v>3301</v>
      </c>
      <c r="C445" s="25" t="s">
        <v>146</v>
      </c>
      <c r="D445" s="26">
        <v>43770</v>
      </c>
      <c r="E445" s="182">
        <f>SUMIF('FY19-20'!$C$10:$C$172,Import!B445,'FY19-20'!$I$10:$I$172)</f>
        <v>1335.26</v>
      </c>
      <c r="F445" s="182">
        <f t="shared" si="14"/>
        <v>0</v>
      </c>
      <c r="G445" s="179" t="s">
        <v>408</v>
      </c>
      <c r="H445" s="182">
        <v>420</v>
      </c>
      <c r="J445" s="181"/>
    </row>
    <row r="446" spans="1:10" ht="14">
      <c r="A446" s="183" t="s">
        <v>147</v>
      </c>
      <c r="B446" s="178">
        <v>3302</v>
      </c>
      <c r="C446" s="25" t="s">
        <v>146</v>
      </c>
      <c r="D446" s="26">
        <v>43770</v>
      </c>
      <c r="E446" s="182">
        <f>SUMIF('FY19-20'!$C$10:$C$172,Import!B446,'FY19-20'!$I$10:$I$172)</f>
        <v>0</v>
      </c>
      <c r="F446" s="182">
        <f t="shared" si="14"/>
        <v>0</v>
      </c>
      <c r="G446" s="179" t="s">
        <v>408</v>
      </c>
      <c r="H446" s="182">
        <v>421</v>
      </c>
      <c r="J446" s="181"/>
    </row>
    <row r="447" spans="1:10" ht="14">
      <c r="A447" s="183" t="s">
        <v>147</v>
      </c>
      <c r="B447" s="178">
        <v>3311</v>
      </c>
      <c r="C447" s="25" t="s">
        <v>146</v>
      </c>
      <c r="D447" s="26">
        <v>43770</v>
      </c>
      <c r="E447" s="182">
        <f>SUMIF('FY19-20'!$C$10:$C$172,Import!B447,'FY19-20'!$I$10:$I$172)</f>
        <v>3469.49</v>
      </c>
      <c r="F447" s="182">
        <f t="shared" si="14"/>
        <v>0</v>
      </c>
      <c r="G447" s="179" t="s">
        <v>408</v>
      </c>
      <c r="H447" s="182">
        <v>422</v>
      </c>
      <c r="J447" s="181"/>
    </row>
    <row r="448" spans="1:10" ht="14">
      <c r="A448" s="183" t="s">
        <v>147</v>
      </c>
      <c r="B448" s="178">
        <v>3312</v>
      </c>
      <c r="C448" s="25" t="s">
        <v>146</v>
      </c>
      <c r="D448" s="26">
        <v>43770</v>
      </c>
      <c r="E448" s="182">
        <f>SUMIF('FY19-20'!$C$10:$C$172,Import!B448,'FY19-20'!$I$10:$I$172)</f>
        <v>0</v>
      </c>
      <c r="F448" s="182">
        <f t="shared" si="14"/>
        <v>0</v>
      </c>
      <c r="G448" s="179" t="s">
        <v>408</v>
      </c>
      <c r="H448" s="182">
        <v>423</v>
      </c>
      <c r="J448" s="181"/>
    </row>
    <row r="449" spans="1:10" ht="14">
      <c r="A449" s="183" t="s">
        <v>147</v>
      </c>
      <c r="B449" s="178">
        <v>3401</v>
      </c>
      <c r="C449" s="25" t="s">
        <v>146</v>
      </c>
      <c r="D449" s="26">
        <v>43770</v>
      </c>
      <c r="E449" s="182">
        <f>SUMIF('FY19-20'!$C$10:$C$172,Import!B449,'FY19-20'!$I$10:$I$172)</f>
        <v>106804.84</v>
      </c>
      <c r="F449" s="182">
        <f t="shared" si="14"/>
        <v>0</v>
      </c>
      <c r="G449" s="179" t="s">
        <v>408</v>
      </c>
      <c r="H449" s="182">
        <v>424</v>
      </c>
      <c r="J449" s="181"/>
    </row>
    <row r="450" spans="1:10" ht="14">
      <c r="A450" s="183" t="s">
        <v>147</v>
      </c>
      <c r="B450" s="178">
        <v>3402</v>
      </c>
      <c r="C450" s="25" t="s">
        <v>146</v>
      </c>
      <c r="D450" s="26">
        <v>43770</v>
      </c>
      <c r="E450" s="182">
        <f>SUMIF('FY19-20'!$C$10:$C$172,Import!B450,'FY19-20'!$I$10:$I$172)</f>
        <v>0</v>
      </c>
      <c r="F450" s="182">
        <f t="shared" si="14"/>
        <v>0</v>
      </c>
      <c r="G450" s="179" t="s">
        <v>408</v>
      </c>
      <c r="H450" s="182">
        <v>425</v>
      </c>
      <c r="J450" s="181"/>
    </row>
    <row r="451" spans="1:10" ht="14">
      <c r="A451" s="183" t="s">
        <v>147</v>
      </c>
      <c r="B451" s="178">
        <v>3501</v>
      </c>
      <c r="C451" s="25" t="s">
        <v>146</v>
      </c>
      <c r="D451" s="26">
        <v>43770</v>
      </c>
      <c r="E451" s="182">
        <f>SUMIF('FY19-20'!$C$10:$C$172,Import!B451,'FY19-20'!$I$10:$I$172)</f>
        <v>-5802.54</v>
      </c>
      <c r="F451" s="182">
        <f t="shared" si="14"/>
        <v>5802.54</v>
      </c>
      <c r="G451" s="179" t="s">
        <v>408</v>
      </c>
      <c r="H451" s="182">
        <v>426</v>
      </c>
      <c r="J451" s="181"/>
    </row>
    <row r="452" spans="1:10" ht="14">
      <c r="A452" s="183" t="s">
        <v>147</v>
      </c>
      <c r="B452" s="178">
        <v>3502</v>
      </c>
      <c r="C452" s="25" t="s">
        <v>146</v>
      </c>
      <c r="D452" s="26">
        <v>43770</v>
      </c>
      <c r="E452" s="182">
        <f>SUMIF('FY19-20'!$C$10:$C$172,Import!B452,'FY19-20'!$I$10:$I$172)</f>
        <v>0</v>
      </c>
      <c r="F452" s="182">
        <f t="shared" si="14"/>
        <v>0</v>
      </c>
      <c r="G452" s="179" t="s">
        <v>408</v>
      </c>
      <c r="H452" s="182">
        <v>427</v>
      </c>
      <c r="J452" s="181"/>
    </row>
    <row r="453" spans="1:10" ht="14">
      <c r="A453" s="183" t="s">
        <v>147</v>
      </c>
      <c r="B453" s="178">
        <v>3601</v>
      </c>
      <c r="C453" s="25" t="s">
        <v>146</v>
      </c>
      <c r="D453" s="26">
        <v>43770</v>
      </c>
      <c r="E453" s="182">
        <f>SUMIF('FY19-20'!$C$10:$C$172,Import!B453,'FY19-20'!$I$10:$I$172)</f>
        <v>7813.52</v>
      </c>
      <c r="F453" s="182">
        <f t="shared" si="14"/>
        <v>0</v>
      </c>
      <c r="G453" s="179" t="s">
        <v>408</v>
      </c>
      <c r="H453" s="182">
        <v>428</v>
      </c>
      <c r="J453" s="181"/>
    </row>
    <row r="454" spans="1:10" ht="14">
      <c r="A454" s="183" t="s">
        <v>147</v>
      </c>
      <c r="B454" s="178">
        <v>3602</v>
      </c>
      <c r="C454" s="25" t="s">
        <v>146</v>
      </c>
      <c r="D454" s="26">
        <v>43770</v>
      </c>
      <c r="E454" s="182">
        <f>SUMIF('FY19-20'!$C$10:$C$172,Import!B454,'FY19-20'!$I$10:$I$172)</f>
        <v>0</v>
      </c>
      <c r="F454" s="182">
        <f t="shared" si="14"/>
        <v>0</v>
      </c>
      <c r="G454" s="179" t="s">
        <v>408</v>
      </c>
      <c r="H454" s="182">
        <v>429</v>
      </c>
      <c r="J454" s="181"/>
    </row>
    <row r="455" spans="1:10" ht="14">
      <c r="A455" s="183" t="s">
        <v>147</v>
      </c>
      <c r="B455" s="178">
        <v>3901</v>
      </c>
      <c r="C455" s="25" t="s">
        <v>146</v>
      </c>
      <c r="D455" s="26">
        <v>43770</v>
      </c>
      <c r="E455" s="182">
        <f>SUMIF('FY19-20'!$C$10:$C$172,Import!B455,'FY19-20'!$I$10:$I$172)</f>
        <v>-114.54</v>
      </c>
      <c r="F455" s="182">
        <f t="shared" si="14"/>
        <v>114.54</v>
      </c>
      <c r="G455" s="179" t="s">
        <v>408</v>
      </c>
      <c r="H455" s="182">
        <v>430</v>
      </c>
      <c r="J455" s="181"/>
    </row>
    <row r="456" spans="1:10" ht="14">
      <c r="A456" s="183" t="s">
        <v>147</v>
      </c>
      <c r="B456" s="178">
        <v>3902</v>
      </c>
      <c r="C456" s="25" t="s">
        <v>146</v>
      </c>
      <c r="D456" s="26">
        <v>43770</v>
      </c>
      <c r="E456" s="182">
        <f>SUMIF('FY19-20'!$C$10:$C$172,Import!B456,'FY19-20'!$I$10:$I$172)</f>
        <v>0</v>
      </c>
      <c r="F456" s="182">
        <f t="shared" si="14"/>
        <v>0</v>
      </c>
      <c r="G456" s="179" t="s">
        <v>408</v>
      </c>
      <c r="H456" s="182">
        <v>431</v>
      </c>
      <c r="J456" s="181"/>
    </row>
    <row r="457" spans="1:10" ht="14">
      <c r="A457" s="183" t="s">
        <v>147</v>
      </c>
      <c r="B457" s="178">
        <v>4100</v>
      </c>
      <c r="C457" s="25" t="s">
        <v>146</v>
      </c>
      <c r="D457" s="26">
        <v>43770</v>
      </c>
      <c r="E457" s="182">
        <f>SUMIF('FY19-20'!$C$10:$C$172,Import!B457,'FY19-20'!$I$10:$I$172)</f>
        <v>0</v>
      </c>
      <c r="F457" s="182">
        <f t="shared" si="14"/>
        <v>0</v>
      </c>
      <c r="G457" s="179" t="s">
        <v>408</v>
      </c>
      <c r="H457" s="182">
        <v>432</v>
      </c>
      <c r="J457" s="181"/>
    </row>
    <row r="458" spans="1:10" ht="14">
      <c r="A458" s="183" t="s">
        <v>147</v>
      </c>
      <c r="B458" s="178">
        <v>4200</v>
      </c>
      <c r="C458" s="25" t="s">
        <v>146</v>
      </c>
      <c r="D458" s="26">
        <v>43770</v>
      </c>
      <c r="E458" s="182">
        <f>SUMIF('FY19-20'!$C$10:$C$172,Import!B458,'FY19-20'!$I$10:$I$172)</f>
        <v>0</v>
      </c>
      <c r="F458" s="182">
        <f t="shared" si="14"/>
        <v>0</v>
      </c>
      <c r="G458" s="179" t="s">
        <v>408</v>
      </c>
      <c r="H458" s="182">
        <v>433</v>
      </c>
      <c r="J458" s="181"/>
    </row>
    <row r="459" spans="1:10" ht="14">
      <c r="A459" s="183" t="s">
        <v>147</v>
      </c>
      <c r="B459" s="178">
        <v>4302</v>
      </c>
      <c r="C459" s="25" t="s">
        <v>146</v>
      </c>
      <c r="D459" s="26">
        <v>43770</v>
      </c>
      <c r="E459" s="182">
        <f>SUMIF('FY19-20'!$C$10:$C$172,Import!B459,'FY19-20'!$I$10:$I$172)</f>
        <v>191029.72</v>
      </c>
      <c r="F459" s="182">
        <f t="shared" si="14"/>
        <v>0</v>
      </c>
      <c r="G459" s="179" t="s">
        <v>408</v>
      </c>
      <c r="H459" s="182">
        <v>434</v>
      </c>
      <c r="J459" s="181"/>
    </row>
    <row r="460" spans="1:10" ht="14">
      <c r="A460" s="183" t="s">
        <v>147</v>
      </c>
      <c r="B460" s="178">
        <v>4305</v>
      </c>
      <c r="C460" s="25" t="s">
        <v>146</v>
      </c>
      <c r="D460" s="26">
        <v>43770</v>
      </c>
      <c r="E460" s="182">
        <f>SUMIF('FY19-20'!$C$10:$C$172,Import!B460,'FY19-20'!$I$10:$I$172)</f>
        <v>11412.39</v>
      </c>
      <c r="F460" s="182">
        <f t="shared" si="14"/>
        <v>0</v>
      </c>
      <c r="G460" s="179" t="s">
        <v>408</v>
      </c>
      <c r="H460" s="182">
        <v>435</v>
      </c>
      <c r="J460" s="181"/>
    </row>
    <row r="461" spans="1:10" ht="14">
      <c r="A461" s="183" t="s">
        <v>147</v>
      </c>
      <c r="B461" s="178">
        <v>4310</v>
      </c>
      <c r="C461" s="25" t="s">
        <v>146</v>
      </c>
      <c r="D461" s="26">
        <v>43770</v>
      </c>
      <c r="E461" s="182">
        <f>SUMIF('FY19-20'!$C$10:$C$172,Import!B461,'FY19-20'!$I$10:$I$172)</f>
        <v>2108.7399999999998</v>
      </c>
      <c r="F461" s="182">
        <f t="shared" si="14"/>
        <v>0</v>
      </c>
      <c r="G461" s="179" t="s">
        <v>408</v>
      </c>
      <c r="H461" s="182">
        <v>436</v>
      </c>
      <c r="J461" s="181"/>
    </row>
    <row r="462" spans="1:10" ht="14">
      <c r="A462" s="183" t="s">
        <v>147</v>
      </c>
      <c r="B462" s="178">
        <v>4311</v>
      </c>
      <c r="C462" s="25" t="s">
        <v>146</v>
      </c>
      <c r="D462" s="26">
        <v>43770</v>
      </c>
      <c r="E462" s="182">
        <f>SUMIF('FY19-20'!$C$10:$C$172,Import!B462,'FY19-20'!$I$10:$I$172)</f>
        <v>1594.25</v>
      </c>
      <c r="F462" s="182">
        <f t="shared" si="14"/>
        <v>0</v>
      </c>
      <c r="G462" s="179" t="s">
        <v>408</v>
      </c>
      <c r="H462" s="182">
        <v>437</v>
      </c>
      <c r="J462" s="181"/>
    </row>
    <row r="463" spans="1:10" ht="14">
      <c r="A463" s="183" t="s">
        <v>147</v>
      </c>
      <c r="B463" s="178">
        <v>4312</v>
      </c>
      <c r="C463" s="25" t="s">
        <v>146</v>
      </c>
      <c r="D463" s="26">
        <v>43770</v>
      </c>
      <c r="E463" s="182">
        <f>SUMIF('FY19-20'!$C$10:$C$172,Import!B463,'FY19-20'!$I$10:$I$172)</f>
        <v>0</v>
      </c>
      <c r="F463" s="182">
        <f t="shared" si="14"/>
        <v>0</v>
      </c>
      <c r="G463" s="179" t="s">
        <v>408</v>
      </c>
      <c r="H463" s="182">
        <v>438</v>
      </c>
      <c r="J463" s="181"/>
    </row>
    <row r="464" spans="1:10" ht="14">
      <c r="A464" s="183" t="s">
        <v>147</v>
      </c>
      <c r="B464" s="178">
        <v>4400</v>
      </c>
      <c r="C464" s="25" t="s">
        <v>146</v>
      </c>
      <c r="D464" s="26">
        <v>43770</v>
      </c>
      <c r="E464" s="182">
        <f>SUMIF('FY19-20'!$C$10:$C$172,Import!B464,'FY19-20'!$I$10:$I$172)</f>
        <v>0</v>
      </c>
      <c r="F464" s="182">
        <f t="shared" ref="F464:F493" si="15">-IF(E464&lt;0,E464)</f>
        <v>0</v>
      </c>
      <c r="G464" s="179" t="s">
        <v>408</v>
      </c>
      <c r="H464" s="182">
        <v>439</v>
      </c>
      <c r="J464" s="181"/>
    </row>
    <row r="465" spans="1:10" ht="14">
      <c r="A465" s="183" t="s">
        <v>147</v>
      </c>
      <c r="B465" s="178">
        <v>4700</v>
      </c>
      <c r="C465" s="25" t="s">
        <v>146</v>
      </c>
      <c r="D465" s="26">
        <v>43770</v>
      </c>
      <c r="E465" s="182">
        <f>SUMIF('FY19-20'!$C$10:$C$172,Import!B465,'FY19-20'!$I$10:$I$172)</f>
        <v>0</v>
      </c>
      <c r="F465" s="182">
        <f t="shared" si="15"/>
        <v>0</v>
      </c>
      <c r="G465" s="179" t="s">
        <v>408</v>
      </c>
      <c r="H465" s="182">
        <v>440</v>
      </c>
      <c r="J465" s="181"/>
    </row>
    <row r="466" spans="1:10" ht="14">
      <c r="A466" s="183" t="s">
        <v>147</v>
      </c>
      <c r="B466" s="178">
        <v>5101</v>
      </c>
      <c r="C466" s="25" t="s">
        <v>146</v>
      </c>
      <c r="D466" s="26">
        <v>43770</v>
      </c>
      <c r="E466" s="182">
        <f>SUMIF('FY19-20'!$C$10:$C$172,Import!B466,'FY19-20'!$I$10:$I$172)</f>
        <v>0</v>
      </c>
      <c r="F466" s="182">
        <f t="shared" si="15"/>
        <v>0</v>
      </c>
      <c r="G466" s="179" t="s">
        <v>408</v>
      </c>
      <c r="H466" s="182">
        <v>441</v>
      </c>
      <c r="J466" s="181"/>
    </row>
    <row r="467" spans="1:10" ht="14">
      <c r="A467" s="183" t="s">
        <v>147</v>
      </c>
      <c r="B467" s="178">
        <v>5102</v>
      </c>
      <c r="C467" s="25" t="s">
        <v>146</v>
      </c>
      <c r="D467" s="26">
        <v>43770</v>
      </c>
      <c r="E467" s="182">
        <f>SUMIF('FY19-20'!$C$10:$C$172,Import!B467,'FY19-20'!$I$10:$I$172)</f>
        <v>193874.66</v>
      </c>
      <c r="F467" s="182">
        <f t="shared" si="15"/>
        <v>0</v>
      </c>
      <c r="G467" s="179" t="s">
        <v>408</v>
      </c>
      <c r="H467" s="182">
        <v>442</v>
      </c>
      <c r="J467" s="181"/>
    </row>
    <row r="468" spans="1:10" ht="14">
      <c r="A468" s="183" t="s">
        <v>147</v>
      </c>
      <c r="B468" s="178">
        <v>5103</v>
      </c>
      <c r="C468" s="25" t="s">
        <v>146</v>
      </c>
      <c r="D468" s="26">
        <v>43770</v>
      </c>
      <c r="E468" s="182">
        <f>SUMIF('FY19-20'!$C$10:$C$172,Import!B468,'FY19-20'!$I$10:$I$172)</f>
        <v>0</v>
      </c>
      <c r="F468" s="182">
        <f t="shared" si="15"/>
        <v>0</v>
      </c>
      <c r="G468" s="179" t="s">
        <v>408</v>
      </c>
      <c r="H468" s="182">
        <v>443</v>
      </c>
      <c r="J468" s="181"/>
    </row>
    <row r="469" spans="1:10" ht="14">
      <c r="A469" s="183" t="s">
        <v>147</v>
      </c>
      <c r="B469" s="178">
        <v>5104</v>
      </c>
      <c r="C469" s="25" t="s">
        <v>146</v>
      </c>
      <c r="D469" s="26">
        <v>43770</v>
      </c>
      <c r="E469" s="182">
        <f>SUMIF('FY19-20'!$C$10:$C$172,Import!B469,'FY19-20'!$I$10:$I$172)</f>
        <v>0</v>
      </c>
      <c r="F469" s="182">
        <f t="shared" si="15"/>
        <v>0</v>
      </c>
      <c r="G469" s="179" t="s">
        <v>408</v>
      </c>
      <c r="H469" s="182">
        <v>444</v>
      </c>
      <c r="J469" s="181"/>
    </row>
    <row r="470" spans="1:10" ht="14">
      <c r="A470" s="183" t="s">
        <v>147</v>
      </c>
      <c r="B470" s="178">
        <v>5105</v>
      </c>
      <c r="C470" s="25" t="s">
        <v>146</v>
      </c>
      <c r="D470" s="26">
        <v>43770</v>
      </c>
      <c r="E470" s="182">
        <f>SUMIF('FY19-20'!$C$10:$C$172,Import!B470,'FY19-20'!$I$10:$I$172)</f>
        <v>0</v>
      </c>
      <c r="F470" s="182">
        <f t="shared" si="15"/>
        <v>0</v>
      </c>
      <c r="G470" s="179" t="s">
        <v>408</v>
      </c>
      <c r="H470" s="182">
        <v>445</v>
      </c>
      <c r="J470" s="181"/>
    </row>
    <row r="471" spans="1:10" ht="14">
      <c r="A471" s="183" t="s">
        <v>147</v>
      </c>
      <c r="B471" s="178">
        <v>5106</v>
      </c>
      <c r="C471" s="25" t="s">
        <v>146</v>
      </c>
      <c r="D471" s="26">
        <v>43770</v>
      </c>
      <c r="E471" s="182">
        <f>SUMIF('FY19-20'!$C$10:$C$172,Import!B471,'FY19-20'!$I$10:$I$172)</f>
        <v>231657.58</v>
      </c>
      <c r="F471" s="182">
        <f t="shared" si="15"/>
        <v>0</v>
      </c>
      <c r="G471" s="179" t="s">
        <v>408</v>
      </c>
      <c r="H471" s="182">
        <v>446</v>
      </c>
      <c r="J471" s="181"/>
    </row>
    <row r="472" spans="1:10" ht="14">
      <c r="A472" s="183" t="s">
        <v>147</v>
      </c>
      <c r="B472" s="178">
        <v>5107</v>
      </c>
      <c r="C472" s="25" t="s">
        <v>146</v>
      </c>
      <c r="D472" s="26">
        <v>43770</v>
      </c>
      <c r="E472" s="182">
        <f>SUMIF('FY19-20'!$C$10:$C$172,Import!B472,'FY19-20'!$I$10:$I$172)</f>
        <v>298388.88</v>
      </c>
      <c r="F472" s="182">
        <f t="shared" ref="F472" si="16">-IF(E472&lt;0,E472)</f>
        <v>0</v>
      </c>
      <c r="G472" s="179" t="s">
        <v>408</v>
      </c>
      <c r="H472" s="182">
        <v>446</v>
      </c>
      <c r="J472" s="181"/>
    </row>
    <row r="473" spans="1:10" ht="14">
      <c r="A473" s="183" t="s">
        <v>147</v>
      </c>
      <c r="B473" s="178">
        <v>5201</v>
      </c>
      <c r="C473" s="25" t="s">
        <v>146</v>
      </c>
      <c r="D473" s="26">
        <v>43770</v>
      </c>
      <c r="E473" s="182">
        <f>SUMIF('FY19-20'!$C$10:$C$172,Import!B473,'FY19-20'!$I$10:$I$172)</f>
        <v>4913.26</v>
      </c>
      <c r="F473" s="182">
        <f t="shared" si="15"/>
        <v>0</v>
      </c>
      <c r="G473" s="179" t="s">
        <v>408</v>
      </c>
      <c r="H473" s="182">
        <v>447</v>
      </c>
      <c r="J473" s="181"/>
    </row>
    <row r="474" spans="1:10" ht="14">
      <c r="A474" s="183" t="s">
        <v>147</v>
      </c>
      <c r="B474" s="178">
        <v>5202</v>
      </c>
      <c r="C474" s="25" t="s">
        <v>146</v>
      </c>
      <c r="D474" s="26">
        <v>43770</v>
      </c>
      <c r="E474" s="182">
        <f>SUMIF('FY19-20'!$C$10:$C$172,Import!B474,'FY19-20'!$I$10:$I$172)</f>
        <v>0</v>
      </c>
      <c r="F474" s="182">
        <f t="shared" si="15"/>
        <v>0</v>
      </c>
      <c r="G474" s="179" t="s">
        <v>408</v>
      </c>
      <c r="H474" s="182">
        <v>448</v>
      </c>
      <c r="J474" s="181"/>
    </row>
    <row r="475" spans="1:10" ht="14">
      <c r="A475" s="183" t="s">
        <v>147</v>
      </c>
      <c r="B475" s="178">
        <v>5203</v>
      </c>
      <c r="C475" s="25" t="s">
        <v>146</v>
      </c>
      <c r="D475" s="26">
        <v>43770</v>
      </c>
      <c r="E475" s="182">
        <f>SUMIF('FY19-20'!$C$10:$C$172,Import!B475,'FY19-20'!$I$10:$I$172)</f>
        <v>0</v>
      </c>
      <c r="F475" s="182">
        <f t="shared" si="15"/>
        <v>0</v>
      </c>
      <c r="G475" s="179" t="s">
        <v>408</v>
      </c>
      <c r="H475" s="182">
        <v>449</v>
      </c>
      <c r="J475" s="181"/>
    </row>
    <row r="476" spans="1:10" ht="14">
      <c r="A476" s="183" t="s">
        <v>147</v>
      </c>
      <c r="B476" s="178">
        <v>5300</v>
      </c>
      <c r="C476" s="25" t="s">
        <v>146</v>
      </c>
      <c r="D476" s="26">
        <v>43770</v>
      </c>
      <c r="E476" s="182">
        <f>SUMIF('FY19-20'!$C$10:$C$172,Import!B476,'FY19-20'!$I$10:$I$172)</f>
        <v>0</v>
      </c>
      <c r="F476" s="182">
        <f t="shared" si="15"/>
        <v>0</v>
      </c>
      <c r="G476" s="179" t="s">
        <v>408</v>
      </c>
      <c r="H476" s="182">
        <v>450</v>
      </c>
      <c r="J476" s="181"/>
    </row>
    <row r="477" spans="1:10" ht="14">
      <c r="A477" s="183" t="s">
        <v>147</v>
      </c>
      <c r="B477" s="178">
        <v>5400</v>
      </c>
      <c r="C477" s="25" t="s">
        <v>146</v>
      </c>
      <c r="D477" s="26">
        <v>43770</v>
      </c>
      <c r="E477" s="182">
        <f>SUMIF('FY19-20'!$C$10:$C$172,Import!B477,'FY19-20'!$I$10:$I$172)</f>
        <v>1296.22</v>
      </c>
      <c r="F477" s="182">
        <f t="shared" si="15"/>
        <v>0</v>
      </c>
      <c r="G477" s="179" t="s">
        <v>408</v>
      </c>
      <c r="H477" s="182">
        <v>451</v>
      </c>
      <c r="J477" s="181"/>
    </row>
    <row r="478" spans="1:10" ht="14">
      <c r="A478" s="183" t="s">
        <v>147</v>
      </c>
      <c r="B478" s="178">
        <v>5501</v>
      </c>
      <c r="C478" s="25" t="s">
        <v>146</v>
      </c>
      <c r="D478" s="26">
        <v>43770</v>
      </c>
      <c r="E478" s="182">
        <f>SUMIF('FY19-20'!$C$10:$C$172,Import!B478,'FY19-20'!$I$10:$I$172)</f>
        <v>0</v>
      </c>
      <c r="F478" s="182">
        <f t="shared" si="15"/>
        <v>0</v>
      </c>
      <c r="G478" s="179" t="s">
        <v>408</v>
      </c>
      <c r="H478" s="182">
        <v>452</v>
      </c>
      <c r="J478" s="181"/>
    </row>
    <row r="479" spans="1:10" ht="14">
      <c r="A479" s="183" t="s">
        <v>147</v>
      </c>
      <c r="B479" s="178">
        <v>5502</v>
      </c>
      <c r="C479" s="25" t="s">
        <v>146</v>
      </c>
      <c r="D479" s="26">
        <v>43770</v>
      </c>
      <c r="E479" s="182">
        <f>SUMIF('FY19-20'!$C$10:$C$172,Import!B479,'FY19-20'!$I$10:$I$172)</f>
        <v>835</v>
      </c>
      <c r="F479" s="182">
        <f t="shared" si="15"/>
        <v>0</v>
      </c>
      <c r="G479" s="179" t="s">
        <v>408</v>
      </c>
      <c r="H479" s="182">
        <v>453</v>
      </c>
      <c r="J479" s="181"/>
    </row>
    <row r="480" spans="1:10" ht="14">
      <c r="A480" s="183" t="s">
        <v>147</v>
      </c>
      <c r="B480" s="178">
        <v>5516</v>
      </c>
      <c r="C480" s="25" t="s">
        <v>146</v>
      </c>
      <c r="D480" s="26">
        <v>43770</v>
      </c>
      <c r="E480" s="182">
        <f>SUMIF('FY19-20'!$C$10:$C$172,Import!B480,'FY19-20'!$I$10:$I$172)</f>
        <v>0</v>
      </c>
      <c r="F480" s="182">
        <f t="shared" si="15"/>
        <v>0</v>
      </c>
      <c r="G480" s="179" t="s">
        <v>408</v>
      </c>
      <c r="H480" s="182">
        <v>454</v>
      </c>
      <c r="J480" s="181"/>
    </row>
    <row r="481" spans="1:10" ht="14">
      <c r="A481" s="183" t="s">
        <v>147</v>
      </c>
      <c r="B481" s="178">
        <v>5531</v>
      </c>
      <c r="C481" s="25" t="s">
        <v>146</v>
      </c>
      <c r="D481" s="26">
        <v>43770</v>
      </c>
      <c r="E481" s="182">
        <f>SUMIF('FY19-20'!$C$10:$C$172,Import!B481,'FY19-20'!$I$10:$I$172)</f>
        <v>0</v>
      </c>
      <c r="F481" s="182">
        <f t="shared" si="15"/>
        <v>0</v>
      </c>
      <c r="G481" s="179" t="s">
        <v>408</v>
      </c>
      <c r="H481" s="182">
        <v>457</v>
      </c>
      <c r="J481" s="181"/>
    </row>
    <row r="482" spans="1:10" ht="14">
      <c r="A482" s="183" t="s">
        <v>147</v>
      </c>
      <c r="B482" s="178">
        <v>5540</v>
      </c>
      <c r="C482" s="25" t="s">
        <v>146</v>
      </c>
      <c r="D482" s="26">
        <v>43770</v>
      </c>
      <c r="E482" s="182">
        <f>SUMIF('FY19-20'!$C$10:$C$172,Import!B482,'FY19-20'!$I$10:$I$172)</f>
        <v>0</v>
      </c>
      <c r="F482" s="182">
        <f t="shared" si="15"/>
        <v>0</v>
      </c>
      <c r="G482" s="179" t="s">
        <v>408</v>
      </c>
      <c r="H482" s="182">
        <v>458</v>
      </c>
      <c r="J482" s="181"/>
    </row>
    <row r="483" spans="1:10" ht="14">
      <c r="A483" s="183" t="s">
        <v>147</v>
      </c>
      <c r="B483" s="178">
        <v>5601</v>
      </c>
      <c r="C483" s="25" t="s">
        <v>146</v>
      </c>
      <c r="D483" s="26">
        <v>43770</v>
      </c>
      <c r="E483" s="182">
        <f>SUMIF('FY19-20'!$C$10:$C$172,Import!B483,'FY19-20'!$I$10:$I$172)</f>
        <v>7526.9</v>
      </c>
      <c r="F483" s="182">
        <f t="shared" si="15"/>
        <v>0</v>
      </c>
      <c r="G483" s="179" t="s">
        <v>408</v>
      </c>
      <c r="H483" s="182">
        <v>459</v>
      </c>
      <c r="J483" s="181"/>
    </row>
    <row r="484" spans="1:10" ht="14">
      <c r="A484" s="183" t="s">
        <v>147</v>
      </c>
      <c r="B484" s="178">
        <v>5602</v>
      </c>
      <c r="C484" s="25" t="s">
        <v>146</v>
      </c>
      <c r="D484" s="26">
        <v>43770</v>
      </c>
      <c r="E484" s="182">
        <f>SUMIF('FY19-20'!$C$10:$C$172,Import!B484,'FY19-20'!$I$10:$I$172)</f>
        <v>0</v>
      </c>
      <c r="F484" s="182">
        <f t="shared" si="15"/>
        <v>0</v>
      </c>
      <c r="G484" s="179" t="s">
        <v>408</v>
      </c>
      <c r="H484" s="182">
        <v>460</v>
      </c>
      <c r="J484" s="181"/>
    </row>
    <row r="485" spans="1:10" ht="14">
      <c r="A485" s="183" t="s">
        <v>147</v>
      </c>
      <c r="B485" s="178">
        <v>5603</v>
      </c>
      <c r="C485" s="25" t="s">
        <v>146</v>
      </c>
      <c r="D485" s="26">
        <v>43770</v>
      </c>
      <c r="E485" s="182">
        <f>SUMIF('FY19-20'!$C$10:$C$172,Import!B485,'FY19-20'!$I$10:$I$172)</f>
        <v>0</v>
      </c>
      <c r="F485" s="182">
        <f t="shared" si="15"/>
        <v>0</v>
      </c>
      <c r="G485" s="179" t="s">
        <v>408</v>
      </c>
      <c r="H485" s="182">
        <v>461</v>
      </c>
      <c r="J485" s="181"/>
    </row>
    <row r="486" spans="1:10" ht="14">
      <c r="A486" s="183" t="s">
        <v>147</v>
      </c>
      <c r="B486" s="178">
        <v>5604</v>
      </c>
      <c r="C486" s="25" t="s">
        <v>146</v>
      </c>
      <c r="D486" s="26">
        <v>43770</v>
      </c>
      <c r="E486" s="182">
        <f>SUMIF('FY19-20'!$C$10:$C$172,Import!B486,'FY19-20'!$I$10:$I$172)</f>
        <v>291</v>
      </c>
      <c r="F486" s="182">
        <f t="shared" si="15"/>
        <v>0</v>
      </c>
      <c r="G486" s="179" t="s">
        <v>408</v>
      </c>
      <c r="H486" s="182">
        <v>462</v>
      </c>
      <c r="J486" s="181"/>
    </row>
    <row r="487" spans="1:10" ht="14">
      <c r="A487" s="183" t="s">
        <v>147</v>
      </c>
      <c r="B487" s="178">
        <v>5605</v>
      </c>
      <c r="C487" s="25" t="s">
        <v>146</v>
      </c>
      <c r="D487" s="26">
        <v>43770</v>
      </c>
      <c r="E487" s="182">
        <f>SUMIF('FY19-20'!$C$10:$C$172,Import!B487,'FY19-20'!$I$10:$I$172)</f>
        <v>0</v>
      </c>
      <c r="F487" s="182">
        <f t="shared" si="15"/>
        <v>0</v>
      </c>
      <c r="G487" s="179" t="s">
        <v>408</v>
      </c>
      <c r="H487" s="182">
        <v>463</v>
      </c>
      <c r="J487" s="181"/>
    </row>
    <row r="488" spans="1:10" ht="14">
      <c r="A488" s="183" t="s">
        <v>147</v>
      </c>
      <c r="B488" s="178">
        <v>5610</v>
      </c>
      <c r="C488" s="25" t="s">
        <v>146</v>
      </c>
      <c r="D488" s="26">
        <v>43770</v>
      </c>
      <c r="E488" s="182">
        <f>SUMIF('FY19-20'!$C$10:$C$172,Import!B488,'FY19-20'!$I$10:$I$172)</f>
        <v>0</v>
      </c>
      <c r="F488" s="182">
        <f t="shared" si="15"/>
        <v>0</v>
      </c>
      <c r="G488" s="179" t="s">
        <v>408</v>
      </c>
      <c r="H488" s="182">
        <v>464</v>
      </c>
      <c r="J488" s="181"/>
    </row>
    <row r="489" spans="1:10" ht="14">
      <c r="A489" s="183" t="s">
        <v>147</v>
      </c>
      <c r="B489" s="178">
        <v>5801</v>
      </c>
      <c r="C489" s="25" t="s">
        <v>146</v>
      </c>
      <c r="D489" s="26">
        <v>43770</v>
      </c>
      <c r="E489" s="182">
        <f>SUMIF('FY19-20'!$C$10:$C$172,Import!B489,'FY19-20'!$I$10:$I$172)</f>
        <v>0</v>
      </c>
      <c r="F489" s="182">
        <f t="shared" si="15"/>
        <v>0</v>
      </c>
      <c r="G489" s="179" t="s">
        <v>408</v>
      </c>
      <c r="H489" s="182">
        <v>465</v>
      </c>
      <c r="J489" s="181"/>
    </row>
    <row r="490" spans="1:10" ht="14">
      <c r="A490" s="183" t="s">
        <v>147</v>
      </c>
      <c r="B490" s="178">
        <v>5802</v>
      </c>
      <c r="C490" s="25" t="s">
        <v>146</v>
      </c>
      <c r="D490" s="26">
        <v>43770</v>
      </c>
      <c r="E490" s="182">
        <f>SUMIF('FY19-20'!$C$10:$C$172,Import!B490,'FY19-20'!$I$10:$I$172)</f>
        <v>0</v>
      </c>
      <c r="F490" s="182">
        <f t="shared" si="15"/>
        <v>0</v>
      </c>
      <c r="G490" s="179" t="s">
        <v>408</v>
      </c>
      <c r="H490" s="182">
        <v>466</v>
      </c>
      <c r="J490" s="181"/>
    </row>
    <row r="491" spans="1:10" ht="14">
      <c r="A491" s="183" t="s">
        <v>147</v>
      </c>
      <c r="B491" s="178">
        <v>5803</v>
      </c>
      <c r="C491" s="25" t="s">
        <v>146</v>
      </c>
      <c r="D491" s="26">
        <v>43770</v>
      </c>
      <c r="E491" s="182">
        <f>SUMIF('FY19-20'!$C$10:$C$172,Import!B491,'FY19-20'!$I$10:$I$172)</f>
        <v>0</v>
      </c>
      <c r="F491" s="182">
        <f t="shared" si="15"/>
        <v>0</v>
      </c>
      <c r="G491" s="179" t="s">
        <v>408</v>
      </c>
      <c r="H491" s="182">
        <v>467</v>
      </c>
      <c r="J491" s="181"/>
    </row>
    <row r="492" spans="1:10" ht="14">
      <c r="A492" s="183" t="s">
        <v>147</v>
      </c>
      <c r="B492" s="178">
        <v>5804</v>
      </c>
      <c r="C492" s="25" t="s">
        <v>146</v>
      </c>
      <c r="D492" s="26">
        <v>43770</v>
      </c>
      <c r="E492" s="182">
        <f>SUMIF('FY19-20'!$C$10:$C$172,Import!B492,'FY19-20'!$I$10:$I$172)</f>
        <v>8690</v>
      </c>
      <c r="F492" s="182">
        <f t="shared" si="15"/>
        <v>0</v>
      </c>
      <c r="G492" s="179" t="s">
        <v>408</v>
      </c>
      <c r="H492" s="182">
        <v>468</v>
      </c>
      <c r="J492" s="181"/>
    </row>
    <row r="493" spans="1:10" ht="14">
      <c r="A493" s="183" t="s">
        <v>147</v>
      </c>
      <c r="B493" s="178">
        <v>5805</v>
      </c>
      <c r="C493" s="25" t="s">
        <v>146</v>
      </c>
      <c r="D493" s="26">
        <v>43770</v>
      </c>
      <c r="E493" s="182">
        <f>SUMIF('FY19-20'!$C$10:$C$172,Import!B493,'FY19-20'!$I$10:$I$172)</f>
        <v>0</v>
      </c>
      <c r="F493" s="182">
        <f t="shared" si="15"/>
        <v>0</v>
      </c>
      <c r="G493" s="179" t="s">
        <v>408</v>
      </c>
      <c r="H493" s="182">
        <v>469</v>
      </c>
      <c r="J493" s="181"/>
    </row>
    <row r="494" spans="1:10" ht="14">
      <c r="A494" s="183" t="s">
        <v>147</v>
      </c>
      <c r="B494" s="178">
        <v>5806</v>
      </c>
      <c r="C494" s="25" t="s">
        <v>146</v>
      </c>
      <c r="D494" s="26">
        <v>43770</v>
      </c>
      <c r="E494" s="182">
        <f>SUMIF('FY19-20'!$C$10:$C$172,Import!B494,'FY19-20'!$I$10:$I$172)</f>
        <v>16892.79</v>
      </c>
      <c r="F494" s="182">
        <f>-IF(E494&lt;0,E494,0)</f>
        <v>0</v>
      </c>
      <c r="G494" s="179" t="s">
        <v>408</v>
      </c>
      <c r="J494" s="181"/>
    </row>
    <row r="495" spans="1:10" ht="14">
      <c r="A495" s="183" t="s">
        <v>147</v>
      </c>
      <c r="B495" s="178">
        <v>5807</v>
      </c>
      <c r="C495" s="25" t="s">
        <v>146</v>
      </c>
      <c r="D495" s="26">
        <v>43770</v>
      </c>
      <c r="E495" s="182">
        <f>SUMIF('FY19-20'!$C$10:$C$172,Import!B495,'FY19-20'!$I$10:$I$172)</f>
        <v>3.77</v>
      </c>
      <c r="F495" s="182">
        <f>-IF(E495&lt;0,E495,0)</f>
        <v>0</v>
      </c>
      <c r="G495" s="179" t="s">
        <v>408</v>
      </c>
      <c r="J495" s="181"/>
    </row>
    <row r="496" spans="1:10" ht="14">
      <c r="A496" s="183" t="s">
        <v>147</v>
      </c>
      <c r="B496" s="178">
        <v>5808</v>
      </c>
      <c r="C496" s="25" t="s">
        <v>146</v>
      </c>
      <c r="D496" s="26">
        <v>43770</v>
      </c>
      <c r="E496" s="182">
        <f>SUMIF('FY19-20'!$C$10:$C$172,Import!B496,'FY19-20'!$I$10:$I$172)</f>
        <v>230.71</v>
      </c>
      <c r="F496" s="182">
        <f>-IF(E496&lt;0,E496,0)</f>
        <v>0</v>
      </c>
      <c r="G496" s="179" t="s">
        <v>408</v>
      </c>
      <c r="J496" s="181"/>
    </row>
    <row r="497" spans="1:10" ht="14">
      <c r="A497" s="183" t="s">
        <v>147</v>
      </c>
      <c r="B497" s="178">
        <v>5809</v>
      </c>
      <c r="C497" s="25" t="s">
        <v>146</v>
      </c>
      <c r="D497" s="26">
        <v>43770</v>
      </c>
      <c r="E497" s="182">
        <f>SUMIF('FY19-20'!$C$10:$C$172,Import!B497,'FY19-20'!$I$10:$I$172)</f>
        <v>545.96</v>
      </c>
      <c r="F497" s="182">
        <f>-IF(E497&lt;0,E497,0)</f>
        <v>0</v>
      </c>
      <c r="G497" s="179" t="s">
        <v>408</v>
      </c>
      <c r="J497" s="181"/>
    </row>
    <row r="498" spans="1:10" ht="14">
      <c r="A498" s="183" t="s">
        <v>147</v>
      </c>
      <c r="B498" s="178">
        <v>5810</v>
      </c>
      <c r="C498" s="25" t="s">
        <v>146</v>
      </c>
      <c r="D498" s="26">
        <v>43770</v>
      </c>
      <c r="E498" s="182">
        <f>SUMIF('FY19-20'!$C$10:$C$172,Import!B498,'FY19-20'!$I$10:$I$172)</f>
        <v>0</v>
      </c>
      <c r="F498" s="182">
        <f>-IF(E498&lt;0,E498)</f>
        <v>0</v>
      </c>
      <c r="G498" s="179" t="s">
        <v>408</v>
      </c>
      <c r="H498" s="182">
        <v>470</v>
      </c>
      <c r="J498" s="181"/>
    </row>
    <row r="499" spans="1:10" ht="14">
      <c r="A499" s="183" t="s">
        <v>147</v>
      </c>
      <c r="B499" s="178">
        <v>5811</v>
      </c>
      <c r="C499" s="25" t="s">
        <v>146</v>
      </c>
      <c r="D499" s="26">
        <v>43770</v>
      </c>
      <c r="E499" s="182">
        <f>SUMIF('FY19-20'!$C$10:$C$172,Import!B499,'FY19-20'!$I$10:$I$172)</f>
        <v>90814.12</v>
      </c>
      <c r="F499" s="182">
        <f>-IF(E499&lt;0,E499)</f>
        <v>0</v>
      </c>
      <c r="G499" s="179" t="s">
        <v>408</v>
      </c>
      <c r="H499" s="182">
        <v>471</v>
      </c>
      <c r="J499" s="181"/>
    </row>
    <row r="500" spans="1:10" ht="14">
      <c r="A500" s="183" t="s">
        <v>147</v>
      </c>
      <c r="B500" s="178">
        <v>5812</v>
      </c>
      <c r="C500" s="25" t="s">
        <v>146</v>
      </c>
      <c r="D500" s="26">
        <v>43770</v>
      </c>
      <c r="E500" s="182">
        <f>SUMIF('FY19-20'!$C$10:$C$172,Import!B500,'FY19-20'!$I$10:$I$172)</f>
        <v>0</v>
      </c>
      <c r="F500" s="182">
        <f>-IF(E500&lt;0,E500)</f>
        <v>0</v>
      </c>
      <c r="G500" s="179" t="s">
        <v>408</v>
      </c>
      <c r="H500" s="182">
        <v>472</v>
      </c>
      <c r="J500" s="181"/>
    </row>
    <row r="501" spans="1:10" ht="14">
      <c r="A501" s="183" t="s">
        <v>147</v>
      </c>
      <c r="B501" s="178">
        <v>5813</v>
      </c>
      <c r="C501" s="25" t="s">
        <v>146</v>
      </c>
      <c r="D501" s="26">
        <v>43770</v>
      </c>
      <c r="E501" s="182">
        <f>SUMIF('FY19-20'!$C$10:$C$172,Import!B501,'FY19-20'!$I$10:$I$172)</f>
        <v>0</v>
      </c>
      <c r="F501" s="182">
        <f>-IF(E501&lt;0,E501)</f>
        <v>0</v>
      </c>
      <c r="G501" s="179" t="s">
        <v>408</v>
      </c>
      <c r="H501" s="182">
        <v>473</v>
      </c>
      <c r="J501" s="181"/>
    </row>
    <row r="502" spans="1:10" ht="14">
      <c r="A502" s="183" t="s">
        <v>147</v>
      </c>
      <c r="B502" s="178">
        <v>5814</v>
      </c>
      <c r="C502" s="25" t="s">
        <v>146</v>
      </c>
      <c r="D502" s="26">
        <v>43770</v>
      </c>
      <c r="E502" s="182">
        <f>SUMIF('FY19-20'!$C$10:$C$172,Import!B502,'FY19-20'!$I$10:$I$172)</f>
        <v>0</v>
      </c>
      <c r="F502" s="182">
        <f>-IF(E502&lt;0,E502)</f>
        <v>0</v>
      </c>
      <c r="G502" s="179" t="s">
        <v>408</v>
      </c>
      <c r="H502" s="182">
        <v>474</v>
      </c>
      <c r="J502" s="181"/>
    </row>
    <row r="503" spans="1:10" ht="14">
      <c r="A503" s="183" t="s">
        <v>147</v>
      </c>
      <c r="B503" s="178">
        <v>5815</v>
      </c>
      <c r="C503" s="25" t="s">
        <v>146</v>
      </c>
      <c r="D503" s="26">
        <v>43770</v>
      </c>
      <c r="E503" s="182">
        <f>SUMIF('FY19-20'!$C$10:$C$172,Import!B503,'FY19-20'!$I$10:$I$172)</f>
        <v>0</v>
      </c>
      <c r="F503" s="182">
        <f>-IF(E503&lt;0,E503,0)</f>
        <v>0</v>
      </c>
      <c r="G503" s="179" t="s">
        <v>408</v>
      </c>
      <c r="J503" s="181"/>
    </row>
    <row r="504" spans="1:10" ht="14">
      <c r="A504" s="183" t="s">
        <v>147</v>
      </c>
      <c r="B504" s="178">
        <v>5820</v>
      </c>
      <c r="C504" s="25" t="s">
        <v>146</v>
      </c>
      <c r="D504" s="26">
        <v>43770</v>
      </c>
      <c r="E504" s="182">
        <f>SUMIF('FY19-20'!$C$10:$C$172,Import!B504,'FY19-20'!$I$10:$I$172)</f>
        <v>0</v>
      </c>
      <c r="F504" s="182">
        <f>-IF(E504&lt;0,E504,0)</f>
        <v>0</v>
      </c>
      <c r="G504" s="179" t="s">
        <v>408</v>
      </c>
      <c r="J504" s="181"/>
    </row>
    <row r="505" spans="1:10" ht="14">
      <c r="A505" s="183" t="s">
        <v>147</v>
      </c>
      <c r="B505" s="178">
        <v>5900</v>
      </c>
      <c r="C505" s="25" t="s">
        <v>146</v>
      </c>
      <c r="D505" s="26">
        <v>43770</v>
      </c>
      <c r="E505" s="182">
        <f>SUMIF('FY19-20'!$C$10:$C$172,Import!B505,'FY19-20'!$I$10:$I$172)</f>
        <v>0</v>
      </c>
      <c r="F505" s="182">
        <f>-IF(E505&lt;0,E505)</f>
        <v>0</v>
      </c>
      <c r="G505" s="179" t="s">
        <v>408</v>
      </c>
      <c r="H505" s="182">
        <v>475</v>
      </c>
      <c r="J505" s="181"/>
    </row>
    <row r="506" spans="1:10" ht="14">
      <c r="A506" s="183" t="s">
        <v>147</v>
      </c>
      <c r="B506" s="178">
        <v>5901</v>
      </c>
      <c r="C506" s="25" t="s">
        <v>146</v>
      </c>
      <c r="D506" s="26">
        <v>43770</v>
      </c>
      <c r="E506" s="182">
        <f>SUMIF('FY19-20'!$C$10:$C$172,Import!B506,'FY19-20'!$I$10:$I$172)</f>
        <v>0</v>
      </c>
      <c r="F506" s="182">
        <f>-IF(E506&lt;0,E506,0)</f>
        <v>0</v>
      </c>
      <c r="G506" s="179" t="s">
        <v>408</v>
      </c>
    </row>
    <row r="507" spans="1:10" ht="14">
      <c r="A507" s="183" t="s">
        <v>147</v>
      </c>
      <c r="B507" s="178">
        <v>6900</v>
      </c>
      <c r="C507" s="25" t="s">
        <v>146</v>
      </c>
      <c r="D507" s="26">
        <v>43770</v>
      </c>
      <c r="E507" s="182">
        <f>SUMIF('FY19-20'!$C$10:$C$172,Import!B507,'FY19-20'!$I$10:$I$172)</f>
        <v>0</v>
      </c>
      <c r="F507" s="182">
        <f t="shared" ref="F507:F538" si="17">-IF(E507&lt;0,E507)</f>
        <v>0</v>
      </c>
      <c r="G507" s="179" t="s">
        <v>408</v>
      </c>
      <c r="H507" s="182">
        <v>476</v>
      </c>
      <c r="J507" s="181"/>
    </row>
    <row r="508" spans="1:10" ht="14">
      <c r="A508" s="183" t="s">
        <v>147</v>
      </c>
      <c r="B508" s="178">
        <v>7438</v>
      </c>
      <c r="C508" s="25" t="s">
        <v>146</v>
      </c>
      <c r="D508" s="26">
        <v>43770</v>
      </c>
      <c r="E508" s="182">
        <f>SUMIF('FY19-20'!$C$10:$C$172,Import!B508,'FY19-20'!$I$10:$I$172)</f>
        <v>168678</v>
      </c>
      <c r="F508" s="182">
        <f t="shared" si="17"/>
        <v>0</v>
      </c>
      <c r="G508" s="179" t="s">
        <v>408</v>
      </c>
      <c r="H508" s="182">
        <v>477</v>
      </c>
      <c r="J508" s="181"/>
    </row>
    <row r="509" spans="1:10" ht="14">
      <c r="A509" s="183" t="s">
        <v>147</v>
      </c>
      <c r="B509" s="178">
        <v>8011</v>
      </c>
      <c r="C509" s="25" t="s">
        <v>146</v>
      </c>
      <c r="D509" s="26">
        <v>43770</v>
      </c>
      <c r="E509" s="182">
        <f>SUMIF('FY19-20'!$C$10:$C$172,Import!B509,'FY19-20'!$I$10:$I$172)</f>
        <v>0</v>
      </c>
      <c r="F509" s="182">
        <f t="shared" si="17"/>
        <v>0</v>
      </c>
      <c r="G509" s="179" t="s">
        <v>408</v>
      </c>
      <c r="H509" s="182">
        <v>478</v>
      </c>
      <c r="J509" s="181"/>
    </row>
    <row r="510" spans="1:10" ht="14">
      <c r="A510" s="183" t="s">
        <v>147</v>
      </c>
      <c r="B510" s="178">
        <v>8012</v>
      </c>
      <c r="C510" s="25" t="s">
        <v>146</v>
      </c>
      <c r="D510" s="26">
        <v>43770</v>
      </c>
      <c r="E510" s="182">
        <f>SUMIF('FY19-20'!$C$10:$C$172,Import!B510,'FY19-20'!$I$10:$I$172)</f>
        <v>0</v>
      </c>
      <c r="F510" s="182">
        <f t="shared" si="17"/>
        <v>0</v>
      </c>
      <c r="G510" s="179" t="s">
        <v>408</v>
      </c>
      <c r="H510" s="182">
        <v>479</v>
      </c>
      <c r="J510" s="181"/>
    </row>
    <row r="511" spans="1:10" ht="14">
      <c r="A511" s="183" t="s">
        <v>147</v>
      </c>
      <c r="B511" s="178">
        <v>8019</v>
      </c>
      <c r="C511" s="25" t="s">
        <v>146</v>
      </c>
      <c r="D511" s="26">
        <v>43770</v>
      </c>
      <c r="E511" s="182">
        <f>SUMIF('FY19-20'!$C$10:$C$172,Import!B511,'FY19-20'!$I$10:$I$172)</f>
        <v>0</v>
      </c>
      <c r="F511" s="182">
        <f t="shared" si="17"/>
        <v>0</v>
      </c>
      <c r="G511" s="179" t="s">
        <v>408</v>
      </c>
      <c r="H511" s="182">
        <v>480</v>
      </c>
      <c r="J511" s="181"/>
    </row>
    <row r="512" spans="1:10" ht="14">
      <c r="A512" s="183" t="s">
        <v>147</v>
      </c>
      <c r="B512" s="178">
        <v>8096</v>
      </c>
      <c r="C512" s="25" t="s">
        <v>146</v>
      </c>
      <c r="D512" s="26">
        <v>43770</v>
      </c>
      <c r="E512" s="182">
        <f>SUMIF('FY19-20'!$C$10:$C$172,Import!B512,'FY19-20'!$I$10:$I$172)</f>
        <v>0</v>
      </c>
      <c r="F512" s="182">
        <f t="shared" si="17"/>
        <v>0</v>
      </c>
      <c r="G512" s="179" t="s">
        <v>408</v>
      </c>
      <c r="H512" s="182">
        <v>481</v>
      </c>
      <c r="J512" s="181"/>
    </row>
    <row r="513" spans="1:10" ht="14">
      <c r="A513" s="183" t="s">
        <v>147</v>
      </c>
      <c r="B513" s="178">
        <v>8181</v>
      </c>
      <c r="C513" s="25" t="s">
        <v>146</v>
      </c>
      <c r="D513" s="26">
        <v>43770</v>
      </c>
      <c r="E513" s="182">
        <f>SUMIF('FY19-20'!$C$10:$C$172,Import!B513,'FY19-20'!$I$10:$I$172)</f>
        <v>0</v>
      </c>
      <c r="F513" s="182">
        <f t="shared" si="17"/>
        <v>0</v>
      </c>
      <c r="G513" s="179" t="s">
        <v>408</v>
      </c>
      <c r="H513" s="182">
        <v>482</v>
      </c>
      <c r="J513" s="181"/>
    </row>
    <row r="514" spans="1:10" ht="14">
      <c r="A514" s="183" t="s">
        <v>147</v>
      </c>
      <c r="B514" s="178">
        <v>8182</v>
      </c>
      <c r="C514" s="25" t="s">
        <v>146</v>
      </c>
      <c r="D514" s="26">
        <v>43770</v>
      </c>
      <c r="E514" s="182">
        <f>SUMIF('FY19-20'!$C$10:$C$172,Import!B514,'FY19-20'!$I$10:$I$172)</f>
        <v>0</v>
      </c>
      <c r="F514" s="182">
        <f t="shared" si="17"/>
        <v>0</v>
      </c>
      <c r="G514" s="179" t="s">
        <v>408</v>
      </c>
      <c r="H514" s="182">
        <v>483</v>
      </c>
      <c r="J514" s="181"/>
    </row>
    <row r="515" spans="1:10" ht="14">
      <c r="A515" s="183" t="s">
        <v>147</v>
      </c>
      <c r="B515" s="178">
        <v>8220</v>
      </c>
      <c r="C515" s="25" t="s">
        <v>146</v>
      </c>
      <c r="D515" s="26">
        <v>43770</v>
      </c>
      <c r="E515" s="182">
        <f>SUMIF('FY19-20'!$C$10:$C$172,Import!B515,'FY19-20'!$I$10:$I$172)</f>
        <v>0</v>
      </c>
      <c r="F515" s="182">
        <f t="shared" si="17"/>
        <v>0</v>
      </c>
      <c r="G515" s="179" t="s">
        <v>408</v>
      </c>
      <c r="H515" s="182">
        <v>484</v>
      </c>
      <c r="J515" s="181"/>
    </row>
    <row r="516" spans="1:10" ht="14">
      <c r="A516" s="183" t="s">
        <v>147</v>
      </c>
      <c r="B516" s="178">
        <v>8290</v>
      </c>
      <c r="C516" s="25" t="s">
        <v>146</v>
      </c>
      <c r="D516" s="26">
        <v>43770</v>
      </c>
      <c r="E516" s="182">
        <f>SUMIF('FY19-20'!$C$10:$C$172,Import!B516,'FY19-20'!$I$10:$I$172)</f>
        <v>0</v>
      </c>
      <c r="F516" s="182">
        <f t="shared" si="17"/>
        <v>0</v>
      </c>
      <c r="G516" s="179" t="s">
        <v>408</v>
      </c>
      <c r="H516" s="182">
        <v>485</v>
      </c>
      <c r="J516" s="181"/>
    </row>
    <row r="517" spans="1:10" ht="14">
      <c r="A517" s="183" t="s">
        <v>147</v>
      </c>
      <c r="B517" s="178">
        <v>8291</v>
      </c>
      <c r="C517" s="25" t="s">
        <v>146</v>
      </c>
      <c r="D517" s="26">
        <v>43770</v>
      </c>
      <c r="E517" s="182">
        <f>SUMIF('FY19-20'!$C$10:$C$172,Import!B517,'FY19-20'!$I$10:$I$172)</f>
        <v>0</v>
      </c>
      <c r="F517" s="182">
        <f t="shared" si="17"/>
        <v>0</v>
      </c>
      <c r="G517" s="179" t="s">
        <v>408</v>
      </c>
      <c r="H517" s="182">
        <v>486</v>
      </c>
      <c r="J517" s="181"/>
    </row>
    <row r="518" spans="1:10" ht="14">
      <c r="A518" s="183" t="s">
        <v>147</v>
      </c>
      <c r="B518" s="178">
        <v>8292</v>
      </c>
      <c r="C518" s="25" t="s">
        <v>146</v>
      </c>
      <c r="D518" s="26">
        <v>43770</v>
      </c>
      <c r="E518" s="182">
        <f>SUMIF('FY19-20'!$C$10:$C$172,Import!B518,'FY19-20'!$I$10:$I$172)</f>
        <v>0</v>
      </c>
      <c r="F518" s="182">
        <f t="shared" si="17"/>
        <v>0</v>
      </c>
      <c r="G518" s="179" t="s">
        <v>408</v>
      </c>
      <c r="H518" s="182">
        <v>487</v>
      </c>
      <c r="J518" s="181"/>
    </row>
    <row r="519" spans="1:10" ht="14">
      <c r="A519" s="183" t="s">
        <v>147</v>
      </c>
      <c r="B519" s="178">
        <v>8293</v>
      </c>
      <c r="C519" s="25" t="s">
        <v>146</v>
      </c>
      <c r="D519" s="26">
        <v>43770</v>
      </c>
      <c r="E519" s="182">
        <f>SUMIF('FY19-20'!$C$10:$C$172,Import!B519,'FY19-20'!$I$10:$I$172)</f>
        <v>0</v>
      </c>
      <c r="F519" s="182">
        <f t="shared" si="17"/>
        <v>0</v>
      </c>
      <c r="G519" s="179" t="s">
        <v>408</v>
      </c>
      <c r="H519" s="182">
        <v>488</v>
      </c>
      <c r="J519" s="181"/>
    </row>
    <row r="520" spans="1:10" ht="14">
      <c r="A520" s="183" t="s">
        <v>147</v>
      </c>
      <c r="B520" s="178">
        <v>8294</v>
      </c>
      <c r="C520" s="25" t="s">
        <v>146</v>
      </c>
      <c r="D520" s="26">
        <v>43770</v>
      </c>
      <c r="E520" s="182">
        <f>SUMIF('FY19-20'!$C$10:$C$172,Import!B520,'FY19-20'!$I$10:$I$172)</f>
        <v>0</v>
      </c>
      <c r="F520" s="182">
        <f t="shared" si="17"/>
        <v>0</v>
      </c>
      <c r="G520" s="179" t="s">
        <v>408</v>
      </c>
      <c r="H520" s="182">
        <v>489</v>
      </c>
      <c r="J520" s="181"/>
    </row>
    <row r="521" spans="1:10" ht="14">
      <c r="A521" s="183" t="s">
        <v>147</v>
      </c>
      <c r="B521" s="178">
        <v>8295</v>
      </c>
      <c r="C521" s="25" t="s">
        <v>146</v>
      </c>
      <c r="D521" s="26">
        <v>43770</v>
      </c>
      <c r="E521" s="182">
        <f>SUMIF('FY19-20'!$C$10:$C$172,Import!B521,'FY19-20'!$I$10:$I$172)</f>
        <v>0</v>
      </c>
      <c r="F521" s="182">
        <f t="shared" si="17"/>
        <v>0</v>
      </c>
      <c r="G521" s="179" t="s">
        <v>408</v>
      </c>
      <c r="H521" s="182">
        <v>490</v>
      </c>
      <c r="J521" s="181"/>
    </row>
    <row r="522" spans="1:10" ht="14">
      <c r="A522" s="183" t="s">
        <v>147</v>
      </c>
      <c r="B522" s="178">
        <v>8296</v>
      </c>
      <c r="C522" s="25" t="s">
        <v>146</v>
      </c>
      <c r="D522" s="26">
        <v>43770</v>
      </c>
      <c r="E522" s="182">
        <f>SUMIF('FY19-20'!$C$10:$C$172,Import!B522,'FY19-20'!$I$10:$I$172)</f>
        <v>0</v>
      </c>
      <c r="F522" s="182">
        <f t="shared" si="17"/>
        <v>0</v>
      </c>
      <c r="G522" s="179" t="s">
        <v>408</v>
      </c>
      <c r="H522" s="182">
        <v>491</v>
      </c>
      <c r="J522" s="181"/>
    </row>
    <row r="523" spans="1:10" ht="14">
      <c r="A523" s="183" t="s">
        <v>147</v>
      </c>
      <c r="B523" s="178">
        <v>8299</v>
      </c>
      <c r="C523" s="25" t="s">
        <v>146</v>
      </c>
      <c r="D523" s="26">
        <v>43770</v>
      </c>
      <c r="E523" s="182">
        <f>SUMIF('FY19-20'!$C$10:$C$172,Import!B523,'FY19-20'!$I$10:$I$172)</f>
        <v>0</v>
      </c>
      <c r="F523" s="182">
        <f t="shared" si="17"/>
        <v>0</v>
      </c>
      <c r="G523" s="179" t="s">
        <v>408</v>
      </c>
      <c r="H523" s="182">
        <v>492</v>
      </c>
      <c r="J523" s="181"/>
    </row>
    <row r="524" spans="1:10" ht="14">
      <c r="A524" s="183" t="s">
        <v>147</v>
      </c>
      <c r="B524" s="178">
        <v>8311</v>
      </c>
      <c r="C524" s="25" t="s">
        <v>146</v>
      </c>
      <c r="D524" s="26">
        <v>43770</v>
      </c>
      <c r="E524" s="182">
        <f>SUMIF('FY19-20'!$C$10:$C$172,Import!B524,'FY19-20'!$I$10:$I$172)</f>
        <v>0</v>
      </c>
      <c r="F524" s="182">
        <f t="shared" si="17"/>
        <v>0</v>
      </c>
      <c r="G524" s="179" t="s">
        <v>408</v>
      </c>
      <c r="H524" s="182">
        <v>493</v>
      </c>
      <c r="J524" s="181"/>
    </row>
    <row r="525" spans="1:10" ht="14">
      <c r="A525" s="183" t="s">
        <v>147</v>
      </c>
      <c r="B525" s="178">
        <v>8520</v>
      </c>
      <c r="C525" s="25" t="s">
        <v>146</v>
      </c>
      <c r="D525" s="26">
        <v>43770</v>
      </c>
      <c r="E525" s="182">
        <f>SUMIF('FY19-20'!$C$10:$C$172,Import!B525,'FY19-20'!$I$10:$I$172)</f>
        <v>0</v>
      </c>
      <c r="F525" s="182">
        <f t="shared" si="17"/>
        <v>0</v>
      </c>
      <c r="G525" s="179" t="s">
        <v>408</v>
      </c>
      <c r="H525" s="182">
        <v>494</v>
      </c>
      <c r="J525" s="181"/>
    </row>
    <row r="526" spans="1:10" ht="14">
      <c r="A526" s="183" t="s">
        <v>147</v>
      </c>
      <c r="B526" s="178">
        <v>8545</v>
      </c>
      <c r="C526" s="25" t="s">
        <v>146</v>
      </c>
      <c r="D526" s="26">
        <v>43770</v>
      </c>
      <c r="E526" s="182">
        <f>SUMIF('FY19-20'!$C$10:$C$172,Import!B526,'FY19-20'!$I$10:$I$172)</f>
        <v>0</v>
      </c>
      <c r="F526" s="182">
        <f t="shared" si="17"/>
        <v>0</v>
      </c>
      <c r="G526" s="179" t="s">
        <v>408</v>
      </c>
      <c r="H526" s="182">
        <v>495</v>
      </c>
      <c r="J526" s="181"/>
    </row>
    <row r="527" spans="1:10" ht="14">
      <c r="A527" s="183" t="s">
        <v>147</v>
      </c>
      <c r="B527" s="178">
        <v>8550</v>
      </c>
      <c r="C527" s="25" t="s">
        <v>146</v>
      </c>
      <c r="D527" s="26">
        <v>43770</v>
      </c>
      <c r="E527" s="182">
        <f>SUMIF('FY19-20'!$C$10:$C$172,Import!B527,'FY19-20'!$I$10:$I$172)</f>
        <v>0</v>
      </c>
      <c r="F527" s="182">
        <f t="shared" si="17"/>
        <v>0</v>
      </c>
      <c r="G527" s="179" t="s">
        <v>408</v>
      </c>
      <c r="H527" s="182">
        <v>496</v>
      </c>
      <c r="J527" s="181"/>
    </row>
    <row r="528" spans="1:10" ht="14">
      <c r="A528" s="183" t="s">
        <v>147</v>
      </c>
      <c r="B528" s="178">
        <v>8560</v>
      </c>
      <c r="C528" s="25" t="s">
        <v>146</v>
      </c>
      <c r="D528" s="26">
        <v>43770</v>
      </c>
      <c r="E528" s="182">
        <f>SUMIF('FY19-20'!$C$10:$C$172,Import!B528,'FY19-20'!$I$10:$I$172)</f>
        <v>0</v>
      </c>
      <c r="F528" s="182">
        <f t="shared" si="17"/>
        <v>0</v>
      </c>
      <c r="G528" s="179" t="s">
        <v>408</v>
      </c>
      <c r="H528" s="182">
        <v>497</v>
      </c>
      <c r="J528" s="181"/>
    </row>
    <row r="529" spans="1:10" ht="14">
      <c r="A529" s="183" t="s">
        <v>147</v>
      </c>
      <c r="B529" s="178">
        <v>8598</v>
      </c>
      <c r="C529" s="25" t="s">
        <v>146</v>
      </c>
      <c r="D529" s="26">
        <v>43770</v>
      </c>
      <c r="E529" s="182">
        <f>SUMIF('FY19-20'!$C$10:$C$172,Import!B529,'FY19-20'!$I$10:$I$172)</f>
        <v>0</v>
      </c>
      <c r="F529" s="182">
        <f t="shared" si="17"/>
        <v>0</v>
      </c>
      <c r="G529" s="179" t="s">
        <v>408</v>
      </c>
      <c r="H529" s="182">
        <v>498</v>
      </c>
      <c r="J529" s="181"/>
    </row>
    <row r="530" spans="1:10" ht="14">
      <c r="A530" s="183" t="s">
        <v>147</v>
      </c>
      <c r="B530" s="178">
        <v>8599</v>
      </c>
      <c r="C530" s="25" t="s">
        <v>146</v>
      </c>
      <c r="D530" s="26">
        <v>43770</v>
      </c>
      <c r="E530" s="182">
        <f>SUMIF('FY19-20'!$C$10:$C$172,Import!B530,'FY19-20'!$I$10:$I$172)</f>
        <v>0</v>
      </c>
      <c r="F530" s="182">
        <f t="shared" si="17"/>
        <v>0</v>
      </c>
      <c r="G530" s="179" t="s">
        <v>408</v>
      </c>
      <c r="H530" s="182">
        <v>499</v>
      </c>
      <c r="J530" s="181"/>
    </row>
    <row r="531" spans="1:10" ht="14">
      <c r="A531" s="183" t="s">
        <v>147</v>
      </c>
      <c r="B531" s="178">
        <v>8634</v>
      </c>
      <c r="C531" s="25" t="s">
        <v>146</v>
      </c>
      <c r="D531" s="26">
        <v>43770</v>
      </c>
      <c r="E531" s="182">
        <f>SUMIF('FY19-20'!$C$10:$C$172,Import!B531,'FY19-20'!$I$10:$I$172)</f>
        <v>0</v>
      </c>
      <c r="F531" s="182">
        <f t="shared" si="17"/>
        <v>0</v>
      </c>
      <c r="G531" s="179" t="s">
        <v>408</v>
      </c>
      <c r="H531" s="182">
        <v>500</v>
      </c>
      <c r="J531" s="181"/>
    </row>
    <row r="532" spans="1:10" ht="14">
      <c r="A532" s="183" t="s">
        <v>147</v>
      </c>
      <c r="B532" s="178">
        <v>8650</v>
      </c>
      <c r="C532" s="25" t="s">
        <v>146</v>
      </c>
      <c r="D532" s="26">
        <v>43770</v>
      </c>
      <c r="E532" s="182">
        <f>SUMIF('FY19-20'!$C$10:$C$172,Import!B532,'FY19-20'!$I$10:$I$172)</f>
        <v>0</v>
      </c>
      <c r="F532" s="182">
        <f t="shared" si="17"/>
        <v>0</v>
      </c>
      <c r="G532" s="179" t="s">
        <v>408</v>
      </c>
      <c r="H532" s="182">
        <v>501</v>
      </c>
      <c r="J532" s="181"/>
    </row>
    <row r="533" spans="1:10" ht="14">
      <c r="A533" s="183" t="s">
        <v>147</v>
      </c>
      <c r="B533" s="178">
        <v>8660</v>
      </c>
      <c r="C533" s="25" t="s">
        <v>146</v>
      </c>
      <c r="D533" s="26">
        <v>43770</v>
      </c>
      <c r="E533" s="182">
        <f>SUMIF('FY19-20'!$C$10:$C$172,Import!B533,'FY19-20'!$I$10:$I$172)</f>
        <v>0</v>
      </c>
      <c r="F533" s="182">
        <f t="shared" si="17"/>
        <v>0</v>
      </c>
      <c r="G533" s="179" t="s">
        <v>408</v>
      </c>
      <c r="H533" s="182">
        <v>502</v>
      </c>
      <c r="J533" s="181"/>
    </row>
    <row r="534" spans="1:10" ht="14">
      <c r="A534" s="183" t="s">
        <v>147</v>
      </c>
      <c r="B534" s="178">
        <v>8689</v>
      </c>
      <c r="C534" s="25" t="s">
        <v>146</v>
      </c>
      <c r="D534" s="26">
        <v>43770</v>
      </c>
      <c r="E534" s="182">
        <f>SUMIF('FY19-20'!$C$10:$C$172,Import!B534,'FY19-20'!$I$10:$I$172)</f>
        <v>0</v>
      </c>
      <c r="F534" s="182">
        <f t="shared" si="17"/>
        <v>0</v>
      </c>
      <c r="G534" s="179" t="s">
        <v>408</v>
      </c>
      <c r="H534" s="182">
        <v>503</v>
      </c>
      <c r="J534" s="181"/>
    </row>
    <row r="535" spans="1:10" ht="14">
      <c r="A535" s="183" t="s">
        <v>147</v>
      </c>
      <c r="B535" s="178">
        <v>8698</v>
      </c>
      <c r="C535" s="25" t="s">
        <v>146</v>
      </c>
      <c r="D535" s="26">
        <v>43770</v>
      </c>
      <c r="E535" s="182">
        <f>SUMIF('FY19-20'!$C$10:$C$172,Import!B535,'FY19-20'!$I$10:$I$172)</f>
        <v>0</v>
      </c>
      <c r="F535" s="182">
        <f t="shared" si="17"/>
        <v>0</v>
      </c>
      <c r="G535" s="179" t="s">
        <v>408</v>
      </c>
      <c r="H535" s="182">
        <v>504</v>
      </c>
      <c r="J535" s="181"/>
    </row>
    <row r="536" spans="1:10" ht="14">
      <c r="A536" s="183" t="s">
        <v>147</v>
      </c>
      <c r="B536" s="178">
        <v>8699</v>
      </c>
      <c r="C536" s="25" t="s">
        <v>146</v>
      </c>
      <c r="D536" s="26">
        <v>43770</v>
      </c>
      <c r="E536" s="182">
        <f>SUMIF('FY19-20'!$C$10:$C$172,Import!B536,'FY19-20'!$I$10:$I$172)</f>
        <v>0</v>
      </c>
      <c r="F536" s="182">
        <f t="shared" si="17"/>
        <v>0</v>
      </c>
      <c r="G536" s="179" t="s">
        <v>408</v>
      </c>
      <c r="H536" s="182">
        <v>505</v>
      </c>
      <c r="J536" s="181"/>
    </row>
    <row r="537" spans="1:10" ht="14">
      <c r="A537" s="183" t="s">
        <v>147</v>
      </c>
      <c r="B537" s="178">
        <v>8980</v>
      </c>
      <c r="C537" s="25" t="s">
        <v>146</v>
      </c>
      <c r="D537" s="26">
        <v>43770</v>
      </c>
      <c r="E537" s="182">
        <f>SUMIF('FY19-20'!$C$10:$C$172,Import!B537,'FY19-20'!$I$10:$I$172)</f>
        <v>0</v>
      </c>
      <c r="F537" s="182">
        <f t="shared" si="17"/>
        <v>0</v>
      </c>
      <c r="G537" s="179" t="s">
        <v>408</v>
      </c>
      <c r="H537" s="182">
        <v>506</v>
      </c>
      <c r="J537" s="181"/>
    </row>
    <row r="538" spans="1:10" ht="14">
      <c r="A538" s="183" t="s">
        <v>147</v>
      </c>
      <c r="B538" s="178">
        <v>8990</v>
      </c>
      <c r="C538" s="25" t="s">
        <v>146</v>
      </c>
      <c r="D538" s="26">
        <v>43770</v>
      </c>
      <c r="E538" s="182">
        <f>SUMIF('FY19-20'!$C$10:$C$172,Import!B538,'FY19-20'!$I$10:$I$172)</f>
        <v>0</v>
      </c>
      <c r="F538" s="182">
        <f t="shared" si="17"/>
        <v>0</v>
      </c>
      <c r="G538" s="179" t="s">
        <v>408</v>
      </c>
      <c r="H538" s="182">
        <v>507</v>
      </c>
      <c r="J538" s="181"/>
    </row>
    <row r="539" spans="1:10" ht="14">
      <c r="A539" s="183" t="s">
        <v>147</v>
      </c>
      <c r="B539" s="178">
        <v>1100</v>
      </c>
      <c r="C539" s="25" t="s">
        <v>146</v>
      </c>
      <c r="D539" s="26">
        <v>43800</v>
      </c>
      <c r="E539" s="182">
        <f>SUMIF('FY19-20'!$C$10:$C$172,Import!B539,'FY19-20'!$J$10:$J$172)</f>
        <v>1179802.69</v>
      </c>
      <c r="F539" s="182">
        <f t="shared" ref="F539:F570" si="18">-IF(E539&lt;0,E539)</f>
        <v>0</v>
      </c>
      <c r="G539" s="179" t="s">
        <v>408</v>
      </c>
      <c r="H539" s="182">
        <v>508</v>
      </c>
      <c r="J539" s="181"/>
    </row>
    <row r="540" spans="1:10" ht="14">
      <c r="A540" s="183" t="s">
        <v>147</v>
      </c>
      <c r="B540" s="178">
        <v>1170</v>
      </c>
      <c r="C540" s="25" t="s">
        <v>146</v>
      </c>
      <c r="D540" s="26">
        <v>43800</v>
      </c>
      <c r="E540" s="182">
        <f>SUMIF('FY19-20'!$C$10:$C$172,Import!B540,'FY19-20'!$J$10:$J$172)</f>
        <v>0</v>
      </c>
      <c r="F540" s="182">
        <f t="shared" si="18"/>
        <v>0</v>
      </c>
      <c r="G540" s="179" t="s">
        <v>408</v>
      </c>
      <c r="H540" s="182">
        <v>509</v>
      </c>
      <c r="J540" s="181"/>
    </row>
    <row r="541" spans="1:10" ht="14">
      <c r="A541" s="183" t="s">
        <v>147</v>
      </c>
      <c r="B541" s="178">
        <v>1175</v>
      </c>
      <c r="C541" s="25" t="s">
        <v>146</v>
      </c>
      <c r="D541" s="26">
        <v>43800</v>
      </c>
      <c r="E541" s="182">
        <f>SUMIF('FY19-20'!$C$10:$C$172,Import!B541,'FY19-20'!$J$10:$J$172)</f>
        <v>187042.01</v>
      </c>
      <c r="F541" s="182">
        <f t="shared" si="18"/>
        <v>0</v>
      </c>
      <c r="G541" s="179" t="s">
        <v>408</v>
      </c>
      <c r="H541" s="182">
        <v>510</v>
      </c>
      <c r="J541" s="181"/>
    </row>
    <row r="542" spans="1:10" ht="14">
      <c r="A542" s="183" t="s">
        <v>147</v>
      </c>
      <c r="B542" s="178">
        <v>1200</v>
      </c>
      <c r="C542" s="25" t="s">
        <v>146</v>
      </c>
      <c r="D542" s="26">
        <v>43800</v>
      </c>
      <c r="E542" s="182">
        <f>SUMIF('FY19-20'!$C$10:$C$172,Import!B542,'FY19-20'!$J$10:$J$172)</f>
        <v>19786.68</v>
      </c>
      <c r="F542" s="182">
        <f t="shared" si="18"/>
        <v>0</v>
      </c>
      <c r="G542" s="179" t="s">
        <v>408</v>
      </c>
      <c r="H542" s="182">
        <v>511</v>
      </c>
      <c r="J542" s="181"/>
    </row>
    <row r="543" spans="1:10" ht="14">
      <c r="A543" s="183" t="s">
        <v>147</v>
      </c>
      <c r="B543" s="178">
        <v>1300</v>
      </c>
      <c r="C543" s="25" t="s">
        <v>146</v>
      </c>
      <c r="D543" s="26">
        <v>43800</v>
      </c>
      <c r="E543" s="182">
        <f>SUMIF('FY19-20'!$C$10:$C$172,Import!B543,'FY19-20'!$J$10:$J$172)</f>
        <v>140477.35999999999</v>
      </c>
      <c r="F543" s="182">
        <f t="shared" si="18"/>
        <v>0</v>
      </c>
      <c r="G543" s="179" t="s">
        <v>408</v>
      </c>
      <c r="H543" s="182">
        <v>512</v>
      </c>
      <c r="J543" s="181"/>
    </row>
    <row r="544" spans="1:10" ht="14">
      <c r="A544" s="183" t="s">
        <v>147</v>
      </c>
      <c r="B544" s="178">
        <v>1900</v>
      </c>
      <c r="C544" s="25" t="s">
        <v>146</v>
      </c>
      <c r="D544" s="26">
        <v>43800</v>
      </c>
      <c r="E544" s="182">
        <f>SUMIF('FY19-20'!$C$10:$C$172,Import!B544,'FY19-20'!$J$10:$J$172)</f>
        <v>0</v>
      </c>
      <c r="F544" s="182">
        <f t="shared" si="18"/>
        <v>0</v>
      </c>
      <c r="G544" s="179" t="s">
        <v>408</v>
      </c>
      <c r="H544" s="182">
        <v>513</v>
      </c>
      <c r="J544" s="181"/>
    </row>
    <row r="545" spans="1:10" ht="14">
      <c r="A545" s="183" t="s">
        <v>147</v>
      </c>
      <c r="B545" s="178">
        <v>2100</v>
      </c>
      <c r="C545" s="25" t="s">
        <v>146</v>
      </c>
      <c r="D545" s="26">
        <v>43800</v>
      </c>
      <c r="E545" s="182">
        <f>SUMIF('FY19-20'!$C$10:$C$172,Import!B545,'FY19-20'!$J$10:$J$172)</f>
        <v>57848.54</v>
      </c>
      <c r="F545" s="182">
        <f t="shared" si="18"/>
        <v>0</v>
      </c>
      <c r="G545" s="179" t="s">
        <v>408</v>
      </c>
      <c r="H545" s="182">
        <v>514</v>
      </c>
      <c r="J545" s="181"/>
    </row>
    <row r="546" spans="1:10" ht="14">
      <c r="A546" s="183" t="s">
        <v>147</v>
      </c>
      <c r="B546" s="178">
        <v>2200</v>
      </c>
      <c r="C546" s="25" t="s">
        <v>146</v>
      </c>
      <c r="D546" s="26">
        <v>43800</v>
      </c>
      <c r="E546" s="182">
        <f>SUMIF('FY19-20'!$C$10:$C$172,Import!B546,'FY19-20'!$J$10:$J$172)</f>
        <v>0</v>
      </c>
      <c r="F546" s="182">
        <f t="shared" si="18"/>
        <v>0</v>
      </c>
      <c r="G546" s="179" t="s">
        <v>408</v>
      </c>
      <c r="H546" s="182">
        <v>515</v>
      </c>
      <c r="J546" s="181"/>
    </row>
    <row r="547" spans="1:10" ht="14">
      <c r="A547" s="183" t="s">
        <v>147</v>
      </c>
      <c r="B547" s="178">
        <v>2300</v>
      </c>
      <c r="C547" s="25" t="s">
        <v>146</v>
      </c>
      <c r="D547" s="26">
        <v>43800</v>
      </c>
      <c r="E547" s="182">
        <f>SUMIF('FY19-20'!$C$10:$C$172,Import!B547,'FY19-20'!$J$10:$J$172)</f>
        <v>0</v>
      </c>
      <c r="F547" s="182">
        <f t="shared" si="18"/>
        <v>0</v>
      </c>
      <c r="G547" s="179" t="s">
        <v>408</v>
      </c>
      <c r="H547" s="182">
        <v>516</v>
      </c>
      <c r="J547" s="181"/>
    </row>
    <row r="548" spans="1:10" ht="14">
      <c r="A548" s="183" t="s">
        <v>147</v>
      </c>
      <c r="B548" s="178">
        <v>2400</v>
      </c>
      <c r="C548" s="25" t="s">
        <v>146</v>
      </c>
      <c r="D548" s="26">
        <v>43800</v>
      </c>
      <c r="E548" s="182">
        <f>SUMIF('FY19-20'!$C$10:$C$172,Import!B548,'FY19-20'!$J$10:$J$172)</f>
        <v>0</v>
      </c>
      <c r="F548" s="182">
        <f t="shared" si="18"/>
        <v>0</v>
      </c>
      <c r="G548" s="179" t="s">
        <v>408</v>
      </c>
      <c r="H548" s="182">
        <v>517</v>
      </c>
      <c r="J548" s="181"/>
    </row>
    <row r="549" spans="1:10" ht="14">
      <c r="A549" s="183" t="s">
        <v>147</v>
      </c>
      <c r="B549" s="178">
        <v>2900</v>
      </c>
      <c r="C549" s="25" t="s">
        <v>146</v>
      </c>
      <c r="D549" s="26">
        <v>43800</v>
      </c>
      <c r="E549" s="182">
        <f>SUMIF('FY19-20'!$C$10:$C$172,Import!B549,'FY19-20'!$J$10:$J$172)</f>
        <v>0</v>
      </c>
      <c r="F549" s="182">
        <f t="shared" si="18"/>
        <v>0</v>
      </c>
      <c r="G549" s="179" t="s">
        <v>408</v>
      </c>
      <c r="H549" s="182">
        <v>518</v>
      </c>
      <c r="J549" s="181"/>
    </row>
    <row r="550" spans="1:10" ht="14">
      <c r="A550" s="183" t="s">
        <v>147</v>
      </c>
      <c r="B550" s="178">
        <v>3101</v>
      </c>
      <c r="C550" s="25" t="s">
        <v>146</v>
      </c>
      <c r="D550" s="26">
        <v>43800</v>
      </c>
      <c r="E550" s="182">
        <f>SUMIF('FY19-20'!$C$10:$C$172,Import!B550,'FY19-20'!$J$10:$J$172)</f>
        <v>256393.57</v>
      </c>
      <c r="F550" s="182">
        <f t="shared" si="18"/>
        <v>0</v>
      </c>
      <c r="G550" s="179" t="s">
        <v>408</v>
      </c>
      <c r="H550" s="182">
        <v>519</v>
      </c>
      <c r="J550" s="181"/>
    </row>
    <row r="551" spans="1:10" ht="14">
      <c r="A551" s="183" t="s">
        <v>147</v>
      </c>
      <c r="B551" s="178">
        <v>3202</v>
      </c>
      <c r="C551" s="25" t="s">
        <v>146</v>
      </c>
      <c r="D551" s="26">
        <v>43800</v>
      </c>
      <c r="E551" s="182">
        <f>SUMIF('FY19-20'!$C$10:$C$172,Import!B551,'FY19-20'!$J$10:$J$172)</f>
        <v>0</v>
      </c>
      <c r="F551" s="182">
        <f t="shared" si="18"/>
        <v>0</v>
      </c>
      <c r="G551" s="179" t="s">
        <v>408</v>
      </c>
      <c r="H551" s="182">
        <v>520</v>
      </c>
      <c r="J551" s="181"/>
    </row>
    <row r="552" spans="1:10" ht="14">
      <c r="A552" s="183" t="s">
        <v>147</v>
      </c>
      <c r="B552" s="178">
        <v>3301</v>
      </c>
      <c r="C552" s="25" t="s">
        <v>146</v>
      </c>
      <c r="D552" s="26">
        <v>43800</v>
      </c>
      <c r="E552" s="182">
        <f>SUMIF('FY19-20'!$C$10:$C$172,Import!B552,'FY19-20'!$J$10:$J$172)</f>
        <v>3434.02</v>
      </c>
      <c r="F552" s="182">
        <f t="shared" si="18"/>
        <v>0</v>
      </c>
      <c r="G552" s="179" t="s">
        <v>408</v>
      </c>
      <c r="H552" s="182">
        <v>521</v>
      </c>
      <c r="J552" s="181"/>
    </row>
    <row r="553" spans="1:10" ht="14">
      <c r="A553" s="183" t="s">
        <v>147</v>
      </c>
      <c r="B553" s="178">
        <v>3302</v>
      </c>
      <c r="C553" s="25" t="s">
        <v>146</v>
      </c>
      <c r="D553" s="26">
        <v>43800</v>
      </c>
      <c r="E553" s="182">
        <f>SUMIF('FY19-20'!$C$10:$C$172,Import!B553,'FY19-20'!$J$10:$J$172)</f>
        <v>0</v>
      </c>
      <c r="F553" s="182">
        <f t="shared" si="18"/>
        <v>0</v>
      </c>
      <c r="G553" s="179" t="s">
        <v>408</v>
      </c>
      <c r="H553" s="182">
        <v>522</v>
      </c>
      <c r="J553" s="181"/>
    </row>
    <row r="554" spans="1:10" ht="14">
      <c r="A554" s="183" t="s">
        <v>147</v>
      </c>
      <c r="B554" s="178">
        <v>3311</v>
      </c>
      <c r="C554" s="25" t="s">
        <v>146</v>
      </c>
      <c r="D554" s="26">
        <v>43800</v>
      </c>
      <c r="E554" s="182">
        <f>SUMIF('FY19-20'!$C$10:$C$172,Import!B554,'FY19-20'!$J$10:$J$172)</f>
        <v>22053.95</v>
      </c>
      <c r="F554" s="182">
        <f t="shared" si="18"/>
        <v>0</v>
      </c>
      <c r="G554" s="179" t="s">
        <v>408</v>
      </c>
      <c r="H554" s="182">
        <v>523</v>
      </c>
      <c r="J554" s="181"/>
    </row>
    <row r="555" spans="1:10" ht="14">
      <c r="A555" s="183" t="s">
        <v>147</v>
      </c>
      <c r="B555" s="178">
        <v>3312</v>
      </c>
      <c r="C555" s="25" t="s">
        <v>146</v>
      </c>
      <c r="D555" s="26">
        <v>43800</v>
      </c>
      <c r="E555" s="182">
        <f>SUMIF('FY19-20'!$C$10:$C$172,Import!B555,'FY19-20'!$J$10:$J$172)</f>
        <v>0</v>
      </c>
      <c r="F555" s="182">
        <f t="shared" si="18"/>
        <v>0</v>
      </c>
      <c r="G555" s="179" t="s">
        <v>408</v>
      </c>
      <c r="H555" s="182">
        <v>524</v>
      </c>
      <c r="J555" s="181"/>
    </row>
    <row r="556" spans="1:10" ht="14">
      <c r="A556" s="183" t="s">
        <v>147</v>
      </c>
      <c r="B556" s="178">
        <v>3401</v>
      </c>
      <c r="C556" s="25" t="s">
        <v>146</v>
      </c>
      <c r="D556" s="26">
        <v>43800</v>
      </c>
      <c r="E556" s="182">
        <f>SUMIF('FY19-20'!$C$10:$C$172,Import!B556,'FY19-20'!$J$10:$J$172)</f>
        <v>103343.95</v>
      </c>
      <c r="F556" s="182">
        <f t="shared" si="18"/>
        <v>0</v>
      </c>
      <c r="G556" s="179" t="s">
        <v>408</v>
      </c>
      <c r="H556" s="182">
        <v>525</v>
      </c>
      <c r="J556" s="181"/>
    </row>
    <row r="557" spans="1:10" ht="14">
      <c r="A557" s="183" t="s">
        <v>147</v>
      </c>
      <c r="B557" s="178">
        <v>3402</v>
      </c>
      <c r="C557" s="25" t="s">
        <v>146</v>
      </c>
      <c r="D557" s="26">
        <v>43800</v>
      </c>
      <c r="E557" s="182">
        <f>SUMIF('FY19-20'!$C$10:$C$172,Import!B557,'FY19-20'!$J$10:$J$172)</f>
        <v>0</v>
      </c>
      <c r="F557" s="182">
        <f t="shared" si="18"/>
        <v>0</v>
      </c>
      <c r="G557" s="179" t="s">
        <v>408</v>
      </c>
      <c r="H557" s="182">
        <v>526</v>
      </c>
      <c r="J557" s="181"/>
    </row>
    <row r="558" spans="1:10" ht="14">
      <c r="A558" s="183" t="s">
        <v>147</v>
      </c>
      <c r="B558" s="178">
        <v>3501</v>
      </c>
      <c r="C558" s="25" t="s">
        <v>146</v>
      </c>
      <c r="D558" s="26">
        <v>43800</v>
      </c>
      <c r="E558" s="182">
        <f>SUMIF('FY19-20'!$C$10:$C$172,Import!B558,'FY19-20'!$J$10:$J$172)</f>
        <v>5730.33</v>
      </c>
      <c r="F558" s="182">
        <f t="shared" si="18"/>
        <v>0</v>
      </c>
      <c r="G558" s="179" t="s">
        <v>408</v>
      </c>
      <c r="H558" s="182">
        <v>527</v>
      </c>
      <c r="J558" s="181"/>
    </row>
    <row r="559" spans="1:10" ht="14">
      <c r="A559" s="183" t="s">
        <v>147</v>
      </c>
      <c r="B559" s="178">
        <v>3502</v>
      </c>
      <c r="C559" s="25" t="s">
        <v>146</v>
      </c>
      <c r="D559" s="26">
        <v>43800</v>
      </c>
      <c r="E559" s="182">
        <f>SUMIF('FY19-20'!$C$10:$C$172,Import!B559,'FY19-20'!$J$10:$J$172)</f>
        <v>0</v>
      </c>
      <c r="F559" s="182">
        <f t="shared" si="18"/>
        <v>0</v>
      </c>
      <c r="G559" s="179" t="s">
        <v>408</v>
      </c>
      <c r="H559" s="182">
        <v>528</v>
      </c>
      <c r="J559" s="181"/>
    </row>
    <row r="560" spans="1:10" ht="14">
      <c r="A560" s="183" t="s">
        <v>147</v>
      </c>
      <c r="B560" s="178">
        <v>3601</v>
      </c>
      <c r="C560" s="25" t="s">
        <v>146</v>
      </c>
      <c r="D560" s="26">
        <v>43800</v>
      </c>
      <c r="E560" s="182">
        <f>SUMIF('FY19-20'!$C$10:$C$172,Import!B560,'FY19-20'!$J$10:$J$172)</f>
        <v>7813.52</v>
      </c>
      <c r="F560" s="182">
        <f t="shared" si="18"/>
        <v>0</v>
      </c>
      <c r="G560" s="179" t="s">
        <v>408</v>
      </c>
      <c r="H560" s="182">
        <v>529</v>
      </c>
      <c r="J560" s="181"/>
    </row>
    <row r="561" spans="1:10" ht="14">
      <c r="A561" s="183" t="s">
        <v>147</v>
      </c>
      <c r="B561" s="178">
        <v>3602</v>
      </c>
      <c r="C561" s="25" t="s">
        <v>146</v>
      </c>
      <c r="D561" s="26">
        <v>43800</v>
      </c>
      <c r="E561" s="182">
        <f>SUMIF('FY19-20'!$C$10:$C$172,Import!B561,'FY19-20'!$J$10:$J$172)</f>
        <v>0</v>
      </c>
      <c r="F561" s="182">
        <f t="shared" si="18"/>
        <v>0</v>
      </c>
      <c r="G561" s="179" t="s">
        <v>408</v>
      </c>
      <c r="H561" s="182">
        <v>530</v>
      </c>
      <c r="J561" s="181"/>
    </row>
    <row r="562" spans="1:10" ht="14">
      <c r="A562" s="183" t="s">
        <v>147</v>
      </c>
      <c r="B562" s="178">
        <v>3901</v>
      </c>
      <c r="C562" s="25" t="s">
        <v>146</v>
      </c>
      <c r="D562" s="26">
        <v>43800</v>
      </c>
      <c r="E562" s="182">
        <f>SUMIF('FY19-20'!$C$10:$C$172,Import!B562,'FY19-20'!$J$10:$J$172)</f>
        <v>0</v>
      </c>
      <c r="F562" s="182">
        <f t="shared" si="18"/>
        <v>0</v>
      </c>
      <c r="G562" s="179" t="s">
        <v>408</v>
      </c>
      <c r="H562" s="182">
        <v>531</v>
      </c>
      <c r="J562" s="181"/>
    </row>
    <row r="563" spans="1:10" ht="14">
      <c r="A563" s="183" t="s">
        <v>147</v>
      </c>
      <c r="B563" s="178">
        <v>3902</v>
      </c>
      <c r="C563" s="25" t="s">
        <v>146</v>
      </c>
      <c r="D563" s="26">
        <v>43800</v>
      </c>
      <c r="E563" s="182">
        <f>SUMIF('FY19-20'!$C$10:$C$172,Import!B563,'FY19-20'!$J$10:$J$172)</f>
        <v>0</v>
      </c>
      <c r="F563" s="182">
        <f t="shared" si="18"/>
        <v>0</v>
      </c>
      <c r="G563" s="179" t="s">
        <v>408</v>
      </c>
      <c r="H563" s="182">
        <v>532</v>
      </c>
      <c r="J563" s="181"/>
    </row>
    <row r="564" spans="1:10" ht="14">
      <c r="A564" s="183" t="s">
        <v>147</v>
      </c>
      <c r="B564" s="178">
        <v>4100</v>
      </c>
      <c r="C564" s="25" t="s">
        <v>146</v>
      </c>
      <c r="D564" s="26">
        <v>43800</v>
      </c>
      <c r="E564" s="182">
        <f>SUMIF('FY19-20'!$C$10:$C$172,Import!B564,'FY19-20'!$J$10:$J$172)</f>
        <v>0</v>
      </c>
      <c r="F564" s="182">
        <f t="shared" si="18"/>
        <v>0</v>
      </c>
      <c r="G564" s="179" t="s">
        <v>408</v>
      </c>
      <c r="H564" s="182">
        <v>533</v>
      </c>
      <c r="J564" s="181"/>
    </row>
    <row r="565" spans="1:10" ht="14">
      <c r="A565" s="183" t="s">
        <v>147</v>
      </c>
      <c r="B565" s="178">
        <v>4200</v>
      </c>
      <c r="C565" s="25" t="s">
        <v>146</v>
      </c>
      <c r="D565" s="26">
        <v>43800</v>
      </c>
      <c r="E565" s="182">
        <f>SUMIF('FY19-20'!$C$10:$C$172,Import!B565,'FY19-20'!$J$10:$J$172)</f>
        <v>0</v>
      </c>
      <c r="F565" s="182">
        <f t="shared" si="18"/>
        <v>0</v>
      </c>
      <c r="G565" s="179" t="s">
        <v>408</v>
      </c>
      <c r="H565" s="182">
        <v>534</v>
      </c>
      <c r="J565" s="181"/>
    </row>
    <row r="566" spans="1:10" ht="14">
      <c r="A566" s="183" t="s">
        <v>147</v>
      </c>
      <c r="B566" s="178">
        <v>4302</v>
      </c>
      <c r="C566" s="25" t="s">
        <v>146</v>
      </c>
      <c r="D566" s="26">
        <v>43800</v>
      </c>
      <c r="E566" s="182">
        <f>SUMIF('FY19-20'!$C$10:$C$172,Import!B566,'FY19-20'!$J$10:$J$172)</f>
        <v>169346.81</v>
      </c>
      <c r="F566" s="182">
        <f t="shared" si="18"/>
        <v>0</v>
      </c>
      <c r="G566" s="179" t="s">
        <v>408</v>
      </c>
      <c r="H566" s="182">
        <v>535</v>
      </c>
      <c r="J566" s="181"/>
    </row>
    <row r="567" spans="1:10" ht="14">
      <c r="A567" s="183" t="s">
        <v>147</v>
      </c>
      <c r="B567" s="178">
        <v>4305</v>
      </c>
      <c r="C567" s="25" t="s">
        <v>146</v>
      </c>
      <c r="D567" s="26">
        <v>43800</v>
      </c>
      <c r="E567" s="182">
        <f>SUMIF('FY19-20'!$C$10:$C$172,Import!B567,'FY19-20'!$J$10:$J$172)</f>
        <v>2132.81</v>
      </c>
      <c r="F567" s="182">
        <f t="shared" si="18"/>
        <v>0</v>
      </c>
      <c r="G567" s="179" t="s">
        <v>408</v>
      </c>
      <c r="H567" s="182">
        <v>536</v>
      </c>
      <c r="J567" s="181"/>
    </row>
    <row r="568" spans="1:10" ht="14">
      <c r="A568" s="183" t="s">
        <v>147</v>
      </c>
      <c r="B568" s="178">
        <v>4310</v>
      </c>
      <c r="C568" s="25" t="s">
        <v>146</v>
      </c>
      <c r="D568" s="26">
        <v>43800</v>
      </c>
      <c r="E568" s="182">
        <f>SUMIF('FY19-20'!$C$10:$C$172,Import!B568,'FY19-20'!$J$10:$J$172)</f>
        <v>18492.14</v>
      </c>
      <c r="F568" s="182">
        <f t="shared" si="18"/>
        <v>0</v>
      </c>
      <c r="G568" s="179" t="s">
        <v>408</v>
      </c>
      <c r="H568" s="182">
        <v>537</v>
      </c>
      <c r="J568" s="181"/>
    </row>
    <row r="569" spans="1:10" ht="14">
      <c r="A569" s="183" t="s">
        <v>147</v>
      </c>
      <c r="B569" s="178">
        <v>4311</v>
      </c>
      <c r="C569" s="25" t="s">
        <v>146</v>
      </c>
      <c r="D569" s="26">
        <v>43800</v>
      </c>
      <c r="E569" s="182">
        <f>SUMIF('FY19-20'!$C$10:$C$172,Import!B569,'FY19-20'!$J$10:$J$172)</f>
        <v>0</v>
      </c>
      <c r="F569" s="182">
        <f t="shared" si="18"/>
        <v>0</v>
      </c>
      <c r="G569" s="179" t="s">
        <v>408</v>
      </c>
      <c r="H569" s="182">
        <v>538</v>
      </c>
      <c r="J569" s="181"/>
    </row>
    <row r="570" spans="1:10" ht="14">
      <c r="A570" s="183" t="s">
        <v>147</v>
      </c>
      <c r="B570" s="178">
        <v>4312</v>
      </c>
      <c r="C570" s="25" t="s">
        <v>146</v>
      </c>
      <c r="D570" s="26">
        <v>43800</v>
      </c>
      <c r="E570" s="182">
        <f>SUMIF('FY19-20'!$C$10:$C$172,Import!B570,'FY19-20'!$J$10:$J$172)</f>
        <v>0</v>
      </c>
      <c r="F570" s="182">
        <f t="shared" si="18"/>
        <v>0</v>
      </c>
      <c r="G570" s="179" t="s">
        <v>408</v>
      </c>
      <c r="H570" s="182">
        <v>539</v>
      </c>
      <c r="J570" s="181"/>
    </row>
    <row r="571" spans="1:10" ht="14">
      <c r="A571" s="183" t="s">
        <v>147</v>
      </c>
      <c r="B571" s="178">
        <v>4400</v>
      </c>
      <c r="C571" s="25" t="s">
        <v>146</v>
      </c>
      <c r="D571" s="26">
        <v>43800</v>
      </c>
      <c r="E571" s="182">
        <f>SUMIF('FY19-20'!$C$10:$C$172,Import!B571,'FY19-20'!$J$10:$J$172)</f>
        <v>71294.09</v>
      </c>
      <c r="F571" s="182">
        <f t="shared" ref="F571:F600" si="19">-IF(E571&lt;0,E571)</f>
        <v>0</v>
      </c>
      <c r="G571" s="179" t="s">
        <v>408</v>
      </c>
      <c r="H571" s="182">
        <v>540</v>
      </c>
      <c r="J571" s="181"/>
    </row>
    <row r="572" spans="1:10" ht="14">
      <c r="A572" s="183" t="s">
        <v>147</v>
      </c>
      <c r="B572" s="178">
        <v>4700</v>
      </c>
      <c r="C572" s="25" t="s">
        <v>146</v>
      </c>
      <c r="D572" s="26">
        <v>43800</v>
      </c>
      <c r="E572" s="182">
        <f>SUMIF('FY19-20'!$C$10:$C$172,Import!B572,'FY19-20'!$J$10:$J$172)</f>
        <v>0</v>
      </c>
      <c r="F572" s="182">
        <f t="shared" si="19"/>
        <v>0</v>
      </c>
      <c r="G572" s="179" t="s">
        <v>408</v>
      </c>
      <c r="H572" s="182">
        <v>541</v>
      </c>
      <c r="J572" s="181"/>
    </row>
    <row r="573" spans="1:10" ht="14">
      <c r="A573" s="183" t="s">
        <v>147</v>
      </c>
      <c r="B573" s="178">
        <v>5101</v>
      </c>
      <c r="C573" s="25" t="s">
        <v>146</v>
      </c>
      <c r="D573" s="26">
        <v>43800</v>
      </c>
      <c r="E573" s="182">
        <f>SUMIF('FY19-20'!$C$10:$C$172,Import!B573,'FY19-20'!$J$10:$J$172)</f>
        <v>0</v>
      </c>
      <c r="F573" s="182">
        <f t="shared" si="19"/>
        <v>0</v>
      </c>
      <c r="G573" s="179" t="s">
        <v>408</v>
      </c>
      <c r="H573" s="182">
        <v>542</v>
      </c>
      <c r="J573" s="181"/>
    </row>
    <row r="574" spans="1:10" ht="14">
      <c r="A574" s="183" t="s">
        <v>147</v>
      </c>
      <c r="B574" s="178">
        <v>5102</v>
      </c>
      <c r="C574" s="25" t="s">
        <v>146</v>
      </c>
      <c r="D574" s="26">
        <v>43800</v>
      </c>
      <c r="E574" s="182">
        <f>SUMIF('FY19-20'!$C$10:$C$172,Import!B574,'FY19-20'!$J$10:$J$172)</f>
        <v>47016.22</v>
      </c>
      <c r="F574" s="182">
        <f t="shared" si="19"/>
        <v>0</v>
      </c>
      <c r="G574" s="179" t="s">
        <v>408</v>
      </c>
      <c r="H574" s="182">
        <v>543</v>
      </c>
      <c r="J574" s="181"/>
    </row>
    <row r="575" spans="1:10" ht="14">
      <c r="A575" s="183" t="s">
        <v>147</v>
      </c>
      <c r="B575" s="178">
        <v>5103</v>
      </c>
      <c r="C575" s="25" t="s">
        <v>146</v>
      </c>
      <c r="D575" s="26">
        <v>43800</v>
      </c>
      <c r="E575" s="182">
        <f>SUMIF('FY19-20'!$C$10:$C$172,Import!B575,'FY19-20'!$J$10:$J$172)</f>
        <v>0</v>
      </c>
      <c r="F575" s="182">
        <f t="shared" si="19"/>
        <v>0</v>
      </c>
      <c r="G575" s="179" t="s">
        <v>408</v>
      </c>
      <c r="H575" s="182">
        <v>544</v>
      </c>
      <c r="J575" s="181"/>
    </row>
    <row r="576" spans="1:10" ht="14">
      <c r="A576" s="183" t="s">
        <v>147</v>
      </c>
      <c r="B576" s="178">
        <v>5104</v>
      </c>
      <c r="C576" s="25" t="s">
        <v>146</v>
      </c>
      <c r="D576" s="26">
        <v>43800</v>
      </c>
      <c r="E576" s="182">
        <f>SUMIF('FY19-20'!$C$10:$C$172,Import!B576,'FY19-20'!$J$10:$J$172)</f>
        <v>0</v>
      </c>
      <c r="F576" s="182">
        <f t="shared" si="19"/>
        <v>0</v>
      </c>
      <c r="G576" s="179" t="s">
        <v>408</v>
      </c>
      <c r="H576" s="182">
        <v>545</v>
      </c>
      <c r="J576" s="181"/>
    </row>
    <row r="577" spans="1:10" ht="14">
      <c r="A577" s="183" t="s">
        <v>147</v>
      </c>
      <c r="B577" s="178">
        <v>5105</v>
      </c>
      <c r="C577" s="25" t="s">
        <v>146</v>
      </c>
      <c r="D577" s="26">
        <v>43800</v>
      </c>
      <c r="E577" s="182">
        <f>SUMIF('FY19-20'!$C$10:$C$172,Import!B577,'FY19-20'!$J$10:$J$172)</f>
        <v>0</v>
      </c>
      <c r="F577" s="182">
        <f t="shared" si="19"/>
        <v>0</v>
      </c>
      <c r="G577" s="179" t="s">
        <v>408</v>
      </c>
      <c r="H577" s="182">
        <v>546</v>
      </c>
      <c r="J577" s="181"/>
    </row>
    <row r="578" spans="1:10" ht="14">
      <c r="A578" s="183" t="s">
        <v>147</v>
      </c>
      <c r="B578" s="178">
        <v>5106</v>
      </c>
      <c r="C578" s="25" t="s">
        <v>146</v>
      </c>
      <c r="D578" s="26">
        <v>43800</v>
      </c>
      <c r="E578" s="182">
        <f>SUMIF('FY19-20'!$C$10:$C$172,Import!B578,'FY19-20'!$J$10:$J$172)</f>
        <v>326018.01</v>
      </c>
      <c r="F578" s="182">
        <f t="shared" si="19"/>
        <v>0</v>
      </c>
      <c r="G578" s="179" t="s">
        <v>408</v>
      </c>
      <c r="H578" s="182">
        <v>547</v>
      </c>
      <c r="J578" s="181"/>
    </row>
    <row r="579" spans="1:10" ht="14">
      <c r="A579" s="183" t="s">
        <v>147</v>
      </c>
      <c r="B579" s="178">
        <v>5107</v>
      </c>
      <c r="C579" s="25" t="s">
        <v>146</v>
      </c>
      <c r="D579" s="26">
        <v>43800</v>
      </c>
      <c r="E579" s="182">
        <f>SUMIF('FY19-20'!$C$10:$C$172,Import!B579,'FY19-20'!$J$10:$J$172)</f>
        <v>298389</v>
      </c>
      <c r="F579" s="182">
        <f t="shared" ref="F579" si="20">-IF(E579&lt;0,E579)</f>
        <v>0</v>
      </c>
      <c r="G579" s="179" t="s">
        <v>408</v>
      </c>
      <c r="H579" s="182">
        <v>547</v>
      </c>
      <c r="J579" s="181"/>
    </row>
    <row r="580" spans="1:10" ht="14">
      <c r="A580" s="183" t="s">
        <v>147</v>
      </c>
      <c r="B580" s="178">
        <v>5201</v>
      </c>
      <c r="C580" s="25" t="s">
        <v>146</v>
      </c>
      <c r="D580" s="26">
        <v>43800</v>
      </c>
      <c r="E580" s="182">
        <f>SUMIF('FY19-20'!$C$10:$C$172,Import!B580,'FY19-20'!$J$10:$J$172)</f>
        <v>-217.53</v>
      </c>
      <c r="F580" s="182">
        <f t="shared" si="19"/>
        <v>217.53</v>
      </c>
      <c r="G580" s="179" t="s">
        <v>408</v>
      </c>
      <c r="H580" s="182">
        <v>548</v>
      </c>
      <c r="J580" s="181"/>
    </row>
    <row r="581" spans="1:10" ht="14">
      <c r="A581" s="183" t="s">
        <v>147</v>
      </c>
      <c r="B581" s="178">
        <v>5202</v>
      </c>
      <c r="C581" s="25" t="s">
        <v>146</v>
      </c>
      <c r="D581" s="26">
        <v>43800</v>
      </c>
      <c r="E581" s="182">
        <f>SUMIF('FY19-20'!$C$10:$C$172,Import!B581,'FY19-20'!$J$10:$J$172)</f>
        <v>0</v>
      </c>
      <c r="F581" s="182">
        <f t="shared" si="19"/>
        <v>0</v>
      </c>
      <c r="G581" s="179" t="s">
        <v>408</v>
      </c>
      <c r="H581" s="182">
        <v>549</v>
      </c>
      <c r="J581" s="181"/>
    </row>
    <row r="582" spans="1:10" ht="14">
      <c r="A582" s="183" t="s">
        <v>147</v>
      </c>
      <c r="B582" s="178">
        <v>5203</v>
      </c>
      <c r="C582" s="25" t="s">
        <v>146</v>
      </c>
      <c r="D582" s="26">
        <v>43800</v>
      </c>
      <c r="E582" s="182">
        <f>SUMIF('FY19-20'!$C$10:$C$172,Import!B582,'FY19-20'!$J$10:$J$172)</f>
        <v>0</v>
      </c>
      <c r="F582" s="182">
        <f t="shared" si="19"/>
        <v>0</v>
      </c>
      <c r="G582" s="179" t="s">
        <v>408</v>
      </c>
      <c r="H582" s="182">
        <v>550</v>
      </c>
      <c r="J582" s="181"/>
    </row>
    <row r="583" spans="1:10" ht="14">
      <c r="A583" s="183" t="s">
        <v>147</v>
      </c>
      <c r="B583" s="178">
        <v>5300</v>
      </c>
      <c r="C583" s="25" t="s">
        <v>146</v>
      </c>
      <c r="D583" s="26">
        <v>43800</v>
      </c>
      <c r="E583" s="182">
        <f>SUMIF('FY19-20'!$C$10:$C$172,Import!B583,'FY19-20'!$J$10:$J$172)</f>
        <v>0</v>
      </c>
      <c r="F583" s="182">
        <f t="shared" si="19"/>
        <v>0</v>
      </c>
      <c r="G583" s="179" t="s">
        <v>408</v>
      </c>
      <c r="H583" s="182">
        <v>551</v>
      </c>
      <c r="J583" s="181"/>
    </row>
    <row r="584" spans="1:10" ht="14">
      <c r="A584" s="183" t="s">
        <v>147</v>
      </c>
      <c r="B584" s="178">
        <v>5400</v>
      </c>
      <c r="C584" s="25" t="s">
        <v>146</v>
      </c>
      <c r="D584" s="26">
        <v>43800</v>
      </c>
      <c r="E584" s="182">
        <f>SUMIF('FY19-20'!$C$10:$C$172,Import!B584,'FY19-20'!$J$10:$J$172)</f>
        <v>1296.22</v>
      </c>
      <c r="F584" s="182">
        <f t="shared" si="19"/>
        <v>0</v>
      </c>
      <c r="G584" s="179" t="s">
        <v>408</v>
      </c>
      <c r="H584" s="182">
        <v>552</v>
      </c>
      <c r="J584" s="181"/>
    </row>
    <row r="585" spans="1:10" ht="14">
      <c r="A585" s="183" t="s">
        <v>147</v>
      </c>
      <c r="B585" s="178">
        <v>5501</v>
      </c>
      <c r="C585" s="25" t="s">
        <v>146</v>
      </c>
      <c r="D585" s="26">
        <v>43800</v>
      </c>
      <c r="E585" s="182">
        <f>SUMIF('FY19-20'!$C$10:$C$172,Import!B585,'FY19-20'!$J$10:$J$172)</f>
        <v>0</v>
      </c>
      <c r="F585" s="182">
        <f t="shared" si="19"/>
        <v>0</v>
      </c>
      <c r="G585" s="179" t="s">
        <v>408</v>
      </c>
      <c r="H585" s="182">
        <v>553</v>
      </c>
      <c r="J585" s="181"/>
    </row>
    <row r="586" spans="1:10" ht="14">
      <c r="A586" s="183" t="s">
        <v>147</v>
      </c>
      <c r="B586" s="178">
        <v>5502</v>
      </c>
      <c r="C586" s="25" t="s">
        <v>146</v>
      </c>
      <c r="D586" s="26">
        <v>43800</v>
      </c>
      <c r="E586" s="182">
        <f>SUMIF('FY19-20'!$C$10:$C$172,Import!B586,'FY19-20'!$J$10:$J$172)</f>
        <v>0</v>
      </c>
      <c r="F586" s="182">
        <f t="shared" si="19"/>
        <v>0</v>
      </c>
      <c r="G586" s="179" t="s">
        <v>408</v>
      </c>
      <c r="H586" s="182">
        <v>554</v>
      </c>
      <c r="J586" s="181"/>
    </row>
    <row r="587" spans="1:10" ht="14">
      <c r="A587" s="183" t="s">
        <v>147</v>
      </c>
      <c r="B587" s="178">
        <v>5516</v>
      </c>
      <c r="C587" s="25" t="s">
        <v>146</v>
      </c>
      <c r="D587" s="26">
        <v>43800</v>
      </c>
      <c r="E587" s="182">
        <f>SUMIF('FY19-20'!$C$10:$C$172,Import!B587,'FY19-20'!$J$10:$J$172)</f>
        <v>0</v>
      </c>
      <c r="F587" s="182">
        <f t="shared" si="19"/>
        <v>0</v>
      </c>
      <c r="G587" s="179" t="s">
        <v>408</v>
      </c>
      <c r="H587" s="182">
        <v>555</v>
      </c>
      <c r="J587" s="181"/>
    </row>
    <row r="588" spans="1:10" ht="14">
      <c r="A588" s="183" t="s">
        <v>147</v>
      </c>
      <c r="B588" s="178">
        <v>5531</v>
      </c>
      <c r="C588" s="25" t="s">
        <v>146</v>
      </c>
      <c r="D588" s="26">
        <v>43800</v>
      </c>
      <c r="E588" s="182">
        <f>SUMIF('FY19-20'!$C$10:$C$172,Import!B588,'FY19-20'!$J$10:$J$172)</f>
        <v>0</v>
      </c>
      <c r="F588" s="182">
        <f t="shared" si="19"/>
        <v>0</v>
      </c>
      <c r="G588" s="179" t="s">
        <v>408</v>
      </c>
      <c r="H588" s="182">
        <v>558</v>
      </c>
      <c r="J588" s="181"/>
    </row>
    <row r="589" spans="1:10" ht="14">
      <c r="A589" s="183" t="s">
        <v>147</v>
      </c>
      <c r="B589" s="178">
        <v>5540</v>
      </c>
      <c r="C589" s="25" t="s">
        <v>146</v>
      </c>
      <c r="D589" s="26">
        <v>43800</v>
      </c>
      <c r="E589" s="182">
        <f>SUMIF('FY19-20'!$C$10:$C$172,Import!B589,'FY19-20'!$J$10:$J$172)</f>
        <v>0</v>
      </c>
      <c r="F589" s="182">
        <f t="shared" si="19"/>
        <v>0</v>
      </c>
      <c r="G589" s="179" t="s">
        <v>408</v>
      </c>
      <c r="H589" s="182">
        <v>559</v>
      </c>
      <c r="J589" s="181"/>
    </row>
    <row r="590" spans="1:10" ht="14">
      <c r="A590" s="183" t="s">
        <v>147</v>
      </c>
      <c r="B590" s="178">
        <v>5601</v>
      </c>
      <c r="C590" s="25" t="s">
        <v>146</v>
      </c>
      <c r="D590" s="26">
        <v>43800</v>
      </c>
      <c r="E590" s="182">
        <f>SUMIF('FY19-20'!$C$10:$C$172,Import!B590,'FY19-20'!$J$10:$J$172)</f>
        <v>0</v>
      </c>
      <c r="F590" s="182">
        <f t="shared" si="19"/>
        <v>0</v>
      </c>
      <c r="G590" s="179" t="s">
        <v>408</v>
      </c>
      <c r="H590" s="182">
        <v>560</v>
      </c>
      <c r="J590" s="181"/>
    </row>
    <row r="591" spans="1:10" ht="14">
      <c r="A591" s="183" t="s">
        <v>147</v>
      </c>
      <c r="B591" s="178">
        <v>5602</v>
      </c>
      <c r="C591" s="25" t="s">
        <v>146</v>
      </c>
      <c r="D591" s="26">
        <v>43800</v>
      </c>
      <c r="E591" s="182">
        <f>SUMIF('FY19-20'!$C$10:$C$172,Import!B591,'FY19-20'!$J$10:$J$172)</f>
        <v>0</v>
      </c>
      <c r="F591" s="182">
        <f t="shared" si="19"/>
        <v>0</v>
      </c>
      <c r="G591" s="179" t="s">
        <v>408</v>
      </c>
      <c r="H591" s="182">
        <v>561</v>
      </c>
      <c r="J591" s="181"/>
    </row>
    <row r="592" spans="1:10" ht="14">
      <c r="A592" s="183" t="s">
        <v>147</v>
      </c>
      <c r="B592" s="178">
        <v>5603</v>
      </c>
      <c r="C592" s="25" t="s">
        <v>146</v>
      </c>
      <c r="D592" s="26">
        <v>43800</v>
      </c>
      <c r="E592" s="182">
        <f>SUMIF('FY19-20'!$C$10:$C$172,Import!B592,'FY19-20'!$J$10:$J$172)</f>
        <v>0</v>
      </c>
      <c r="F592" s="182">
        <f t="shared" si="19"/>
        <v>0</v>
      </c>
      <c r="G592" s="179" t="s">
        <v>408</v>
      </c>
      <c r="H592" s="182">
        <v>562</v>
      </c>
      <c r="J592" s="181"/>
    </row>
    <row r="593" spans="1:10" ht="14">
      <c r="A593" s="183" t="s">
        <v>147</v>
      </c>
      <c r="B593" s="178">
        <v>5604</v>
      </c>
      <c r="C593" s="25" t="s">
        <v>146</v>
      </c>
      <c r="D593" s="26">
        <v>43800</v>
      </c>
      <c r="E593" s="182">
        <f>SUMIF('FY19-20'!$C$10:$C$172,Import!B593,'FY19-20'!$J$10:$J$172)</f>
        <v>3174</v>
      </c>
      <c r="F593" s="182">
        <f t="shared" si="19"/>
        <v>0</v>
      </c>
      <c r="G593" s="179" t="s">
        <v>408</v>
      </c>
      <c r="H593" s="182">
        <v>563</v>
      </c>
      <c r="J593" s="181"/>
    </row>
    <row r="594" spans="1:10" ht="14">
      <c r="A594" s="183" t="s">
        <v>147</v>
      </c>
      <c r="B594" s="178">
        <v>5605</v>
      </c>
      <c r="C594" s="25" t="s">
        <v>146</v>
      </c>
      <c r="D594" s="26">
        <v>43800</v>
      </c>
      <c r="E594" s="182">
        <f>SUMIF('FY19-20'!$C$10:$C$172,Import!B594,'FY19-20'!$J$10:$J$172)</f>
        <v>0</v>
      </c>
      <c r="F594" s="182">
        <f t="shared" si="19"/>
        <v>0</v>
      </c>
      <c r="G594" s="179" t="s">
        <v>408</v>
      </c>
      <c r="H594" s="182">
        <v>564</v>
      </c>
      <c r="J594" s="181"/>
    </row>
    <row r="595" spans="1:10" ht="14">
      <c r="A595" s="183" t="s">
        <v>147</v>
      </c>
      <c r="B595" s="178">
        <v>5610</v>
      </c>
      <c r="C595" s="25" t="s">
        <v>146</v>
      </c>
      <c r="D595" s="26">
        <v>43800</v>
      </c>
      <c r="E595" s="182">
        <f>SUMIF('FY19-20'!$C$10:$C$172,Import!B595,'FY19-20'!$J$10:$J$172)</f>
        <v>0</v>
      </c>
      <c r="F595" s="182">
        <f t="shared" si="19"/>
        <v>0</v>
      </c>
      <c r="G595" s="179" t="s">
        <v>408</v>
      </c>
      <c r="H595" s="182">
        <v>565</v>
      </c>
      <c r="J595" s="181"/>
    </row>
    <row r="596" spans="1:10" ht="14">
      <c r="A596" s="183" t="s">
        <v>147</v>
      </c>
      <c r="B596" s="178">
        <v>5801</v>
      </c>
      <c r="C596" s="25" t="s">
        <v>146</v>
      </c>
      <c r="D596" s="26">
        <v>43800</v>
      </c>
      <c r="E596" s="182">
        <f>SUMIF('FY19-20'!$C$10:$C$172,Import!B596,'FY19-20'!$J$10:$J$172)</f>
        <v>0</v>
      </c>
      <c r="F596" s="182">
        <f t="shared" si="19"/>
        <v>0</v>
      </c>
      <c r="G596" s="179" t="s">
        <v>408</v>
      </c>
      <c r="H596" s="182">
        <v>566</v>
      </c>
      <c r="J596" s="181"/>
    </row>
    <row r="597" spans="1:10" ht="14">
      <c r="A597" s="183" t="s">
        <v>147</v>
      </c>
      <c r="B597" s="178">
        <v>5802</v>
      </c>
      <c r="C597" s="25" t="s">
        <v>146</v>
      </c>
      <c r="D597" s="26">
        <v>43800</v>
      </c>
      <c r="E597" s="182">
        <f>SUMIF('FY19-20'!$C$10:$C$172,Import!B597,'FY19-20'!$J$10:$J$172)</f>
        <v>0</v>
      </c>
      <c r="F597" s="182">
        <f t="shared" si="19"/>
        <v>0</v>
      </c>
      <c r="G597" s="179" t="s">
        <v>408</v>
      </c>
      <c r="H597" s="182">
        <v>567</v>
      </c>
      <c r="J597" s="181"/>
    </row>
    <row r="598" spans="1:10" ht="14">
      <c r="A598" s="183" t="s">
        <v>147</v>
      </c>
      <c r="B598" s="178">
        <v>5803</v>
      </c>
      <c r="C598" s="25" t="s">
        <v>146</v>
      </c>
      <c r="D598" s="26">
        <v>43800</v>
      </c>
      <c r="E598" s="182">
        <f>SUMIF('FY19-20'!$C$10:$C$172,Import!B598,'FY19-20'!$J$10:$J$172)</f>
        <v>275</v>
      </c>
      <c r="F598" s="182">
        <f t="shared" si="19"/>
        <v>0</v>
      </c>
      <c r="G598" s="179" t="s">
        <v>408</v>
      </c>
      <c r="H598" s="182">
        <v>568</v>
      </c>
      <c r="J598" s="181"/>
    </row>
    <row r="599" spans="1:10" ht="14">
      <c r="A599" s="183" t="s">
        <v>147</v>
      </c>
      <c r="B599" s="178">
        <v>5804</v>
      </c>
      <c r="C599" s="25" t="s">
        <v>146</v>
      </c>
      <c r="D599" s="26">
        <v>43800</v>
      </c>
      <c r="E599" s="182">
        <f>SUMIF('FY19-20'!$C$10:$C$172,Import!B599,'FY19-20'!$J$10:$J$172)</f>
        <v>0</v>
      </c>
      <c r="F599" s="182">
        <f t="shared" si="19"/>
        <v>0</v>
      </c>
      <c r="G599" s="179" t="s">
        <v>408</v>
      </c>
      <c r="H599" s="182">
        <v>569</v>
      </c>
      <c r="J599" s="181"/>
    </row>
    <row r="600" spans="1:10" ht="14">
      <c r="A600" s="183" t="s">
        <v>147</v>
      </c>
      <c r="B600" s="178">
        <v>5805</v>
      </c>
      <c r="C600" s="25" t="s">
        <v>146</v>
      </c>
      <c r="D600" s="26">
        <v>43800</v>
      </c>
      <c r="E600" s="182">
        <f>SUMIF('FY19-20'!$C$10:$C$172,Import!B600,'FY19-20'!$J$10:$J$172)</f>
        <v>1500</v>
      </c>
      <c r="F600" s="182">
        <f t="shared" si="19"/>
        <v>0</v>
      </c>
      <c r="G600" s="179" t="s">
        <v>408</v>
      </c>
      <c r="H600" s="182">
        <v>570</v>
      </c>
      <c r="J600" s="181"/>
    </row>
    <row r="601" spans="1:10" ht="14">
      <c r="A601" s="183" t="s">
        <v>147</v>
      </c>
      <c r="B601" s="178">
        <v>5806</v>
      </c>
      <c r="C601" s="25" t="s">
        <v>146</v>
      </c>
      <c r="D601" s="26">
        <v>43800</v>
      </c>
      <c r="E601" s="182">
        <f>SUMIF('FY19-20'!$C$10:$C$172,Import!B601,'FY19-20'!$J$10:$J$172)</f>
        <v>5475.82</v>
      </c>
      <c r="F601" s="182">
        <f>-IF(E601&lt;0,E601,0)</f>
        <v>0</v>
      </c>
      <c r="G601" s="179" t="s">
        <v>408</v>
      </c>
      <c r="J601" s="181"/>
    </row>
    <row r="602" spans="1:10" ht="14">
      <c r="A602" s="183" t="s">
        <v>147</v>
      </c>
      <c r="B602" s="178">
        <v>5807</v>
      </c>
      <c r="C602" s="25" t="s">
        <v>146</v>
      </c>
      <c r="D602" s="26">
        <v>43800</v>
      </c>
      <c r="E602" s="182">
        <f>SUMIF('FY19-20'!$C$10:$C$172,Import!B602,'FY19-20'!$J$10:$J$172)</f>
        <v>0</v>
      </c>
      <c r="F602" s="182">
        <f>-IF(E602&lt;0,E602,0)</f>
        <v>0</v>
      </c>
      <c r="G602" s="179" t="s">
        <v>408</v>
      </c>
      <c r="J602" s="181"/>
    </row>
    <row r="603" spans="1:10" ht="14">
      <c r="A603" s="183" t="s">
        <v>147</v>
      </c>
      <c r="B603" s="178">
        <v>5808</v>
      </c>
      <c r="C603" s="25" t="s">
        <v>146</v>
      </c>
      <c r="D603" s="26">
        <v>43800</v>
      </c>
      <c r="E603" s="182">
        <f>SUMIF('FY19-20'!$C$10:$C$172,Import!B603,'FY19-20'!$J$10:$J$172)</f>
        <v>33.93</v>
      </c>
      <c r="F603" s="182">
        <f>-IF(E603&lt;0,E603,0)</f>
        <v>0</v>
      </c>
      <c r="G603" s="179" t="s">
        <v>408</v>
      </c>
      <c r="J603" s="181"/>
    </row>
    <row r="604" spans="1:10" ht="14">
      <c r="A604" s="183" t="s">
        <v>147</v>
      </c>
      <c r="B604" s="178">
        <v>5809</v>
      </c>
      <c r="C604" s="25" t="s">
        <v>146</v>
      </c>
      <c r="D604" s="26">
        <v>43800</v>
      </c>
      <c r="E604" s="182">
        <f>SUMIF('FY19-20'!$C$10:$C$172,Import!B604,'FY19-20'!$J$10:$J$172)</f>
        <v>1820</v>
      </c>
      <c r="F604" s="182">
        <f>-IF(E604&lt;0,E604,0)</f>
        <v>0</v>
      </c>
      <c r="G604" s="179" t="s">
        <v>408</v>
      </c>
      <c r="J604" s="181"/>
    </row>
    <row r="605" spans="1:10" ht="14">
      <c r="A605" s="183" t="s">
        <v>147</v>
      </c>
      <c r="B605" s="178">
        <v>5810</v>
      </c>
      <c r="C605" s="25" t="s">
        <v>146</v>
      </c>
      <c r="D605" s="26">
        <v>43800</v>
      </c>
      <c r="E605" s="182">
        <f>SUMIF('FY19-20'!$C$10:$C$172,Import!B605,'FY19-20'!$J$10:$J$172)</f>
        <v>0</v>
      </c>
      <c r="F605" s="182">
        <f>-IF(E605&lt;0,E605)</f>
        <v>0</v>
      </c>
      <c r="G605" s="179" t="s">
        <v>408</v>
      </c>
      <c r="H605" s="182">
        <v>571</v>
      </c>
      <c r="J605" s="181"/>
    </row>
    <row r="606" spans="1:10" ht="14">
      <c r="A606" s="183" t="s">
        <v>147</v>
      </c>
      <c r="B606" s="178">
        <v>5811</v>
      </c>
      <c r="C606" s="25" t="s">
        <v>146</v>
      </c>
      <c r="D606" s="26">
        <v>43800</v>
      </c>
      <c r="E606" s="182">
        <f>SUMIF('FY19-20'!$C$10:$C$172,Import!B606,'FY19-20'!$J$10:$J$172)</f>
        <v>90814</v>
      </c>
      <c r="F606" s="182">
        <f>-IF(E606&lt;0,E606)</f>
        <v>0</v>
      </c>
      <c r="G606" s="179" t="s">
        <v>408</v>
      </c>
      <c r="H606" s="182">
        <v>572</v>
      </c>
      <c r="J606" s="181"/>
    </row>
    <row r="607" spans="1:10" ht="14">
      <c r="A607" s="183" t="s">
        <v>147</v>
      </c>
      <c r="B607" s="178">
        <v>5812</v>
      </c>
      <c r="C607" s="25" t="s">
        <v>146</v>
      </c>
      <c r="D607" s="26">
        <v>43800</v>
      </c>
      <c r="E607" s="182">
        <f>SUMIF('FY19-20'!$C$10:$C$172,Import!B607,'FY19-20'!$J$10:$J$172)</f>
        <v>0</v>
      </c>
      <c r="F607" s="182">
        <f>-IF(E607&lt;0,E607)</f>
        <v>0</v>
      </c>
      <c r="G607" s="179" t="s">
        <v>408</v>
      </c>
      <c r="H607" s="182">
        <v>573</v>
      </c>
      <c r="J607" s="181"/>
    </row>
    <row r="608" spans="1:10" ht="14">
      <c r="A608" s="183" t="s">
        <v>147</v>
      </c>
      <c r="B608" s="178">
        <v>5813</v>
      </c>
      <c r="C608" s="25" t="s">
        <v>146</v>
      </c>
      <c r="D608" s="26">
        <v>43800</v>
      </c>
      <c r="E608" s="182">
        <f>SUMIF('FY19-20'!$C$10:$C$172,Import!B608,'FY19-20'!$J$10:$J$172)</f>
        <v>0</v>
      </c>
      <c r="F608" s="182">
        <f>-IF(E608&lt;0,E608)</f>
        <v>0</v>
      </c>
      <c r="G608" s="179" t="s">
        <v>408</v>
      </c>
      <c r="H608" s="182">
        <v>574</v>
      </c>
      <c r="J608" s="181"/>
    </row>
    <row r="609" spans="1:10" ht="14">
      <c r="A609" s="183" t="s">
        <v>147</v>
      </c>
      <c r="B609" s="178">
        <v>5814</v>
      </c>
      <c r="C609" s="25" t="s">
        <v>146</v>
      </c>
      <c r="D609" s="26">
        <v>43800</v>
      </c>
      <c r="E609" s="182">
        <f>SUMIF('FY19-20'!$C$10:$C$172,Import!B609,'FY19-20'!$J$10:$J$172)</f>
        <v>0</v>
      </c>
      <c r="F609" s="182">
        <f>-IF(E609&lt;0,E609)</f>
        <v>0</v>
      </c>
      <c r="G609" s="179" t="s">
        <v>408</v>
      </c>
      <c r="H609" s="182">
        <v>575</v>
      </c>
      <c r="J609" s="181"/>
    </row>
    <row r="610" spans="1:10" ht="14">
      <c r="A610" s="183" t="s">
        <v>147</v>
      </c>
      <c r="B610" s="178">
        <v>5815</v>
      </c>
      <c r="C610" s="25" t="s">
        <v>146</v>
      </c>
      <c r="D610" s="26">
        <v>43800</v>
      </c>
      <c r="E610" s="182">
        <f>SUMIF('FY19-20'!$C$10:$C$172,Import!B610,'FY19-20'!$J$10:$J$172)</f>
        <v>0</v>
      </c>
      <c r="F610" s="182">
        <f>-IF(E610&lt;0,E610,0)</f>
        <v>0</v>
      </c>
      <c r="G610" s="179" t="s">
        <v>408</v>
      </c>
      <c r="J610" s="181"/>
    </row>
    <row r="611" spans="1:10" ht="14">
      <c r="A611" s="183" t="s">
        <v>147</v>
      </c>
      <c r="B611" s="178">
        <v>5820</v>
      </c>
      <c r="C611" s="25" t="s">
        <v>146</v>
      </c>
      <c r="D611" s="26">
        <v>43800</v>
      </c>
      <c r="E611" s="182">
        <f>SUMIF('FY19-20'!$C$10:$C$172,Import!B611,'FY19-20'!$J$10:$J$172)</f>
        <v>0</v>
      </c>
      <c r="F611" s="182">
        <f>-IF(E611&lt;0,E611,0)</f>
        <v>0</v>
      </c>
      <c r="G611" s="179" t="s">
        <v>408</v>
      </c>
      <c r="J611" s="181"/>
    </row>
    <row r="612" spans="1:10" ht="14">
      <c r="A612" s="183" t="s">
        <v>147</v>
      </c>
      <c r="B612" s="178">
        <v>5900</v>
      </c>
      <c r="C612" s="25" t="s">
        <v>146</v>
      </c>
      <c r="D612" s="26">
        <v>43800</v>
      </c>
      <c r="E612" s="182">
        <f>SUMIF('FY19-20'!$C$10:$C$172,Import!B612,'FY19-20'!$J$10:$J$172)</f>
        <v>0</v>
      </c>
      <c r="F612" s="182">
        <f>-IF(E612&lt;0,E612)</f>
        <v>0</v>
      </c>
      <c r="G612" s="179" t="s">
        <v>408</v>
      </c>
      <c r="H612" s="182">
        <v>576</v>
      </c>
      <c r="J612" s="181"/>
    </row>
    <row r="613" spans="1:10" ht="14">
      <c r="A613" s="183" t="s">
        <v>147</v>
      </c>
      <c r="B613" s="178">
        <v>5901</v>
      </c>
      <c r="C613" s="25" t="s">
        <v>146</v>
      </c>
      <c r="D613" s="26">
        <v>43800</v>
      </c>
      <c r="E613" s="182">
        <f>SUMIF('FY19-20'!$C$10:$C$172,Import!B613,'FY19-20'!$J$10:$J$172)</f>
        <v>74.81</v>
      </c>
      <c r="F613" s="182">
        <f>-IF(E613&lt;0,E613,0)</f>
        <v>0</v>
      </c>
      <c r="G613" s="179" t="s">
        <v>408</v>
      </c>
    </row>
    <row r="614" spans="1:10" ht="14">
      <c r="A614" s="183" t="s">
        <v>147</v>
      </c>
      <c r="B614" s="178">
        <v>6900</v>
      </c>
      <c r="C614" s="25" t="s">
        <v>146</v>
      </c>
      <c r="D614" s="26">
        <v>43800</v>
      </c>
      <c r="E614" s="182">
        <f>SUMIF('FY19-20'!$C$10:$C$172,Import!B614,'FY19-20'!$J$10:$J$172)</f>
        <v>0</v>
      </c>
      <c r="F614" s="182">
        <f t="shared" ref="F614:F645" si="21">-IF(E614&lt;0,E614)</f>
        <v>0</v>
      </c>
      <c r="G614" s="179" t="s">
        <v>408</v>
      </c>
      <c r="H614" s="182">
        <v>577</v>
      </c>
      <c r="J614" s="181"/>
    </row>
    <row r="615" spans="1:10" ht="14">
      <c r="A615" s="183" t="s">
        <v>147</v>
      </c>
      <c r="B615" s="178">
        <v>7438</v>
      </c>
      <c r="C615" s="25" t="s">
        <v>146</v>
      </c>
      <c r="D615" s="26">
        <v>43800</v>
      </c>
      <c r="E615" s="182">
        <f>SUMIF('FY19-20'!$C$10:$C$172,Import!B615,'FY19-20'!$J$10:$J$172)</f>
        <v>209230</v>
      </c>
      <c r="F615" s="182">
        <f t="shared" si="21"/>
        <v>0</v>
      </c>
      <c r="G615" s="179" t="s">
        <v>408</v>
      </c>
      <c r="H615" s="182">
        <v>578</v>
      </c>
      <c r="J615" s="181"/>
    </row>
    <row r="616" spans="1:10" ht="14">
      <c r="A616" s="183" t="s">
        <v>147</v>
      </c>
      <c r="B616" s="178">
        <v>8011</v>
      </c>
      <c r="C616" s="25" t="s">
        <v>146</v>
      </c>
      <c r="D616" s="26">
        <v>43800</v>
      </c>
      <c r="E616" s="182">
        <f>SUMIF('FY19-20'!$C$10:$C$172,Import!B616,'FY19-20'!$J$10:$J$172)</f>
        <v>0</v>
      </c>
      <c r="F616" s="182">
        <f t="shared" si="21"/>
        <v>0</v>
      </c>
      <c r="G616" s="179" t="s">
        <v>408</v>
      </c>
      <c r="H616" s="182">
        <v>579</v>
      </c>
      <c r="J616" s="181"/>
    </row>
    <row r="617" spans="1:10" ht="14">
      <c r="A617" s="183" t="s">
        <v>147</v>
      </c>
      <c r="B617" s="178">
        <v>8012</v>
      </c>
      <c r="C617" s="25" t="s">
        <v>146</v>
      </c>
      <c r="D617" s="26">
        <v>43800</v>
      </c>
      <c r="E617" s="182">
        <f>SUMIF('FY19-20'!$C$10:$C$172,Import!B617,'FY19-20'!$J$10:$J$172)</f>
        <v>0</v>
      </c>
      <c r="F617" s="182">
        <f t="shared" si="21"/>
        <v>0</v>
      </c>
      <c r="G617" s="179" t="s">
        <v>408</v>
      </c>
      <c r="H617" s="182">
        <v>580</v>
      </c>
      <c r="J617" s="181"/>
    </row>
    <row r="618" spans="1:10" ht="14">
      <c r="A618" s="183" t="s">
        <v>147</v>
      </c>
      <c r="B618" s="178">
        <v>8019</v>
      </c>
      <c r="C618" s="25" t="s">
        <v>146</v>
      </c>
      <c r="D618" s="26">
        <v>43800</v>
      </c>
      <c r="E618" s="182">
        <f>SUMIF('FY19-20'!$C$10:$C$172,Import!B618,'FY19-20'!$J$10:$J$172)</f>
        <v>0</v>
      </c>
      <c r="F618" s="182">
        <f t="shared" si="21"/>
        <v>0</v>
      </c>
      <c r="G618" s="179" t="s">
        <v>408</v>
      </c>
      <c r="H618" s="182">
        <v>581</v>
      </c>
      <c r="J618" s="181"/>
    </row>
    <row r="619" spans="1:10" ht="14">
      <c r="A619" s="183" t="s">
        <v>147</v>
      </c>
      <c r="B619" s="178">
        <v>8096</v>
      </c>
      <c r="C619" s="25" t="s">
        <v>146</v>
      </c>
      <c r="D619" s="26">
        <v>43800</v>
      </c>
      <c r="E619" s="182">
        <f>SUMIF('FY19-20'!$C$10:$C$172,Import!B619,'FY19-20'!$J$10:$J$172)</f>
        <v>0</v>
      </c>
      <c r="F619" s="182">
        <f t="shared" si="21"/>
        <v>0</v>
      </c>
      <c r="G619" s="179" t="s">
        <v>408</v>
      </c>
      <c r="H619" s="182">
        <v>582</v>
      </c>
      <c r="J619" s="181"/>
    </row>
    <row r="620" spans="1:10" ht="14">
      <c r="A620" s="183" t="s">
        <v>147</v>
      </c>
      <c r="B620" s="178">
        <v>8181</v>
      </c>
      <c r="C620" s="25" t="s">
        <v>146</v>
      </c>
      <c r="D620" s="26">
        <v>43800</v>
      </c>
      <c r="E620" s="182">
        <f>SUMIF('FY19-20'!$C$10:$C$172,Import!B620,'FY19-20'!$J$10:$J$172)</f>
        <v>0</v>
      </c>
      <c r="F620" s="182">
        <f t="shared" si="21"/>
        <v>0</v>
      </c>
      <c r="G620" s="179" t="s">
        <v>408</v>
      </c>
      <c r="H620" s="182">
        <v>583</v>
      </c>
      <c r="J620" s="181"/>
    </row>
    <row r="621" spans="1:10" ht="14">
      <c r="A621" s="183" t="s">
        <v>147</v>
      </c>
      <c r="B621" s="178">
        <v>8182</v>
      </c>
      <c r="C621" s="25" t="s">
        <v>146</v>
      </c>
      <c r="D621" s="26">
        <v>43800</v>
      </c>
      <c r="E621" s="182">
        <f>SUMIF('FY19-20'!$C$10:$C$172,Import!B621,'FY19-20'!$J$10:$J$172)</f>
        <v>0</v>
      </c>
      <c r="F621" s="182">
        <f t="shared" si="21"/>
        <v>0</v>
      </c>
      <c r="G621" s="179" t="s">
        <v>408</v>
      </c>
      <c r="H621" s="182">
        <v>584</v>
      </c>
      <c r="J621" s="181"/>
    </row>
    <row r="622" spans="1:10" ht="14">
      <c r="A622" s="183" t="s">
        <v>147</v>
      </c>
      <c r="B622" s="178">
        <v>8220</v>
      </c>
      <c r="C622" s="25" t="s">
        <v>146</v>
      </c>
      <c r="D622" s="26">
        <v>43800</v>
      </c>
      <c r="E622" s="182">
        <f>SUMIF('FY19-20'!$C$10:$C$172,Import!B622,'FY19-20'!$J$10:$J$172)</f>
        <v>0</v>
      </c>
      <c r="F622" s="182">
        <f t="shared" si="21"/>
        <v>0</v>
      </c>
      <c r="G622" s="179" t="s">
        <v>408</v>
      </c>
      <c r="H622" s="182">
        <v>585</v>
      </c>
      <c r="J622" s="181"/>
    </row>
    <row r="623" spans="1:10" ht="14">
      <c r="A623" s="183" t="s">
        <v>147</v>
      </c>
      <c r="B623" s="178">
        <v>8290</v>
      </c>
      <c r="C623" s="25" t="s">
        <v>146</v>
      </c>
      <c r="D623" s="26">
        <v>43800</v>
      </c>
      <c r="E623" s="182">
        <f>SUMIF('FY19-20'!$C$10:$C$172,Import!B623,'FY19-20'!$J$10:$J$172)</f>
        <v>0</v>
      </c>
      <c r="F623" s="182">
        <f t="shared" si="21"/>
        <v>0</v>
      </c>
      <c r="G623" s="179" t="s">
        <v>408</v>
      </c>
      <c r="H623" s="182">
        <v>586</v>
      </c>
      <c r="J623" s="181"/>
    </row>
    <row r="624" spans="1:10" ht="14">
      <c r="A624" s="183" t="s">
        <v>147</v>
      </c>
      <c r="B624" s="178">
        <v>8291</v>
      </c>
      <c r="C624" s="25" t="s">
        <v>146</v>
      </c>
      <c r="D624" s="26">
        <v>43800</v>
      </c>
      <c r="E624" s="182">
        <f>SUMIF('FY19-20'!$C$10:$C$172,Import!B624,'FY19-20'!$J$10:$J$172)</f>
        <v>0</v>
      </c>
      <c r="F624" s="182">
        <f t="shared" si="21"/>
        <v>0</v>
      </c>
      <c r="G624" s="179" t="s">
        <v>408</v>
      </c>
      <c r="H624" s="182">
        <v>587</v>
      </c>
      <c r="J624" s="181"/>
    </row>
    <row r="625" spans="1:10" ht="14">
      <c r="A625" s="183" t="s">
        <v>147</v>
      </c>
      <c r="B625" s="178">
        <v>8292</v>
      </c>
      <c r="C625" s="25" t="s">
        <v>146</v>
      </c>
      <c r="D625" s="26">
        <v>43800</v>
      </c>
      <c r="E625" s="182">
        <f>SUMIF('FY19-20'!$C$10:$C$172,Import!B625,'FY19-20'!$J$10:$J$172)</f>
        <v>0</v>
      </c>
      <c r="F625" s="182">
        <f t="shared" si="21"/>
        <v>0</v>
      </c>
      <c r="G625" s="179" t="s">
        <v>408</v>
      </c>
      <c r="H625" s="182">
        <v>588</v>
      </c>
      <c r="J625" s="181"/>
    </row>
    <row r="626" spans="1:10" ht="14">
      <c r="A626" s="183" t="s">
        <v>147</v>
      </c>
      <c r="B626" s="178">
        <v>8293</v>
      </c>
      <c r="C626" s="25" t="s">
        <v>146</v>
      </c>
      <c r="D626" s="26">
        <v>43800</v>
      </c>
      <c r="E626" s="182">
        <f>SUMIF('FY19-20'!$C$10:$C$172,Import!B626,'FY19-20'!$J$10:$J$172)</f>
        <v>0</v>
      </c>
      <c r="F626" s="182">
        <f t="shared" si="21"/>
        <v>0</v>
      </c>
      <c r="G626" s="179" t="s">
        <v>408</v>
      </c>
      <c r="H626" s="182">
        <v>589</v>
      </c>
      <c r="J626" s="181"/>
    </row>
    <row r="627" spans="1:10" ht="14">
      <c r="A627" s="183" t="s">
        <v>147</v>
      </c>
      <c r="B627" s="178">
        <v>8294</v>
      </c>
      <c r="C627" s="25" t="s">
        <v>146</v>
      </c>
      <c r="D627" s="26">
        <v>43800</v>
      </c>
      <c r="E627" s="182">
        <f>SUMIF('FY19-20'!$C$10:$C$172,Import!B627,'FY19-20'!$J$10:$J$172)</f>
        <v>0</v>
      </c>
      <c r="F627" s="182">
        <f t="shared" si="21"/>
        <v>0</v>
      </c>
      <c r="G627" s="179" t="s">
        <v>408</v>
      </c>
      <c r="H627" s="182">
        <v>590</v>
      </c>
      <c r="J627" s="181"/>
    </row>
    <row r="628" spans="1:10" ht="14">
      <c r="A628" s="183" t="s">
        <v>147</v>
      </c>
      <c r="B628" s="178">
        <v>8295</v>
      </c>
      <c r="C628" s="25" t="s">
        <v>146</v>
      </c>
      <c r="D628" s="26">
        <v>43800</v>
      </c>
      <c r="E628" s="182">
        <f>SUMIF('FY19-20'!$C$10:$C$172,Import!B628,'FY19-20'!$J$10:$J$172)</f>
        <v>0</v>
      </c>
      <c r="F628" s="182">
        <f t="shared" si="21"/>
        <v>0</v>
      </c>
      <c r="G628" s="179" t="s">
        <v>408</v>
      </c>
      <c r="H628" s="182">
        <v>591</v>
      </c>
      <c r="J628" s="181"/>
    </row>
    <row r="629" spans="1:10" ht="14">
      <c r="A629" s="183" t="s">
        <v>147</v>
      </c>
      <c r="B629" s="178">
        <v>8296</v>
      </c>
      <c r="C629" s="25" t="s">
        <v>146</v>
      </c>
      <c r="D629" s="26">
        <v>43800</v>
      </c>
      <c r="E629" s="182">
        <f>SUMIF('FY19-20'!$C$10:$C$172,Import!B629,'FY19-20'!$J$10:$J$172)</f>
        <v>0</v>
      </c>
      <c r="F629" s="182">
        <f t="shared" si="21"/>
        <v>0</v>
      </c>
      <c r="G629" s="179" t="s">
        <v>408</v>
      </c>
      <c r="H629" s="182">
        <v>592</v>
      </c>
      <c r="J629" s="181"/>
    </row>
    <row r="630" spans="1:10" ht="14">
      <c r="A630" s="183" t="s">
        <v>147</v>
      </c>
      <c r="B630" s="178">
        <v>8299</v>
      </c>
      <c r="C630" s="25" t="s">
        <v>146</v>
      </c>
      <c r="D630" s="26">
        <v>43800</v>
      </c>
      <c r="E630" s="182">
        <f>SUMIF('FY19-20'!$C$10:$C$172,Import!B630,'FY19-20'!$J$10:$J$172)</f>
        <v>0</v>
      </c>
      <c r="F630" s="182">
        <f t="shared" si="21"/>
        <v>0</v>
      </c>
      <c r="G630" s="179" t="s">
        <v>408</v>
      </c>
      <c r="H630" s="182">
        <v>593</v>
      </c>
      <c r="J630" s="181"/>
    </row>
    <row r="631" spans="1:10" ht="14">
      <c r="A631" s="183" t="s">
        <v>147</v>
      </c>
      <c r="B631" s="178">
        <v>8311</v>
      </c>
      <c r="C631" s="25" t="s">
        <v>146</v>
      </c>
      <c r="D631" s="26">
        <v>43800</v>
      </c>
      <c r="E631" s="182">
        <f>SUMIF('FY19-20'!$C$10:$C$172,Import!B631,'FY19-20'!$J$10:$J$172)</f>
        <v>0</v>
      </c>
      <c r="F631" s="182">
        <f t="shared" si="21"/>
        <v>0</v>
      </c>
      <c r="G631" s="179" t="s">
        <v>408</v>
      </c>
      <c r="H631" s="182">
        <v>594</v>
      </c>
      <c r="J631" s="181"/>
    </row>
    <row r="632" spans="1:10" ht="14">
      <c r="A632" s="183" t="s">
        <v>147</v>
      </c>
      <c r="B632" s="178">
        <v>8520</v>
      </c>
      <c r="C632" s="25" t="s">
        <v>146</v>
      </c>
      <c r="D632" s="26">
        <v>43800</v>
      </c>
      <c r="E632" s="182">
        <f>SUMIF('FY19-20'!$C$10:$C$172,Import!B632,'FY19-20'!$J$10:$J$172)</f>
        <v>0</v>
      </c>
      <c r="F632" s="182">
        <f t="shared" si="21"/>
        <v>0</v>
      </c>
      <c r="G632" s="179" t="s">
        <v>408</v>
      </c>
      <c r="H632" s="182">
        <v>595</v>
      </c>
      <c r="J632" s="181"/>
    </row>
    <row r="633" spans="1:10" ht="14">
      <c r="A633" s="183" t="s">
        <v>147</v>
      </c>
      <c r="B633" s="178">
        <v>8545</v>
      </c>
      <c r="C633" s="25" t="s">
        <v>146</v>
      </c>
      <c r="D633" s="26">
        <v>43800</v>
      </c>
      <c r="E633" s="182">
        <f>SUMIF('FY19-20'!$C$10:$C$172,Import!B633,'FY19-20'!$J$10:$J$172)</f>
        <v>0</v>
      </c>
      <c r="F633" s="182">
        <f t="shared" si="21"/>
        <v>0</v>
      </c>
      <c r="G633" s="179" t="s">
        <v>408</v>
      </c>
      <c r="H633" s="182">
        <v>596</v>
      </c>
      <c r="J633" s="181"/>
    </row>
    <row r="634" spans="1:10" ht="14">
      <c r="A634" s="183" t="s">
        <v>147</v>
      </c>
      <c r="B634" s="178">
        <v>8550</v>
      </c>
      <c r="C634" s="25" t="s">
        <v>146</v>
      </c>
      <c r="D634" s="26">
        <v>43800</v>
      </c>
      <c r="E634" s="182">
        <f>SUMIF('FY19-20'!$C$10:$C$172,Import!B634,'FY19-20'!$J$10:$J$172)</f>
        <v>0</v>
      </c>
      <c r="F634" s="182">
        <f t="shared" si="21"/>
        <v>0</v>
      </c>
      <c r="G634" s="179" t="s">
        <v>408</v>
      </c>
      <c r="H634" s="182">
        <v>597</v>
      </c>
      <c r="J634" s="181"/>
    </row>
    <row r="635" spans="1:10" ht="14">
      <c r="A635" s="183" t="s">
        <v>147</v>
      </c>
      <c r="B635" s="178">
        <v>8560</v>
      </c>
      <c r="C635" s="25" t="s">
        <v>146</v>
      </c>
      <c r="D635" s="26">
        <v>43800</v>
      </c>
      <c r="E635" s="182">
        <f>SUMIF('FY19-20'!$C$10:$C$172,Import!B635,'FY19-20'!$J$10:$J$172)</f>
        <v>0</v>
      </c>
      <c r="F635" s="182">
        <f t="shared" si="21"/>
        <v>0</v>
      </c>
      <c r="G635" s="179" t="s">
        <v>408</v>
      </c>
      <c r="H635" s="182">
        <v>598</v>
      </c>
      <c r="J635" s="181"/>
    </row>
    <row r="636" spans="1:10" ht="14">
      <c r="A636" s="183" t="s">
        <v>147</v>
      </c>
      <c r="B636" s="178">
        <v>8598</v>
      </c>
      <c r="C636" s="25" t="s">
        <v>146</v>
      </c>
      <c r="D636" s="26">
        <v>43800</v>
      </c>
      <c r="E636" s="182">
        <f>SUMIF('FY19-20'!$C$10:$C$172,Import!B636,'FY19-20'!$J$10:$J$172)</f>
        <v>0</v>
      </c>
      <c r="F636" s="182">
        <f t="shared" si="21"/>
        <v>0</v>
      </c>
      <c r="G636" s="179" t="s">
        <v>408</v>
      </c>
      <c r="H636" s="182">
        <v>599</v>
      </c>
      <c r="J636" s="181"/>
    </row>
    <row r="637" spans="1:10" ht="14">
      <c r="A637" s="183" t="s">
        <v>147</v>
      </c>
      <c r="B637" s="178">
        <v>8599</v>
      </c>
      <c r="C637" s="25" t="s">
        <v>146</v>
      </c>
      <c r="D637" s="26">
        <v>43800</v>
      </c>
      <c r="E637" s="182">
        <f>SUMIF('FY19-20'!$C$10:$C$172,Import!B637,'FY19-20'!$J$10:$J$172)</f>
        <v>0</v>
      </c>
      <c r="F637" s="182">
        <f t="shared" si="21"/>
        <v>0</v>
      </c>
      <c r="G637" s="179" t="s">
        <v>408</v>
      </c>
      <c r="H637" s="182">
        <v>600</v>
      </c>
      <c r="J637" s="181"/>
    </row>
    <row r="638" spans="1:10" ht="14">
      <c r="A638" s="183" t="s">
        <v>147</v>
      </c>
      <c r="B638" s="178">
        <v>8634</v>
      </c>
      <c r="C638" s="25" t="s">
        <v>146</v>
      </c>
      <c r="D638" s="26">
        <v>43800</v>
      </c>
      <c r="E638" s="182">
        <f>SUMIF('FY19-20'!$C$10:$C$172,Import!B638,'FY19-20'!$J$10:$J$172)</f>
        <v>0</v>
      </c>
      <c r="F638" s="182">
        <f t="shared" si="21"/>
        <v>0</v>
      </c>
      <c r="G638" s="179" t="s">
        <v>408</v>
      </c>
      <c r="H638" s="182">
        <v>601</v>
      </c>
      <c r="J638" s="181"/>
    </row>
    <row r="639" spans="1:10" ht="14">
      <c r="A639" s="183" t="s">
        <v>147</v>
      </c>
      <c r="B639" s="178">
        <v>8650</v>
      </c>
      <c r="C639" s="25" t="s">
        <v>146</v>
      </c>
      <c r="D639" s="26">
        <v>43800</v>
      </c>
      <c r="E639" s="182">
        <f>SUMIF('FY19-20'!$C$10:$C$172,Import!B639,'FY19-20'!$J$10:$J$172)</f>
        <v>0</v>
      </c>
      <c r="F639" s="182">
        <f t="shared" si="21"/>
        <v>0</v>
      </c>
      <c r="G639" s="179" t="s">
        <v>408</v>
      </c>
      <c r="H639" s="182">
        <v>602</v>
      </c>
      <c r="J639" s="181"/>
    </row>
    <row r="640" spans="1:10" ht="14">
      <c r="A640" s="183" t="s">
        <v>147</v>
      </c>
      <c r="B640" s="178">
        <v>8660</v>
      </c>
      <c r="C640" s="25" t="s">
        <v>146</v>
      </c>
      <c r="D640" s="26">
        <v>43800</v>
      </c>
      <c r="E640" s="182">
        <f>SUMIF('FY19-20'!$C$10:$C$172,Import!B640,'FY19-20'!$J$10:$J$172)</f>
        <v>0</v>
      </c>
      <c r="F640" s="182">
        <f t="shared" si="21"/>
        <v>0</v>
      </c>
      <c r="G640" s="179" t="s">
        <v>408</v>
      </c>
      <c r="H640" s="182">
        <v>603</v>
      </c>
      <c r="J640" s="181"/>
    </row>
    <row r="641" spans="1:10" ht="14">
      <c r="A641" s="183" t="s">
        <v>147</v>
      </c>
      <c r="B641" s="178">
        <v>8689</v>
      </c>
      <c r="C641" s="25" t="s">
        <v>146</v>
      </c>
      <c r="D641" s="26">
        <v>43800</v>
      </c>
      <c r="E641" s="182">
        <f>SUMIF('FY19-20'!$C$10:$C$172,Import!B641,'FY19-20'!$J$10:$J$172)</f>
        <v>0</v>
      </c>
      <c r="F641" s="182">
        <f t="shared" si="21"/>
        <v>0</v>
      </c>
      <c r="G641" s="179" t="s">
        <v>408</v>
      </c>
      <c r="H641" s="182">
        <v>604</v>
      </c>
      <c r="J641" s="181"/>
    </row>
    <row r="642" spans="1:10" ht="14">
      <c r="A642" s="183" t="s">
        <v>147</v>
      </c>
      <c r="B642" s="178">
        <v>8698</v>
      </c>
      <c r="C642" s="25" t="s">
        <v>146</v>
      </c>
      <c r="D642" s="26">
        <v>43800</v>
      </c>
      <c r="E642" s="182">
        <f>SUMIF('FY19-20'!$C$10:$C$172,Import!B642,'FY19-20'!$J$10:$J$172)</f>
        <v>0</v>
      </c>
      <c r="F642" s="182">
        <f t="shared" si="21"/>
        <v>0</v>
      </c>
      <c r="G642" s="179" t="s">
        <v>408</v>
      </c>
      <c r="H642" s="182">
        <v>605</v>
      </c>
      <c r="J642" s="181"/>
    </row>
    <row r="643" spans="1:10" ht="14">
      <c r="A643" s="183" t="s">
        <v>147</v>
      </c>
      <c r="B643" s="178">
        <v>8699</v>
      </c>
      <c r="C643" s="25" t="s">
        <v>146</v>
      </c>
      <c r="D643" s="26">
        <v>43800</v>
      </c>
      <c r="E643" s="182">
        <f>SUMIF('FY19-20'!$C$10:$C$172,Import!B643,'FY19-20'!$J$10:$J$172)</f>
        <v>0</v>
      </c>
      <c r="F643" s="182">
        <f t="shared" si="21"/>
        <v>0</v>
      </c>
      <c r="G643" s="179" t="s">
        <v>408</v>
      </c>
      <c r="H643" s="182">
        <v>606</v>
      </c>
      <c r="J643" s="181"/>
    </row>
    <row r="644" spans="1:10" ht="14">
      <c r="A644" s="183" t="s">
        <v>147</v>
      </c>
      <c r="B644" s="178">
        <v>8980</v>
      </c>
      <c r="C644" s="25" t="s">
        <v>146</v>
      </c>
      <c r="D644" s="26">
        <v>43800</v>
      </c>
      <c r="E644" s="182">
        <f>SUMIF('FY19-20'!$C$10:$C$172,Import!B644,'FY19-20'!$J$10:$J$172)</f>
        <v>0</v>
      </c>
      <c r="F644" s="182">
        <f t="shared" si="21"/>
        <v>0</v>
      </c>
      <c r="G644" s="179" t="s">
        <v>408</v>
      </c>
      <c r="H644" s="182">
        <v>607</v>
      </c>
      <c r="J644" s="181"/>
    </row>
    <row r="645" spans="1:10" ht="14">
      <c r="A645" s="183" t="s">
        <v>147</v>
      </c>
      <c r="B645" s="178">
        <v>8990</v>
      </c>
      <c r="C645" s="25" t="s">
        <v>146</v>
      </c>
      <c r="D645" s="26">
        <v>43800</v>
      </c>
      <c r="E645" s="182">
        <f>SUMIF('FY19-20'!$C$10:$C$172,Import!B645,'FY19-20'!$J$10:$J$172)</f>
        <v>0</v>
      </c>
      <c r="F645" s="182">
        <f t="shared" si="21"/>
        <v>0</v>
      </c>
      <c r="G645" s="179" t="s">
        <v>408</v>
      </c>
      <c r="H645" s="182">
        <v>608</v>
      </c>
      <c r="J645" s="181"/>
    </row>
    <row r="646" spans="1:10" ht="14">
      <c r="A646" s="183" t="s">
        <v>147</v>
      </c>
      <c r="B646" s="178">
        <v>1100</v>
      </c>
      <c r="C646" s="25" t="s">
        <v>146</v>
      </c>
      <c r="D646" s="26">
        <v>43831</v>
      </c>
      <c r="E646" s="182">
        <f>SUMIF('FY19-20'!$C$10:$C$172,Import!B646,'FY19-20'!$K$10:$K$172)</f>
        <v>648971.17000000004</v>
      </c>
      <c r="F646" s="182">
        <f t="shared" ref="F646:F677" si="22">-IF(E646&lt;0,E646)</f>
        <v>0</v>
      </c>
      <c r="G646" s="179" t="s">
        <v>408</v>
      </c>
      <c r="H646" s="182">
        <v>609</v>
      </c>
      <c r="J646" s="181"/>
    </row>
    <row r="647" spans="1:10" ht="14">
      <c r="A647" s="183" t="s">
        <v>147</v>
      </c>
      <c r="B647" s="178">
        <v>1170</v>
      </c>
      <c r="C647" s="25" t="s">
        <v>146</v>
      </c>
      <c r="D647" s="26">
        <v>43831</v>
      </c>
      <c r="E647" s="182">
        <f>SUMIF('FY19-20'!$C$10:$C$172,Import!B647,'FY19-20'!$K$10:$K$172)</f>
        <v>0</v>
      </c>
      <c r="F647" s="182">
        <f t="shared" si="22"/>
        <v>0</v>
      </c>
      <c r="G647" s="179" t="s">
        <v>408</v>
      </c>
      <c r="H647" s="182">
        <v>610</v>
      </c>
      <c r="J647" s="181"/>
    </row>
    <row r="648" spans="1:10" ht="14">
      <c r="A648" s="183" t="s">
        <v>147</v>
      </c>
      <c r="B648" s="178">
        <v>1175</v>
      </c>
      <c r="C648" s="25" t="s">
        <v>146</v>
      </c>
      <c r="D648" s="26">
        <v>43831</v>
      </c>
      <c r="E648" s="182">
        <f>SUMIF('FY19-20'!$C$10:$C$172,Import!B648,'FY19-20'!$K$10:$K$172)</f>
        <v>131634.64000000001</v>
      </c>
      <c r="F648" s="182">
        <f t="shared" si="22"/>
        <v>0</v>
      </c>
      <c r="G648" s="179" t="s">
        <v>408</v>
      </c>
      <c r="H648" s="182">
        <v>611</v>
      </c>
      <c r="J648" s="181"/>
    </row>
    <row r="649" spans="1:10" ht="14">
      <c r="A649" s="183" t="s">
        <v>147</v>
      </c>
      <c r="B649" s="178">
        <v>1200</v>
      </c>
      <c r="C649" s="25" t="s">
        <v>146</v>
      </c>
      <c r="D649" s="26">
        <v>43831</v>
      </c>
      <c r="E649" s="182">
        <f>SUMIF('FY19-20'!$C$10:$C$172,Import!B649,'FY19-20'!$K$10:$K$172)</f>
        <v>18820.96</v>
      </c>
      <c r="F649" s="182">
        <f t="shared" si="22"/>
        <v>0</v>
      </c>
      <c r="G649" s="179" t="s">
        <v>408</v>
      </c>
      <c r="H649" s="182">
        <v>612</v>
      </c>
      <c r="J649" s="181"/>
    </row>
    <row r="650" spans="1:10" ht="14">
      <c r="A650" s="183" t="s">
        <v>147</v>
      </c>
      <c r="B650" s="178">
        <v>1300</v>
      </c>
      <c r="C650" s="25" t="s">
        <v>146</v>
      </c>
      <c r="D650" s="26">
        <v>43831</v>
      </c>
      <c r="E650" s="182">
        <f>SUMIF('FY19-20'!$C$10:$C$172,Import!B650,'FY19-20'!$K$10:$K$172)</f>
        <v>108633.34</v>
      </c>
      <c r="F650" s="182">
        <f t="shared" si="22"/>
        <v>0</v>
      </c>
      <c r="G650" s="179" t="s">
        <v>408</v>
      </c>
      <c r="H650" s="182">
        <v>613</v>
      </c>
      <c r="J650" s="181"/>
    </row>
    <row r="651" spans="1:10" ht="14">
      <c r="A651" s="183" t="s">
        <v>147</v>
      </c>
      <c r="B651" s="178">
        <v>1900</v>
      </c>
      <c r="C651" s="25" t="s">
        <v>146</v>
      </c>
      <c r="D651" s="26">
        <v>43831</v>
      </c>
      <c r="E651" s="182">
        <f>SUMIF('FY19-20'!$C$10:$C$172,Import!B651,'FY19-20'!$K$10:$K$172)</f>
        <v>0</v>
      </c>
      <c r="F651" s="182">
        <f t="shared" si="22"/>
        <v>0</v>
      </c>
      <c r="G651" s="179" t="s">
        <v>408</v>
      </c>
      <c r="H651" s="182">
        <v>614</v>
      </c>
      <c r="J651" s="181"/>
    </row>
    <row r="652" spans="1:10" ht="14">
      <c r="A652" s="183" t="s">
        <v>147</v>
      </c>
      <c r="B652" s="178">
        <v>2100</v>
      </c>
      <c r="C652" s="25" t="s">
        <v>146</v>
      </c>
      <c r="D652" s="26">
        <v>43831</v>
      </c>
      <c r="E652" s="182">
        <f>SUMIF('FY19-20'!$C$10:$C$172,Import!B652,'FY19-20'!$K$10:$K$172)</f>
        <v>32985.57</v>
      </c>
      <c r="F652" s="182">
        <f t="shared" si="22"/>
        <v>0</v>
      </c>
      <c r="G652" s="179" t="s">
        <v>408</v>
      </c>
      <c r="H652" s="182">
        <v>615</v>
      </c>
      <c r="J652" s="181"/>
    </row>
    <row r="653" spans="1:10" ht="14">
      <c r="A653" s="183" t="s">
        <v>147</v>
      </c>
      <c r="B653" s="178">
        <v>2200</v>
      </c>
      <c r="C653" s="25" t="s">
        <v>146</v>
      </c>
      <c r="D653" s="26">
        <v>43831</v>
      </c>
      <c r="E653" s="182">
        <f>SUMIF('FY19-20'!$C$10:$C$172,Import!B653,'FY19-20'!$K$10:$K$172)</f>
        <v>0</v>
      </c>
      <c r="F653" s="182">
        <f t="shared" si="22"/>
        <v>0</v>
      </c>
      <c r="G653" s="179" t="s">
        <v>408</v>
      </c>
      <c r="H653" s="182">
        <v>616</v>
      </c>
      <c r="J653" s="181"/>
    </row>
    <row r="654" spans="1:10" ht="14">
      <c r="A654" s="183" t="s">
        <v>147</v>
      </c>
      <c r="B654" s="178">
        <v>2300</v>
      </c>
      <c r="C654" s="25" t="s">
        <v>146</v>
      </c>
      <c r="D654" s="26">
        <v>43831</v>
      </c>
      <c r="E654" s="182">
        <f>SUMIF('FY19-20'!$C$10:$C$172,Import!B654,'FY19-20'!$K$10:$K$172)</f>
        <v>0</v>
      </c>
      <c r="F654" s="182">
        <f t="shared" si="22"/>
        <v>0</v>
      </c>
      <c r="G654" s="179" t="s">
        <v>408</v>
      </c>
      <c r="H654" s="182">
        <v>617</v>
      </c>
      <c r="J654" s="181"/>
    </row>
    <row r="655" spans="1:10" ht="14">
      <c r="A655" s="183" t="s">
        <v>147</v>
      </c>
      <c r="B655" s="178">
        <v>2400</v>
      </c>
      <c r="C655" s="25" t="s">
        <v>146</v>
      </c>
      <c r="D655" s="26">
        <v>43831</v>
      </c>
      <c r="E655" s="182">
        <f>SUMIF('FY19-20'!$C$10:$C$172,Import!B655,'FY19-20'!$K$10:$K$172)</f>
        <v>0</v>
      </c>
      <c r="F655" s="182">
        <f t="shared" si="22"/>
        <v>0</v>
      </c>
      <c r="G655" s="179" t="s">
        <v>408</v>
      </c>
      <c r="H655" s="182">
        <v>618</v>
      </c>
      <c r="J655" s="181"/>
    </row>
    <row r="656" spans="1:10" ht="14">
      <c r="A656" s="183" t="s">
        <v>147</v>
      </c>
      <c r="B656" s="178">
        <v>2900</v>
      </c>
      <c r="C656" s="25" t="s">
        <v>146</v>
      </c>
      <c r="D656" s="26">
        <v>43831</v>
      </c>
      <c r="E656" s="182">
        <f>SUMIF('FY19-20'!$C$10:$C$172,Import!B656,'FY19-20'!$K$10:$K$172)</f>
        <v>0</v>
      </c>
      <c r="F656" s="182">
        <f t="shared" si="22"/>
        <v>0</v>
      </c>
      <c r="G656" s="179" t="s">
        <v>408</v>
      </c>
      <c r="H656" s="182">
        <v>619</v>
      </c>
      <c r="J656" s="181"/>
    </row>
    <row r="657" spans="1:10" ht="14">
      <c r="A657" s="183" t="s">
        <v>147</v>
      </c>
      <c r="B657" s="178">
        <v>3101</v>
      </c>
      <c r="C657" s="25" t="s">
        <v>146</v>
      </c>
      <c r="D657" s="26">
        <v>43831</v>
      </c>
      <c r="E657" s="182">
        <f>SUMIF('FY19-20'!$C$10:$C$172,Import!B657,'FY19-20'!$K$10:$K$172)</f>
        <v>153790.60999999999</v>
      </c>
      <c r="F657" s="182">
        <f t="shared" si="22"/>
        <v>0</v>
      </c>
      <c r="G657" s="179" t="s">
        <v>408</v>
      </c>
      <c r="H657" s="182">
        <v>620</v>
      </c>
      <c r="J657" s="181"/>
    </row>
    <row r="658" spans="1:10" ht="14">
      <c r="A658" s="183" t="s">
        <v>147</v>
      </c>
      <c r="B658" s="178">
        <v>3202</v>
      </c>
      <c r="C658" s="25" t="s">
        <v>146</v>
      </c>
      <c r="D658" s="26">
        <v>43831</v>
      </c>
      <c r="E658" s="182">
        <f>SUMIF('FY19-20'!$C$10:$C$172,Import!B658,'FY19-20'!$K$10:$K$172)</f>
        <v>0</v>
      </c>
      <c r="F658" s="182">
        <f t="shared" si="22"/>
        <v>0</v>
      </c>
      <c r="G658" s="179" t="s">
        <v>408</v>
      </c>
      <c r="H658" s="182">
        <v>621</v>
      </c>
      <c r="J658" s="181"/>
    </row>
    <row r="659" spans="1:10" ht="14">
      <c r="A659" s="183" t="s">
        <v>147</v>
      </c>
      <c r="B659" s="178">
        <v>3301</v>
      </c>
      <c r="C659" s="25" t="s">
        <v>146</v>
      </c>
      <c r="D659" s="26">
        <v>43831</v>
      </c>
      <c r="E659" s="182">
        <f>SUMIF('FY19-20'!$C$10:$C$172,Import!B659,'FY19-20'!$K$10:$K$172)</f>
        <v>1987.17</v>
      </c>
      <c r="F659" s="182">
        <f t="shared" si="22"/>
        <v>0</v>
      </c>
      <c r="G659" s="179" t="s">
        <v>408</v>
      </c>
      <c r="H659" s="182">
        <v>622</v>
      </c>
      <c r="J659" s="181"/>
    </row>
    <row r="660" spans="1:10" ht="14">
      <c r="A660" s="183" t="s">
        <v>147</v>
      </c>
      <c r="B660" s="178">
        <v>3302</v>
      </c>
      <c r="C660" s="25" t="s">
        <v>146</v>
      </c>
      <c r="D660" s="26">
        <v>43831</v>
      </c>
      <c r="E660" s="182">
        <f>SUMIF('FY19-20'!$C$10:$C$172,Import!B660,'FY19-20'!$K$10:$K$172)</f>
        <v>0</v>
      </c>
      <c r="F660" s="182">
        <f t="shared" si="22"/>
        <v>0</v>
      </c>
      <c r="G660" s="179" t="s">
        <v>408</v>
      </c>
      <c r="H660" s="182">
        <v>623</v>
      </c>
      <c r="J660" s="181"/>
    </row>
    <row r="661" spans="1:10" ht="14">
      <c r="A661" s="183" t="s">
        <v>147</v>
      </c>
      <c r="B661" s="178">
        <v>3311</v>
      </c>
      <c r="C661" s="25" t="s">
        <v>146</v>
      </c>
      <c r="D661" s="26">
        <v>43831</v>
      </c>
      <c r="E661" s="182">
        <f>SUMIF('FY19-20'!$C$10:$C$172,Import!B661,'FY19-20'!$K$10:$K$172)</f>
        <v>13316.47</v>
      </c>
      <c r="F661" s="182">
        <f t="shared" si="22"/>
        <v>0</v>
      </c>
      <c r="G661" s="179" t="s">
        <v>408</v>
      </c>
      <c r="H661" s="182">
        <v>624</v>
      </c>
      <c r="J661" s="181"/>
    </row>
    <row r="662" spans="1:10" ht="14">
      <c r="A662" s="183" t="s">
        <v>147</v>
      </c>
      <c r="B662" s="178">
        <v>3312</v>
      </c>
      <c r="C662" s="25" t="s">
        <v>146</v>
      </c>
      <c r="D662" s="26">
        <v>43831</v>
      </c>
      <c r="E662" s="182">
        <f>SUMIF('FY19-20'!$C$10:$C$172,Import!B662,'FY19-20'!$K$10:$K$172)</f>
        <v>0</v>
      </c>
      <c r="F662" s="182">
        <f t="shared" si="22"/>
        <v>0</v>
      </c>
      <c r="G662" s="179" t="s">
        <v>408</v>
      </c>
      <c r="H662" s="182">
        <v>625</v>
      </c>
      <c r="J662" s="181"/>
    </row>
    <row r="663" spans="1:10" ht="14">
      <c r="A663" s="183" t="s">
        <v>147</v>
      </c>
      <c r="B663" s="178">
        <v>3401</v>
      </c>
      <c r="C663" s="25" t="s">
        <v>146</v>
      </c>
      <c r="D663" s="26">
        <v>43831</v>
      </c>
      <c r="E663" s="182">
        <f>SUMIF('FY19-20'!$C$10:$C$172,Import!B663,'FY19-20'!$K$10:$K$172)</f>
        <v>96817.71</v>
      </c>
      <c r="F663" s="182">
        <f t="shared" si="22"/>
        <v>0</v>
      </c>
      <c r="G663" s="179" t="s">
        <v>408</v>
      </c>
      <c r="H663" s="182">
        <v>626</v>
      </c>
      <c r="J663" s="181"/>
    </row>
    <row r="664" spans="1:10" ht="14">
      <c r="A664" s="183" t="s">
        <v>147</v>
      </c>
      <c r="B664" s="178">
        <v>3402</v>
      </c>
      <c r="C664" s="25" t="s">
        <v>146</v>
      </c>
      <c r="D664" s="26">
        <v>43831</v>
      </c>
      <c r="E664" s="182">
        <f>SUMIF('FY19-20'!$C$10:$C$172,Import!B664,'FY19-20'!$K$10:$K$172)</f>
        <v>0</v>
      </c>
      <c r="F664" s="182">
        <f t="shared" si="22"/>
        <v>0</v>
      </c>
      <c r="G664" s="179" t="s">
        <v>408</v>
      </c>
      <c r="H664" s="182">
        <v>627</v>
      </c>
      <c r="J664" s="181"/>
    </row>
    <row r="665" spans="1:10" ht="14">
      <c r="A665" s="183" t="s">
        <v>147</v>
      </c>
      <c r="B665" s="178">
        <v>3501</v>
      </c>
      <c r="C665" s="25" t="s">
        <v>146</v>
      </c>
      <c r="D665" s="26">
        <v>43831</v>
      </c>
      <c r="E665" s="182">
        <f>SUMIF('FY19-20'!$C$10:$C$172,Import!B665,'FY19-20'!$K$10:$K$172)</f>
        <v>29468.07</v>
      </c>
      <c r="F665" s="182">
        <f t="shared" si="22"/>
        <v>0</v>
      </c>
      <c r="G665" s="179" t="s">
        <v>408</v>
      </c>
      <c r="H665" s="182">
        <v>628</v>
      </c>
      <c r="J665" s="181"/>
    </row>
    <row r="666" spans="1:10" ht="14">
      <c r="A666" s="183" t="s">
        <v>147</v>
      </c>
      <c r="B666" s="178">
        <v>3502</v>
      </c>
      <c r="C666" s="25" t="s">
        <v>146</v>
      </c>
      <c r="D666" s="26">
        <v>43831</v>
      </c>
      <c r="E666" s="182">
        <f>SUMIF('FY19-20'!$C$10:$C$172,Import!B666,'FY19-20'!$K$10:$K$172)</f>
        <v>0</v>
      </c>
      <c r="F666" s="182">
        <f t="shared" si="22"/>
        <v>0</v>
      </c>
      <c r="G666" s="179" t="s">
        <v>408</v>
      </c>
      <c r="H666" s="182">
        <v>629</v>
      </c>
      <c r="J666" s="181"/>
    </row>
    <row r="667" spans="1:10" ht="14">
      <c r="A667" s="183" t="s">
        <v>147</v>
      </c>
      <c r="B667" s="178">
        <v>3601</v>
      </c>
      <c r="C667" s="25" t="s">
        <v>146</v>
      </c>
      <c r="D667" s="26">
        <v>43831</v>
      </c>
      <c r="E667" s="182">
        <f>SUMIF('FY19-20'!$C$10:$C$172,Import!B667,'FY19-20'!$K$10:$K$172)</f>
        <v>7974.22</v>
      </c>
      <c r="F667" s="182">
        <f t="shared" si="22"/>
        <v>0</v>
      </c>
      <c r="G667" s="179" t="s">
        <v>408</v>
      </c>
      <c r="H667" s="182">
        <v>630</v>
      </c>
      <c r="J667" s="181"/>
    </row>
    <row r="668" spans="1:10" ht="14">
      <c r="A668" s="183" t="s">
        <v>147</v>
      </c>
      <c r="B668" s="178">
        <v>3602</v>
      </c>
      <c r="C668" s="25" t="s">
        <v>146</v>
      </c>
      <c r="D668" s="26">
        <v>43831</v>
      </c>
      <c r="E668" s="182">
        <f>SUMIF('FY19-20'!$C$10:$C$172,Import!B668,'FY19-20'!$K$10:$K$172)</f>
        <v>0</v>
      </c>
      <c r="F668" s="182">
        <f t="shared" si="22"/>
        <v>0</v>
      </c>
      <c r="G668" s="179" t="s">
        <v>408</v>
      </c>
      <c r="H668" s="182">
        <v>631</v>
      </c>
      <c r="J668" s="181"/>
    </row>
    <row r="669" spans="1:10" ht="14">
      <c r="A669" s="183" t="s">
        <v>147</v>
      </c>
      <c r="B669" s="178">
        <v>3901</v>
      </c>
      <c r="C669" s="25" t="s">
        <v>146</v>
      </c>
      <c r="D669" s="26">
        <v>43831</v>
      </c>
      <c r="E669" s="182">
        <f>SUMIF('FY19-20'!$C$10:$C$172,Import!B669,'FY19-20'!$K$10:$K$172)</f>
        <v>0</v>
      </c>
      <c r="F669" s="182">
        <f t="shared" si="22"/>
        <v>0</v>
      </c>
      <c r="G669" s="179" t="s">
        <v>408</v>
      </c>
      <c r="H669" s="182">
        <v>632</v>
      </c>
      <c r="J669" s="181"/>
    </row>
    <row r="670" spans="1:10" ht="14">
      <c r="A670" s="183" t="s">
        <v>147</v>
      </c>
      <c r="B670" s="178">
        <v>3902</v>
      </c>
      <c r="C670" s="25" t="s">
        <v>146</v>
      </c>
      <c r="D670" s="26">
        <v>43831</v>
      </c>
      <c r="E670" s="182">
        <f>SUMIF('FY19-20'!$C$10:$C$172,Import!B670,'FY19-20'!$K$10:$K$172)</f>
        <v>0</v>
      </c>
      <c r="F670" s="182">
        <f t="shared" si="22"/>
        <v>0</v>
      </c>
      <c r="G670" s="179" t="s">
        <v>408</v>
      </c>
      <c r="H670" s="182">
        <v>633</v>
      </c>
      <c r="J670" s="181"/>
    </row>
    <row r="671" spans="1:10" ht="14">
      <c r="A671" s="183" t="s">
        <v>147</v>
      </c>
      <c r="B671" s="178">
        <v>4100</v>
      </c>
      <c r="C671" s="25" t="s">
        <v>146</v>
      </c>
      <c r="D671" s="26">
        <v>43831</v>
      </c>
      <c r="E671" s="182">
        <f>SUMIF('FY19-20'!$C$10:$C$172,Import!B671,'FY19-20'!$K$10:$K$172)</f>
        <v>0</v>
      </c>
      <c r="F671" s="182">
        <f t="shared" si="22"/>
        <v>0</v>
      </c>
      <c r="G671" s="179" t="s">
        <v>408</v>
      </c>
      <c r="H671" s="182">
        <v>634</v>
      </c>
      <c r="J671" s="181"/>
    </row>
    <row r="672" spans="1:10" ht="14">
      <c r="A672" s="183" t="s">
        <v>147</v>
      </c>
      <c r="B672" s="178">
        <v>4200</v>
      </c>
      <c r="C672" s="25" t="s">
        <v>146</v>
      </c>
      <c r="D672" s="26">
        <v>43831</v>
      </c>
      <c r="E672" s="182">
        <f>SUMIF('FY19-20'!$C$10:$C$172,Import!B672,'FY19-20'!$K$10:$K$172)</f>
        <v>0</v>
      </c>
      <c r="F672" s="182">
        <f t="shared" si="22"/>
        <v>0</v>
      </c>
      <c r="G672" s="179" t="s">
        <v>408</v>
      </c>
      <c r="H672" s="182">
        <v>635</v>
      </c>
      <c r="J672" s="181"/>
    </row>
    <row r="673" spans="1:10" ht="14">
      <c r="A673" s="183" t="s">
        <v>147</v>
      </c>
      <c r="B673" s="178">
        <v>4302</v>
      </c>
      <c r="C673" s="25" t="s">
        <v>146</v>
      </c>
      <c r="D673" s="26">
        <v>43831</v>
      </c>
      <c r="E673" s="182">
        <f>SUMIF('FY19-20'!$C$10:$C$172,Import!B673,'FY19-20'!$K$10:$K$172)</f>
        <v>204656.34</v>
      </c>
      <c r="F673" s="182">
        <f t="shared" si="22"/>
        <v>0</v>
      </c>
      <c r="G673" s="179" t="s">
        <v>408</v>
      </c>
      <c r="H673" s="182">
        <v>636</v>
      </c>
      <c r="J673" s="181"/>
    </row>
    <row r="674" spans="1:10" ht="14">
      <c r="A674" s="183" t="s">
        <v>147</v>
      </c>
      <c r="B674" s="178">
        <v>4305</v>
      </c>
      <c r="C674" s="25" t="s">
        <v>146</v>
      </c>
      <c r="D674" s="26">
        <v>43831</v>
      </c>
      <c r="E674" s="182">
        <f>SUMIF('FY19-20'!$C$10:$C$172,Import!B674,'FY19-20'!$K$10:$K$172)</f>
        <v>13464.23</v>
      </c>
      <c r="F674" s="182">
        <f t="shared" si="22"/>
        <v>0</v>
      </c>
      <c r="G674" s="179" t="s">
        <v>408</v>
      </c>
      <c r="H674" s="182">
        <v>637</v>
      </c>
      <c r="J674" s="181"/>
    </row>
    <row r="675" spans="1:10" ht="14">
      <c r="A675" s="183" t="s">
        <v>147</v>
      </c>
      <c r="B675" s="178">
        <v>4310</v>
      </c>
      <c r="C675" s="25" t="s">
        <v>146</v>
      </c>
      <c r="D675" s="26">
        <v>43831</v>
      </c>
      <c r="E675" s="182">
        <f>SUMIF('FY19-20'!$C$10:$C$172,Import!B675,'FY19-20'!$K$10:$K$172)</f>
        <v>-12321.65</v>
      </c>
      <c r="F675" s="182">
        <f t="shared" si="22"/>
        <v>12321.65</v>
      </c>
      <c r="G675" s="179" t="s">
        <v>408</v>
      </c>
      <c r="H675" s="182">
        <v>638</v>
      </c>
      <c r="J675" s="181"/>
    </row>
    <row r="676" spans="1:10" ht="14">
      <c r="A676" s="183" t="s">
        <v>147</v>
      </c>
      <c r="B676" s="178">
        <v>4311</v>
      </c>
      <c r="C676" s="25" t="s">
        <v>146</v>
      </c>
      <c r="D676" s="26">
        <v>43831</v>
      </c>
      <c r="E676" s="182">
        <f>SUMIF('FY19-20'!$C$10:$C$172,Import!B676,'FY19-20'!$K$10:$K$172)</f>
        <v>1112.73</v>
      </c>
      <c r="F676" s="182">
        <f t="shared" si="22"/>
        <v>0</v>
      </c>
      <c r="G676" s="179" t="s">
        <v>408</v>
      </c>
      <c r="H676" s="182">
        <v>639</v>
      </c>
      <c r="J676" s="181"/>
    </row>
    <row r="677" spans="1:10" ht="14">
      <c r="A677" s="183" t="s">
        <v>147</v>
      </c>
      <c r="B677" s="178">
        <v>4312</v>
      </c>
      <c r="C677" s="25" t="s">
        <v>146</v>
      </c>
      <c r="D677" s="26">
        <v>43831</v>
      </c>
      <c r="E677" s="182">
        <f>SUMIF('FY19-20'!$C$10:$C$172,Import!B677,'FY19-20'!$K$10:$K$172)</f>
        <v>0</v>
      </c>
      <c r="F677" s="182">
        <f t="shared" si="22"/>
        <v>0</v>
      </c>
      <c r="G677" s="179" t="s">
        <v>408</v>
      </c>
      <c r="H677" s="182">
        <v>640</v>
      </c>
      <c r="J677" s="181"/>
    </row>
    <row r="678" spans="1:10" ht="14">
      <c r="A678" s="183" t="s">
        <v>147</v>
      </c>
      <c r="B678" s="178">
        <v>4400</v>
      </c>
      <c r="C678" s="25" t="s">
        <v>146</v>
      </c>
      <c r="D678" s="26">
        <v>43831</v>
      </c>
      <c r="E678" s="182">
        <f>SUMIF('FY19-20'!$C$10:$C$172,Import!B678,'FY19-20'!$K$10:$K$172)</f>
        <v>79.98</v>
      </c>
      <c r="F678" s="182">
        <f t="shared" ref="F678:F707" si="23">-IF(E678&lt;0,E678)</f>
        <v>0</v>
      </c>
      <c r="G678" s="179" t="s">
        <v>408</v>
      </c>
      <c r="H678" s="182">
        <v>641</v>
      </c>
      <c r="J678" s="181"/>
    </row>
    <row r="679" spans="1:10" ht="14">
      <c r="A679" s="183" t="s">
        <v>147</v>
      </c>
      <c r="B679" s="178">
        <v>4700</v>
      </c>
      <c r="C679" s="25" t="s">
        <v>146</v>
      </c>
      <c r="D679" s="26">
        <v>43831</v>
      </c>
      <c r="E679" s="182">
        <f>SUMIF('FY19-20'!$C$10:$C$172,Import!B679,'FY19-20'!$K$10:$K$172)</f>
        <v>0</v>
      </c>
      <c r="F679" s="182">
        <f t="shared" si="23"/>
        <v>0</v>
      </c>
      <c r="G679" s="179" t="s">
        <v>408</v>
      </c>
      <c r="H679" s="182">
        <v>642</v>
      </c>
      <c r="J679" s="181"/>
    </row>
    <row r="680" spans="1:10" ht="14">
      <c r="A680" s="183" t="s">
        <v>147</v>
      </c>
      <c r="B680" s="178">
        <v>5101</v>
      </c>
      <c r="C680" s="25" t="s">
        <v>146</v>
      </c>
      <c r="D680" s="26">
        <v>43831</v>
      </c>
      <c r="E680" s="182">
        <f>SUMIF('FY19-20'!$C$10:$C$172,Import!B680,'FY19-20'!$K$10:$K$172)</f>
        <v>0</v>
      </c>
      <c r="F680" s="182">
        <f t="shared" si="23"/>
        <v>0</v>
      </c>
      <c r="G680" s="179" t="s">
        <v>408</v>
      </c>
      <c r="H680" s="182">
        <v>643</v>
      </c>
      <c r="J680" s="181"/>
    </row>
    <row r="681" spans="1:10" ht="14">
      <c r="A681" s="183" t="s">
        <v>147</v>
      </c>
      <c r="B681" s="178">
        <v>5102</v>
      </c>
      <c r="C681" s="25" t="s">
        <v>146</v>
      </c>
      <c r="D681" s="26">
        <v>43831</v>
      </c>
      <c r="E681" s="182">
        <f>SUMIF('FY19-20'!$C$10:$C$172,Import!B681,'FY19-20'!$K$10:$K$172)</f>
        <v>146455.12</v>
      </c>
      <c r="F681" s="182">
        <f t="shared" si="23"/>
        <v>0</v>
      </c>
      <c r="G681" s="179" t="s">
        <v>408</v>
      </c>
      <c r="H681" s="182">
        <v>644</v>
      </c>
      <c r="J681" s="181"/>
    </row>
    <row r="682" spans="1:10" ht="14">
      <c r="A682" s="183" t="s">
        <v>147</v>
      </c>
      <c r="B682" s="178">
        <v>5103</v>
      </c>
      <c r="C682" s="25" t="s">
        <v>146</v>
      </c>
      <c r="D682" s="26">
        <v>43831</v>
      </c>
      <c r="E682" s="182">
        <f>SUMIF('FY19-20'!$C$10:$C$172,Import!B682,'FY19-20'!$K$10:$K$172)</f>
        <v>0</v>
      </c>
      <c r="F682" s="182">
        <f t="shared" si="23"/>
        <v>0</v>
      </c>
      <c r="G682" s="179" t="s">
        <v>408</v>
      </c>
      <c r="H682" s="182">
        <v>645</v>
      </c>
      <c r="J682" s="181"/>
    </row>
    <row r="683" spans="1:10" ht="14">
      <c r="A683" s="183" t="s">
        <v>147</v>
      </c>
      <c r="B683" s="178">
        <v>5104</v>
      </c>
      <c r="C683" s="25" t="s">
        <v>146</v>
      </c>
      <c r="D683" s="26">
        <v>43831</v>
      </c>
      <c r="E683" s="182">
        <f>SUMIF('FY19-20'!$C$10:$C$172,Import!B683,'FY19-20'!$K$10:$K$172)</f>
        <v>0</v>
      </c>
      <c r="F683" s="182">
        <f t="shared" si="23"/>
        <v>0</v>
      </c>
      <c r="G683" s="179" t="s">
        <v>408</v>
      </c>
      <c r="H683" s="182">
        <v>646</v>
      </c>
      <c r="J683" s="181"/>
    </row>
    <row r="684" spans="1:10" ht="14">
      <c r="A684" s="183" t="s">
        <v>147</v>
      </c>
      <c r="B684" s="178">
        <v>5105</v>
      </c>
      <c r="C684" s="25" t="s">
        <v>146</v>
      </c>
      <c r="D684" s="26">
        <v>43831</v>
      </c>
      <c r="E684" s="182">
        <f>SUMIF('FY19-20'!$C$10:$C$172,Import!B684,'FY19-20'!$K$10:$K$172)</f>
        <v>57.99</v>
      </c>
      <c r="F684" s="182">
        <f t="shared" si="23"/>
        <v>0</v>
      </c>
      <c r="G684" s="179" t="s">
        <v>408</v>
      </c>
      <c r="H684" s="182">
        <v>647</v>
      </c>
      <c r="J684" s="181"/>
    </row>
    <row r="685" spans="1:10" ht="14">
      <c r="A685" s="183" t="s">
        <v>147</v>
      </c>
      <c r="B685" s="178">
        <v>5106</v>
      </c>
      <c r="C685" s="25" t="s">
        <v>146</v>
      </c>
      <c r="D685" s="26">
        <v>43831</v>
      </c>
      <c r="E685" s="182">
        <f>SUMIF('FY19-20'!$C$10:$C$172,Import!B685,'FY19-20'!$K$10:$K$172)</f>
        <v>411726.76</v>
      </c>
      <c r="F685" s="182">
        <f t="shared" si="23"/>
        <v>0</v>
      </c>
      <c r="G685" s="179" t="s">
        <v>408</v>
      </c>
      <c r="H685" s="182">
        <v>648</v>
      </c>
      <c r="J685" s="181"/>
    </row>
    <row r="686" spans="1:10" ht="14">
      <c r="A686" s="183" t="s">
        <v>147</v>
      </c>
      <c r="B686" s="178">
        <v>5107</v>
      </c>
      <c r="C686" s="25" t="s">
        <v>146</v>
      </c>
      <c r="D686" s="26">
        <v>43831</v>
      </c>
      <c r="E686" s="182">
        <f>SUMIF('FY19-20'!$C$10:$C$172,Import!B686,'FY19-20'!$K$10:$K$172)</f>
        <v>298389</v>
      </c>
      <c r="F686" s="182">
        <f t="shared" ref="F686" si="24">-IF(E686&lt;0,E686)</f>
        <v>0</v>
      </c>
      <c r="G686" s="179" t="s">
        <v>408</v>
      </c>
      <c r="H686" s="182">
        <v>648</v>
      </c>
      <c r="J686" s="181"/>
    </row>
    <row r="687" spans="1:10" ht="14">
      <c r="A687" s="183" t="s">
        <v>147</v>
      </c>
      <c r="B687" s="178">
        <v>5201</v>
      </c>
      <c r="C687" s="25" t="s">
        <v>146</v>
      </c>
      <c r="D687" s="26">
        <v>43831</v>
      </c>
      <c r="E687" s="182">
        <f>SUMIF('FY19-20'!$C$10:$C$172,Import!B687,'FY19-20'!$K$10:$K$172)</f>
        <v>618.92999999999995</v>
      </c>
      <c r="F687" s="182">
        <f t="shared" si="23"/>
        <v>0</v>
      </c>
      <c r="G687" s="179" t="s">
        <v>408</v>
      </c>
      <c r="H687" s="182">
        <v>649</v>
      </c>
      <c r="J687" s="181"/>
    </row>
    <row r="688" spans="1:10" ht="14">
      <c r="A688" s="183" t="s">
        <v>147</v>
      </c>
      <c r="B688" s="178">
        <v>5202</v>
      </c>
      <c r="C688" s="25" t="s">
        <v>146</v>
      </c>
      <c r="D688" s="26">
        <v>43831</v>
      </c>
      <c r="E688" s="182">
        <f>SUMIF('FY19-20'!$C$10:$C$172,Import!B688,'FY19-20'!$K$10:$K$172)</f>
        <v>0</v>
      </c>
      <c r="F688" s="182">
        <f t="shared" si="23"/>
        <v>0</v>
      </c>
      <c r="G688" s="179" t="s">
        <v>408</v>
      </c>
      <c r="H688" s="182">
        <v>650</v>
      </c>
      <c r="J688" s="181"/>
    </row>
    <row r="689" spans="1:10" ht="14">
      <c r="A689" s="183" t="s">
        <v>147</v>
      </c>
      <c r="B689" s="178">
        <v>5203</v>
      </c>
      <c r="C689" s="25" t="s">
        <v>146</v>
      </c>
      <c r="D689" s="26">
        <v>43831</v>
      </c>
      <c r="E689" s="182">
        <f>SUMIF('FY19-20'!$C$10:$C$172,Import!B689,'FY19-20'!$K$10:$K$172)</f>
        <v>0</v>
      </c>
      <c r="F689" s="182">
        <f t="shared" si="23"/>
        <v>0</v>
      </c>
      <c r="G689" s="179" t="s">
        <v>408</v>
      </c>
      <c r="H689" s="182">
        <v>651</v>
      </c>
      <c r="J689" s="181"/>
    </row>
    <row r="690" spans="1:10" ht="14">
      <c r="A690" s="183" t="s">
        <v>147</v>
      </c>
      <c r="B690" s="178">
        <v>5300</v>
      </c>
      <c r="C690" s="25" t="s">
        <v>146</v>
      </c>
      <c r="D690" s="26">
        <v>43831</v>
      </c>
      <c r="E690" s="182">
        <f>SUMIF('FY19-20'!$C$10:$C$172,Import!B690,'FY19-20'!$K$10:$K$172)</f>
        <v>0</v>
      </c>
      <c r="F690" s="182">
        <f t="shared" si="23"/>
        <v>0</v>
      </c>
      <c r="G690" s="179" t="s">
        <v>408</v>
      </c>
      <c r="H690" s="182">
        <v>652</v>
      </c>
      <c r="J690" s="181"/>
    </row>
    <row r="691" spans="1:10" ht="14">
      <c r="A691" s="183" t="s">
        <v>147</v>
      </c>
      <c r="B691" s="178">
        <v>5400</v>
      </c>
      <c r="C691" s="25" t="s">
        <v>146</v>
      </c>
      <c r="D691" s="26">
        <v>43831</v>
      </c>
      <c r="E691" s="182">
        <f>SUMIF('FY19-20'!$C$10:$C$172,Import!B691,'FY19-20'!$K$10:$K$172)</f>
        <v>1296.22</v>
      </c>
      <c r="F691" s="182">
        <f t="shared" si="23"/>
        <v>0</v>
      </c>
      <c r="G691" s="179" t="s">
        <v>408</v>
      </c>
      <c r="H691" s="182">
        <v>653</v>
      </c>
      <c r="J691" s="181"/>
    </row>
    <row r="692" spans="1:10" ht="14">
      <c r="A692" s="183" t="s">
        <v>147</v>
      </c>
      <c r="B692" s="178">
        <v>5501</v>
      </c>
      <c r="C692" s="25" t="s">
        <v>146</v>
      </c>
      <c r="D692" s="26">
        <v>43831</v>
      </c>
      <c r="E692" s="182">
        <f>SUMIF('FY19-20'!$C$10:$C$172,Import!B692,'FY19-20'!$K$10:$K$172)</f>
        <v>0</v>
      </c>
      <c r="F692" s="182">
        <f t="shared" si="23"/>
        <v>0</v>
      </c>
      <c r="G692" s="179" t="s">
        <v>408</v>
      </c>
      <c r="H692" s="182">
        <v>654</v>
      </c>
      <c r="J692" s="181"/>
    </row>
    <row r="693" spans="1:10" ht="14">
      <c r="A693" s="183" t="s">
        <v>147</v>
      </c>
      <c r="B693" s="178">
        <v>5502</v>
      </c>
      <c r="C693" s="25" t="s">
        <v>146</v>
      </c>
      <c r="D693" s="26">
        <v>43831</v>
      </c>
      <c r="E693" s="182">
        <f>SUMIF('FY19-20'!$C$10:$C$172,Import!B693,'FY19-20'!$K$10:$K$172)</f>
        <v>0</v>
      </c>
      <c r="F693" s="182">
        <f t="shared" si="23"/>
        <v>0</v>
      </c>
      <c r="G693" s="179" t="s">
        <v>408</v>
      </c>
      <c r="H693" s="182">
        <v>655</v>
      </c>
      <c r="J693" s="181"/>
    </row>
    <row r="694" spans="1:10" ht="14">
      <c r="A694" s="183" t="s">
        <v>147</v>
      </c>
      <c r="B694" s="178">
        <v>5516</v>
      </c>
      <c r="C694" s="25" t="s">
        <v>146</v>
      </c>
      <c r="D694" s="26">
        <v>43831</v>
      </c>
      <c r="E694" s="182">
        <f>SUMIF('FY19-20'!$C$10:$C$172,Import!B694,'FY19-20'!$K$10:$K$172)</f>
        <v>0</v>
      </c>
      <c r="F694" s="182">
        <f t="shared" si="23"/>
        <v>0</v>
      </c>
      <c r="G694" s="179" t="s">
        <v>408</v>
      </c>
      <c r="H694" s="182">
        <v>656</v>
      </c>
      <c r="J694" s="181"/>
    </row>
    <row r="695" spans="1:10" ht="14">
      <c r="A695" s="183" t="s">
        <v>147</v>
      </c>
      <c r="B695" s="178">
        <v>5531</v>
      </c>
      <c r="C695" s="25" t="s">
        <v>146</v>
      </c>
      <c r="D695" s="26">
        <v>43831</v>
      </c>
      <c r="E695" s="182">
        <f>SUMIF('FY19-20'!$C$10:$C$172,Import!B695,'FY19-20'!$K$10:$K$172)</f>
        <v>0</v>
      </c>
      <c r="F695" s="182">
        <f t="shared" si="23"/>
        <v>0</v>
      </c>
      <c r="G695" s="179" t="s">
        <v>408</v>
      </c>
      <c r="H695" s="182">
        <v>659</v>
      </c>
      <c r="J695" s="181"/>
    </row>
    <row r="696" spans="1:10" ht="14">
      <c r="A696" s="183" t="s">
        <v>147</v>
      </c>
      <c r="B696" s="178">
        <v>5540</v>
      </c>
      <c r="C696" s="25" t="s">
        <v>146</v>
      </c>
      <c r="D696" s="26">
        <v>43831</v>
      </c>
      <c r="E696" s="182">
        <f>SUMIF('FY19-20'!$C$10:$C$172,Import!B696,'FY19-20'!$K$10:$K$172)</f>
        <v>0</v>
      </c>
      <c r="F696" s="182">
        <f t="shared" si="23"/>
        <v>0</v>
      </c>
      <c r="G696" s="179" t="s">
        <v>408</v>
      </c>
      <c r="H696" s="182">
        <v>660</v>
      </c>
      <c r="J696" s="181"/>
    </row>
    <row r="697" spans="1:10" ht="14">
      <c r="A697" s="183" t="s">
        <v>147</v>
      </c>
      <c r="B697" s="178">
        <v>5601</v>
      </c>
      <c r="C697" s="25" t="s">
        <v>146</v>
      </c>
      <c r="D697" s="26">
        <v>43831</v>
      </c>
      <c r="E697" s="182">
        <f>SUMIF('FY19-20'!$C$10:$C$172,Import!B697,'FY19-20'!$K$10:$K$172)</f>
        <v>0</v>
      </c>
      <c r="F697" s="182">
        <f t="shared" si="23"/>
        <v>0</v>
      </c>
      <c r="G697" s="179" t="s">
        <v>408</v>
      </c>
      <c r="H697" s="182">
        <v>661</v>
      </c>
      <c r="J697" s="181"/>
    </row>
    <row r="698" spans="1:10" ht="14">
      <c r="A698" s="183" t="s">
        <v>147</v>
      </c>
      <c r="B698" s="178">
        <v>5602</v>
      </c>
      <c r="C698" s="25" t="s">
        <v>146</v>
      </c>
      <c r="D698" s="26">
        <v>43831</v>
      </c>
      <c r="E698" s="182">
        <f>SUMIF('FY19-20'!$C$10:$C$172,Import!B698,'FY19-20'!$K$10:$K$172)</f>
        <v>0</v>
      </c>
      <c r="F698" s="182">
        <f t="shared" si="23"/>
        <v>0</v>
      </c>
      <c r="G698" s="179" t="s">
        <v>408</v>
      </c>
      <c r="H698" s="182">
        <v>662</v>
      </c>
      <c r="J698" s="181"/>
    </row>
    <row r="699" spans="1:10" ht="14">
      <c r="A699" s="183" t="s">
        <v>147</v>
      </c>
      <c r="B699" s="178">
        <v>5603</v>
      </c>
      <c r="C699" s="25" t="s">
        <v>146</v>
      </c>
      <c r="D699" s="26">
        <v>43831</v>
      </c>
      <c r="E699" s="182">
        <f>SUMIF('FY19-20'!$C$10:$C$172,Import!B699,'FY19-20'!$K$10:$K$172)</f>
        <v>0</v>
      </c>
      <c r="F699" s="182">
        <f t="shared" si="23"/>
        <v>0</v>
      </c>
      <c r="G699" s="179" t="s">
        <v>408</v>
      </c>
      <c r="H699" s="182">
        <v>663</v>
      </c>
      <c r="J699" s="181"/>
    </row>
    <row r="700" spans="1:10" ht="14">
      <c r="A700" s="183" t="s">
        <v>147</v>
      </c>
      <c r="B700" s="178">
        <v>5604</v>
      </c>
      <c r="C700" s="25" t="s">
        <v>146</v>
      </c>
      <c r="D700" s="26">
        <v>43831</v>
      </c>
      <c r="E700" s="182">
        <f>SUMIF('FY19-20'!$C$10:$C$172,Import!B700,'FY19-20'!$K$10:$K$172)</f>
        <v>7549</v>
      </c>
      <c r="F700" s="182">
        <f t="shared" si="23"/>
        <v>0</v>
      </c>
      <c r="G700" s="179" t="s">
        <v>408</v>
      </c>
      <c r="H700" s="182">
        <v>664</v>
      </c>
      <c r="J700" s="181"/>
    </row>
    <row r="701" spans="1:10" ht="14">
      <c r="A701" s="183" t="s">
        <v>147</v>
      </c>
      <c r="B701" s="178">
        <v>5605</v>
      </c>
      <c r="C701" s="25" t="s">
        <v>146</v>
      </c>
      <c r="D701" s="26">
        <v>43831</v>
      </c>
      <c r="E701" s="182">
        <f>SUMIF('FY19-20'!$C$10:$C$172,Import!B701,'FY19-20'!$K$10:$K$172)</f>
        <v>0</v>
      </c>
      <c r="F701" s="182">
        <f t="shared" si="23"/>
        <v>0</v>
      </c>
      <c r="G701" s="179" t="s">
        <v>408</v>
      </c>
      <c r="H701" s="182">
        <v>665</v>
      </c>
      <c r="J701" s="181"/>
    </row>
    <row r="702" spans="1:10" ht="14">
      <c r="A702" s="183" t="s">
        <v>147</v>
      </c>
      <c r="B702" s="178">
        <v>5610</v>
      </c>
      <c r="C702" s="25" t="s">
        <v>146</v>
      </c>
      <c r="D702" s="26">
        <v>43831</v>
      </c>
      <c r="E702" s="182">
        <f>SUMIF('FY19-20'!$C$10:$C$172,Import!B702,'FY19-20'!$K$10:$K$172)</f>
        <v>20000</v>
      </c>
      <c r="F702" s="182">
        <f t="shared" si="23"/>
        <v>0</v>
      </c>
      <c r="G702" s="179" t="s">
        <v>408</v>
      </c>
      <c r="H702" s="182">
        <v>666</v>
      </c>
      <c r="J702" s="181"/>
    </row>
    <row r="703" spans="1:10" ht="14">
      <c r="A703" s="183" t="s">
        <v>147</v>
      </c>
      <c r="B703" s="178">
        <v>5801</v>
      </c>
      <c r="C703" s="25" t="s">
        <v>146</v>
      </c>
      <c r="D703" s="26">
        <v>43831</v>
      </c>
      <c r="E703" s="182">
        <f>SUMIF('FY19-20'!$C$10:$C$172,Import!B703,'FY19-20'!$K$10:$K$172)</f>
        <v>0</v>
      </c>
      <c r="F703" s="182">
        <f t="shared" si="23"/>
        <v>0</v>
      </c>
      <c r="G703" s="179" t="s">
        <v>408</v>
      </c>
      <c r="H703" s="182">
        <v>667</v>
      </c>
      <c r="J703" s="181"/>
    </row>
    <row r="704" spans="1:10" ht="14">
      <c r="A704" s="183" t="s">
        <v>147</v>
      </c>
      <c r="B704" s="178">
        <v>5802</v>
      </c>
      <c r="C704" s="25" t="s">
        <v>146</v>
      </c>
      <c r="D704" s="26">
        <v>43831</v>
      </c>
      <c r="E704" s="182">
        <f>SUMIF('FY19-20'!$C$10:$C$172,Import!B704,'FY19-20'!$K$10:$K$172)</f>
        <v>0</v>
      </c>
      <c r="F704" s="182">
        <f t="shared" si="23"/>
        <v>0</v>
      </c>
      <c r="G704" s="179" t="s">
        <v>408</v>
      </c>
      <c r="H704" s="182">
        <v>668</v>
      </c>
      <c r="J704" s="181"/>
    </row>
    <row r="705" spans="1:10" ht="14">
      <c r="A705" s="183" t="s">
        <v>147</v>
      </c>
      <c r="B705" s="178">
        <v>5803</v>
      </c>
      <c r="C705" s="25" t="s">
        <v>146</v>
      </c>
      <c r="D705" s="26">
        <v>43831</v>
      </c>
      <c r="E705" s="182">
        <f>SUMIF('FY19-20'!$C$10:$C$172,Import!B705,'FY19-20'!$K$10:$K$172)</f>
        <v>1295.0999999999999</v>
      </c>
      <c r="F705" s="182">
        <f t="shared" si="23"/>
        <v>0</v>
      </c>
      <c r="G705" s="179" t="s">
        <v>408</v>
      </c>
      <c r="H705" s="182">
        <v>669</v>
      </c>
      <c r="J705" s="181"/>
    </row>
    <row r="706" spans="1:10" ht="14">
      <c r="A706" s="183" t="s">
        <v>147</v>
      </c>
      <c r="B706" s="178">
        <v>5804</v>
      </c>
      <c r="C706" s="25" t="s">
        <v>146</v>
      </c>
      <c r="D706" s="26">
        <v>43831</v>
      </c>
      <c r="E706" s="182">
        <f>SUMIF('FY19-20'!$C$10:$C$172,Import!B706,'FY19-20'!$K$10:$K$172)</f>
        <v>5548</v>
      </c>
      <c r="F706" s="182">
        <f t="shared" si="23"/>
        <v>0</v>
      </c>
      <c r="G706" s="179" t="s">
        <v>408</v>
      </c>
      <c r="H706" s="182">
        <v>670</v>
      </c>
      <c r="J706" s="181"/>
    </row>
    <row r="707" spans="1:10" ht="14">
      <c r="A707" s="183" t="s">
        <v>147</v>
      </c>
      <c r="B707" s="178">
        <v>5805</v>
      </c>
      <c r="C707" s="25" t="s">
        <v>146</v>
      </c>
      <c r="D707" s="26">
        <v>43831</v>
      </c>
      <c r="E707" s="182">
        <f>SUMIF('FY19-20'!$C$10:$C$172,Import!B707,'FY19-20'!$K$10:$K$172)</f>
        <v>1000</v>
      </c>
      <c r="F707" s="182">
        <f t="shared" si="23"/>
        <v>0</v>
      </c>
      <c r="G707" s="179" t="s">
        <v>408</v>
      </c>
      <c r="H707" s="182">
        <v>671</v>
      </c>
      <c r="J707" s="181"/>
    </row>
    <row r="708" spans="1:10" ht="14">
      <c r="A708" s="183" t="s">
        <v>147</v>
      </c>
      <c r="B708" s="178">
        <v>5806</v>
      </c>
      <c r="C708" s="25" t="s">
        <v>146</v>
      </c>
      <c r="D708" s="26">
        <v>43831</v>
      </c>
      <c r="E708" s="182">
        <f>SUMIF('FY19-20'!$C$10:$C$172,Import!B708,'FY19-20'!$K$10:$K$172)</f>
        <v>6759.64</v>
      </c>
      <c r="F708" s="182">
        <f>-IF(E708&lt;0,E708,0)</f>
        <v>0</v>
      </c>
      <c r="G708" s="179" t="s">
        <v>408</v>
      </c>
      <c r="J708" s="181"/>
    </row>
    <row r="709" spans="1:10" ht="14">
      <c r="A709" s="183" t="s">
        <v>147</v>
      </c>
      <c r="B709" s="178">
        <v>5807</v>
      </c>
      <c r="C709" s="25" t="s">
        <v>146</v>
      </c>
      <c r="D709" s="26">
        <v>43831</v>
      </c>
      <c r="E709" s="182">
        <f>SUMIF('FY19-20'!$C$10:$C$172,Import!B709,'FY19-20'!$K$10:$K$172)</f>
        <v>0</v>
      </c>
      <c r="F709" s="182">
        <f>-IF(E709&lt;0,E709,0)</f>
        <v>0</v>
      </c>
      <c r="G709" s="179" t="s">
        <v>408</v>
      </c>
      <c r="J709" s="181"/>
    </row>
    <row r="710" spans="1:10" ht="14">
      <c r="A710" s="183" t="s">
        <v>147</v>
      </c>
      <c r="B710" s="178">
        <v>5808</v>
      </c>
      <c r="C710" s="25" t="s">
        <v>146</v>
      </c>
      <c r="D710" s="26">
        <v>43831</v>
      </c>
      <c r="E710" s="182">
        <f>SUMIF('FY19-20'!$C$10:$C$172,Import!B710,'FY19-20'!$K$10:$K$172)</f>
        <v>1.49</v>
      </c>
      <c r="F710" s="182">
        <f>-IF(E710&lt;0,E710,0)</f>
        <v>0</v>
      </c>
      <c r="G710" s="179" t="s">
        <v>408</v>
      </c>
      <c r="J710" s="181"/>
    </row>
    <row r="711" spans="1:10" ht="14">
      <c r="A711" s="183" t="s">
        <v>147</v>
      </c>
      <c r="B711" s="178">
        <v>5809</v>
      </c>
      <c r="C711" s="25" t="s">
        <v>146</v>
      </c>
      <c r="D711" s="26">
        <v>43831</v>
      </c>
      <c r="E711" s="182">
        <f>SUMIF('FY19-20'!$C$10:$C$172,Import!B711,'FY19-20'!$K$10:$K$172)</f>
        <v>0</v>
      </c>
      <c r="F711" s="182">
        <f>-IF(E711&lt;0,E711,0)</f>
        <v>0</v>
      </c>
      <c r="G711" s="179" t="s">
        <v>408</v>
      </c>
      <c r="J711" s="181"/>
    </row>
    <row r="712" spans="1:10" ht="14">
      <c r="A712" s="183" t="s">
        <v>147</v>
      </c>
      <c r="B712" s="178">
        <v>5810</v>
      </c>
      <c r="C712" s="25" t="s">
        <v>146</v>
      </c>
      <c r="D712" s="26">
        <v>43831</v>
      </c>
      <c r="E712" s="182">
        <f>SUMIF('FY19-20'!$C$10:$C$172,Import!B712,'FY19-20'!$K$10:$K$172)</f>
        <v>0</v>
      </c>
      <c r="F712" s="182">
        <f>-IF(E712&lt;0,E712)</f>
        <v>0</v>
      </c>
      <c r="G712" s="179" t="s">
        <v>408</v>
      </c>
      <c r="H712" s="182">
        <v>672</v>
      </c>
      <c r="J712" s="181"/>
    </row>
    <row r="713" spans="1:10" ht="14">
      <c r="A713" s="183" t="s">
        <v>147</v>
      </c>
      <c r="B713" s="178">
        <v>5811</v>
      </c>
      <c r="C713" s="25" t="s">
        <v>146</v>
      </c>
      <c r="D713" s="26">
        <v>43831</v>
      </c>
      <c r="E713" s="182">
        <f>SUMIF('FY19-20'!$C$10:$C$172,Import!B713,'FY19-20'!$K$10:$K$172)</f>
        <v>90814</v>
      </c>
      <c r="F713" s="182">
        <f>-IF(E713&lt;0,E713)</f>
        <v>0</v>
      </c>
      <c r="G713" s="179" t="s">
        <v>408</v>
      </c>
      <c r="H713" s="182">
        <v>673</v>
      </c>
      <c r="J713" s="181"/>
    </row>
    <row r="714" spans="1:10" ht="14">
      <c r="A714" s="183" t="s">
        <v>147</v>
      </c>
      <c r="B714" s="178">
        <v>5812</v>
      </c>
      <c r="C714" s="25" t="s">
        <v>146</v>
      </c>
      <c r="D714" s="26">
        <v>43831</v>
      </c>
      <c r="E714" s="182">
        <f>SUMIF('FY19-20'!$C$10:$C$172,Import!B714,'FY19-20'!$K$10:$K$172)</f>
        <v>0</v>
      </c>
      <c r="F714" s="182">
        <f>-IF(E714&lt;0,E714)</f>
        <v>0</v>
      </c>
      <c r="G714" s="179" t="s">
        <v>408</v>
      </c>
      <c r="H714" s="182">
        <v>674</v>
      </c>
      <c r="J714" s="181"/>
    </row>
    <row r="715" spans="1:10" ht="14">
      <c r="A715" s="183" t="s">
        <v>147</v>
      </c>
      <c r="B715" s="178">
        <v>5813</v>
      </c>
      <c r="C715" s="25" t="s">
        <v>146</v>
      </c>
      <c r="D715" s="26">
        <v>43831</v>
      </c>
      <c r="E715" s="182">
        <f>SUMIF('FY19-20'!$C$10:$C$172,Import!B715,'FY19-20'!$K$10:$K$172)</f>
        <v>0</v>
      </c>
      <c r="F715" s="182">
        <f>-IF(E715&lt;0,E715)</f>
        <v>0</v>
      </c>
      <c r="G715" s="179" t="s">
        <v>408</v>
      </c>
      <c r="H715" s="182">
        <v>675</v>
      </c>
      <c r="J715" s="181"/>
    </row>
    <row r="716" spans="1:10" ht="14">
      <c r="A716" s="183" t="s">
        <v>147</v>
      </c>
      <c r="B716" s="178">
        <v>5814</v>
      </c>
      <c r="C716" s="25" t="s">
        <v>146</v>
      </c>
      <c r="D716" s="26">
        <v>43831</v>
      </c>
      <c r="E716" s="182">
        <f>SUMIF('FY19-20'!$C$10:$C$172,Import!B716,'FY19-20'!$K$10:$K$172)</f>
        <v>0</v>
      </c>
      <c r="F716" s="182">
        <f>-IF(E716&lt;0,E716)</f>
        <v>0</v>
      </c>
      <c r="G716" s="179" t="s">
        <v>408</v>
      </c>
      <c r="H716" s="182">
        <v>676</v>
      </c>
      <c r="J716" s="181"/>
    </row>
    <row r="717" spans="1:10" ht="14">
      <c r="A717" s="183" t="s">
        <v>147</v>
      </c>
      <c r="B717" s="178">
        <v>5815</v>
      </c>
      <c r="C717" s="25" t="s">
        <v>146</v>
      </c>
      <c r="D717" s="26">
        <v>43831</v>
      </c>
      <c r="E717" s="182">
        <f>SUMIF('FY19-20'!$C$10:$C$172,Import!B717,'FY19-20'!$K$10:$K$172)</f>
        <v>0</v>
      </c>
      <c r="F717" s="182">
        <f>-IF(E717&lt;0,E717,0)</f>
        <v>0</v>
      </c>
      <c r="G717" s="179" t="s">
        <v>408</v>
      </c>
      <c r="J717" s="181"/>
    </row>
    <row r="718" spans="1:10" ht="14">
      <c r="A718" s="183" t="s">
        <v>147</v>
      </c>
      <c r="B718" s="178">
        <v>5820</v>
      </c>
      <c r="C718" s="25" t="s">
        <v>146</v>
      </c>
      <c r="D718" s="26">
        <v>43831</v>
      </c>
      <c r="E718" s="182">
        <f>SUMIF('FY19-20'!$C$10:$C$172,Import!B718,'FY19-20'!$K$10:$K$172)</f>
        <v>0</v>
      </c>
      <c r="F718" s="182">
        <f>-IF(E718&lt;0,E718,0)</f>
        <v>0</v>
      </c>
      <c r="G718" s="179" t="s">
        <v>408</v>
      </c>
      <c r="J718" s="181"/>
    </row>
    <row r="719" spans="1:10" ht="14">
      <c r="A719" s="183" t="s">
        <v>147</v>
      </c>
      <c r="B719" s="178">
        <v>5900</v>
      </c>
      <c r="C719" s="25" t="s">
        <v>146</v>
      </c>
      <c r="D719" s="26">
        <v>43831</v>
      </c>
      <c r="E719" s="182">
        <f>SUMIF('FY19-20'!$C$10:$C$172,Import!B719,'FY19-20'!$K$10:$K$172)</f>
        <v>0</v>
      </c>
      <c r="F719" s="182">
        <f>-IF(E719&lt;0,E719)</f>
        <v>0</v>
      </c>
      <c r="G719" s="179" t="s">
        <v>408</v>
      </c>
      <c r="H719" s="182">
        <v>677</v>
      </c>
      <c r="J719" s="181"/>
    </row>
    <row r="720" spans="1:10" ht="14">
      <c r="A720" s="183" t="s">
        <v>147</v>
      </c>
      <c r="B720" s="178">
        <v>5901</v>
      </c>
      <c r="C720" s="25" t="s">
        <v>146</v>
      </c>
      <c r="D720" s="26">
        <v>43831</v>
      </c>
      <c r="E720" s="182">
        <f>SUMIF('FY19-20'!$C$10:$C$172,Import!B720,'FY19-20'!$K$10:$K$172)</f>
        <v>89.99</v>
      </c>
      <c r="F720" s="182">
        <f>-IF(E720&lt;0,E720,0)</f>
        <v>0</v>
      </c>
      <c r="G720" s="179" t="s">
        <v>408</v>
      </c>
    </row>
    <row r="721" spans="1:10" ht="14">
      <c r="A721" s="183" t="s">
        <v>147</v>
      </c>
      <c r="B721" s="178">
        <v>6900</v>
      </c>
      <c r="C721" s="25" t="s">
        <v>146</v>
      </c>
      <c r="D721" s="26">
        <v>43831</v>
      </c>
      <c r="E721" s="182">
        <f>SUMIF('FY19-20'!$C$10:$C$172,Import!B721,'FY19-20'!$K$10:$K$172)</f>
        <v>100</v>
      </c>
      <c r="F721" s="182">
        <f t="shared" ref="F721:F752" si="25">-IF(E721&lt;0,E721)</f>
        <v>0</v>
      </c>
      <c r="G721" s="179" t="s">
        <v>408</v>
      </c>
      <c r="H721" s="182">
        <v>678</v>
      </c>
      <c r="J721" s="181"/>
    </row>
    <row r="722" spans="1:10" ht="14">
      <c r="A722" s="183" t="s">
        <v>147</v>
      </c>
      <c r="B722" s="178">
        <v>7438</v>
      </c>
      <c r="C722" s="25" t="s">
        <v>146</v>
      </c>
      <c r="D722" s="26">
        <v>43831</v>
      </c>
      <c r="E722" s="182">
        <f>SUMIF('FY19-20'!$C$10:$C$172,Import!B722,'FY19-20'!$K$10:$K$172)</f>
        <v>0</v>
      </c>
      <c r="F722" s="182">
        <f t="shared" si="25"/>
        <v>0</v>
      </c>
      <c r="G722" s="179" t="s">
        <v>408</v>
      </c>
      <c r="H722" s="182">
        <v>679</v>
      </c>
      <c r="J722" s="181"/>
    </row>
    <row r="723" spans="1:10" ht="14">
      <c r="A723" s="183" t="s">
        <v>147</v>
      </c>
      <c r="B723" s="178">
        <v>8011</v>
      </c>
      <c r="C723" s="25" t="s">
        <v>146</v>
      </c>
      <c r="D723" s="26">
        <v>43831</v>
      </c>
      <c r="E723" s="182">
        <f>SUMIF('FY19-20'!$C$10:$C$172,Import!B723,'FY19-20'!$K$10:$K$172)</f>
        <v>6371667</v>
      </c>
      <c r="F723" s="182">
        <f t="shared" si="25"/>
        <v>0</v>
      </c>
      <c r="G723" s="179" t="s">
        <v>408</v>
      </c>
      <c r="H723" s="182">
        <v>680</v>
      </c>
      <c r="J723" s="181"/>
    </row>
    <row r="724" spans="1:10" ht="14">
      <c r="A724" s="183" t="s">
        <v>147</v>
      </c>
      <c r="B724" s="178">
        <v>8012</v>
      </c>
      <c r="C724" s="25" t="s">
        <v>146</v>
      </c>
      <c r="D724" s="26">
        <v>43831</v>
      </c>
      <c r="E724" s="182">
        <f>SUMIF('FY19-20'!$C$10:$C$172,Import!B724,'FY19-20'!$K$10:$K$172)</f>
        <v>163507</v>
      </c>
      <c r="F724" s="182">
        <f t="shared" si="25"/>
        <v>0</v>
      </c>
      <c r="G724" s="179" t="s">
        <v>408</v>
      </c>
      <c r="H724" s="182">
        <v>681</v>
      </c>
      <c r="J724" s="181"/>
    </row>
    <row r="725" spans="1:10" ht="14">
      <c r="A725" s="183" t="s">
        <v>147</v>
      </c>
      <c r="B725" s="178">
        <v>8019</v>
      </c>
      <c r="C725" s="25" t="s">
        <v>146</v>
      </c>
      <c r="D725" s="26">
        <v>43831</v>
      </c>
      <c r="E725" s="182">
        <f>SUMIF('FY19-20'!$C$10:$C$172,Import!B725,'FY19-20'!$K$10:$K$172)</f>
        <v>0</v>
      </c>
      <c r="F725" s="182">
        <f t="shared" si="25"/>
        <v>0</v>
      </c>
      <c r="G725" s="179" t="s">
        <v>408</v>
      </c>
      <c r="H725" s="182">
        <v>682</v>
      </c>
      <c r="J725" s="181"/>
    </row>
    <row r="726" spans="1:10" ht="14">
      <c r="A726" s="183" t="s">
        <v>147</v>
      </c>
      <c r="B726" s="178">
        <v>8096</v>
      </c>
      <c r="C726" s="25" t="s">
        <v>146</v>
      </c>
      <c r="D726" s="26">
        <v>43831</v>
      </c>
      <c r="E726" s="182">
        <f>SUMIF('FY19-20'!$C$10:$C$172,Import!B726,'FY19-20'!$K$10:$K$172)</f>
        <v>0</v>
      </c>
      <c r="F726" s="182">
        <f t="shared" si="25"/>
        <v>0</v>
      </c>
      <c r="G726" s="179" t="s">
        <v>408</v>
      </c>
      <c r="H726" s="182">
        <v>683</v>
      </c>
      <c r="J726" s="181"/>
    </row>
    <row r="727" spans="1:10" ht="14">
      <c r="A727" s="183" t="s">
        <v>147</v>
      </c>
      <c r="B727" s="178">
        <v>8181</v>
      </c>
      <c r="C727" s="25" t="s">
        <v>146</v>
      </c>
      <c r="D727" s="26">
        <v>43831</v>
      </c>
      <c r="E727" s="182">
        <f>SUMIF('FY19-20'!$C$10:$C$172,Import!B727,'FY19-20'!$K$10:$K$172)</f>
        <v>0</v>
      </c>
      <c r="F727" s="182">
        <f t="shared" si="25"/>
        <v>0</v>
      </c>
      <c r="G727" s="179" t="s">
        <v>408</v>
      </c>
      <c r="H727" s="182">
        <v>684</v>
      </c>
      <c r="J727" s="181"/>
    </row>
    <row r="728" spans="1:10" ht="14">
      <c r="A728" s="183" t="s">
        <v>147</v>
      </c>
      <c r="B728" s="178">
        <v>8182</v>
      </c>
      <c r="C728" s="25" t="s">
        <v>146</v>
      </c>
      <c r="D728" s="26">
        <v>43831</v>
      </c>
      <c r="E728" s="182">
        <f>SUMIF('FY19-20'!$C$10:$C$172,Import!B728,'FY19-20'!$K$10:$K$172)</f>
        <v>0</v>
      </c>
      <c r="F728" s="182">
        <f t="shared" si="25"/>
        <v>0</v>
      </c>
      <c r="G728" s="179" t="s">
        <v>408</v>
      </c>
      <c r="H728" s="182">
        <v>685</v>
      </c>
      <c r="J728" s="181"/>
    </row>
    <row r="729" spans="1:10" ht="14">
      <c r="A729" s="183" t="s">
        <v>147</v>
      </c>
      <c r="B729" s="178">
        <v>8220</v>
      </c>
      <c r="C729" s="25" t="s">
        <v>146</v>
      </c>
      <c r="D729" s="26">
        <v>43831</v>
      </c>
      <c r="E729" s="182">
        <f>SUMIF('FY19-20'!$C$10:$C$172,Import!B729,'FY19-20'!$K$10:$K$172)</f>
        <v>0</v>
      </c>
      <c r="F729" s="182">
        <f t="shared" si="25"/>
        <v>0</v>
      </c>
      <c r="G729" s="179" t="s">
        <v>408</v>
      </c>
      <c r="H729" s="182">
        <v>686</v>
      </c>
      <c r="J729" s="181"/>
    </row>
    <row r="730" spans="1:10" ht="14">
      <c r="A730" s="183" t="s">
        <v>147</v>
      </c>
      <c r="B730" s="178">
        <v>8290</v>
      </c>
      <c r="C730" s="25" t="s">
        <v>146</v>
      </c>
      <c r="D730" s="26">
        <v>43831</v>
      </c>
      <c r="E730" s="182">
        <f>SUMIF('FY19-20'!$C$10:$C$172,Import!B730,'FY19-20'!$K$10:$K$172)</f>
        <v>0</v>
      </c>
      <c r="F730" s="182">
        <f t="shared" si="25"/>
        <v>0</v>
      </c>
      <c r="G730" s="179" t="s">
        <v>408</v>
      </c>
      <c r="H730" s="182">
        <v>687</v>
      </c>
      <c r="J730" s="181"/>
    </row>
    <row r="731" spans="1:10" ht="14">
      <c r="A731" s="183" t="s">
        <v>147</v>
      </c>
      <c r="B731" s="178">
        <v>8291</v>
      </c>
      <c r="C731" s="25" t="s">
        <v>146</v>
      </c>
      <c r="D731" s="26">
        <v>43831</v>
      </c>
      <c r="E731" s="182">
        <f>SUMIF('FY19-20'!$C$10:$C$172,Import!B731,'FY19-20'!$K$10:$K$172)</f>
        <v>0</v>
      </c>
      <c r="F731" s="182">
        <f t="shared" si="25"/>
        <v>0</v>
      </c>
      <c r="G731" s="179" t="s">
        <v>408</v>
      </c>
      <c r="H731" s="182">
        <v>688</v>
      </c>
      <c r="J731" s="181"/>
    </row>
    <row r="732" spans="1:10" ht="14">
      <c r="A732" s="183" t="s">
        <v>147</v>
      </c>
      <c r="B732" s="178">
        <v>8292</v>
      </c>
      <c r="C732" s="25" t="s">
        <v>146</v>
      </c>
      <c r="D732" s="26">
        <v>43831</v>
      </c>
      <c r="E732" s="182">
        <f>SUMIF('FY19-20'!$C$10:$C$172,Import!B732,'FY19-20'!$K$10:$K$172)</f>
        <v>0</v>
      </c>
      <c r="F732" s="182">
        <f t="shared" si="25"/>
        <v>0</v>
      </c>
      <c r="G732" s="179" t="s">
        <v>408</v>
      </c>
      <c r="H732" s="182">
        <v>689</v>
      </c>
      <c r="J732" s="181"/>
    </row>
    <row r="733" spans="1:10" ht="14">
      <c r="A733" s="183" t="s">
        <v>147</v>
      </c>
      <c r="B733" s="178">
        <v>8293</v>
      </c>
      <c r="C733" s="25" t="s">
        <v>146</v>
      </c>
      <c r="D733" s="26">
        <v>43831</v>
      </c>
      <c r="E733" s="182">
        <f>SUMIF('FY19-20'!$C$10:$C$172,Import!B733,'FY19-20'!$K$10:$K$172)</f>
        <v>0</v>
      </c>
      <c r="F733" s="182">
        <f t="shared" si="25"/>
        <v>0</v>
      </c>
      <c r="G733" s="179" t="s">
        <v>408</v>
      </c>
      <c r="H733" s="182">
        <v>690</v>
      </c>
      <c r="J733" s="181"/>
    </row>
    <row r="734" spans="1:10" ht="14">
      <c r="A734" s="183" t="s">
        <v>147</v>
      </c>
      <c r="B734" s="178">
        <v>8294</v>
      </c>
      <c r="C734" s="25" t="s">
        <v>146</v>
      </c>
      <c r="D734" s="26">
        <v>43831</v>
      </c>
      <c r="E734" s="182">
        <f>SUMIF('FY19-20'!$C$10:$C$172,Import!B734,'FY19-20'!$K$10:$K$172)</f>
        <v>0</v>
      </c>
      <c r="F734" s="182">
        <f t="shared" si="25"/>
        <v>0</v>
      </c>
      <c r="G734" s="179" t="s">
        <v>408</v>
      </c>
      <c r="H734" s="182">
        <v>691</v>
      </c>
      <c r="J734" s="181"/>
    </row>
    <row r="735" spans="1:10" ht="14">
      <c r="A735" s="183" t="s">
        <v>147</v>
      </c>
      <c r="B735" s="178">
        <v>8295</v>
      </c>
      <c r="C735" s="25" t="s">
        <v>146</v>
      </c>
      <c r="D735" s="26">
        <v>43831</v>
      </c>
      <c r="E735" s="182">
        <f>SUMIF('FY19-20'!$C$10:$C$172,Import!B735,'FY19-20'!$K$10:$K$172)</f>
        <v>0</v>
      </c>
      <c r="F735" s="182">
        <f t="shared" si="25"/>
        <v>0</v>
      </c>
      <c r="G735" s="179" t="s">
        <v>408</v>
      </c>
      <c r="H735" s="182">
        <v>692</v>
      </c>
      <c r="J735" s="181"/>
    </row>
    <row r="736" spans="1:10" ht="14">
      <c r="A736" s="183" t="s">
        <v>147</v>
      </c>
      <c r="B736" s="178">
        <v>8296</v>
      </c>
      <c r="C736" s="25" t="s">
        <v>146</v>
      </c>
      <c r="D736" s="26">
        <v>43831</v>
      </c>
      <c r="E736" s="182">
        <f>SUMIF('FY19-20'!$C$10:$C$172,Import!B736,'FY19-20'!$K$10:$K$172)</f>
        <v>0</v>
      </c>
      <c r="F736" s="182">
        <f t="shared" si="25"/>
        <v>0</v>
      </c>
      <c r="G736" s="179" t="s">
        <v>408</v>
      </c>
      <c r="H736" s="182">
        <v>693</v>
      </c>
      <c r="J736" s="181"/>
    </row>
    <row r="737" spans="1:10" ht="14">
      <c r="A737" s="183" t="s">
        <v>147</v>
      </c>
      <c r="B737" s="178">
        <v>8299</v>
      </c>
      <c r="C737" s="25" t="s">
        <v>146</v>
      </c>
      <c r="D737" s="26">
        <v>43831</v>
      </c>
      <c r="E737" s="182">
        <f>SUMIF('FY19-20'!$C$10:$C$172,Import!B737,'FY19-20'!$K$10:$K$172)</f>
        <v>0</v>
      </c>
      <c r="F737" s="182">
        <f t="shared" si="25"/>
        <v>0</v>
      </c>
      <c r="G737" s="179" t="s">
        <v>408</v>
      </c>
      <c r="H737" s="182">
        <v>694</v>
      </c>
      <c r="J737" s="181"/>
    </row>
    <row r="738" spans="1:10" ht="14">
      <c r="A738" s="183" t="s">
        <v>147</v>
      </c>
      <c r="B738" s="178">
        <v>8311</v>
      </c>
      <c r="C738" s="25" t="s">
        <v>146</v>
      </c>
      <c r="D738" s="26">
        <v>43831</v>
      </c>
      <c r="E738" s="182">
        <f>SUMIF('FY19-20'!$C$10:$C$172,Import!B738,'FY19-20'!$K$10:$K$172)</f>
        <v>0</v>
      </c>
      <c r="F738" s="182">
        <f t="shared" si="25"/>
        <v>0</v>
      </c>
      <c r="G738" s="179" t="s">
        <v>408</v>
      </c>
      <c r="H738" s="182">
        <v>695</v>
      </c>
      <c r="J738" s="181"/>
    </row>
    <row r="739" spans="1:10" ht="14">
      <c r="A739" s="183" t="s">
        <v>147</v>
      </c>
      <c r="B739" s="178">
        <v>8520</v>
      </c>
      <c r="C739" s="25" t="s">
        <v>146</v>
      </c>
      <c r="D739" s="26">
        <v>43831</v>
      </c>
      <c r="E739" s="182">
        <f>SUMIF('FY19-20'!$C$10:$C$172,Import!B739,'FY19-20'!$K$10:$K$172)</f>
        <v>0</v>
      </c>
      <c r="F739" s="182">
        <f t="shared" si="25"/>
        <v>0</v>
      </c>
      <c r="G739" s="179" t="s">
        <v>408</v>
      </c>
      <c r="H739" s="182">
        <v>696</v>
      </c>
      <c r="J739" s="181"/>
    </row>
    <row r="740" spans="1:10" ht="14">
      <c r="A740" s="183" t="s">
        <v>147</v>
      </c>
      <c r="B740" s="178">
        <v>8545</v>
      </c>
      <c r="C740" s="25" t="s">
        <v>146</v>
      </c>
      <c r="D740" s="26">
        <v>43831</v>
      </c>
      <c r="E740" s="182">
        <f>SUMIF('FY19-20'!$C$10:$C$172,Import!B740,'FY19-20'!$K$10:$K$172)</f>
        <v>0</v>
      </c>
      <c r="F740" s="182">
        <f t="shared" si="25"/>
        <v>0</v>
      </c>
      <c r="G740" s="179" t="s">
        <v>408</v>
      </c>
      <c r="H740" s="182">
        <v>697</v>
      </c>
      <c r="J740" s="181"/>
    </row>
    <row r="741" spans="1:10" ht="14">
      <c r="A741" s="183" t="s">
        <v>147</v>
      </c>
      <c r="B741" s="178">
        <v>8550</v>
      </c>
      <c r="C741" s="25" t="s">
        <v>146</v>
      </c>
      <c r="D741" s="26">
        <v>43831</v>
      </c>
      <c r="E741" s="182">
        <f>SUMIF('FY19-20'!$C$10:$C$172,Import!B741,'FY19-20'!$K$10:$K$172)</f>
        <v>0</v>
      </c>
      <c r="F741" s="182">
        <f t="shared" si="25"/>
        <v>0</v>
      </c>
      <c r="G741" s="179" t="s">
        <v>408</v>
      </c>
      <c r="H741" s="182">
        <v>698</v>
      </c>
      <c r="J741" s="181"/>
    </row>
    <row r="742" spans="1:10" ht="14">
      <c r="A742" s="183" t="s">
        <v>147</v>
      </c>
      <c r="B742" s="178">
        <v>8560</v>
      </c>
      <c r="C742" s="25" t="s">
        <v>146</v>
      </c>
      <c r="D742" s="26">
        <v>43831</v>
      </c>
      <c r="E742" s="182">
        <f>SUMIF('FY19-20'!$C$10:$C$172,Import!B742,'FY19-20'!$K$10:$K$172)</f>
        <v>0</v>
      </c>
      <c r="F742" s="182">
        <f t="shared" si="25"/>
        <v>0</v>
      </c>
      <c r="G742" s="179" t="s">
        <v>408</v>
      </c>
      <c r="H742" s="182">
        <v>699</v>
      </c>
      <c r="J742" s="181"/>
    </row>
    <row r="743" spans="1:10" ht="14">
      <c r="A743" s="183" t="s">
        <v>147</v>
      </c>
      <c r="B743" s="178">
        <v>8598</v>
      </c>
      <c r="C743" s="25" t="s">
        <v>146</v>
      </c>
      <c r="D743" s="26">
        <v>43831</v>
      </c>
      <c r="E743" s="182">
        <f>SUMIF('FY19-20'!$C$10:$C$172,Import!B743,'FY19-20'!$K$10:$K$172)</f>
        <v>0</v>
      </c>
      <c r="F743" s="182">
        <f t="shared" si="25"/>
        <v>0</v>
      </c>
      <c r="G743" s="179" t="s">
        <v>408</v>
      </c>
      <c r="H743" s="182">
        <v>700</v>
      </c>
      <c r="J743" s="181"/>
    </row>
    <row r="744" spans="1:10" ht="14">
      <c r="A744" s="183" t="s">
        <v>147</v>
      </c>
      <c r="B744" s="178">
        <v>8599</v>
      </c>
      <c r="C744" s="25" t="s">
        <v>146</v>
      </c>
      <c r="D744" s="26">
        <v>43831</v>
      </c>
      <c r="E744" s="182">
        <f>SUMIF('FY19-20'!$C$10:$C$172,Import!B744,'FY19-20'!$K$10:$K$172)</f>
        <v>0</v>
      </c>
      <c r="F744" s="182">
        <f t="shared" si="25"/>
        <v>0</v>
      </c>
      <c r="G744" s="179" t="s">
        <v>408</v>
      </c>
      <c r="H744" s="182">
        <v>701</v>
      </c>
      <c r="J744" s="181"/>
    </row>
    <row r="745" spans="1:10" ht="14">
      <c r="A745" s="183" t="s">
        <v>147</v>
      </c>
      <c r="B745" s="178">
        <v>8634</v>
      </c>
      <c r="C745" s="25" t="s">
        <v>146</v>
      </c>
      <c r="D745" s="26">
        <v>43831</v>
      </c>
      <c r="E745" s="182">
        <f>SUMIF('FY19-20'!$C$10:$C$172,Import!B745,'FY19-20'!$K$10:$K$172)</f>
        <v>0</v>
      </c>
      <c r="F745" s="182">
        <f t="shared" si="25"/>
        <v>0</v>
      </c>
      <c r="G745" s="179" t="s">
        <v>408</v>
      </c>
      <c r="H745" s="182">
        <v>702</v>
      </c>
      <c r="J745" s="181"/>
    </row>
    <row r="746" spans="1:10" ht="14">
      <c r="A746" s="183" t="s">
        <v>147</v>
      </c>
      <c r="B746" s="178">
        <v>8650</v>
      </c>
      <c r="C746" s="25" t="s">
        <v>146</v>
      </c>
      <c r="D746" s="26">
        <v>43831</v>
      </c>
      <c r="E746" s="182">
        <f>SUMIF('FY19-20'!$C$10:$C$172,Import!B746,'FY19-20'!$K$10:$K$172)</f>
        <v>0</v>
      </c>
      <c r="F746" s="182">
        <f t="shared" si="25"/>
        <v>0</v>
      </c>
      <c r="G746" s="179" t="s">
        <v>408</v>
      </c>
      <c r="H746" s="182">
        <v>703</v>
      </c>
      <c r="J746" s="181"/>
    </row>
    <row r="747" spans="1:10" ht="14">
      <c r="A747" s="183" t="s">
        <v>147</v>
      </c>
      <c r="B747" s="178">
        <v>8660</v>
      </c>
      <c r="C747" s="25" t="s">
        <v>146</v>
      </c>
      <c r="D747" s="26">
        <v>43831</v>
      </c>
      <c r="E747" s="182">
        <f>SUMIF('FY19-20'!$C$10:$C$172,Import!B747,'FY19-20'!$K$10:$K$172)</f>
        <v>0</v>
      </c>
      <c r="F747" s="182">
        <f t="shared" si="25"/>
        <v>0</v>
      </c>
      <c r="G747" s="179" t="s">
        <v>408</v>
      </c>
      <c r="H747" s="182">
        <v>704</v>
      </c>
      <c r="J747" s="181"/>
    </row>
    <row r="748" spans="1:10" ht="14">
      <c r="A748" s="183" t="s">
        <v>147</v>
      </c>
      <c r="B748" s="178">
        <v>8689</v>
      </c>
      <c r="C748" s="25" t="s">
        <v>146</v>
      </c>
      <c r="D748" s="26">
        <v>43831</v>
      </c>
      <c r="E748" s="182">
        <f>SUMIF('FY19-20'!$C$10:$C$172,Import!B748,'FY19-20'!$K$10:$K$172)</f>
        <v>0</v>
      </c>
      <c r="F748" s="182">
        <f t="shared" si="25"/>
        <v>0</v>
      </c>
      <c r="G748" s="179" t="s">
        <v>408</v>
      </c>
      <c r="H748" s="182">
        <v>705</v>
      </c>
      <c r="J748" s="181"/>
    </row>
    <row r="749" spans="1:10" ht="14">
      <c r="A749" s="183" t="s">
        <v>147</v>
      </c>
      <c r="B749" s="178">
        <v>8698</v>
      </c>
      <c r="C749" s="25" t="s">
        <v>146</v>
      </c>
      <c r="D749" s="26">
        <v>43831</v>
      </c>
      <c r="E749" s="182">
        <f>SUMIF('FY19-20'!$C$10:$C$172,Import!B749,'FY19-20'!$K$10:$K$172)</f>
        <v>0</v>
      </c>
      <c r="F749" s="182">
        <f t="shared" si="25"/>
        <v>0</v>
      </c>
      <c r="G749" s="179" t="s">
        <v>408</v>
      </c>
      <c r="H749" s="182">
        <v>706</v>
      </c>
      <c r="J749" s="181"/>
    </row>
    <row r="750" spans="1:10" ht="14">
      <c r="A750" s="183" t="s">
        <v>147</v>
      </c>
      <c r="B750" s="178">
        <v>8699</v>
      </c>
      <c r="C750" s="25" t="s">
        <v>146</v>
      </c>
      <c r="D750" s="26">
        <v>43831</v>
      </c>
      <c r="E750" s="182">
        <f>SUMIF('FY19-20'!$C$10:$C$172,Import!B750,'FY19-20'!$K$10:$K$172)</f>
        <v>0</v>
      </c>
      <c r="F750" s="182">
        <f t="shared" si="25"/>
        <v>0</v>
      </c>
      <c r="G750" s="179" t="s">
        <v>408</v>
      </c>
      <c r="H750" s="182">
        <v>707</v>
      </c>
      <c r="J750" s="181"/>
    </row>
    <row r="751" spans="1:10" ht="14">
      <c r="A751" s="183" t="s">
        <v>147</v>
      </c>
      <c r="B751" s="178">
        <v>8980</v>
      </c>
      <c r="C751" s="25" t="s">
        <v>146</v>
      </c>
      <c r="D751" s="26">
        <v>43831</v>
      </c>
      <c r="E751" s="182">
        <f>SUMIF('FY19-20'!$C$10:$C$172,Import!B751,'FY19-20'!$K$10:$K$172)</f>
        <v>0</v>
      </c>
      <c r="F751" s="182">
        <f t="shared" si="25"/>
        <v>0</v>
      </c>
      <c r="G751" s="179" t="s">
        <v>408</v>
      </c>
      <c r="H751" s="182">
        <v>708</v>
      </c>
      <c r="J751" s="181"/>
    </row>
    <row r="752" spans="1:10" ht="14">
      <c r="A752" s="183" t="s">
        <v>147</v>
      </c>
      <c r="B752" s="178">
        <v>8990</v>
      </c>
      <c r="C752" s="25" t="s">
        <v>146</v>
      </c>
      <c r="D752" s="26">
        <v>43831</v>
      </c>
      <c r="E752" s="182">
        <f>SUMIF('FY19-20'!$C$10:$C$172,Import!B752,'FY19-20'!$K$10:$K$172)</f>
        <v>0</v>
      </c>
      <c r="F752" s="182">
        <f t="shared" si="25"/>
        <v>0</v>
      </c>
      <c r="G752" s="179" t="s">
        <v>408</v>
      </c>
      <c r="H752" s="182">
        <v>709</v>
      </c>
      <c r="J752" s="181"/>
    </row>
    <row r="753" spans="1:10" ht="14">
      <c r="A753" s="183" t="s">
        <v>147</v>
      </c>
      <c r="B753" s="178">
        <v>1100</v>
      </c>
      <c r="C753" s="25" t="s">
        <v>146</v>
      </c>
      <c r="D753" s="26">
        <v>43862</v>
      </c>
      <c r="E753" s="182">
        <f>SUMIF('FY19-20'!$C$10:$C$172,Import!B753,'FY19-20'!$L$10:$L$172)</f>
        <v>665492.43999999994</v>
      </c>
      <c r="F753" s="182">
        <f t="shared" ref="F753:F784" si="26">-IF(E753&lt;0,E753)</f>
        <v>0</v>
      </c>
      <c r="G753" s="179" t="s">
        <v>408</v>
      </c>
      <c r="H753" s="182">
        <v>710</v>
      </c>
      <c r="J753" s="181"/>
    </row>
    <row r="754" spans="1:10" ht="14">
      <c r="A754" s="183" t="s">
        <v>147</v>
      </c>
      <c r="B754" s="178">
        <v>1170</v>
      </c>
      <c r="C754" s="25" t="s">
        <v>146</v>
      </c>
      <c r="D754" s="26">
        <v>43862</v>
      </c>
      <c r="E754" s="182">
        <f>SUMIF('FY19-20'!$C$10:$C$172,Import!B754,'FY19-20'!$L$10:$L$172)</f>
        <v>0</v>
      </c>
      <c r="F754" s="182">
        <f t="shared" si="26"/>
        <v>0</v>
      </c>
      <c r="G754" s="179" t="s">
        <v>408</v>
      </c>
      <c r="H754" s="182">
        <v>711</v>
      </c>
      <c r="J754" s="181"/>
    </row>
    <row r="755" spans="1:10" ht="14">
      <c r="A755" s="183" t="s">
        <v>147</v>
      </c>
      <c r="B755" s="178">
        <v>1175</v>
      </c>
      <c r="C755" s="25" t="s">
        <v>146</v>
      </c>
      <c r="D755" s="26">
        <v>43862</v>
      </c>
      <c r="E755" s="182">
        <f>SUMIF('FY19-20'!$C$10:$C$172,Import!B755,'FY19-20'!$L$10:$L$172)</f>
        <v>129190.38</v>
      </c>
      <c r="F755" s="182">
        <f t="shared" si="26"/>
        <v>0</v>
      </c>
      <c r="G755" s="179" t="s">
        <v>408</v>
      </c>
      <c r="H755" s="182">
        <v>712</v>
      </c>
      <c r="J755" s="181"/>
    </row>
    <row r="756" spans="1:10" ht="14">
      <c r="A756" s="183" t="s">
        <v>147</v>
      </c>
      <c r="B756" s="178">
        <v>1200</v>
      </c>
      <c r="C756" s="25" t="s">
        <v>146</v>
      </c>
      <c r="D756" s="26">
        <v>43862</v>
      </c>
      <c r="E756" s="182">
        <f>SUMIF('FY19-20'!$C$10:$C$172,Import!B756,'FY19-20'!$L$10:$L$172)</f>
        <v>12060.92</v>
      </c>
      <c r="F756" s="182">
        <f t="shared" si="26"/>
        <v>0</v>
      </c>
      <c r="G756" s="179" t="s">
        <v>408</v>
      </c>
      <c r="H756" s="182">
        <v>713</v>
      </c>
      <c r="J756" s="181"/>
    </row>
    <row r="757" spans="1:10" ht="14">
      <c r="A757" s="183" t="s">
        <v>147</v>
      </c>
      <c r="B757" s="178">
        <v>1300</v>
      </c>
      <c r="C757" s="25" t="s">
        <v>146</v>
      </c>
      <c r="D757" s="26">
        <v>43862</v>
      </c>
      <c r="E757" s="182">
        <f>SUMIF('FY19-20'!$C$10:$C$172,Import!B757,'FY19-20'!$L$10:$L$172)</f>
        <v>93816.66</v>
      </c>
      <c r="F757" s="182">
        <f t="shared" si="26"/>
        <v>0</v>
      </c>
      <c r="G757" s="179" t="s">
        <v>408</v>
      </c>
      <c r="H757" s="182">
        <v>714</v>
      </c>
      <c r="J757" s="181"/>
    </row>
    <row r="758" spans="1:10" ht="14">
      <c r="A758" s="183" t="s">
        <v>147</v>
      </c>
      <c r="B758" s="178">
        <v>1900</v>
      </c>
      <c r="C758" s="25" t="s">
        <v>146</v>
      </c>
      <c r="D758" s="26">
        <v>43862</v>
      </c>
      <c r="E758" s="182">
        <f>SUMIF('FY19-20'!$C$10:$C$172,Import!B758,'FY19-20'!$L$10:$L$172)</f>
        <v>0</v>
      </c>
      <c r="F758" s="182">
        <f t="shared" si="26"/>
        <v>0</v>
      </c>
      <c r="G758" s="179" t="s">
        <v>408</v>
      </c>
      <c r="H758" s="182">
        <v>715</v>
      </c>
      <c r="J758" s="181"/>
    </row>
    <row r="759" spans="1:10" ht="14">
      <c r="A759" s="183" t="s">
        <v>147</v>
      </c>
      <c r="B759" s="178">
        <v>2100</v>
      </c>
      <c r="C759" s="25" t="s">
        <v>146</v>
      </c>
      <c r="D759" s="26">
        <v>43862</v>
      </c>
      <c r="E759" s="182">
        <f>SUMIF('FY19-20'!$C$10:$C$172,Import!B759,'FY19-20'!$L$10:$L$172)</f>
        <v>56946.5</v>
      </c>
      <c r="F759" s="182">
        <f t="shared" si="26"/>
        <v>0</v>
      </c>
      <c r="G759" s="179" t="s">
        <v>408</v>
      </c>
      <c r="H759" s="182">
        <v>716</v>
      </c>
      <c r="J759" s="181"/>
    </row>
    <row r="760" spans="1:10" ht="14">
      <c r="A760" s="183" t="s">
        <v>147</v>
      </c>
      <c r="B760" s="178">
        <v>2200</v>
      </c>
      <c r="C760" s="25" t="s">
        <v>146</v>
      </c>
      <c r="D760" s="26">
        <v>43862</v>
      </c>
      <c r="E760" s="182">
        <f>SUMIF('FY19-20'!$C$10:$C$172,Import!B760,'FY19-20'!$L$10:$L$172)</f>
        <v>0</v>
      </c>
      <c r="F760" s="182">
        <f t="shared" si="26"/>
        <v>0</v>
      </c>
      <c r="G760" s="179" t="s">
        <v>408</v>
      </c>
      <c r="H760" s="182">
        <v>717</v>
      </c>
      <c r="J760" s="181"/>
    </row>
    <row r="761" spans="1:10" ht="14">
      <c r="A761" s="183" t="s">
        <v>147</v>
      </c>
      <c r="B761" s="178">
        <v>2300</v>
      </c>
      <c r="C761" s="25" t="s">
        <v>146</v>
      </c>
      <c r="D761" s="26">
        <v>43862</v>
      </c>
      <c r="E761" s="182">
        <f>SUMIF('FY19-20'!$C$10:$C$172,Import!B761,'FY19-20'!$L$10:$L$172)</f>
        <v>0</v>
      </c>
      <c r="F761" s="182">
        <f t="shared" si="26"/>
        <v>0</v>
      </c>
      <c r="G761" s="179" t="s">
        <v>408</v>
      </c>
      <c r="H761" s="182">
        <v>718</v>
      </c>
      <c r="J761" s="181"/>
    </row>
    <row r="762" spans="1:10" ht="14">
      <c r="A762" s="183" t="s">
        <v>147</v>
      </c>
      <c r="B762" s="178">
        <v>2400</v>
      </c>
      <c r="C762" s="25" t="s">
        <v>146</v>
      </c>
      <c r="D762" s="26">
        <v>43862</v>
      </c>
      <c r="E762" s="182">
        <f>SUMIF('FY19-20'!$C$10:$C$172,Import!B762,'FY19-20'!$L$10:$L$172)</f>
        <v>2307.7600000000002</v>
      </c>
      <c r="F762" s="182">
        <f t="shared" si="26"/>
        <v>0</v>
      </c>
      <c r="G762" s="179" t="s">
        <v>408</v>
      </c>
      <c r="H762" s="182">
        <v>719</v>
      </c>
      <c r="J762" s="181"/>
    </row>
    <row r="763" spans="1:10" ht="14">
      <c r="A763" s="183" t="s">
        <v>147</v>
      </c>
      <c r="B763" s="178">
        <v>2900</v>
      </c>
      <c r="C763" s="25" t="s">
        <v>146</v>
      </c>
      <c r="D763" s="26">
        <v>43862</v>
      </c>
      <c r="E763" s="182">
        <f>SUMIF('FY19-20'!$C$10:$C$172,Import!B763,'FY19-20'!$L$10:$L$172)</f>
        <v>0</v>
      </c>
      <c r="F763" s="182">
        <f t="shared" si="26"/>
        <v>0</v>
      </c>
      <c r="G763" s="179" t="s">
        <v>408</v>
      </c>
      <c r="H763" s="182">
        <v>720</v>
      </c>
      <c r="J763" s="181"/>
    </row>
    <row r="764" spans="1:10" ht="14">
      <c r="A764" s="183" t="s">
        <v>147</v>
      </c>
      <c r="B764" s="178">
        <v>3101</v>
      </c>
      <c r="C764" s="25" t="s">
        <v>146</v>
      </c>
      <c r="D764" s="26">
        <v>43862</v>
      </c>
      <c r="E764" s="182">
        <f>SUMIF('FY19-20'!$C$10:$C$172,Import!B764,'FY19-20'!$L$10:$L$172)</f>
        <v>151319.35999999999</v>
      </c>
      <c r="F764" s="182">
        <f t="shared" si="26"/>
        <v>0</v>
      </c>
      <c r="G764" s="179" t="s">
        <v>408</v>
      </c>
      <c r="H764" s="182">
        <v>721</v>
      </c>
      <c r="J764" s="181"/>
    </row>
    <row r="765" spans="1:10" ht="14">
      <c r="A765" s="183" t="s">
        <v>147</v>
      </c>
      <c r="B765" s="178">
        <v>3202</v>
      </c>
      <c r="C765" s="25" t="s">
        <v>146</v>
      </c>
      <c r="D765" s="26">
        <v>43862</v>
      </c>
      <c r="E765" s="182">
        <f>SUMIF('FY19-20'!$C$10:$C$172,Import!B765,'FY19-20'!$L$10:$L$172)</f>
        <v>0</v>
      </c>
      <c r="F765" s="182">
        <f t="shared" si="26"/>
        <v>0</v>
      </c>
      <c r="G765" s="179" t="s">
        <v>408</v>
      </c>
      <c r="H765" s="182">
        <v>722</v>
      </c>
      <c r="J765" s="181"/>
    </row>
    <row r="766" spans="1:10" ht="14">
      <c r="A766" s="183" t="s">
        <v>147</v>
      </c>
      <c r="B766" s="178">
        <v>3301</v>
      </c>
      <c r="C766" s="25" t="s">
        <v>146</v>
      </c>
      <c r="D766" s="26">
        <v>43862</v>
      </c>
      <c r="E766" s="182">
        <f>SUMIF('FY19-20'!$C$10:$C$172,Import!B766,'FY19-20'!$L$10:$L$172)</f>
        <v>3506.46</v>
      </c>
      <c r="F766" s="182">
        <f t="shared" si="26"/>
        <v>0</v>
      </c>
      <c r="G766" s="179" t="s">
        <v>408</v>
      </c>
      <c r="H766" s="182">
        <v>723</v>
      </c>
      <c r="J766" s="181"/>
    </row>
    <row r="767" spans="1:10" ht="14">
      <c r="A767" s="183" t="s">
        <v>147</v>
      </c>
      <c r="B767" s="178">
        <v>3302</v>
      </c>
      <c r="C767" s="25" t="s">
        <v>146</v>
      </c>
      <c r="D767" s="26">
        <v>43862</v>
      </c>
      <c r="E767" s="182">
        <f>SUMIF('FY19-20'!$C$10:$C$172,Import!B767,'FY19-20'!$L$10:$L$172)</f>
        <v>0</v>
      </c>
      <c r="F767" s="182">
        <f t="shared" si="26"/>
        <v>0</v>
      </c>
      <c r="G767" s="179" t="s">
        <v>408</v>
      </c>
      <c r="H767" s="182">
        <v>724</v>
      </c>
      <c r="J767" s="181"/>
    </row>
    <row r="768" spans="1:10" ht="14">
      <c r="A768" s="183" t="s">
        <v>147</v>
      </c>
      <c r="B768" s="178">
        <v>3311</v>
      </c>
      <c r="C768" s="25" t="s">
        <v>146</v>
      </c>
      <c r="D768" s="26">
        <v>43862</v>
      </c>
      <c r="E768" s="182">
        <f>SUMIF('FY19-20'!$C$10:$C$172,Import!B768,'FY19-20'!$L$10:$L$172)</f>
        <v>13558.05</v>
      </c>
      <c r="F768" s="182">
        <f t="shared" si="26"/>
        <v>0</v>
      </c>
      <c r="G768" s="179" t="s">
        <v>408</v>
      </c>
      <c r="H768" s="182">
        <v>725</v>
      </c>
      <c r="J768" s="181"/>
    </row>
    <row r="769" spans="1:10" ht="14">
      <c r="A769" s="183" t="s">
        <v>147</v>
      </c>
      <c r="B769" s="178">
        <v>3312</v>
      </c>
      <c r="C769" s="25" t="s">
        <v>146</v>
      </c>
      <c r="D769" s="26">
        <v>43862</v>
      </c>
      <c r="E769" s="182">
        <f>SUMIF('FY19-20'!$C$10:$C$172,Import!B769,'FY19-20'!$L$10:$L$172)</f>
        <v>0</v>
      </c>
      <c r="F769" s="182">
        <f t="shared" si="26"/>
        <v>0</v>
      </c>
      <c r="G769" s="179" t="s">
        <v>408</v>
      </c>
      <c r="H769" s="182">
        <v>726</v>
      </c>
      <c r="J769" s="181"/>
    </row>
    <row r="770" spans="1:10" ht="14">
      <c r="A770" s="183" t="s">
        <v>147</v>
      </c>
      <c r="B770" s="178">
        <v>3401</v>
      </c>
      <c r="C770" s="25" t="s">
        <v>146</v>
      </c>
      <c r="D770" s="26">
        <v>43862</v>
      </c>
      <c r="E770" s="182">
        <f>SUMIF('FY19-20'!$C$10:$C$172,Import!B770,'FY19-20'!$L$10:$L$172)</f>
        <v>90235.61</v>
      </c>
      <c r="F770" s="182">
        <f t="shared" si="26"/>
        <v>0</v>
      </c>
      <c r="G770" s="179" t="s">
        <v>408</v>
      </c>
      <c r="H770" s="182">
        <v>727</v>
      </c>
      <c r="J770" s="181"/>
    </row>
    <row r="771" spans="1:10" ht="14">
      <c r="A771" s="183" t="s">
        <v>147</v>
      </c>
      <c r="B771" s="178">
        <v>3402</v>
      </c>
      <c r="C771" s="25" t="s">
        <v>146</v>
      </c>
      <c r="D771" s="26">
        <v>43862</v>
      </c>
      <c r="E771" s="182">
        <f>SUMIF('FY19-20'!$C$10:$C$172,Import!B771,'FY19-20'!$L$10:$L$172)</f>
        <v>0</v>
      </c>
      <c r="F771" s="182">
        <f t="shared" si="26"/>
        <v>0</v>
      </c>
      <c r="G771" s="179" t="s">
        <v>408</v>
      </c>
      <c r="H771" s="182">
        <v>728</v>
      </c>
      <c r="J771" s="181"/>
    </row>
    <row r="772" spans="1:10" ht="14">
      <c r="A772" s="183" t="s">
        <v>147</v>
      </c>
      <c r="B772" s="178">
        <v>3501</v>
      </c>
      <c r="C772" s="25" t="s">
        <v>146</v>
      </c>
      <c r="D772" s="26">
        <v>43862</v>
      </c>
      <c r="E772" s="182">
        <f>SUMIF('FY19-20'!$C$10:$C$172,Import!B772,'FY19-20'!$L$10:$L$172)</f>
        <v>7530.28</v>
      </c>
      <c r="F772" s="182">
        <f t="shared" si="26"/>
        <v>0</v>
      </c>
      <c r="G772" s="179" t="s">
        <v>408</v>
      </c>
      <c r="H772" s="182">
        <v>729</v>
      </c>
      <c r="J772" s="181"/>
    </row>
    <row r="773" spans="1:10" ht="14">
      <c r="A773" s="183" t="s">
        <v>147</v>
      </c>
      <c r="B773" s="178">
        <v>3502</v>
      </c>
      <c r="C773" s="25" t="s">
        <v>146</v>
      </c>
      <c r="D773" s="26">
        <v>43862</v>
      </c>
      <c r="E773" s="182">
        <f>SUMIF('FY19-20'!$C$10:$C$172,Import!B773,'FY19-20'!$L$10:$L$172)</f>
        <v>0</v>
      </c>
      <c r="F773" s="182">
        <f t="shared" si="26"/>
        <v>0</v>
      </c>
      <c r="G773" s="179" t="s">
        <v>408</v>
      </c>
      <c r="H773" s="182">
        <v>730</v>
      </c>
      <c r="J773" s="181"/>
    </row>
    <row r="774" spans="1:10" ht="14">
      <c r="A774" s="183" t="s">
        <v>147</v>
      </c>
      <c r="B774" s="178">
        <v>3601</v>
      </c>
      <c r="C774" s="25" t="s">
        <v>146</v>
      </c>
      <c r="D774" s="26">
        <v>43862</v>
      </c>
      <c r="E774" s="182">
        <f>SUMIF('FY19-20'!$C$10:$C$172,Import!B774,'FY19-20'!$L$10:$L$172)</f>
        <v>7813.52</v>
      </c>
      <c r="F774" s="182">
        <f t="shared" si="26"/>
        <v>0</v>
      </c>
      <c r="G774" s="179" t="s">
        <v>408</v>
      </c>
      <c r="H774" s="182">
        <v>731</v>
      </c>
      <c r="J774" s="181"/>
    </row>
    <row r="775" spans="1:10" ht="14">
      <c r="A775" s="183" t="s">
        <v>147</v>
      </c>
      <c r="B775" s="178">
        <v>3602</v>
      </c>
      <c r="C775" s="25" t="s">
        <v>146</v>
      </c>
      <c r="D775" s="26">
        <v>43862</v>
      </c>
      <c r="E775" s="182">
        <f>SUMIF('FY19-20'!$C$10:$C$172,Import!B775,'FY19-20'!$L$10:$L$172)</f>
        <v>0</v>
      </c>
      <c r="F775" s="182">
        <f t="shared" si="26"/>
        <v>0</v>
      </c>
      <c r="G775" s="179" t="s">
        <v>408</v>
      </c>
      <c r="H775" s="182">
        <v>732</v>
      </c>
      <c r="J775" s="181"/>
    </row>
    <row r="776" spans="1:10" ht="14">
      <c r="A776" s="183" t="s">
        <v>147</v>
      </c>
      <c r="B776" s="178">
        <v>3901</v>
      </c>
      <c r="C776" s="25" t="s">
        <v>146</v>
      </c>
      <c r="D776" s="26">
        <v>43862</v>
      </c>
      <c r="E776" s="182">
        <f>SUMIF('FY19-20'!$C$10:$C$172,Import!B776,'FY19-20'!$L$10:$L$172)</f>
        <v>0</v>
      </c>
      <c r="F776" s="182">
        <f t="shared" si="26"/>
        <v>0</v>
      </c>
      <c r="G776" s="179" t="s">
        <v>408</v>
      </c>
      <c r="H776" s="182">
        <v>733</v>
      </c>
      <c r="J776" s="181"/>
    </row>
    <row r="777" spans="1:10" ht="14">
      <c r="A777" s="183" t="s">
        <v>147</v>
      </c>
      <c r="B777" s="178">
        <v>3902</v>
      </c>
      <c r="C777" s="25" t="s">
        <v>146</v>
      </c>
      <c r="D777" s="26">
        <v>43862</v>
      </c>
      <c r="E777" s="182">
        <f>SUMIF('FY19-20'!$C$10:$C$172,Import!B777,'FY19-20'!$L$10:$L$172)</f>
        <v>0</v>
      </c>
      <c r="F777" s="182">
        <f t="shared" si="26"/>
        <v>0</v>
      </c>
      <c r="G777" s="179" t="s">
        <v>408</v>
      </c>
      <c r="H777" s="182">
        <v>734</v>
      </c>
      <c r="J777" s="181"/>
    </row>
    <row r="778" spans="1:10" ht="14">
      <c r="A778" s="183" t="s">
        <v>147</v>
      </c>
      <c r="B778" s="178">
        <v>4100</v>
      </c>
      <c r="C778" s="25" t="s">
        <v>146</v>
      </c>
      <c r="D778" s="26">
        <v>43862</v>
      </c>
      <c r="E778" s="182">
        <f>SUMIF('FY19-20'!$C$10:$C$172,Import!B778,'FY19-20'!$L$10:$L$172)</f>
        <v>0</v>
      </c>
      <c r="F778" s="182">
        <f t="shared" si="26"/>
        <v>0</v>
      </c>
      <c r="G778" s="179" t="s">
        <v>408</v>
      </c>
      <c r="H778" s="182">
        <v>735</v>
      </c>
      <c r="J778" s="181"/>
    </row>
    <row r="779" spans="1:10" ht="14">
      <c r="A779" s="183" t="s">
        <v>147</v>
      </c>
      <c r="B779" s="178">
        <v>4200</v>
      </c>
      <c r="C779" s="25" t="s">
        <v>146</v>
      </c>
      <c r="D779" s="26">
        <v>43862</v>
      </c>
      <c r="E779" s="182">
        <f>SUMIF('FY19-20'!$C$10:$C$172,Import!B779,'FY19-20'!$L$10:$L$172)</f>
        <v>0</v>
      </c>
      <c r="F779" s="182">
        <f t="shared" si="26"/>
        <v>0</v>
      </c>
      <c r="G779" s="179" t="s">
        <v>408</v>
      </c>
      <c r="H779" s="182">
        <v>736</v>
      </c>
      <c r="J779" s="181"/>
    </row>
    <row r="780" spans="1:10" ht="14">
      <c r="A780" s="183" t="s">
        <v>147</v>
      </c>
      <c r="B780" s="178">
        <v>4302</v>
      </c>
      <c r="C780" s="25" t="s">
        <v>146</v>
      </c>
      <c r="D780" s="26">
        <v>43862</v>
      </c>
      <c r="E780" s="182">
        <f>SUMIF('FY19-20'!$C$10:$C$172,Import!B780,'FY19-20'!$L$10:$L$172)</f>
        <v>175260.59</v>
      </c>
      <c r="F780" s="182">
        <f t="shared" si="26"/>
        <v>0</v>
      </c>
      <c r="G780" s="179" t="s">
        <v>408</v>
      </c>
      <c r="H780" s="182">
        <v>737</v>
      </c>
      <c r="J780" s="181"/>
    </row>
    <row r="781" spans="1:10" ht="14">
      <c r="A781" s="183" t="s">
        <v>147</v>
      </c>
      <c r="B781" s="178">
        <v>4305</v>
      </c>
      <c r="C781" s="25" t="s">
        <v>146</v>
      </c>
      <c r="D781" s="26">
        <v>43862</v>
      </c>
      <c r="E781" s="182">
        <f>SUMIF('FY19-20'!$C$10:$C$172,Import!B781,'FY19-20'!$L$10:$L$172)</f>
        <v>24678.02</v>
      </c>
      <c r="F781" s="182">
        <f t="shared" si="26"/>
        <v>0</v>
      </c>
      <c r="G781" s="179" t="s">
        <v>408</v>
      </c>
      <c r="H781" s="182">
        <v>738</v>
      </c>
      <c r="J781" s="181"/>
    </row>
    <row r="782" spans="1:10" ht="14">
      <c r="A782" s="183" t="s">
        <v>147</v>
      </c>
      <c r="B782" s="178">
        <v>4310</v>
      </c>
      <c r="C782" s="25" t="s">
        <v>146</v>
      </c>
      <c r="D782" s="26">
        <v>43862</v>
      </c>
      <c r="E782" s="182">
        <f>SUMIF('FY19-20'!$C$10:$C$172,Import!B782,'FY19-20'!$L$10:$L$172)</f>
        <v>2605.38</v>
      </c>
      <c r="F782" s="182">
        <f t="shared" si="26"/>
        <v>0</v>
      </c>
      <c r="G782" s="179" t="s">
        <v>408</v>
      </c>
      <c r="H782" s="182">
        <v>739</v>
      </c>
      <c r="J782" s="181"/>
    </row>
    <row r="783" spans="1:10" ht="14">
      <c r="A783" s="183" t="s">
        <v>147</v>
      </c>
      <c r="B783" s="178">
        <v>4311</v>
      </c>
      <c r="C783" s="25" t="s">
        <v>146</v>
      </c>
      <c r="D783" s="26">
        <v>43862</v>
      </c>
      <c r="E783" s="182">
        <f>SUMIF('FY19-20'!$C$10:$C$172,Import!B783,'FY19-20'!$L$10:$L$172)</f>
        <v>0</v>
      </c>
      <c r="F783" s="182">
        <f t="shared" si="26"/>
        <v>0</v>
      </c>
      <c r="G783" s="179" t="s">
        <v>408</v>
      </c>
      <c r="H783" s="182">
        <v>740</v>
      </c>
      <c r="J783" s="181"/>
    </row>
    <row r="784" spans="1:10" ht="14">
      <c r="A784" s="183" t="s">
        <v>147</v>
      </c>
      <c r="B784" s="178">
        <v>4312</v>
      </c>
      <c r="C784" s="25" t="s">
        <v>146</v>
      </c>
      <c r="D784" s="26">
        <v>43862</v>
      </c>
      <c r="E784" s="182">
        <f>SUMIF('FY19-20'!$C$10:$C$172,Import!B784,'FY19-20'!$L$10:$L$172)</f>
        <v>0</v>
      </c>
      <c r="F784" s="182">
        <f t="shared" si="26"/>
        <v>0</v>
      </c>
      <c r="G784" s="179" t="s">
        <v>408</v>
      </c>
      <c r="H784" s="182">
        <v>741</v>
      </c>
      <c r="J784" s="181"/>
    </row>
    <row r="785" spans="1:10" ht="14">
      <c r="A785" s="183" t="s">
        <v>147</v>
      </c>
      <c r="B785" s="178">
        <v>4400</v>
      </c>
      <c r="C785" s="25" t="s">
        <v>146</v>
      </c>
      <c r="D785" s="26">
        <v>43862</v>
      </c>
      <c r="E785" s="182">
        <f>SUMIF('FY19-20'!$C$10:$C$172,Import!B785,'FY19-20'!$L$10:$L$172)</f>
        <v>19.989999999999998</v>
      </c>
      <c r="F785" s="182">
        <f t="shared" ref="F785:F814" si="27">-IF(E785&lt;0,E785)</f>
        <v>0</v>
      </c>
      <c r="G785" s="179" t="s">
        <v>408</v>
      </c>
      <c r="H785" s="182">
        <v>742</v>
      </c>
      <c r="J785" s="181"/>
    </row>
    <row r="786" spans="1:10" ht="14">
      <c r="A786" s="183" t="s">
        <v>147</v>
      </c>
      <c r="B786" s="178">
        <v>4700</v>
      </c>
      <c r="C786" s="25" t="s">
        <v>146</v>
      </c>
      <c r="D786" s="26">
        <v>43862</v>
      </c>
      <c r="E786" s="182">
        <f>SUMIF('FY19-20'!$C$10:$C$172,Import!B786,'FY19-20'!$L$10:$L$172)</f>
        <v>0</v>
      </c>
      <c r="F786" s="182">
        <f t="shared" si="27"/>
        <v>0</v>
      </c>
      <c r="G786" s="179" t="s">
        <v>408</v>
      </c>
      <c r="H786" s="182">
        <v>743</v>
      </c>
      <c r="J786" s="181"/>
    </row>
    <row r="787" spans="1:10" ht="14">
      <c r="A787" s="183" t="s">
        <v>147</v>
      </c>
      <c r="B787" s="178">
        <v>5101</v>
      </c>
      <c r="C787" s="25" t="s">
        <v>146</v>
      </c>
      <c r="D787" s="26">
        <v>43862</v>
      </c>
      <c r="E787" s="182">
        <f>SUMIF('FY19-20'!$C$10:$C$172,Import!B787,'FY19-20'!$L$10:$L$172)</f>
        <v>0</v>
      </c>
      <c r="F787" s="182">
        <f t="shared" si="27"/>
        <v>0</v>
      </c>
      <c r="G787" s="179" t="s">
        <v>408</v>
      </c>
      <c r="H787" s="182">
        <v>744</v>
      </c>
      <c r="J787" s="181"/>
    </row>
    <row r="788" spans="1:10" ht="14">
      <c r="A788" s="183" t="s">
        <v>147</v>
      </c>
      <c r="B788" s="178">
        <v>5102</v>
      </c>
      <c r="C788" s="25" t="s">
        <v>146</v>
      </c>
      <c r="D788" s="26">
        <v>43862</v>
      </c>
      <c r="E788" s="182">
        <f>SUMIF('FY19-20'!$C$10:$C$172,Import!B788,'FY19-20'!$L$10:$L$172)</f>
        <v>65217.91</v>
      </c>
      <c r="F788" s="182">
        <f t="shared" si="27"/>
        <v>0</v>
      </c>
      <c r="G788" s="179" t="s">
        <v>408</v>
      </c>
      <c r="H788" s="182">
        <v>745</v>
      </c>
      <c r="J788" s="181"/>
    </row>
    <row r="789" spans="1:10" ht="14">
      <c r="A789" s="183" t="s">
        <v>147</v>
      </c>
      <c r="B789" s="178">
        <v>5103</v>
      </c>
      <c r="C789" s="25" t="s">
        <v>146</v>
      </c>
      <c r="D789" s="26">
        <v>43862</v>
      </c>
      <c r="E789" s="182">
        <f>SUMIF('FY19-20'!$C$10:$C$172,Import!B789,'FY19-20'!$L$10:$L$172)</f>
        <v>0</v>
      </c>
      <c r="F789" s="182">
        <f t="shared" si="27"/>
        <v>0</v>
      </c>
      <c r="G789" s="179" t="s">
        <v>408</v>
      </c>
      <c r="H789" s="182">
        <v>746</v>
      </c>
      <c r="J789" s="181"/>
    </row>
    <row r="790" spans="1:10" ht="14">
      <c r="A790" s="183" t="s">
        <v>147</v>
      </c>
      <c r="B790" s="178">
        <v>5104</v>
      </c>
      <c r="C790" s="25" t="s">
        <v>146</v>
      </c>
      <c r="D790" s="26">
        <v>43862</v>
      </c>
      <c r="E790" s="182">
        <f>SUMIF('FY19-20'!$C$10:$C$172,Import!B790,'FY19-20'!$L$10:$L$172)</f>
        <v>0</v>
      </c>
      <c r="F790" s="182">
        <f t="shared" si="27"/>
        <v>0</v>
      </c>
      <c r="G790" s="179" t="s">
        <v>408</v>
      </c>
      <c r="H790" s="182">
        <v>747</v>
      </c>
      <c r="J790" s="181"/>
    </row>
    <row r="791" spans="1:10" ht="14">
      <c r="A791" s="183" t="s">
        <v>147</v>
      </c>
      <c r="B791" s="178">
        <v>5105</v>
      </c>
      <c r="C791" s="25" t="s">
        <v>146</v>
      </c>
      <c r="D791" s="26">
        <v>43862</v>
      </c>
      <c r="E791" s="182">
        <f>SUMIF('FY19-20'!$C$10:$C$172,Import!B791,'FY19-20'!$L$10:$L$172)</f>
        <v>0</v>
      </c>
      <c r="F791" s="182">
        <f t="shared" si="27"/>
        <v>0</v>
      </c>
      <c r="G791" s="179" t="s">
        <v>408</v>
      </c>
      <c r="H791" s="182">
        <v>748</v>
      </c>
      <c r="J791" s="181"/>
    </row>
    <row r="792" spans="1:10" ht="14">
      <c r="A792" s="183" t="s">
        <v>147</v>
      </c>
      <c r="B792" s="178">
        <v>5106</v>
      </c>
      <c r="C792" s="25" t="s">
        <v>146</v>
      </c>
      <c r="D792" s="26">
        <v>43862</v>
      </c>
      <c r="E792" s="182">
        <f>SUMIF('FY19-20'!$C$10:$C$172,Import!B792,'FY19-20'!$L$10:$L$172)</f>
        <v>343317.25</v>
      </c>
      <c r="F792" s="182">
        <f t="shared" si="27"/>
        <v>0</v>
      </c>
      <c r="G792" s="179" t="s">
        <v>408</v>
      </c>
      <c r="H792" s="182">
        <v>749</v>
      </c>
      <c r="J792" s="181"/>
    </row>
    <row r="793" spans="1:10" ht="14">
      <c r="A793" s="183" t="s">
        <v>147</v>
      </c>
      <c r="B793" s="178">
        <v>5107</v>
      </c>
      <c r="C793" s="25" t="s">
        <v>146</v>
      </c>
      <c r="D793" s="26">
        <v>43862</v>
      </c>
      <c r="E793" s="182">
        <f>SUMIF('FY19-20'!$C$10:$C$172,Import!B793,'FY19-20'!$L$10:$L$172)</f>
        <v>253948</v>
      </c>
      <c r="F793" s="182">
        <f t="shared" ref="F793" si="28">-IF(E793&lt;0,E793)</f>
        <v>0</v>
      </c>
      <c r="G793" s="179" t="s">
        <v>408</v>
      </c>
      <c r="H793" s="182">
        <v>749</v>
      </c>
      <c r="J793" s="181"/>
    </row>
    <row r="794" spans="1:10" ht="14">
      <c r="A794" s="183" t="s">
        <v>147</v>
      </c>
      <c r="B794" s="178">
        <v>5201</v>
      </c>
      <c r="C794" s="25" t="s">
        <v>146</v>
      </c>
      <c r="D794" s="26">
        <v>43862</v>
      </c>
      <c r="E794" s="182">
        <f>SUMIF('FY19-20'!$C$10:$C$172,Import!B794,'FY19-20'!$L$10:$L$172)</f>
        <v>1290.1500000000001</v>
      </c>
      <c r="F794" s="182">
        <f t="shared" si="27"/>
        <v>0</v>
      </c>
      <c r="G794" s="179" t="s">
        <v>408</v>
      </c>
      <c r="H794" s="182">
        <v>750</v>
      </c>
      <c r="J794" s="181"/>
    </row>
    <row r="795" spans="1:10" ht="14">
      <c r="A795" s="183" t="s">
        <v>147</v>
      </c>
      <c r="B795" s="178">
        <v>5202</v>
      </c>
      <c r="C795" s="25" t="s">
        <v>146</v>
      </c>
      <c r="D795" s="26">
        <v>43862</v>
      </c>
      <c r="E795" s="182">
        <f>SUMIF('FY19-20'!$C$10:$C$172,Import!B795,'FY19-20'!$L$10:$L$172)</f>
        <v>0</v>
      </c>
      <c r="F795" s="182">
        <f t="shared" si="27"/>
        <v>0</v>
      </c>
      <c r="G795" s="179" t="s">
        <v>408</v>
      </c>
      <c r="H795" s="182">
        <v>751</v>
      </c>
      <c r="J795" s="181"/>
    </row>
    <row r="796" spans="1:10" ht="14">
      <c r="A796" s="183" t="s">
        <v>147</v>
      </c>
      <c r="B796" s="178">
        <v>5203</v>
      </c>
      <c r="C796" s="25" t="s">
        <v>146</v>
      </c>
      <c r="D796" s="26">
        <v>43862</v>
      </c>
      <c r="E796" s="182">
        <f>SUMIF('FY19-20'!$C$10:$C$172,Import!B796,'FY19-20'!$L$10:$L$172)</f>
        <v>0</v>
      </c>
      <c r="F796" s="182">
        <f t="shared" si="27"/>
        <v>0</v>
      </c>
      <c r="G796" s="179" t="s">
        <v>408</v>
      </c>
      <c r="H796" s="182">
        <v>752</v>
      </c>
      <c r="J796" s="181"/>
    </row>
    <row r="797" spans="1:10" ht="14">
      <c r="A797" s="183" t="s">
        <v>147</v>
      </c>
      <c r="B797" s="178">
        <v>5300</v>
      </c>
      <c r="C797" s="25" t="s">
        <v>146</v>
      </c>
      <c r="D797" s="26">
        <v>43862</v>
      </c>
      <c r="E797" s="182">
        <f>SUMIF('FY19-20'!$C$10:$C$172,Import!B797,'FY19-20'!$L$10:$L$172)</f>
        <v>0</v>
      </c>
      <c r="F797" s="182">
        <f t="shared" si="27"/>
        <v>0</v>
      </c>
      <c r="G797" s="179" t="s">
        <v>408</v>
      </c>
      <c r="H797" s="182">
        <v>753</v>
      </c>
      <c r="J797" s="181"/>
    </row>
    <row r="798" spans="1:10" ht="14">
      <c r="A798" s="183" t="s">
        <v>147</v>
      </c>
      <c r="B798" s="178">
        <v>5400</v>
      </c>
      <c r="C798" s="25" t="s">
        <v>146</v>
      </c>
      <c r="D798" s="26">
        <v>43862</v>
      </c>
      <c r="E798" s="182">
        <f>SUMIF('FY19-20'!$C$10:$C$172,Import!B798,'FY19-20'!$L$10:$L$172)</f>
        <v>1296.22</v>
      </c>
      <c r="F798" s="182">
        <f t="shared" si="27"/>
        <v>0</v>
      </c>
      <c r="G798" s="179" t="s">
        <v>408</v>
      </c>
      <c r="H798" s="182">
        <v>754</v>
      </c>
      <c r="J798" s="181"/>
    </row>
    <row r="799" spans="1:10" ht="14">
      <c r="A799" s="183" t="s">
        <v>147</v>
      </c>
      <c r="B799" s="178">
        <v>5501</v>
      </c>
      <c r="C799" s="25" t="s">
        <v>146</v>
      </c>
      <c r="D799" s="26">
        <v>43862</v>
      </c>
      <c r="E799" s="182">
        <f>SUMIF('FY19-20'!$C$10:$C$172,Import!B799,'FY19-20'!$L$10:$L$172)</f>
        <v>0</v>
      </c>
      <c r="F799" s="182">
        <f t="shared" si="27"/>
        <v>0</v>
      </c>
      <c r="G799" s="179" t="s">
        <v>408</v>
      </c>
      <c r="H799" s="182">
        <v>755</v>
      </c>
      <c r="J799" s="181"/>
    </row>
    <row r="800" spans="1:10" ht="14">
      <c r="A800" s="183" t="s">
        <v>147</v>
      </c>
      <c r="B800" s="178">
        <v>5502</v>
      </c>
      <c r="C800" s="25" t="s">
        <v>146</v>
      </c>
      <c r="D800" s="26">
        <v>43862</v>
      </c>
      <c r="E800" s="182">
        <f>SUMIF('FY19-20'!$C$10:$C$172,Import!B800,'FY19-20'!$L$10:$L$172)</f>
        <v>35</v>
      </c>
      <c r="F800" s="182">
        <f t="shared" si="27"/>
        <v>0</v>
      </c>
      <c r="G800" s="179" t="s">
        <v>408</v>
      </c>
      <c r="H800" s="182">
        <v>756</v>
      </c>
      <c r="J800" s="181"/>
    </row>
    <row r="801" spans="1:10" ht="14">
      <c r="A801" s="183" t="s">
        <v>147</v>
      </c>
      <c r="B801" s="178">
        <v>5516</v>
      </c>
      <c r="C801" s="25" t="s">
        <v>146</v>
      </c>
      <c r="D801" s="26">
        <v>43862</v>
      </c>
      <c r="E801" s="182">
        <f>SUMIF('FY19-20'!$C$10:$C$172,Import!B801,'FY19-20'!$L$10:$L$172)</f>
        <v>0</v>
      </c>
      <c r="F801" s="182">
        <f t="shared" si="27"/>
        <v>0</v>
      </c>
      <c r="G801" s="179" t="s">
        <v>408</v>
      </c>
      <c r="H801" s="182">
        <v>757</v>
      </c>
      <c r="J801" s="181"/>
    </row>
    <row r="802" spans="1:10" ht="14">
      <c r="A802" s="183" t="s">
        <v>147</v>
      </c>
      <c r="B802" s="178">
        <v>5531</v>
      </c>
      <c r="C802" s="25" t="s">
        <v>146</v>
      </c>
      <c r="D802" s="26">
        <v>43862</v>
      </c>
      <c r="E802" s="182">
        <f>SUMIF('FY19-20'!$C$10:$C$172,Import!B802,'FY19-20'!$L$10:$L$172)</f>
        <v>0</v>
      </c>
      <c r="F802" s="182">
        <f t="shared" si="27"/>
        <v>0</v>
      </c>
      <c r="G802" s="179" t="s">
        <v>408</v>
      </c>
      <c r="H802" s="182">
        <v>760</v>
      </c>
      <c r="J802" s="181"/>
    </row>
    <row r="803" spans="1:10" ht="14">
      <c r="A803" s="183" t="s">
        <v>147</v>
      </c>
      <c r="B803" s="178">
        <v>5540</v>
      </c>
      <c r="C803" s="25" t="s">
        <v>146</v>
      </c>
      <c r="D803" s="26">
        <v>43862</v>
      </c>
      <c r="E803" s="182">
        <f>SUMIF('FY19-20'!$C$10:$C$172,Import!B803,'FY19-20'!$L$10:$L$172)</f>
        <v>0</v>
      </c>
      <c r="F803" s="182">
        <f t="shared" si="27"/>
        <v>0</v>
      </c>
      <c r="G803" s="179" t="s">
        <v>408</v>
      </c>
      <c r="H803" s="182">
        <v>761</v>
      </c>
      <c r="J803" s="181"/>
    </row>
    <row r="804" spans="1:10" ht="14">
      <c r="A804" s="183" t="s">
        <v>147</v>
      </c>
      <c r="B804" s="178">
        <v>5601</v>
      </c>
      <c r="C804" s="25" t="s">
        <v>146</v>
      </c>
      <c r="D804" s="26">
        <v>43862</v>
      </c>
      <c r="E804" s="182">
        <f>SUMIF('FY19-20'!$C$10:$C$172,Import!B804,'FY19-20'!$L$10:$L$172)</f>
        <v>0</v>
      </c>
      <c r="F804" s="182">
        <f t="shared" si="27"/>
        <v>0</v>
      </c>
      <c r="G804" s="179" t="s">
        <v>408</v>
      </c>
      <c r="H804" s="182">
        <v>762</v>
      </c>
      <c r="J804" s="181"/>
    </row>
    <row r="805" spans="1:10" ht="14">
      <c r="A805" s="183" t="s">
        <v>147</v>
      </c>
      <c r="B805" s="178">
        <v>5602</v>
      </c>
      <c r="C805" s="25" t="s">
        <v>146</v>
      </c>
      <c r="D805" s="26">
        <v>43862</v>
      </c>
      <c r="E805" s="182">
        <f>SUMIF('FY19-20'!$C$10:$C$172,Import!B805,'FY19-20'!$L$10:$L$172)</f>
        <v>0</v>
      </c>
      <c r="F805" s="182">
        <f t="shared" si="27"/>
        <v>0</v>
      </c>
      <c r="G805" s="179" t="s">
        <v>408</v>
      </c>
      <c r="H805" s="182">
        <v>763</v>
      </c>
      <c r="J805" s="181"/>
    </row>
    <row r="806" spans="1:10" ht="14">
      <c r="A806" s="183" t="s">
        <v>147</v>
      </c>
      <c r="B806" s="178">
        <v>5603</v>
      </c>
      <c r="C806" s="25" t="s">
        <v>146</v>
      </c>
      <c r="D806" s="26">
        <v>43862</v>
      </c>
      <c r="E806" s="182">
        <f>SUMIF('FY19-20'!$C$10:$C$172,Import!B806,'FY19-20'!$L$10:$L$172)</f>
        <v>0</v>
      </c>
      <c r="F806" s="182">
        <f t="shared" si="27"/>
        <v>0</v>
      </c>
      <c r="G806" s="179" t="s">
        <v>408</v>
      </c>
      <c r="H806" s="182">
        <v>764</v>
      </c>
      <c r="J806" s="181"/>
    </row>
    <row r="807" spans="1:10" ht="14">
      <c r="A807" s="183" t="s">
        <v>147</v>
      </c>
      <c r="B807" s="178">
        <v>5604</v>
      </c>
      <c r="C807" s="25" t="s">
        <v>146</v>
      </c>
      <c r="D807" s="26">
        <v>43862</v>
      </c>
      <c r="E807" s="182">
        <f>SUMIF('FY19-20'!$C$10:$C$172,Import!B807,'FY19-20'!$L$10:$L$172)</f>
        <v>1100</v>
      </c>
      <c r="F807" s="182">
        <f t="shared" si="27"/>
        <v>0</v>
      </c>
      <c r="G807" s="179" t="s">
        <v>408</v>
      </c>
      <c r="H807" s="182">
        <v>765</v>
      </c>
      <c r="J807" s="181"/>
    </row>
    <row r="808" spans="1:10" ht="14">
      <c r="A808" s="183" t="s">
        <v>147</v>
      </c>
      <c r="B808" s="178">
        <v>5605</v>
      </c>
      <c r="C808" s="25" t="s">
        <v>146</v>
      </c>
      <c r="D808" s="26">
        <v>43862</v>
      </c>
      <c r="E808" s="182">
        <f>SUMIF('FY19-20'!$C$10:$C$172,Import!B808,'FY19-20'!$L$10:$L$172)</f>
        <v>0</v>
      </c>
      <c r="F808" s="182">
        <f t="shared" si="27"/>
        <v>0</v>
      </c>
      <c r="G808" s="179" t="s">
        <v>408</v>
      </c>
      <c r="H808" s="182">
        <v>766</v>
      </c>
      <c r="J808" s="181"/>
    </row>
    <row r="809" spans="1:10" ht="14">
      <c r="A809" s="183" t="s">
        <v>147</v>
      </c>
      <c r="B809" s="178">
        <v>5610</v>
      </c>
      <c r="C809" s="25" t="s">
        <v>146</v>
      </c>
      <c r="D809" s="26">
        <v>43862</v>
      </c>
      <c r="E809" s="182">
        <f>SUMIF('FY19-20'!$C$10:$C$172,Import!B809,'FY19-20'!$L$10:$L$172)</f>
        <v>-35</v>
      </c>
      <c r="F809" s="182">
        <f t="shared" si="27"/>
        <v>35</v>
      </c>
      <c r="G809" s="179" t="s">
        <v>408</v>
      </c>
      <c r="H809" s="182">
        <v>767</v>
      </c>
      <c r="J809" s="181"/>
    </row>
    <row r="810" spans="1:10" ht="14">
      <c r="A810" s="183" t="s">
        <v>147</v>
      </c>
      <c r="B810" s="178">
        <v>5801</v>
      </c>
      <c r="C810" s="25" t="s">
        <v>146</v>
      </c>
      <c r="D810" s="26">
        <v>43862</v>
      </c>
      <c r="E810" s="182">
        <f>SUMIF('FY19-20'!$C$10:$C$172,Import!B810,'FY19-20'!$L$10:$L$172)</f>
        <v>0</v>
      </c>
      <c r="F810" s="182">
        <f t="shared" si="27"/>
        <v>0</v>
      </c>
      <c r="G810" s="179" t="s">
        <v>408</v>
      </c>
      <c r="H810" s="182">
        <v>768</v>
      </c>
      <c r="J810" s="181"/>
    </row>
    <row r="811" spans="1:10" ht="14">
      <c r="A811" s="183" t="s">
        <v>147</v>
      </c>
      <c r="B811" s="178">
        <v>5802</v>
      </c>
      <c r="C811" s="25" t="s">
        <v>146</v>
      </c>
      <c r="D811" s="26">
        <v>43862</v>
      </c>
      <c r="E811" s="182">
        <f>SUMIF('FY19-20'!$C$10:$C$172,Import!B811,'FY19-20'!$L$10:$L$172)</f>
        <v>0</v>
      </c>
      <c r="F811" s="182">
        <f t="shared" si="27"/>
        <v>0</v>
      </c>
      <c r="G811" s="179" t="s">
        <v>408</v>
      </c>
      <c r="H811" s="182">
        <v>769</v>
      </c>
      <c r="J811" s="181"/>
    </row>
    <row r="812" spans="1:10" ht="14">
      <c r="A812" s="183" t="s">
        <v>147</v>
      </c>
      <c r="B812" s="178">
        <v>5803</v>
      </c>
      <c r="C812" s="25" t="s">
        <v>146</v>
      </c>
      <c r="D812" s="26">
        <v>43862</v>
      </c>
      <c r="E812" s="182">
        <f>SUMIF('FY19-20'!$C$10:$C$172,Import!B812,'FY19-20'!$L$10:$L$172)</f>
        <v>986.21</v>
      </c>
      <c r="F812" s="182">
        <f t="shared" si="27"/>
        <v>0</v>
      </c>
      <c r="G812" s="179" t="s">
        <v>408</v>
      </c>
      <c r="H812" s="182">
        <v>770</v>
      </c>
      <c r="J812" s="181"/>
    </row>
    <row r="813" spans="1:10" ht="14">
      <c r="A813" s="183" t="s">
        <v>147</v>
      </c>
      <c r="B813" s="178">
        <v>5804</v>
      </c>
      <c r="C813" s="25" t="s">
        <v>146</v>
      </c>
      <c r="D813" s="26">
        <v>43862</v>
      </c>
      <c r="E813" s="182">
        <f>SUMIF('FY19-20'!$C$10:$C$172,Import!B813,'FY19-20'!$L$10:$L$172)</f>
        <v>0</v>
      </c>
      <c r="F813" s="182">
        <f t="shared" si="27"/>
        <v>0</v>
      </c>
      <c r="G813" s="179" t="s">
        <v>408</v>
      </c>
      <c r="H813" s="182">
        <v>771</v>
      </c>
      <c r="J813" s="181"/>
    </row>
    <row r="814" spans="1:10" ht="14">
      <c r="A814" s="183" t="s">
        <v>147</v>
      </c>
      <c r="B814" s="178">
        <v>5805</v>
      </c>
      <c r="C814" s="25" t="s">
        <v>146</v>
      </c>
      <c r="D814" s="26">
        <v>43862</v>
      </c>
      <c r="E814" s="182">
        <f>SUMIF('FY19-20'!$C$10:$C$172,Import!B814,'FY19-20'!$L$10:$L$172)</f>
        <v>852</v>
      </c>
      <c r="F814" s="182">
        <f t="shared" si="27"/>
        <v>0</v>
      </c>
      <c r="G814" s="179" t="s">
        <v>408</v>
      </c>
      <c r="H814" s="182">
        <v>772</v>
      </c>
      <c r="J814" s="181"/>
    </row>
    <row r="815" spans="1:10" ht="14">
      <c r="A815" s="183" t="s">
        <v>147</v>
      </c>
      <c r="B815" s="178">
        <v>5806</v>
      </c>
      <c r="C815" s="25" t="s">
        <v>146</v>
      </c>
      <c r="D815" s="26">
        <v>43862</v>
      </c>
      <c r="E815" s="182">
        <f>SUMIF('FY19-20'!$C$10:$C$172,Import!B815,'FY19-20'!$L$10:$L$172)</f>
        <v>17783.38</v>
      </c>
      <c r="F815" s="182">
        <f>-IF(E815&lt;0,E815,0)</f>
        <v>0</v>
      </c>
      <c r="G815" s="179" t="s">
        <v>408</v>
      </c>
      <c r="J815" s="181"/>
    </row>
    <row r="816" spans="1:10" ht="14">
      <c r="A816" s="183" t="s">
        <v>147</v>
      </c>
      <c r="B816" s="178">
        <v>5807</v>
      </c>
      <c r="C816" s="25" t="s">
        <v>146</v>
      </c>
      <c r="D816" s="26">
        <v>43862</v>
      </c>
      <c r="E816" s="182">
        <f>SUMIF('FY19-20'!$C$10:$C$172,Import!B816,'FY19-20'!$L$10:$L$172)</f>
        <v>0</v>
      </c>
      <c r="F816" s="182">
        <f>-IF(E816&lt;0,E816,0)</f>
        <v>0</v>
      </c>
      <c r="G816" s="179" t="s">
        <v>408</v>
      </c>
      <c r="J816" s="181"/>
    </row>
    <row r="817" spans="1:10" ht="14">
      <c r="A817" s="183" t="s">
        <v>147</v>
      </c>
      <c r="B817" s="178">
        <v>5808</v>
      </c>
      <c r="C817" s="25" t="s">
        <v>146</v>
      </c>
      <c r="D817" s="26">
        <v>43862</v>
      </c>
      <c r="E817" s="182">
        <f>SUMIF('FY19-20'!$C$10:$C$172,Import!B817,'FY19-20'!$L$10:$L$172)</f>
        <v>457.85</v>
      </c>
      <c r="F817" s="182">
        <f>-IF(E817&lt;0,E817,0)</f>
        <v>0</v>
      </c>
      <c r="G817" s="179" t="s">
        <v>408</v>
      </c>
      <c r="J817" s="181"/>
    </row>
    <row r="818" spans="1:10" ht="14">
      <c r="A818" s="183" t="s">
        <v>147</v>
      </c>
      <c r="B818" s="178">
        <v>5809</v>
      </c>
      <c r="C818" s="25" t="s">
        <v>146</v>
      </c>
      <c r="D818" s="26">
        <v>43862</v>
      </c>
      <c r="E818" s="182">
        <f>SUMIF('FY19-20'!$C$10:$C$172,Import!B818,'FY19-20'!$L$10:$L$172)</f>
        <v>31642.48</v>
      </c>
      <c r="F818" s="182">
        <f>-IF(E818&lt;0,E818,0)</f>
        <v>0</v>
      </c>
      <c r="G818" s="179" t="s">
        <v>408</v>
      </c>
      <c r="J818" s="181"/>
    </row>
    <row r="819" spans="1:10" ht="14">
      <c r="A819" s="183" t="s">
        <v>147</v>
      </c>
      <c r="B819" s="178">
        <v>5810</v>
      </c>
      <c r="C819" s="25" t="s">
        <v>146</v>
      </c>
      <c r="D819" s="26">
        <v>43862</v>
      </c>
      <c r="E819" s="182">
        <f>SUMIF('FY19-20'!$C$10:$C$172,Import!B819,'FY19-20'!$L$10:$L$172)</f>
        <v>0</v>
      </c>
      <c r="F819" s="182">
        <f>-IF(E819&lt;0,E819)</f>
        <v>0</v>
      </c>
      <c r="G819" s="179" t="s">
        <v>408</v>
      </c>
      <c r="H819" s="182">
        <v>773</v>
      </c>
      <c r="J819" s="181"/>
    </row>
    <row r="820" spans="1:10" ht="14">
      <c r="A820" s="183" t="s">
        <v>147</v>
      </c>
      <c r="B820" s="178">
        <v>5811</v>
      </c>
      <c r="C820" s="25" t="s">
        <v>146</v>
      </c>
      <c r="D820" s="26">
        <v>43862</v>
      </c>
      <c r="E820" s="182">
        <f>SUMIF('FY19-20'!$C$10:$C$172,Import!B820,'FY19-20'!$L$10:$L$172)</f>
        <v>77289</v>
      </c>
      <c r="F820" s="182">
        <f>-IF(E820&lt;0,E820)</f>
        <v>0</v>
      </c>
      <c r="G820" s="179" t="s">
        <v>408</v>
      </c>
      <c r="H820" s="182">
        <v>774</v>
      </c>
      <c r="J820" s="181"/>
    </row>
    <row r="821" spans="1:10" ht="14">
      <c r="A821" s="183" t="s">
        <v>147</v>
      </c>
      <c r="B821" s="178">
        <v>5812</v>
      </c>
      <c r="C821" s="25" t="s">
        <v>146</v>
      </c>
      <c r="D821" s="26">
        <v>43862</v>
      </c>
      <c r="E821" s="182">
        <f>SUMIF('FY19-20'!$C$10:$C$172,Import!B821,'FY19-20'!$L$10:$L$172)</f>
        <v>0</v>
      </c>
      <c r="F821" s="182">
        <f>-IF(E821&lt;0,E821)</f>
        <v>0</v>
      </c>
      <c r="G821" s="179" t="s">
        <v>408</v>
      </c>
      <c r="H821" s="182">
        <v>775</v>
      </c>
      <c r="J821" s="181"/>
    </row>
    <row r="822" spans="1:10" ht="14">
      <c r="A822" s="183" t="s">
        <v>147</v>
      </c>
      <c r="B822" s="178">
        <v>5813</v>
      </c>
      <c r="C822" s="25" t="s">
        <v>146</v>
      </c>
      <c r="D822" s="26">
        <v>43862</v>
      </c>
      <c r="E822" s="182">
        <f>SUMIF('FY19-20'!$C$10:$C$172,Import!B822,'FY19-20'!$L$10:$L$172)</f>
        <v>0</v>
      </c>
      <c r="F822" s="182">
        <f>-IF(E822&lt;0,E822)</f>
        <v>0</v>
      </c>
      <c r="G822" s="179" t="s">
        <v>408</v>
      </c>
      <c r="H822" s="182">
        <v>776</v>
      </c>
      <c r="J822" s="181"/>
    </row>
    <row r="823" spans="1:10" ht="14">
      <c r="A823" s="183" t="s">
        <v>147</v>
      </c>
      <c r="B823" s="178">
        <v>5814</v>
      </c>
      <c r="C823" s="25" t="s">
        <v>146</v>
      </c>
      <c r="D823" s="26">
        <v>43862</v>
      </c>
      <c r="E823" s="182">
        <f>SUMIF('FY19-20'!$C$10:$C$172,Import!B823,'FY19-20'!$L$10:$L$172)</f>
        <v>0</v>
      </c>
      <c r="F823" s="182">
        <f>-IF(E823&lt;0,E823)</f>
        <v>0</v>
      </c>
      <c r="G823" s="179" t="s">
        <v>408</v>
      </c>
      <c r="H823" s="182">
        <v>777</v>
      </c>
      <c r="J823" s="181"/>
    </row>
    <row r="824" spans="1:10" ht="14">
      <c r="A824" s="183" t="s">
        <v>147</v>
      </c>
      <c r="B824" s="178">
        <v>5815</v>
      </c>
      <c r="C824" s="25" t="s">
        <v>146</v>
      </c>
      <c r="D824" s="26">
        <v>43862</v>
      </c>
      <c r="E824" s="182">
        <f>SUMIF('FY19-20'!$C$10:$C$172,Import!B824,'FY19-20'!$L$10:$L$172)</f>
        <v>0</v>
      </c>
      <c r="F824" s="182">
        <f>-IF(E824&lt;0,E824,0)</f>
        <v>0</v>
      </c>
      <c r="G824" s="179" t="s">
        <v>408</v>
      </c>
      <c r="J824" s="181"/>
    </row>
    <row r="825" spans="1:10" ht="14">
      <c r="A825" s="183" t="s">
        <v>147</v>
      </c>
      <c r="B825" s="178">
        <v>5820</v>
      </c>
      <c r="C825" s="25" t="s">
        <v>146</v>
      </c>
      <c r="D825" s="26">
        <v>43862</v>
      </c>
      <c r="E825" s="182">
        <f>SUMIF('FY19-20'!$C$10:$C$172,Import!B825,'FY19-20'!$L$10:$L$172)</f>
        <v>0</v>
      </c>
      <c r="F825" s="182">
        <f>-IF(E825&lt;0,E825,0)</f>
        <v>0</v>
      </c>
      <c r="G825" s="179" t="s">
        <v>408</v>
      </c>
      <c r="J825" s="181"/>
    </row>
    <row r="826" spans="1:10" ht="14">
      <c r="A826" s="183" t="s">
        <v>147</v>
      </c>
      <c r="B826" s="178">
        <v>5900</v>
      </c>
      <c r="C826" s="25" t="s">
        <v>146</v>
      </c>
      <c r="D826" s="26">
        <v>43862</v>
      </c>
      <c r="E826" s="182">
        <f>SUMIF('FY19-20'!$C$10:$C$172,Import!B826,'FY19-20'!$L$10:$L$172)</f>
        <v>0</v>
      </c>
      <c r="F826" s="182">
        <f>-IF(E826&lt;0,E826)</f>
        <v>0</v>
      </c>
      <c r="G826" s="179" t="s">
        <v>408</v>
      </c>
      <c r="H826" s="182">
        <v>778</v>
      </c>
      <c r="J826" s="181"/>
    </row>
    <row r="827" spans="1:10" ht="14">
      <c r="A827" s="183" t="s">
        <v>147</v>
      </c>
      <c r="B827" s="178">
        <v>5901</v>
      </c>
      <c r="C827" s="25" t="s">
        <v>146</v>
      </c>
      <c r="D827" s="26">
        <v>43862</v>
      </c>
      <c r="E827" s="182">
        <f>SUMIF('FY19-20'!$C$10:$C$172,Import!B827,'FY19-20'!$L$10:$L$172)</f>
        <v>215.13</v>
      </c>
      <c r="F827" s="182">
        <f>-IF(E827&lt;0,E827,0)</f>
        <v>0</v>
      </c>
      <c r="G827" s="179" t="s">
        <v>408</v>
      </c>
    </row>
    <row r="828" spans="1:10" ht="14">
      <c r="A828" s="183" t="s">
        <v>147</v>
      </c>
      <c r="B828" s="178">
        <v>6900</v>
      </c>
      <c r="C828" s="25" t="s">
        <v>146</v>
      </c>
      <c r="D828" s="26">
        <v>43862</v>
      </c>
      <c r="E828" s="182">
        <f>SUMIF('FY19-20'!$C$10:$C$172,Import!B828,'FY19-20'!$L$10:$L$172)</f>
        <v>50</v>
      </c>
      <c r="F828" s="182">
        <f t="shared" ref="F828:F859" si="29">-IF(E828&lt;0,E828)</f>
        <v>0</v>
      </c>
      <c r="G828" s="179" t="s">
        <v>408</v>
      </c>
      <c r="H828" s="182">
        <v>779</v>
      </c>
      <c r="J828" s="181"/>
    </row>
    <row r="829" spans="1:10" ht="14">
      <c r="A829" s="183" t="s">
        <v>147</v>
      </c>
      <c r="B829" s="178">
        <v>7438</v>
      </c>
      <c r="C829" s="25" t="s">
        <v>146</v>
      </c>
      <c r="D829" s="26">
        <v>43862</v>
      </c>
      <c r="E829" s="182">
        <f>SUMIF('FY19-20'!$C$10:$C$172,Import!B829,'FY19-20'!$L$10:$L$172)</f>
        <v>117924</v>
      </c>
      <c r="F829" s="182">
        <f t="shared" si="29"/>
        <v>0</v>
      </c>
      <c r="G829" s="179" t="s">
        <v>408</v>
      </c>
      <c r="H829" s="182">
        <v>780</v>
      </c>
      <c r="J829" s="181"/>
    </row>
    <row r="830" spans="1:10" ht="14">
      <c r="A830" s="183" t="s">
        <v>147</v>
      </c>
      <c r="B830" s="178">
        <v>8011</v>
      </c>
      <c r="C830" s="25" t="s">
        <v>146</v>
      </c>
      <c r="D830" s="26">
        <v>43862</v>
      </c>
      <c r="E830" s="182">
        <f>SUMIF('FY19-20'!$C$10:$C$172,Import!B830,'FY19-20'!$L$10:$L$172)</f>
        <v>0</v>
      </c>
      <c r="F830" s="182">
        <f t="shared" si="29"/>
        <v>0</v>
      </c>
      <c r="G830" s="179" t="s">
        <v>408</v>
      </c>
      <c r="H830" s="182">
        <v>781</v>
      </c>
      <c r="J830" s="181"/>
    </row>
    <row r="831" spans="1:10" ht="14">
      <c r="A831" s="183" t="s">
        <v>147</v>
      </c>
      <c r="B831" s="178">
        <v>8012</v>
      </c>
      <c r="C831" s="25" t="s">
        <v>146</v>
      </c>
      <c r="D831" s="26">
        <v>43862</v>
      </c>
      <c r="E831" s="182">
        <f>SUMIF('FY19-20'!$C$10:$C$172,Import!B831,'FY19-20'!$L$10:$L$172)</f>
        <v>0</v>
      </c>
      <c r="F831" s="182">
        <f t="shared" si="29"/>
        <v>0</v>
      </c>
      <c r="G831" s="179" t="s">
        <v>408</v>
      </c>
      <c r="H831" s="182">
        <v>782</v>
      </c>
      <c r="J831" s="181"/>
    </row>
    <row r="832" spans="1:10" ht="14">
      <c r="A832" s="183" t="s">
        <v>147</v>
      </c>
      <c r="B832" s="178">
        <v>8019</v>
      </c>
      <c r="C832" s="25" t="s">
        <v>146</v>
      </c>
      <c r="D832" s="26">
        <v>43862</v>
      </c>
      <c r="E832" s="182">
        <f>SUMIF('FY19-20'!$C$10:$C$172,Import!B832,'FY19-20'!$L$10:$L$172)</f>
        <v>0</v>
      </c>
      <c r="F832" s="182">
        <f t="shared" si="29"/>
        <v>0</v>
      </c>
      <c r="G832" s="179" t="s">
        <v>408</v>
      </c>
      <c r="H832" s="182">
        <v>783</v>
      </c>
      <c r="J832" s="181"/>
    </row>
    <row r="833" spans="1:10" ht="14">
      <c r="A833" s="183" t="s">
        <v>147</v>
      </c>
      <c r="B833" s="178">
        <v>8096</v>
      </c>
      <c r="C833" s="25" t="s">
        <v>146</v>
      </c>
      <c r="D833" s="26">
        <v>43862</v>
      </c>
      <c r="E833" s="182">
        <f>SUMIF('FY19-20'!$C$10:$C$172,Import!B833,'FY19-20'!$L$10:$L$172)</f>
        <v>0</v>
      </c>
      <c r="F833" s="182">
        <f t="shared" si="29"/>
        <v>0</v>
      </c>
      <c r="G833" s="179" t="s">
        <v>408</v>
      </c>
      <c r="H833" s="182">
        <v>784</v>
      </c>
      <c r="J833" s="181"/>
    </row>
    <row r="834" spans="1:10" ht="14">
      <c r="A834" s="183" t="s">
        <v>147</v>
      </c>
      <c r="B834" s="178">
        <v>8181</v>
      </c>
      <c r="C834" s="25" t="s">
        <v>146</v>
      </c>
      <c r="D834" s="26">
        <v>43862</v>
      </c>
      <c r="E834" s="182">
        <f>SUMIF('FY19-20'!$C$10:$C$172,Import!B834,'FY19-20'!$L$10:$L$172)</f>
        <v>0</v>
      </c>
      <c r="F834" s="182">
        <f t="shared" si="29"/>
        <v>0</v>
      </c>
      <c r="G834" s="179" t="s">
        <v>408</v>
      </c>
      <c r="H834" s="182">
        <v>785</v>
      </c>
      <c r="J834" s="181"/>
    </row>
    <row r="835" spans="1:10" ht="14">
      <c r="A835" s="183" t="s">
        <v>147</v>
      </c>
      <c r="B835" s="178">
        <v>8182</v>
      </c>
      <c r="C835" s="25" t="s">
        <v>146</v>
      </c>
      <c r="D835" s="26">
        <v>43862</v>
      </c>
      <c r="E835" s="182">
        <f>SUMIF('FY19-20'!$C$10:$C$172,Import!B835,'FY19-20'!$L$10:$L$172)</f>
        <v>0</v>
      </c>
      <c r="F835" s="182">
        <f t="shared" si="29"/>
        <v>0</v>
      </c>
      <c r="G835" s="179" t="s">
        <v>408</v>
      </c>
      <c r="H835" s="182">
        <v>786</v>
      </c>
      <c r="J835" s="181"/>
    </row>
    <row r="836" spans="1:10" ht="14">
      <c r="A836" s="183" t="s">
        <v>147</v>
      </c>
      <c r="B836" s="178">
        <v>8220</v>
      </c>
      <c r="C836" s="25" t="s">
        <v>146</v>
      </c>
      <c r="D836" s="26">
        <v>43862</v>
      </c>
      <c r="E836" s="182">
        <f>SUMIF('FY19-20'!$C$10:$C$172,Import!B836,'FY19-20'!$L$10:$L$172)</f>
        <v>0</v>
      </c>
      <c r="F836" s="182">
        <f t="shared" si="29"/>
        <v>0</v>
      </c>
      <c r="G836" s="179" t="s">
        <v>408</v>
      </c>
      <c r="H836" s="182">
        <v>787</v>
      </c>
      <c r="J836" s="181"/>
    </row>
    <row r="837" spans="1:10" ht="14">
      <c r="A837" s="183" t="s">
        <v>147</v>
      </c>
      <c r="B837" s="178">
        <v>8290</v>
      </c>
      <c r="C837" s="25" t="s">
        <v>146</v>
      </c>
      <c r="D837" s="26">
        <v>43862</v>
      </c>
      <c r="E837" s="182">
        <f>SUMIF('FY19-20'!$C$10:$C$172,Import!B837,'FY19-20'!$L$10:$L$172)</f>
        <v>0</v>
      </c>
      <c r="F837" s="182">
        <f t="shared" si="29"/>
        <v>0</v>
      </c>
      <c r="G837" s="179" t="s">
        <v>408</v>
      </c>
      <c r="H837" s="182">
        <v>788</v>
      </c>
      <c r="J837" s="181"/>
    </row>
    <row r="838" spans="1:10" ht="14">
      <c r="A838" s="183" t="s">
        <v>147</v>
      </c>
      <c r="B838" s="178">
        <v>8291</v>
      </c>
      <c r="C838" s="25" t="s">
        <v>146</v>
      </c>
      <c r="D838" s="26">
        <v>43862</v>
      </c>
      <c r="E838" s="182">
        <f>SUMIF('FY19-20'!$C$10:$C$172,Import!B838,'FY19-20'!$L$10:$L$172)</f>
        <v>0</v>
      </c>
      <c r="F838" s="182">
        <f t="shared" si="29"/>
        <v>0</v>
      </c>
      <c r="G838" s="179" t="s">
        <v>408</v>
      </c>
      <c r="H838" s="182">
        <v>789</v>
      </c>
      <c r="J838" s="181"/>
    </row>
    <row r="839" spans="1:10" ht="14">
      <c r="A839" s="183" t="s">
        <v>147</v>
      </c>
      <c r="B839" s="178">
        <v>8292</v>
      </c>
      <c r="C839" s="25" t="s">
        <v>146</v>
      </c>
      <c r="D839" s="26">
        <v>43862</v>
      </c>
      <c r="E839" s="182">
        <f>SUMIF('FY19-20'!$C$10:$C$172,Import!B839,'FY19-20'!$L$10:$L$172)</f>
        <v>0</v>
      </c>
      <c r="F839" s="182">
        <f t="shared" si="29"/>
        <v>0</v>
      </c>
      <c r="G839" s="179" t="s">
        <v>408</v>
      </c>
      <c r="H839" s="182">
        <v>790</v>
      </c>
      <c r="J839" s="181"/>
    </row>
    <row r="840" spans="1:10" ht="14">
      <c r="A840" s="183" t="s">
        <v>147</v>
      </c>
      <c r="B840" s="178">
        <v>8293</v>
      </c>
      <c r="C840" s="25" t="s">
        <v>146</v>
      </c>
      <c r="D840" s="26">
        <v>43862</v>
      </c>
      <c r="E840" s="182">
        <f>SUMIF('FY19-20'!$C$10:$C$172,Import!B840,'FY19-20'!$L$10:$L$172)</f>
        <v>0</v>
      </c>
      <c r="F840" s="182">
        <f t="shared" si="29"/>
        <v>0</v>
      </c>
      <c r="G840" s="179" t="s">
        <v>408</v>
      </c>
      <c r="H840" s="182">
        <v>791</v>
      </c>
      <c r="J840" s="181"/>
    </row>
    <row r="841" spans="1:10" ht="14">
      <c r="A841" s="183" t="s">
        <v>147</v>
      </c>
      <c r="B841" s="178">
        <v>8294</v>
      </c>
      <c r="C841" s="25" t="s">
        <v>146</v>
      </c>
      <c r="D841" s="26">
        <v>43862</v>
      </c>
      <c r="E841" s="182">
        <f>SUMIF('FY19-20'!$C$10:$C$172,Import!B841,'FY19-20'!$L$10:$L$172)</f>
        <v>0</v>
      </c>
      <c r="F841" s="182">
        <f t="shared" si="29"/>
        <v>0</v>
      </c>
      <c r="G841" s="179" t="s">
        <v>408</v>
      </c>
      <c r="H841" s="182">
        <v>792</v>
      </c>
      <c r="J841" s="181"/>
    </row>
    <row r="842" spans="1:10" ht="14">
      <c r="A842" s="183" t="s">
        <v>147</v>
      </c>
      <c r="B842" s="178">
        <v>8295</v>
      </c>
      <c r="C842" s="25" t="s">
        <v>146</v>
      </c>
      <c r="D842" s="26">
        <v>43862</v>
      </c>
      <c r="E842" s="182">
        <f>SUMIF('FY19-20'!$C$10:$C$172,Import!B842,'FY19-20'!$L$10:$L$172)</f>
        <v>0</v>
      </c>
      <c r="F842" s="182">
        <f t="shared" si="29"/>
        <v>0</v>
      </c>
      <c r="G842" s="179" t="s">
        <v>408</v>
      </c>
      <c r="H842" s="182">
        <v>793</v>
      </c>
      <c r="J842" s="181"/>
    </row>
    <row r="843" spans="1:10" ht="14">
      <c r="A843" s="183" t="s">
        <v>147</v>
      </c>
      <c r="B843" s="178">
        <v>8296</v>
      </c>
      <c r="C843" s="25" t="s">
        <v>146</v>
      </c>
      <c r="D843" s="26">
        <v>43862</v>
      </c>
      <c r="E843" s="182">
        <f>SUMIF('FY19-20'!$C$10:$C$172,Import!B843,'FY19-20'!$L$10:$L$172)</f>
        <v>0</v>
      </c>
      <c r="F843" s="182">
        <f t="shared" si="29"/>
        <v>0</v>
      </c>
      <c r="G843" s="179" t="s">
        <v>408</v>
      </c>
      <c r="H843" s="182">
        <v>794</v>
      </c>
      <c r="J843" s="181"/>
    </row>
    <row r="844" spans="1:10" ht="14">
      <c r="A844" s="183" t="s">
        <v>147</v>
      </c>
      <c r="B844" s="178">
        <v>8299</v>
      </c>
      <c r="C844" s="25" t="s">
        <v>146</v>
      </c>
      <c r="D844" s="26">
        <v>43862</v>
      </c>
      <c r="E844" s="182">
        <f>SUMIF('FY19-20'!$C$10:$C$172,Import!B844,'FY19-20'!$L$10:$L$172)</f>
        <v>0</v>
      </c>
      <c r="F844" s="182">
        <f t="shared" si="29"/>
        <v>0</v>
      </c>
      <c r="G844" s="179" t="s">
        <v>408</v>
      </c>
      <c r="H844" s="182">
        <v>795</v>
      </c>
      <c r="J844" s="181"/>
    </row>
    <row r="845" spans="1:10" ht="14">
      <c r="A845" s="183" t="s">
        <v>147</v>
      </c>
      <c r="B845" s="178">
        <v>8311</v>
      </c>
      <c r="C845" s="25" t="s">
        <v>146</v>
      </c>
      <c r="D845" s="26">
        <v>43862</v>
      </c>
      <c r="E845" s="182">
        <f>SUMIF('FY19-20'!$C$10:$C$172,Import!B845,'FY19-20'!$L$10:$L$172)</f>
        <v>0</v>
      </c>
      <c r="F845" s="182">
        <f t="shared" si="29"/>
        <v>0</v>
      </c>
      <c r="G845" s="179" t="s">
        <v>408</v>
      </c>
      <c r="H845" s="182">
        <v>796</v>
      </c>
      <c r="J845" s="181"/>
    </row>
    <row r="846" spans="1:10" ht="14">
      <c r="A846" s="183" t="s">
        <v>147</v>
      </c>
      <c r="B846" s="178">
        <v>8520</v>
      </c>
      <c r="C846" s="25" t="s">
        <v>146</v>
      </c>
      <c r="D846" s="26">
        <v>43862</v>
      </c>
      <c r="E846" s="182">
        <f>SUMIF('FY19-20'!$C$10:$C$172,Import!B846,'FY19-20'!$L$10:$L$172)</f>
        <v>0</v>
      </c>
      <c r="F846" s="182">
        <f t="shared" si="29"/>
        <v>0</v>
      </c>
      <c r="G846" s="179" t="s">
        <v>408</v>
      </c>
      <c r="H846" s="182">
        <v>797</v>
      </c>
      <c r="J846" s="181"/>
    </row>
    <row r="847" spans="1:10" ht="14">
      <c r="A847" s="183" t="s">
        <v>147</v>
      </c>
      <c r="B847" s="178">
        <v>8545</v>
      </c>
      <c r="C847" s="25" t="s">
        <v>146</v>
      </c>
      <c r="D847" s="26">
        <v>43862</v>
      </c>
      <c r="E847" s="182">
        <f>SUMIF('FY19-20'!$C$10:$C$172,Import!B847,'FY19-20'!$L$10:$L$172)</f>
        <v>0</v>
      </c>
      <c r="F847" s="182">
        <f t="shared" si="29"/>
        <v>0</v>
      </c>
      <c r="G847" s="179" t="s">
        <v>408</v>
      </c>
      <c r="H847" s="182">
        <v>798</v>
      </c>
      <c r="J847" s="181"/>
    </row>
    <row r="848" spans="1:10" ht="14">
      <c r="A848" s="183" t="s">
        <v>147</v>
      </c>
      <c r="B848" s="178">
        <v>8550</v>
      </c>
      <c r="C848" s="25" t="s">
        <v>146</v>
      </c>
      <c r="D848" s="26">
        <v>43862</v>
      </c>
      <c r="E848" s="182">
        <f>SUMIF('FY19-20'!$C$10:$C$172,Import!B848,'FY19-20'!$L$10:$L$172)</f>
        <v>0</v>
      </c>
      <c r="F848" s="182">
        <f t="shared" si="29"/>
        <v>0</v>
      </c>
      <c r="G848" s="179" t="s">
        <v>408</v>
      </c>
      <c r="H848" s="182">
        <v>799</v>
      </c>
      <c r="J848" s="181"/>
    </row>
    <row r="849" spans="1:10" ht="14">
      <c r="A849" s="183" t="s">
        <v>147</v>
      </c>
      <c r="B849" s="178">
        <v>8560</v>
      </c>
      <c r="C849" s="25" t="s">
        <v>146</v>
      </c>
      <c r="D849" s="26">
        <v>43862</v>
      </c>
      <c r="E849" s="182">
        <f>SUMIF('FY19-20'!$C$10:$C$172,Import!B849,'FY19-20'!$L$10:$L$172)</f>
        <v>0</v>
      </c>
      <c r="F849" s="182">
        <f t="shared" si="29"/>
        <v>0</v>
      </c>
      <c r="G849" s="179" t="s">
        <v>408</v>
      </c>
      <c r="H849" s="182">
        <v>800</v>
      </c>
      <c r="J849" s="181"/>
    </row>
    <row r="850" spans="1:10" ht="14">
      <c r="A850" s="183" t="s">
        <v>147</v>
      </c>
      <c r="B850" s="178">
        <v>8598</v>
      </c>
      <c r="C850" s="25" t="s">
        <v>146</v>
      </c>
      <c r="D850" s="26">
        <v>43862</v>
      </c>
      <c r="E850" s="182">
        <f>SUMIF('FY19-20'!$C$10:$C$172,Import!B850,'FY19-20'!$L$10:$L$172)</f>
        <v>0</v>
      </c>
      <c r="F850" s="182">
        <f t="shared" si="29"/>
        <v>0</v>
      </c>
      <c r="G850" s="179" t="s">
        <v>408</v>
      </c>
      <c r="H850" s="182">
        <v>801</v>
      </c>
      <c r="J850" s="181"/>
    </row>
    <row r="851" spans="1:10" ht="14">
      <c r="A851" s="183" t="s">
        <v>147</v>
      </c>
      <c r="B851" s="178">
        <v>8599</v>
      </c>
      <c r="C851" s="25" t="s">
        <v>146</v>
      </c>
      <c r="D851" s="26">
        <v>43862</v>
      </c>
      <c r="E851" s="182">
        <f>SUMIF('FY19-20'!$C$10:$C$172,Import!B851,'FY19-20'!$L$10:$L$172)</f>
        <v>0</v>
      </c>
      <c r="F851" s="182">
        <f t="shared" si="29"/>
        <v>0</v>
      </c>
      <c r="G851" s="179" t="s">
        <v>408</v>
      </c>
      <c r="H851" s="182">
        <v>802</v>
      </c>
      <c r="J851" s="181"/>
    </row>
    <row r="852" spans="1:10" ht="14">
      <c r="A852" s="183" t="s">
        <v>147</v>
      </c>
      <c r="B852" s="178">
        <v>8634</v>
      </c>
      <c r="C852" s="25" t="s">
        <v>146</v>
      </c>
      <c r="D852" s="26">
        <v>43862</v>
      </c>
      <c r="E852" s="182">
        <f>SUMIF('FY19-20'!$C$10:$C$172,Import!B852,'FY19-20'!$L$10:$L$172)</f>
        <v>0</v>
      </c>
      <c r="F852" s="182">
        <f t="shared" si="29"/>
        <v>0</v>
      </c>
      <c r="G852" s="179" t="s">
        <v>408</v>
      </c>
      <c r="H852" s="182">
        <v>803</v>
      </c>
      <c r="J852" s="181"/>
    </row>
    <row r="853" spans="1:10" ht="14">
      <c r="A853" s="183" t="s">
        <v>147</v>
      </c>
      <c r="B853" s="178">
        <v>8650</v>
      </c>
      <c r="C853" s="25" t="s">
        <v>146</v>
      </c>
      <c r="D853" s="26">
        <v>43862</v>
      </c>
      <c r="E853" s="182">
        <f>SUMIF('FY19-20'!$C$10:$C$172,Import!B853,'FY19-20'!$L$10:$L$172)</f>
        <v>0</v>
      </c>
      <c r="F853" s="182">
        <f t="shared" si="29"/>
        <v>0</v>
      </c>
      <c r="G853" s="179" t="s">
        <v>408</v>
      </c>
      <c r="H853" s="182">
        <v>804</v>
      </c>
      <c r="J853" s="181"/>
    </row>
    <row r="854" spans="1:10" ht="14">
      <c r="A854" s="183" t="s">
        <v>147</v>
      </c>
      <c r="B854" s="178">
        <v>8660</v>
      </c>
      <c r="C854" s="25" t="s">
        <v>146</v>
      </c>
      <c r="D854" s="26">
        <v>43862</v>
      </c>
      <c r="E854" s="182">
        <f>SUMIF('FY19-20'!$C$10:$C$172,Import!B854,'FY19-20'!$L$10:$L$172)</f>
        <v>0</v>
      </c>
      <c r="F854" s="182">
        <f t="shared" si="29"/>
        <v>0</v>
      </c>
      <c r="G854" s="179" t="s">
        <v>408</v>
      </c>
      <c r="H854" s="182">
        <v>805</v>
      </c>
      <c r="J854" s="181"/>
    </row>
    <row r="855" spans="1:10" ht="14">
      <c r="A855" s="183" t="s">
        <v>147</v>
      </c>
      <c r="B855" s="178">
        <v>8689</v>
      </c>
      <c r="C855" s="25" t="s">
        <v>146</v>
      </c>
      <c r="D855" s="26">
        <v>43862</v>
      </c>
      <c r="E855" s="182">
        <f>SUMIF('FY19-20'!$C$10:$C$172,Import!B855,'FY19-20'!$L$10:$L$172)</f>
        <v>0</v>
      </c>
      <c r="F855" s="182">
        <f t="shared" si="29"/>
        <v>0</v>
      </c>
      <c r="G855" s="179" t="s">
        <v>408</v>
      </c>
      <c r="H855" s="182">
        <v>806</v>
      </c>
      <c r="J855" s="181"/>
    </row>
    <row r="856" spans="1:10" ht="14">
      <c r="A856" s="183" t="s">
        <v>147</v>
      </c>
      <c r="B856" s="178">
        <v>8698</v>
      </c>
      <c r="C856" s="25" t="s">
        <v>146</v>
      </c>
      <c r="D856" s="26">
        <v>43862</v>
      </c>
      <c r="E856" s="182">
        <f>SUMIF('FY19-20'!$C$10:$C$172,Import!B856,'FY19-20'!$L$10:$L$172)</f>
        <v>0</v>
      </c>
      <c r="F856" s="182">
        <f t="shared" si="29"/>
        <v>0</v>
      </c>
      <c r="G856" s="179" t="s">
        <v>408</v>
      </c>
      <c r="H856" s="182">
        <v>807</v>
      </c>
      <c r="J856" s="181"/>
    </row>
    <row r="857" spans="1:10" ht="14">
      <c r="A857" s="183" t="s">
        <v>147</v>
      </c>
      <c r="B857" s="178">
        <v>8699</v>
      </c>
      <c r="C857" s="25" t="s">
        <v>146</v>
      </c>
      <c r="D857" s="26">
        <v>43862</v>
      </c>
      <c r="E857" s="182">
        <f>SUMIF('FY19-20'!$C$10:$C$172,Import!B857,'FY19-20'!$L$10:$L$172)</f>
        <v>0</v>
      </c>
      <c r="F857" s="182">
        <f t="shared" si="29"/>
        <v>0</v>
      </c>
      <c r="G857" s="179" t="s">
        <v>408</v>
      </c>
      <c r="H857" s="182">
        <v>808</v>
      </c>
      <c r="J857" s="181"/>
    </row>
    <row r="858" spans="1:10" ht="14">
      <c r="A858" s="183" t="s">
        <v>147</v>
      </c>
      <c r="B858" s="178">
        <v>8980</v>
      </c>
      <c r="C858" s="25" t="s">
        <v>146</v>
      </c>
      <c r="D858" s="26">
        <v>43862</v>
      </c>
      <c r="E858" s="182">
        <f>SUMIF('FY19-20'!$C$10:$C$172,Import!B858,'FY19-20'!$L$10:$L$172)</f>
        <v>0</v>
      </c>
      <c r="F858" s="182">
        <f t="shared" si="29"/>
        <v>0</v>
      </c>
      <c r="G858" s="179" t="s">
        <v>408</v>
      </c>
      <c r="H858" s="182">
        <v>809</v>
      </c>
      <c r="J858" s="181"/>
    </row>
    <row r="859" spans="1:10" ht="14">
      <c r="A859" s="183" t="s">
        <v>147</v>
      </c>
      <c r="B859" s="178">
        <v>8990</v>
      </c>
      <c r="C859" s="25" t="s">
        <v>146</v>
      </c>
      <c r="D859" s="26">
        <v>43862</v>
      </c>
      <c r="E859" s="182">
        <f>SUMIF('FY19-20'!$C$10:$C$172,Import!B859,'FY19-20'!$L$10:$L$172)</f>
        <v>0</v>
      </c>
      <c r="F859" s="182">
        <f t="shared" si="29"/>
        <v>0</v>
      </c>
      <c r="G859" s="179" t="s">
        <v>408</v>
      </c>
      <c r="H859" s="182">
        <v>810</v>
      </c>
      <c r="J859" s="181"/>
    </row>
    <row r="860" spans="1:10" ht="14">
      <c r="A860" s="183" t="s">
        <v>147</v>
      </c>
      <c r="B860" s="178">
        <v>1100</v>
      </c>
      <c r="C860" s="25" t="s">
        <v>146</v>
      </c>
      <c r="D860" s="26">
        <v>43891</v>
      </c>
      <c r="E860" s="182">
        <f>SUMIF('FY19-20'!$C$10:$C$172,Import!B860,'FY19-20'!$M$10:$M$172)</f>
        <v>596455.93000000005</v>
      </c>
      <c r="F860" s="182">
        <f t="shared" ref="F860:F891" si="30">-IF(E860&lt;0,E860)</f>
        <v>0</v>
      </c>
      <c r="G860" s="179" t="s">
        <v>408</v>
      </c>
      <c r="H860" s="182">
        <v>811</v>
      </c>
      <c r="J860" s="181"/>
    </row>
    <row r="861" spans="1:10" ht="14">
      <c r="A861" s="183" t="s">
        <v>147</v>
      </c>
      <c r="B861" s="178">
        <v>1170</v>
      </c>
      <c r="C861" s="25" t="s">
        <v>146</v>
      </c>
      <c r="D861" s="26">
        <v>43891</v>
      </c>
      <c r="E861" s="182">
        <f>SUMIF('FY19-20'!$C$10:$C$172,Import!B861,'FY19-20'!$M$10:$M$172)</f>
        <v>0</v>
      </c>
      <c r="F861" s="182">
        <f t="shared" si="30"/>
        <v>0</v>
      </c>
      <c r="G861" s="179" t="s">
        <v>408</v>
      </c>
      <c r="H861" s="182">
        <v>812</v>
      </c>
      <c r="J861" s="181"/>
    </row>
    <row r="862" spans="1:10" ht="14">
      <c r="A862" s="183" t="s">
        <v>147</v>
      </c>
      <c r="B862" s="178">
        <v>1175</v>
      </c>
      <c r="C862" s="25" t="s">
        <v>146</v>
      </c>
      <c r="D862" s="26">
        <v>43891</v>
      </c>
      <c r="E862" s="182">
        <f>SUMIF('FY19-20'!$C$10:$C$172,Import!B862,'FY19-20'!$M$10:$M$172)</f>
        <v>220577.82</v>
      </c>
      <c r="F862" s="182">
        <f t="shared" si="30"/>
        <v>0</v>
      </c>
      <c r="G862" s="179" t="s">
        <v>408</v>
      </c>
      <c r="H862" s="182">
        <v>813</v>
      </c>
      <c r="J862" s="181"/>
    </row>
    <row r="863" spans="1:10" ht="14">
      <c r="A863" s="183" t="s">
        <v>147</v>
      </c>
      <c r="B863" s="178">
        <v>1200</v>
      </c>
      <c r="C863" s="25" t="s">
        <v>146</v>
      </c>
      <c r="D863" s="26">
        <v>43891</v>
      </c>
      <c r="E863" s="182">
        <f>SUMIF('FY19-20'!$C$10:$C$172,Import!B863,'FY19-20'!$M$10:$M$172)</f>
        <v>12060.92</v>
      </c>
      <c r="F863" s="182">
        <f t="shared" si="30"/>
        <v>0</v>
      </c>
      <c r="G863" s="179" t="s">
        <v>408</v>
      </c>
      <c r="H863" s="182">
        <v>814</v>
      </c>
      <c r="J863" s="181"/>
    </row>
    <row r="864" spans="1:10" ht="14">
      <c r="A864" s="183" t="s">
        <v>147</v>
      </c>
      <c r="B864" s="178">
        <v>1300</v>
      </c>
      <c r="C864" s="25" t="s">
        <v>146</v>
      </c>
      <c r="D864" s="26">
        <v>43891</v>
      </c>
      <c r="E864" s="182">
        <f>SUMIF('FY19-20'!$C$10:$C$172,Import!B864,'FY19-20'!$M$10:$M$172)</f>
        <v>115002.09</v>
      </c>
      <c r="F864" s="182">
        <f t="shared" si="30"/>
        <v>0</v>
      </c>
      <c r="G864" s="179" t="s">
        <v>408</v>
      </c>
      <c r="H864" s="182">
        <v>815</v>
      </c>
      <c r="J864" s="181"/>
    </row>
    <row r="865" spans="1:10" ht="14">
      <c r="A865" s="183" t="s">
        <v>147</v>
      </c>
      <c r="B865" s="178">
        <v>1900</v>
      </c>
      <c r="C865" s="25" t="s">
        <v>146</v>
      </c>
      <c r="D865" s="26">
        <v>43891</v>
      </c>
      <c r="E865" s="182">
        <f>SUMIF('FY19-20'!$C$10:$C$172,Import!B865,'FY19-20'!$M$10:$M$172)</f>
        <v>0</v>
      </c>
      <c r="F865" s="182">
        <f t="shared" si="30"/>
        <v>0</v>
      </c>
      <c r="G865" s="179" t="s">
        <v>408</v>
      </c>
      <c r="H865" s="182">
        <v>816</v>
      </c>
      <c r="J865" s="181"/>
    </row>
    <row r="866" spans="1:10" ht="14">
      <c r="A866" s="183" t="s">
        <v>147</v>
      </c>
      <c r="B866" s="178">
        <v>2100</v>
      </c>
      <c r="C866" s="25" t="s">
        <v>146</v>
      </c>
      <c r="D866" s="26">
        <v>43891</v>
      </c>
      <c r="E866" s="182">
        <f>SUMIF('FY19-20'!$C$10:$C$172,Import!B866,'FY19-20'!$M$10:$M$172)</f>
        <v>22930.18</v>
      </c>
      <c r="F866" s="182">
        <f t="shared" si="30"/>
        <v>0</v>
      </c>
      <c r="G866" s="179" t="s">
        <v>408</v>
      </c>
      <c r="H866" s="182">
        <v>817</v>
      </c>
      <c r="J866" s="181"/>
    </row>
    <row r="867" spans="1:10" ht="14">
      <c r="A867" s="183" t="s">
        <v>147</v>
      </c>
      <c r="B867" s="178">
        <v>2200</v>
      </c>
      <c r="C867" s="25" t="s">
        <v>146</v>
      </c>
      <c r="D867" s="26">
        <v>43891</v>
      </c>
      <c r="E867" s="182">
        <f>SUMIF('FY19-20'!$C$10:$C$172,Import!B867,'FY19-20'!$M$10:$M$172)</f>
        <v>0</v>
      </c>
      <c r="F867" s="182">
        <f t="shared" si="30"/>
        <v>0</v>
      </c>
      <c r="G867" s="179" t="s">
        <v>408</v>
      </c>
      <c r="H867" s="182">
        <v>818</v>
      </c>
      <c r="J867" s="181"/>
    </row>
    <row r="868" spans="1:10" ht="14">
      <c r="A868" s="183" t="s">
        <v>147</v>
      </c>
      <c r="B868" s="178">
        <v>2300</v>
      </c>
      <c r="C868" s="25" t="s">
        <v>146</v>
      </c>
      <c r="D868" s="26">
        <v>43891</v>
      </c>
      <c r="E868" s="182">
        <f>SUMIF('FY19-20'!$C$10:$C$172,Import!B868,'FY19-20'!$M$10:$M$172)</f>
        <v>0</v>
      </c>
      <c r="F868" s="182">
        <f t="shared" si="30"/>
        <v>0</v>
      </c>
      <c r="G868" s="179" t="s">
        <v>408</v>
      </c>
      <c r="H868" s="182">
        <v>819</v>
      </c>
      <c r="J868" s="181"/>
    </row>
    <row r="869" spans="1:10" ht="14">
      <c r="A869" s="183" t="s">
        <v>147</v>
      </c>
      <c r="B869" s="178">
        <v>2400</v>
      </c>
      <c r="C869" s="25" t="s">
        <v>146</v>
      </c>
      <c r="D869" s="26">
        <v>43891</v>
      </c>
      <c r="E869" s="182">
        <f>SUMIF('FY19-20'!$C$10:$C$172,Import!B869,'FY19-20'!$M$10:$M$172)</f>
        <v>5077.07</v>
      </c>
      <c r="F869" s="182">
        <f t="shared" si="30"/>
        <v>0</v>
      </c>
      <c r="G869" s="179" t="s">
        <v>408</v>
      </c>
      <c r="H869" s="182">
        <v>820</v>
      </c>
      <c r="J869" s="181"/>
    </row>
    <row r="870" spans="1:10" ht="14">
      <c r="A870" s="183" t="s">
        <v>147</v>
      </c>
      <c r="B870" s="178">
        <v>2900</v>
      </c>
      <c r="C870" s="25" t="s">
        <v>146</v>
      </c>
      <c r="D870" s="26">
        <v>43891</v>
      </c>
      <c r="E870" s="182">
        <f>SUMIF('FY19-20'!$C$10:$C$172,Import!B870,'FY19-20'!$M$10:$M$172)</f>
        <v>0</v>
      </c>
      <c r="F870" s="182">
        <f t="shared" si="30"/>
        <v>0</v>
      </c>
      <c r="G870" s="179" t="s">
        <v>408</v>
      </c>
      <c r="H870" s="182">
        <v>821</v>
      </c>
      <c r="J870" s="181"/>
    </row>
    <row r="871" spans="1:10" ht="14">
      <c r="A871" s="183" t="s">
        <v>147</v>
      </c>
      <c r="B871" s="178">
        <v>3101</v>
      </c>
      <c r="C871" s="25" t="s">
        <v>146</v>
      </c>
      <c r="D871" s="26">
        <v>43891</v>
      </c>
      <c r="E871" s="182">
        <f>SUMIF('FY19-20'!$C$10:$C$172,Import!B871,'FY19-20'!$M$10:$M$172)</f>
        <v>147256.84</v>
      </c>
      <c r="F871" s="182">
        <f t="shared" si="30"/>
        <v>0</v>
      </c>
      <c r="G871" s="179" t="s">
        <v>408</v>
      </c>
      <c r="H871" s="182">
        <v>822</v>
      </c>
      <c r="J871" s="181"/>
    </row>
    <row r="872" spans="1:10" ht="14">
      <c r="A872" s="183" t="s">
        <v>147</v>
      </c>
      <c r="B872" s="178">
        <v>3202</v>
      </c>
      <c r="C872" s="25" t="s">
        <v>146</v>
      </c>
      <c r="D872" s="26">
        <v>43891</v>
      </c>
      <c r="E872" s="182">
        <f>SUMIF('FY19-20'!$C$10:$C$172,Import!B872,'FY19-20'!$M$10:$M$172)</f>
        <v>0</v>
      </c>
      <c r="F872" s="182">
        <f t="shared" si="30"/>
        <v>0</v>
      </c>
      <c r="G872" s="179" t="s">
        <v>408</v>
      </c>
      <c r="H872" s="182">
        <v>823</v>
      </c>
      <c r="J872" s="181"/>
    </row>
    <row r="873" spans="1:10" ht="14">
      <c r="A873" s="183" t="s">
        <v>147</v>
      </c>
      <c r="B873" s="178">
        <v>3301</v>
      </c>
      <c r="C873" s="25" t="s">
        <v>146</v>
      </c>
      <c r="D873" s="26">
        <v>43891</v>
      </c>
      <c r="E873" s="182">
        <f>SUMIF('FY19-20'!$C$10:$C$172,Import!B873,'FY19-20'!$M$10:$M$172)</f>
        <v>1687.1</v>
      </c>
      <c r="F873" s="182">
        <f t="shared" si="30"/>
        <v>0</v>
      </c>
      <c r="G873" s="179" t="s">
        <v>408</v>
      </c>
      <c r="H873" s="182">
        <v>824</v>
      </c>
      <c r="J873" s="181"/>
    </row>
    <row r="874" spans="1:10" ht="14">
      <c r="A874" s="183" t="s">
        <v>147</v>
      </c>
      <c r="B874" s="178">
        <v>3302</v>
      </c>
      <c r="C874" s="25" t="s">
        <v>146</v>
      </c>
      <c r="D874" s="26">
        <v>43891</v>
      </c>
      <c r="E874" s="182">
        <f>SUMIF('FY19-20'!$C$10:$C$172,Import!B874,'FY19-20'!$M$10:$M$172)</f>
        <v>0</v>
      </c>
      <c r="F874" s="182">
        <f t="shared" si="30"/>
        <v>0</v>
      </c>
      <c r="G874" s="179" t="s">
        <v>408</v>
      </c>
      <c r="H874" s="182">
        <v>825</v>
      </c>
      <c r="J874" s="181"/>
    </row>
    <row r="875" spans="1:10" ht="14">
      <c r="A875" s="183" t="s">
        <v>147</v>
      </c>
      <c r="B875" s="178">
        <v>3311</v>
      </c>
      <c r="C875" s="25" t="s">
        <v>146</v>
      </c>
      <c r="D875" s="26">
        <v>43891</v>
      </c>
      <c r="E875" s="182">
        <f>SUMIF('FY19-20'!$C$10:$C$172,Import!B875,'FY19-20'!$M$10:$M$172)</f>
        <v>13789.14</v>
      </c>
      <c r="F875" s="182">
        <f t="shared" si="30"/>
        <v>0</v>
      </c>
      <c r="G875" s="179" t="s">
        <v>408</v>
      </c>
      <c r="H875" s="182">
        <v>826</v>
      </c>
      <c r="J875" s="181"/>
    </row>
    <row r="876" spans="1:10" ht="14">
      <c r="A876" s="183" t="s">
        <v>147</v>
      </c>
      <c r="B876" s="178">
        <v>3312</v>
      </c>
      <c r="C876" s="25" t="s">
        <v>146</v>
      </c>
      <c r="D876" s="26">
        <v>43891</v>
      </c>
      <c r="E876" s="182">
        <f>SUMIF('FY19-20'!$C$10:$C$172,Import!B876,'FY19-20'!$M$10:$M$172)</f>
        <v>0</v>
      </c>
      <c r="F876" s="182">
        <f t="shared" si="30"/>
        <v>0</v>
      </c>
      <c r="G876" s="179" t="s">
        <v>408</v>
      </c>
      <c r="H876" s="182">
        <v>827</v>
      </c>
      <c r="J876" s="181"/>
    </row>
    <row r="877" spans="1:10" ht="14">
      <c r="A877" s="183" t="s">
        <v>147</v>
      </c>
      <c r="B877" s="178">
        <v>3401</v>
      </c>
      <c r="C877" s="25" t="s">
        <v>146</v>
      </c>
      <c r="D877" s="26">
        <v>43891</v>
      </c>
      <c r="E877" s="182">
        <f>SUMIF('FY19-20'!$C$10:$C$172,Import!B877,'FY19-20'!$M$10:$M$172)</f>
        <v>94322.04</v>
      </c>
      <c r="F877" s="182">
        <f t="shared" si="30"/>
        <v>0</v>
      </c>
      <c r="G877" s="179" t="s">
        <v>408</v>
      </c>
      <c r="H877" s="182">
        <v>828</v>
      </c>
      <c r="J877" s="181"/>
    </row>
    <row r="878" spans="1:10" ht="14">
      <c r="A878" s="183" t="s">
        <v>147</v>
      </c>
      <c r="B878" s="178">
        <v>3402</v>
      </c>
      <c r="C878" s="25" t="s">
        <v>146</v>
      </c>
      <c r="D878" s="26">
        <v>43891</v>
      </c>
      <c r="E878" s="182">
        <f>SUMIF('FY19-20'!$C$10:$C$172,Import!B878,'FY19-20'!$M$10:$M$172)</f>
        <v>0</v>
      </c>
      <c r="F878" s="182">
        <f t="shared" si="30"/>
        <v>0</v>
      </c>
      <c r="G878" s="179" t="s">
        <v>408</v>
      </c>
      <c r="H878" s="182">
        <v>829</v>
      </c>
      <c r="J878" s="181"/>
    </row>
    <row r="879" spans="1:10" ht="14">
      <c r="A879" s="183" t="s">
        <v>147</v>
      </c>
      <c r="B879" s="178">
        <v>3501</v>
      </c>
      <c r="C879" s="25" t="s">
        <v>146</v>
      </c>
      <c r="D879" s="26">
        <v>43891</v>
      </c>
      <c r="E879" s="182">
        <f>SUMIF('FY19-20'!$C$10:$C$172,Import!B879,'FY19-20'!$M$10:$M$172)</f>
        <v>1048.9000000000001</v>
      </c>
      <c r="F879" s="182">
        <f t="shared" si="30"/>
        <v>0</v>
      </c>
      <c r="G879" s="179" t="s">
        <v>408</v>
      </c>
      <c r="H879" s="182">
        <v>830</v>
      </c>
      <c r="J879" s="181"/>
    </row>
    <row r="880" spans="1:10" ht="14">
      <c r="A880" s="183" t="s">
        <v>147</v>
      </c>
      <c r="B880" s="178">
        <v>3502</v>
      </c>
      <c r="C880" s="25" t="s">
        <v>146</v>
      </c>
      <c r="D880" s="26">
        <v>43891</v>
      </c>
      <c r="E880" s="182">
        <f>SUMIF('FY19-20'!$C$10:$C$172,Import!B880,'FY19-20'!$M$10:$M$172)</f>
        <v>0</v>
      </c>
      <c r="F880" s="182">
        <f t="shared" si="30"/>
        <v>0</v>
      </c>
      <c r="G880" s="179" t="s">
        <v>408</v>
      </c>
      <c r="H880" s="182">
        <v>831</v>
      </c>
      <c r="J880" s="181"/>
    </row>
    <row r="881" spans="1:10" ht="14">
      <c r="A881" s="183" t="s">
        <v>147</v>
      </c>
      <c r="B881" s="178">
        <v>3601</v>
      </c>
      <c r="C881" s="25" t="s">
        <v>146</v>
      </c>
      <c r="D881" s="26">
        <v>43891</v>
      </c>
      <c r="E881" s="182">
        <f>SUMIF('FY19-20'!$C$10:$C$172,Import!B881,'FY19-20'!$M$10:$M$172)</f>
        <v>7813.52</v>
      </c>
      <c r="F881" s="182">
        <f t="shared" si="30"/>
        <v>0</v>
      </c>
      <c r="G881" s="179" t="s">
        <v>408</v>
      </c>
      <c r="H881" s="182">
        <v>832</v>
      </c>
      <c r="J881" s="181"/>
    </row>
    <row r="882" spans="1:10" ht="14">
      <c r="A882" s="183" t="s">
        <v>147</v>
      </c>
      <c r="B882" s="178">
        <v>3602</v>
      </c>
      <c r="C882" s="25" t="s">
        <v>146</v>
      </c>
      <c r="D882" s="26">
        <v>43891</v>
      </c>
      <c r="E882" s="182">
        <f>SUMIF('FY19-20'!$C$10:$C$172,Import!B882,'FY19-20'!$M$10:$M$172)</f>
        <v>0</v>
      </c>
      <c r="F882" s="182">
        <f t="shared" si="30"/>
        <v>0</v>
      </c>
      <c r="G882" s="179" t="s">
        <v>408</v>
      </c>
      <c r="H882" s="182">
        <v>833</v>
      </c>
      <c r="J882" s="181"/>
    </row>
    <row r="883" spans="1:10" ht="14">
      <c r="A883" s="183" t="s">
        <v>147</v>
      </c>
      <c r="B883" s="178">
        <v>3901</v>
      </c>
      <c r="C883" s="25" t="s">
        <v>146</v>
      </c>
      <c r="D883" s="26">
        <v>43891</v>
      </c>
      <c r="E883" s="182">
        <f>SUMIF('FY19-20'!$C$10:$C$172,Import!B883,'FY19-20'!$M$10:$M$172)</f>
        <v>0</v>
      </c>
      <c r="F883" s="182">
        <f t="shared" si="30"/>
        <v>0</v>
      </c>
      <c r="G883" s="179" t="s">
        <v>408</v>
      </c>
      <c r="H883" s="182">
        <v>834</v>
      </c>
      <c r="J883" s="181"/>
    </row>
    <row r="884" spans="1:10" ht="14">
      <c r="A884" s="183" t="s">
        <v>147</v>
      </c>
      <c r="B884" s="178">
        <v>3902</v>
      </c>
      <c r="C884" s="25" t="s">
        <v>146</v>
      </c>
      <c r="D884" s="26">
        <v>43891</v>
      </c>
      <c r="E884" s="182">
        <f>SUMIF('FY19-20'!$C$10:$C$172,Import!B884,'FY19-20'!$M$10:$M$172)</f>
        <v>0</v>
      </c>
      <c r="F884" s="182">
        <f t="shared" si="30"/>
        <v>0</v>
      </c>
      <c r="G884" s="179" t="s">
        <v>408</v>
      </c>
      <c r="H884" s="182">
        <v>835</v>
      </c>
      <c r="J884" s="181"/>
    </row>
    <row r="885" spans="1:10" ht="14">
      <c r="A885" s="183" t="s">
        <v>147</v>
      </c>
      <c r="B885" s="178">
        <v>4100</v>
      </c>
      <c r="C885" s="25" t="s">
        <v>146</v>
      </c>
      <c r="D885" s="26">
        <v>43891</v>
      </c>
      <c r="E885" s="182">
        <f>SUMIF('FY19-20'!$C$10:$C$172,Import!B885,'FY19-20'!$M$10:$M$172)</f>
        <v>0</v>
      </c>
      <c r="F885" s="182">
        <f t="shared" si="30"/>
        <v>0</v>
      </c>
      <c r="G885" s="179" t="s">
        <v>408</v>
      </c>
      <c r="H885" s="182">
        <v>836</v>
      </c>
      <c r="J885" s="181"/>
    </row>
    <row r="886" spans="1:10" ht="14">
      <c r="A886" s="183" t="s">
        <v>147</v>
      </c>
      <c r="B886" s="178">
        <v>4200</v>
      </c>
      <c r="C886" s="25" t="s">
        <v>146</v>
      </c>
      <c r="D886" s="26">
        <v>43891</v>
      </c>
      <c r="E886" s="182">
        <f>SUMIF('FY19-20'!$C$10:$C$172,Import!B886,'FY19-20'!$M$10:$M$172)</f>
        <v>0</v>
      </c>
      <c r="F886" s="182">
        <f t="shared" si="30"/>
        <v>0</v>
      </c>
      <c r="G886" s="179" t="s">
        <v>408</v>
      </c>
      <c r="H886" s="182">
        <v>837</v>
      </c>
      <c r="J886" s="181"/>
    </row>
    <row r="887" spans="1:10" ht="14">
      <c r="A887" s="183" t="s">
        <v>147</v>
      </c>
      <c r="B887" s="178">
        <v>4302</v>
      </c>
      <c r="C887" s="25" t="s">
        <v>146</v>
      </c>
      <c r="D887" s="26">
        <v>43891</v>
      </c>
      <c r="E887" s="182">
        <f>SUMIF('FY19-20'!$C$10:$C$172,Import!B887,'FY19-20'!$M$10:$M$172)</f>
        <v>212843.72</v>
      </c>
      <c r="F887" s="182">
        <f t="shared" si="30"/>
        <v>0</v>
      </c>
      <c r="G887" s="179" t="s">
        <v>408</v>
      </c>
      <c r="H887" s="182">
        <v>838</v>
      </c>
      <c r="J887" s="181"/>
    </row>
    <row r="888" spans="1:10" ht="14">
      <c r="A888" s="183" t="s">
        <v>147</v>
      </c>
      <c r="B888" s="178">
        <v>4305</v>
      </c>
      <c r="C888" s="25" t="s">
        <v>146</v>
      </c>
      <c r="D888" s="26">
        <v>43891</v>
      </c>
      <c r="E888" s="182">
        <f>SUMIF('FY19-20'!$C$10:$C$172,Import!B888,'FY19-20'!$M$10:$M$172)</f>
        <v>9835.68</v>
      </c>
      <c r="F888" s="182">
        <f t="shared" si="30"/>
        <v>0</v>
      </c>
      <c r="G888" s="179" t="s">
        <v>408</v>
      </c>
      <c r="H888" s="182">
        <v>839</v>
      </c>
      <c r="J888" s="181"/>
    </row>
    <row r="889" spans="1:10" ht="14">
      <c r="A889" s="183" t="s">
        <v>147</v>
      </c>
      <c r="B889" s="178">
        <v>4310</v>
      </c>
      <c r="C889" s="25" t="s">
        <v>146</v>
      </c>
      <c r="D889" s="26">
        <v>43891</v>
      </c>
      <c r="E889" s="182">
        <f>SUMIF('FY19-20'!$C$10:$C$172,Import!B889,'FY19-20'!$M$10:$M$172)</f>
        <v>2107.27</v>
      </c>
      <c r="F889" s="182">
        <f t="shared" si="30"/>
        <v>0</v>
      </c>
      <c r="G889" s="179" t="s">
        <v>408</v>
      </c>
      <c r="H889" s="182">
        <v>840</v>
      </c>
      <c r="J889" s="181"/>
    </row>
    <row r="890" spans="1:10" ht="14">
      <c r="A890" s="183" t="s">
        <v>147</v>
      </c>
      <c r="B890" s="178">
        <v>4311</v>
      </c>
      <c r="C890" s="25" t="s">
        <v>146</v>
      </c>
      <c r="D890" s="26">
        <v>43891</v>
      </c>
      <c r="E890" s="182">
        <f>SUMIF('FY19-20'!$C$10:$C$172,Import!B890,'FY19-20'!$M$10:$M$172)</f>
        <v>1809.74</v>
      </c>
      <c r="F890" s="182">
        <f t="shared" si="30"/>
        <v>0</v>
      </c>
      <c r="G890" s="179" t="s">
        <v>408</v>
      </c>
      <c r="H890" s="182">
        <v>841</v>
      </c>
      <c r="J890" s="181"/>
    </row>
    <row r="891" spans="1:10" ht="14">
      <c r="A891" s="183" t="s">
        <v>147</v>
      </c>
      <c r="B891" s="178">
        <v>4312</v>
      </c>
      <c r="C891" s="25" t="s">
        <v>146</v>
      </c>
      <c r="D891" s="26">
        <v>43891</v>
      </c>
      <c r="E891" s="182">
        <f>SUMIF('FY19-20'!$C$10:$C$172,Import!B891,'FY19-20'!$M$10:$M$172)</f>
        <v>0</v>
      </c>
      <c r="F891" s="182">
        <f t="shared" si="30"/>
        <v>0</v>
      </c>
      <c r="G891" s="179" t="s">
        <v>408</v>
      </c>
      <c r="H891" s="182">
        <v>842</v>
      </c>
      <c r="J891" s="181"/>
    </row>
    <row r="892" spans="1:10" ht="14">
      <c r="A892" s="183" t="s">
        <v>147</v>
      </c>
      <c r="B892" s="178">
        <v>4400</v>
      </c>
      <c r="C892" s="25" t="s">
        <v>146</v>
      </c>
      <c r="D892" s="26">
        <v>43891</v>
      </c>
      <c r="E892" s="182">
        <f>SUMIF('FY19-20'!$C$10:$C$172,Import!B892,'FY19-20'!$M$10:$M$172)</f>
        <v>0</v>
      </c>
      <c r="F892" s="182">
        <f t="shared" ref="F892:F921" si="31">-IF(E892&lt;0,E892)</f>
        <v>0</v>
      </c>
      <c r="G892" s="179" t="s">
        <v>408</v>
      </c>
      <c r="H892" s="182">
        <v>843</v>
      </c>
      <c r="J892" s="181"/>
    </row>
    <row r="893" spans="1:10" ht="14">
      <c r="A893" s="183" t="s">
        <v>147</v>
      </c>
      <c r="B893" s="178">
        <v>4700</v>
      </c>
      <c r="C893" s="25" t="s">
        <v>146</v>
      </c>
      <c r="D893" s="26">
        <v>43891</v>
      </c>
      <c r="E893" s="182">
        <f>SUMIF('FY19-20'!$C$10:$C$172,Import!B893,'FY19-20'!$M$10:$M$172)</f>
        <v>0</v>
      </c>
      <c r="F893" s="182">
        <f t="shared" si="31"/>
        <v>0</v>
      </c>
      <c r="G893" s="179" t="s">
        <v>408</v>
      </c>
      <c r="H893" s="182">
        <v>844</v>
      </c>
      <c r="J893" s="181"/>
    </row>
    <row r="894" spans="1:10" ht="14">
      <c r="A894" s="183" t="s">
        <v>147</v>
      </c>
      <c r="B894" s="178">
        <v>5101</v>
      </c>
      <c r="C894" s="25" t="s">
        <v>146</v>
      </c>
      <c r="D894" s="26">
        <v>43891</v>
      </c>
      <c r="E894" s="182">
        <f>SUMIF('FY19-20'!$C$10:$C$172,Import!B894,'FY19-20'!$M$10:$M$172)</f>
        <v>0</v>
      </c>
      <c r="F894" s="182">
        <f t="shared" si="31"/>
        <v>0</v>
      </c>
      <c r="G894" s="179" t="s">
        <v>408</v>
      </c>
      <c r="H894" s="182">
        <v>845</v>
      </c>
      <c r="J894" s="181"/>
    </row>
    <row r="895" spans="1:10" ht="14">
      <c r="A895" s="183" t="s">
        <v>147</v>
      </c>
      <c r="B895" s="178">
        <v>5102</v>
      </c>
      <c r="C895" s="25" t="s">
        <v>146</v>
      </c>
      <c r="D895" s="26">
        <v>43891</v>
      </c>
      <c r="E895" s="182">
        <f>SUMIF('FY19-20'!$C$10:$C$172,Import!B895,'FY19-20'!$M$10:$M$172)</f>
        <v>91623.7</v>
      </c>
      <c r="F895" s="182">
        <f t="shared" si="31"/>
        <v>0</v>
      </c>
      <c r="G895" s="179" t="s">
        <v>408</v>
      </c>
      <c r="H895" s="182">
        <v>846</v>
      </c>
      <c r="J895" s="181"/>
    </row>
    <row r="896" spans="1:10" ht="14">
      <c r="A896" s="183" t="s">
        <v>147</v>
      </c>
      <c r="B896" s="178">
        <v>5103</v>
      </c>
      <c r="C896" s="25" t="s">
        <v>146</v>
      </c>
      <c r="D896" s="26">
        <v>43891</v>
      </c>
      <c r="E896" s="182">
        <f>SUMIF('FY19-20'!$C$10:$C$172,Import!B896,'FY19-20'!$M$10:$M$172)</f>
        <v>0</v>
      </c>
      <c r="F896" s="182">
        <f t="shared" si="31"/>
        <v>0</v>
      </c>
      <c r="G896" s="179" t="s">
        <v>408</v>
      </c>
      <c r="H896" s="182">
        <v>847</v>
      </c>
      <c r="J896" s="181"/>
    </row>
    <row r="897" spans="1:10" ht="14">
      <c r="A897" s="183" t="s">
        <v>147</v>
      </c>
      <c r="B897" s="178">
        <v>5104</v>
      </c>
      <c r="C897" s="25" t="s">
        <v>146</v>
      </c>
      <c r="D897" s="26">
        <v>43891</v>
      </c>
      <c r="E897" s="182">
        <f>SUMIF('FY19-20'!$C$10:$C$172,Import!B897,'FY19-20'!$M$10:$M$172)</f>
        <v>0</v>
      </c>
      <c r="F897" s="182">
        <f t="shared" si="31"/>
        <v>0</v>
      </c>
      <c r="G897" s="179" t="s">
        <v>408</v>
      </c>
      <c r="H897" s="182">
        <v>848</v>
      </c>
      <c r="J897" s="181"/>
    </row>
    <row r="898" spans="1:10" ht="14">
      <c r="A898" s="183" t="s">
        <v>147</v>
      </c>
      <c r="B898" s="178">
        <v>5105</v>
      </c>
      <c r="C898" s="25" t="s">
        <v>146</v>
      </c>
      <c r="D898" s="26">
        <v>43891</v>
      </c>
      <c r="E898" s="182">
        <f>SUMIF('FY19-20'!$C$10:$C$172,Import!B898,'FY19-20'!$M$10:$M$172)</f>
        <v>0</v>
      </c>
      <c r="F898" s="182">
        <f t="shared" si="31"/>
        <v>0</v>
      </c>
      <c r="G898" s="179" t="s">
        <v>408</v>
      </c>
      <c r="H898" s="182">
        <v>849</v>
      </c>
      <c r="J898" s="181"/>
    </row>
    <row r="899" spans="1:10" ht="14">
      <c r="A899" s="183" t="s">
        <v>147</v>
      </c>
      <c r="B899" s="178">
        <v>5106</v>
      </c>
      <c r="C899" s="25" t="s">
        <v>146</v>
      </c>
      <c r="D899" s="26">
        <v>43891</v>
      </c>
      <c r="E899" s="182">
        <f>SUMIF('FY19-20'!$C$10:$C$172,Import!B899,'FY19-20'!$M$10:$M$172)</f>
        <v>326082.86</v>
      </c>
      <c r="F899" s="182">
        <f t="shared" si="31"/>
        <v>0</v>
      </c>
      <c r="G899" s="179" t="s">
        <v>408</v>
      </c>
      <c r="H899" s="182">
        <v>850</v>
      </c>
      <c r="J899" s="181"/>
    </row>
    <row r="900" spans="1:10" ht="14">
      <c r="A900" s="183" t="s">
        <v>147</v>
      </c>
      <c r="B900" s="178">
        <v>5107</v>
      </c>
      <c r="C900" s="25" t="s">
        <v>146</v>
      </c>
      <c r="D900" s="26">
        <v>43891</v>
      </c>
      <c r="E900" s="182">
        <f>SUMIF('FY19-20'!$C$10:$C$172,Import!B900,'FY19-20'!$M$10:$M$172)</f>
        <v>244495</v>
      </c>
      <c r="F900" s="182">
        <f t="shared" ref="F900" si="32">-IF(E900&lt;0,E900)</f>
        <v>0</v>
      </c>
      <c r="G900" s="179" t="s">
        <v>408</v>
      </c>
      <c r="H900" s="182">
        <v>850</v>
      </c>
      <c r="J900" s="181"/>
    </row>
    <row r="901" spans="1:10" ht="14">
      <c r="A901" s="183" t="s">
        <v>147</v>
      </c>
      <c r="B901" s="178">
        <v>5201</v>
      </c>
      <c r="C901" s="25" t="s">
        <v>146</v>
      </c>
      <c r="D901" s="26">
        <v>43891</v>
      </c>
      <c r="E901" s="182">
        <f>SUMIF('FY19-20'!$C$10:$C$172,Import!B901,'FY19-20'!$M$10:$M$172)</f>
        <v>1895.81</v>
      </c>
      <c r="F901" s="182">
        <f t="shared" si="31"/>
        <v>0</v>
      </c>
      <c r="G901" s="179" t="s">
        <v>408</v>
      </c>
      <c r="H901" s="182">
        <v>851</v>
      </c>
      <c r="J901" s="181"/>
    </row>
    <row r="902" spans="1:10" ht="14">
      <c r="A902" s="183" t="s">
        <v>147</v>
      </c>
      <c r="B902" s="178">
        <v>5202</v>
      </c>
      <c r="C902" s="25" t="s">
        <v>146</v>
      </c>
      <c r="D902" s="26">
        <v>43891</v>
      </c>
      <c r="E902" s="182">
        <f>SUMIF('FY19-20'!$C$10:$C$172,Import!B902,'FY19-20'!$M$10:$M$172)</f>
        <v>0</v>
      </c>
      <c r="F902" s="182">
        <f t="shared" si="31"/>
        <v>0</v>
      </c>
      <c r="G902" s="179" t="s">
        <v>408</v>
      </c>
      <c r="H902" s="182">
        <v>852</v>
      </c>
      <c r="J902" s="181"/>
    </row>
    <row r="903" spans="1:10" ht="14">
      <c r="A903" s="183" t="s">
        <v>147</v>
      </c>
      <c r="B903" s="178">
        <v>5203</v>
      </c>
      <c r="C903" s="25" t="s">
        <v>146</v>
      </c>
      <c r="D903" s="26">
        <v>43891</v>
      </c>
      <c r="E903" s="182">
        <f>SUMIF('FY19-20'!$C$10:$C$172,Import!B903,'FY19-20'!$M$10:$M$172)</f>
        <v>0</v>
      </c>
      <c r="F903" s="182">
        <f t="shared" si="31"/>
        <v>0</v>
      </c>
      <c r="G903" s="179" t="s">
        <v>408</v>
      </c>
      <c r="H903" s="182">
        <v>853</v>
      </c>
      <c r="J903" s="181"/>
    </row>
    <row r="904" spans="1:10" ht="14">
      <c r="A904" s="183" t="s">
        <v>147</v>
      </c>
      <c r="B904" s="178">
        <v>5300</v>
      </c>
      <c r="C904" s="25" t="s">
        <v>146</v>
      </c>
      <c r="D904" s="26">
        <v>43891</v>
      </c>
      <c r="E904" s="182">
        <f>SUMIF('FY19-20'!$C$10:$C$172,Import!B904,'FY19-20'!$M$10:$M$172)</f>
        <v>0</v>
      </c>
      <c r="F904" s="182">
        <f t="shared" si="31"/>
        <v>0</v>
      </c>
      <c r="G904" s="179" t="s">
        <v>408</v>
      </c>
      <c r="H904" s="182">
        <v>854</v>
      </c>
      <c r="J904" s="181"/>
    </row>
    <row r="905" spans="1:10" ht="14">
      <c r="A905" s="183" t="s">
        <v>147</v>
      </c>
      <c r="B905" s="178">
        <v>5400</v>
      </c>
      <c r="C905" s="25" t="s">
        <v>146</v>
      </c>
      <c r="D905" s="26">
        <v>43891</v>
      </c>
      <c r="E905" s="182">
        <f>SUMIF('FY19-20'!$C$10:$C$172,Import!B905,'FY19-20'!$M$10:$M$172)</f>
        <v>4949</v>
      </c>
      <c r="F905" s="182">
        <f t="shared" si="31"/>
        <v>0</v>
      </c>
      <c r="G905" s="179" t="s">
        <v>408</v>
      </c>
      <c r="H905" s="182">
        <v>855</v>
      </c>
      <c r="J905" s="181"/>
    </row>
    <row r="906" spans="1:10" ht="14">
      <c r="A906" s="183" t="s">
        <v>147</v>
      </c>
      <c r="B906" s="178">
        <v>5501</v>
      </c>
      <c r="C906" s="25" t="s">
        <v>146</v>
      </c>
      <c r="D906" s="26">
        <v>43891</v>
      </c>
      <c r="E906" s="182">
        <f>SUMIF('FY19-20'!$C$10:$C$172,Import!B906,'FY19-20'!$M$10:$M$172)</f>
        <v>0</v>
      </c>
      <c r="F906" s="182">
        <f t="shared" si="31"/>
        <v>0</v>
      </c>
      <c r="G906" s="179" t="s">
        <v>408</v>
      </c>
      <c r="H906" s="182">
        <v>856</v>
      </c>
      <c r="J906" s="181"/>
    </row>
    <row r="907" spans="1:10" ht="14">
      <c r="A907" s="183" t="s">
        <v>147</v>
      </c>
      <c r="B907" s="178">
        <v>5502</v>
      </c>
      <c r="C907" s="25" t="s">
        <v>146</v>
      </c>
      <c r="D907" s="26">
        <v>43891</v>
      </c>
      <c r="E907" s="182">
        <f>SUMIF('FY19-20'!$C$10:$C$172,Import!B907,'FY19-20'!$M$10:$M$172)</f>
        <v>0</v>
      </c>
      <c r="F907" s="182">
        <f t="shared" si="31"/>
        <v>0</v>
      </c>
      <c r="G907" s="179" t="s">
        <v>408</v>
      </c>
      <c r="H907" s="182">
        <v>857</v>
      </c>
      <c r="J907" s="181"/>
    </row>
    <row r="908" spans="1:10" ht="14">
      <c r="A908" s="183" t="s">
        <v>147</v>
      </c>
      <c r="B908" s="178">
        <v>5516</v>
      </c>
      <c r="C908" s="25" t="s">
        <v>146</v>
      </c>
      <c r="D908" s="26">
        <v>43891</v>
      </c>
      <c r="E908" s="182">
        <f>SUMIF('FY19-20'!$C$10:$C$172,Import!B908,'FY19-20'!$M$10:$M$172)</f>
        <v>0</v>
      </c>
      <c r="F908" s="182">
        <f t="shared" si="31"/>
        <v>0</v>
      </c>
      <c r="G908" s="179" t="s">
        <v>408</v>
      </c>
      <c r="H908" s="182">
        <v>858</v>
      </c>
      <c r="J908" s="181"/>
    </row>
    <row r="909" spans="1:10" ht="14">
      <c r="A909" s="183" t="s">
        <v>147</v>
      </c>
      <c r="B909" s="178">
        <v>5531</v>
      </c>
      <c r="C909" s="25" t="s">
        <v>146</v>
      </c>
      <c r="D909" s="26">
        <v>43891</v>
      </c>
      <c r="E909" s="182">
        <f>SUMIF('FY19-20'!$C$10:$C$172,Import!B909,'FY19-20'!$M$10:$M$172)</f>
        <v>0</v>
      </c>
      <c r="F909" s="182">
        <f t="shared" si="31"/>
        <v>0</v>
      </c>
      <c r="G909" s="179" t="s">
        <v>408</v>
      </c>
      <c r="H909" s="182">
        <v>861</v>
      </c>
      <c r="J909" s="181"/>
    </row>
    <row r="910" spans="1:10" ht="14">
      <c r="A910" s="183" t="s">
        <v>147</v>
      </c>
      <c r="B910" s="178">
        <v>5540</v>
      </c>
      <c r="C910" s="25" t="s">
        <v>146</v>
      </c>
      <c r="D910" s="26">
        <v>43891</v>
      </c>
      <c r="E910" s="182">
        <f>SUMIF('FY19-20'!$C$10:$C$172,Import!B910,'FY19-20'!$M$10:$M$172)</f>
        <v>0</v>
      </c>
      <c r="F910" s="182">
        <f t="shared" si="31"/>
        <v>0</v>
      </c>
      <c r="G910" s="179" t="s">
        <v>408</v>
      </c>
      <c r="H910" s="182">
        <v>862</v>
      </c>
      <c r="J910" s="181"/>
    </row>
    <row r="911" spans="1:10" ht="14">
      <c r="A911" s="183" t="s">
        <v>147</v>
      </c>
      <c r="B911" s="178">
        <v>5601</v>
      </c>
      <c r="C911" s="25" t="s">
        <v>146</v>
      </c>
      <c r="D911" s="26">
        <v>43891</v>
      </c>
      <c r="E911" s="182">
        <f>SUMIF('FY19-20'!$C$10:$C$172,Import!B911,'FY19-20'!$M$10:$M$172)</f>
        <v>0</v>
      </c>
      <c r="F911" s="182">
        <f t="shared" si="31"/>
        <v>0</v>
      </c>
      <c r="G911" s="179" t="s">
        <v>408</v>
      </c>
      <c r="H911" s="182">
        <v>863</v>
      </c>
      <c r="J911" s="181"/>
    </row>
    <row r="912" spans="1:10" ht="14">
      <c r="A912" s="183" t="s">
        <v>147</v>
      </c>
      <c r="B912" s="178">
        <v>5602</v>
      </c>
      <c r="C912" s="25" t="s">
        <v>146</v>
      </c>
      <c r="D912" s="26">
        <v>43891</v>
      </c>
      <c r="E912" s="182">
        <f>SUMIF('FY19-20'!$C$10:$C$172,Import!B912,'FY19-20'!$M$10:$M$172)</f>
        <v>0</v>
      </c>
      <c r="F912" s="182">
        <f t="shared" si="31"/>
        <v>0</v>
      </c>
      <c r="G912" s="179" t="s">
        <v>408</v>
      </c>
      <c r="H912" s="182">
        <v>864</v>
      </c>
      <c r="J912" s="181"/>
    </row>
    <row r="913" spans="1:10" ht="14">
      <c r="A913" s="183" t="s">
        <v>147</v>
      </c>
      <c r="B913" s="178">
        <v>5603</v>
      </c>
      <c r="C913" s="25" t="s">
        <v>146</v>
      </c>
      <c r="D913" s="26">
        <v>43891</v>
      </c>
      <c r="E913" s="182">
        <f>SUMIF('FY19-20'!$C$10:$C$172,Import!B913,'FY19-20'!$M$10:$M$172)</f>
        <v>0</v>
      </c>
      <c r="F913" s="182">
        <f t="shared" si="31"/>
        <v>0</v>
      </c>
      <c r="G913" s="179" t="s">
        <v>408</v>
      </c>
      <c r="H913" s="182">
        <v>865</v>
      </c>
      <c r="J913" s="181"/>
    </row>
    <row r="914" spans="1:10" ht="14">
      <c r="A914" s="183" t="s">
        <v>147</v>
      </c>
      <c r="B914" s="178">
        <v>5604</v>
      </c>
      <c r="C914" s="25" t="s">
        <v>146</v>
      </c>
      <c r="D914" s="26">
        <v>43891</v>
      </c>
      <c r="E914" s="182">
        <f>SUMIF('FY19-20'!$C$10:$C$172,Import!B914,'FY19-20'!$M$10:$M$172)</f>
        <v>600</v>
      </c>
      <c r="F914" s="182">
        <f t="shared" si="31"/>
        <v>0</v>
      </c>
      <c r="G914" s="179" t="s">
        <v>408</v>
      </c>
      <c r="H914" s="182">
        <v>866</v>
      </c>
      <c r="J914" s="181"/>
    </row>
    <row r="915" spans="1:10" ht="14">
      <c r="A915" s="183" t="s">
        <v>147</v>
      </c>
      <c r="B915" s="178">
        <v>5605</v>
      </c>
      <c r="C915" s="25" t="s">
        <v>146</v>
      </c>
      <c r="D915" s="26">
        <v>43891</v>
      </c>
      <c r="E915" s="182">
        <f>SUMIF('FY19-20'!$C$10:$C$172,Import!B915,'FY19-20'!$M$10:$M$172)</f>
        <v>0</v>
      </c>
      <c r="F915" s="182">
        <f t="shared" si="31"/>
        <v>0</v>
      </c>
      <c r="G915" s="179" t="s">
        <v>408</v>
      </c>
      <c r="H915" s="182">
        <v>867</v>
      </c>
      <c r="J915" s="181"/>
    </row>
    <row r="916" spans="1:10" ht="14">
      <c r="A916" s="183" t="s">
        <v>147</v>
      </c>
      <c r="B916" s="178">
        <v>5610</v>
      </c>
      <c r="C916" s="25" t="s">
        <v>146</v>
      </c>
      <c r="D916" s="26">
        <v>43891</v>
      </c>
      <c r="E916" s="182">
        <f>SUMIF('FY19-20'!$C$10:$C$172,Import!B916,'FY19-20'!$M$10:$M$172)</f>
        <v>0</v>
      </c>
      <c r="F916" s="182">
        <f t="shared" si="31"/>
        <v>0</v>
      </c>
      <c r="G916" s="179" t="s">
        <v>408</v>
      </c>
      <c r="H916" s="182">
        <v>868</v>
      </c>
      <c r="J916" s="181"/>
    </row>
    <row r="917" spans="1:10" ht="14">
      <c r="A917" s="183" t="s">
        <v>147</v>
      </c>
      <c r="B917" s="178">
        <v>5801</v>
      </c>
      <c r="C917" s="25" t="s">
        <v>146</v>
      </c>
      <c r="D917" s="26">
        <v>43891</v>
      </c>
      <c r="E917" s="182">
        <f>SUMIF('FY19-20'!$C$10:$C$172,Import!B917,'FY19-20'!$M$10:$M$172)</f>
        <v>0</v>
      </c>
      <c r="F917" s="182">
        <f t="shared" si="31"/>
        <v>0</v>
      </c>
      <c r="G917" s="179" t="s">
        <v>408</v>
      </c>
      <c r="H917" s="182">
        <v>869</v>
      </c>
      <c r="J917" s="181"/>
    </row>
    <row r="918" spans="1:10" ht="14">
      <c r="A918" s="183" t="s">
        <v>147</v>
      </c>
      <c r="B918" s="178">
        <v>5802</v>
      </c>
      <c r="C918" s="25" t="s">
        <v>146</v>
      </c>
      <c r="D918" s="26">
        <v>43891</v>
      </c>
      <c r="E918" s="182">
        <f>SUMIF('FY19-20'!$C$10:$C$172,Import!B918,'FY19-20'!$M$10:$M$172)</f>
        <v>0</v>
      </c>
      <c r="F918" s="182">
        <f t="shared" si="31"/>
        <v>0</v>
      </c>
      <c r="G918" s="179" t="s">
        <v>408</v>
      </c>
      <c r="H918" s="182">
        <v>870</v>
      </c>
      <c r="J918" s="181"/>
    </row>
    <row r="919" spans="1:10" ht="14">
      <c r="A919" s="183" t="s">
        <v>147</v>
      </c>
      <c r="B919" s="178">
        <v>5803</v>
      </c>
      <c r="C919" s="25" t="s">
        <v>146</v>
      </c>
      <c r="D919" s="26">
        <v>43891</v>
      </c>
      <c r="E919" s="182">
        <f>SUMIF('FY19-20'!$C$10:$C$172,Import!B919,'FY19-20'!$M$10:$M$172)</f>
        <v>3540.65</v>
      </c>
      <c r="F919" s="182">
        <f t="shared" si="31"/>
        <v>0</v>
      </c>
      <c r="G919" s="179" t="s">
        <v>408</v>
      </c>
      <c r="H919" s="182">
        <v>871</v>
      </c>
      <c r="J919" s="181"/>
    </row>
    <row r="920" spans="1:10" ht="14">
      <c r="A920" s="183" t="s">
        <v>147</v>
      </c>
      <c r="B920" s="178">
        <v>5804</v>
      </c>
      <c r="C920" s="25" t="s">
        <v>146</v>
      </c>
      <c r="D920" s="26">
        <v>43891</v>
      </c>
      <c r="E920" s="182">
        <f>SUMIF('FY19-20'!$C$10:$C$172,Import!B920,'FY19-20'!$M$10:$M$172)</f>
        <v>0</v>
      </c>
      <c r="F920" s="182">
        <f t="shared" si="31"/>
        <v>0</v>
      </c>
      <c r="G920" s="179" t="s">
        <v>408</v>
      </c>
      <c r="H920" s="182">
        <v>872</v>
      </c>
      <c r="J920" s="181"/>
    </row>
    <row r="921" spans="1:10" ht="14">
      <c r="A921" s="183" t="s">
        <v>147</v>
      </c>
      <c r="B921" s="178">
        <v>5805</v>
      </c>
      <c r="C921" s="25" t="s">
        <v>146</v>
      </c>
      <c r="D921" s="26">
        <v>43891</v>
      </c>
      <c r="E921" s="182">
        <f>SUMIF('FY19-20'!$C$10:$C$172,Import!B921,'FY19-20'!$M$10:$M$172)</f>
        <v>1250</v>
      </c>
      <c r="F921" s="182">
        <f t="shared" si="31"/>
        <v>0</v>
      </c>
      <c r="G921" s="179" t="s">
        <v>408</v>
      </c>
      <c r="H921" s="182">
        <v>873</v>
      </c>
      <c r="J921" s="181"/>
    </row>
    <row r="922" spans="1:10" ht="14">
      <c r="A922" s="183" t="s">
        <v>147</v>
      </c>
      <c r="B922" s="178">
        <v>5806</v>
      </c>
      <c r="C922" s="25" t="s">
        <v>146</v>
      </c>
      <c r="D922" s="26">
        <v>43891</v>
      </c>
      <c r="E922" s="182">
        <f>SUMIF('FY19-20'!$C$10:$C$172,Import!B922,'FY19-20'!$M$10:$M$172)</f>
        <v>2882.97</v>
      </c>
      <c r="F922" s="182">
        <f>-IF(E922&lt;0,E922,0)</f>
        <v>0</v>
      </c>
      <c r="G922" s="179" t="s">
        <v>408</v>
      </c>
      <c r="J922" s="181"/>
    </row>
    <row r="923" spans="1:10" ht="14">
      <c r="A923" s="183" t="s">
        <v>147</v>
      </c>
      <c r="B923" s="178">
        <v>5807</v>
      </c>
      <c r="C923" s="25" t="s">
        <v>146</v>
      </c>
      <c r="D923" s="26">
        <v>43891</v>
      </c>
      <c r="E923" s="182">
        <f>SUMIF('FY19-20'!$C$10:$C$172,Import!B923,'FY19-20'!$M$10:$M$172)</f>
        <v>50</v>
      </c>
      <c r="F923" s="182">
        <f>-IF(E923&lt;0,E923,0)</f>
        <v>0</v>
      </c>
      <c r="G923" s="179" t="s">
        <v>408</v>
      </c>
      <c r="J923" s="181"/>
    </row>
    <row r="924" spans="1:10" ht="14">
      <c r="A924" s="183" t="s">
        <v>147</v>
      </c>
      <c r="B924" s="178">
        <v>5808</v>
      </c>
      <c r="C924" s="25" t="s">
        <v>146</v>
      </c>
      <c r="D924" s="26">
        <v>43891</v>
      </c>
      <c r="E924" s="182">
        <f>SUMIF('FY19-20'!$C$10:$C$172,Import!B924,'FY19-20'!$M$10:$M$172)</f>
        <v>70.11</v>
      </c>
      <c r="F924" s="182">
        <f>-IF(E924&lt;0,E924,0)</f>
        <v>0</v>
      </c>
      <c r="G924" s="179" t="s">
        <v>408</v>
      </c>
      <c r="J924" s="181"/>
    </row>
    <row r="925" spans="1:10" ht="14">
      <c r="A925" s="183" t="s">
        <v>147</v>
      </c>
      <c r="B925" s="178">
        <v>5809</v>
      </c>
      <c r="C925" s="25" t="s">
        <v>146</v>
      </c>
      <c r="D925" s="26">
        <v>43891</v>
      </c>
      <c r="E925" s="182">
        <f>SUMIF('FY19-20'!$C$10:$C$172,Import!B925,'FY19-20'!$M$10:$M$172)</f>
        <v>21.71</v>
      </c>
      <c r="F925" s="182">
        <f>-IF(E925&lt;0,E925,0)</f>
        <v>0</v>
      </c>
      <c r="G925" s="179" t="s">
        <v>408</v>
      </c>
      <c r="J925" s="181"/>
    </row>
    <row r="926" spans="1:10" ht="14">
      <c r="A926" s="183" t="s">
        <v>147</v>
      </c>
      <c r="B926" s="178">
        <v>5810</v>
      </c>
      <c r="C926" s="25" t="s">
        <v>146</v>
      </c>
      <c r="D926" s="26">
        <v>43891</v>
      </c>
      <c r="E926" s="182">
        <f>SUMIF('FY19-20'!$C$10:$C$172,Import!B926,'FY19-20'!$M$10:$M$172)</f>
        <v>0</v>
      </c>
      <c r="F926" s="182">
        <f>-IF(E926&lt;0,E926)</f>
        <v>0</v>
      </c>
      <c r="G926" s="179" t="s">
        <v>408</v>
      </c>
      <c r="H926" s="182">
        <v>874</v>
      </c>
      <c r="J926" s="181"/>
    </row>
    <row r="927" spans="1:10" ht="14">
      <c r="A927" s="183" t="s">
        <v>147</v>
      </c>
      <c r="B927" s="178">
        <v>5811</v>
      </c>
      <c r="C927" s="25" t="s">
        <v>146</v>
      </c>
      <c r="D927" s="26">
        <v>43891</v>
      </c>
      <c r="E927" s="182">
        <f>SUMIF('FY19-20'!$C$10:$C$172,Import!B927,'FY19-20'!$M$10:$M$172)</f>
        <v>74411</v>
      </c>
      <c r="F927" s="182">
        <f>-IF(E927&lt;0,E927)</f>
        <v>0</v>
      </c>
      <c r="G927" s="179" t="s">
        <v>408</v>
      </c>
      <c r="H927" s="182">
        <v>875</v>
      </c>
      <c r="J927" s="181"/>
    </row>
    <row r="928" spans="1:10" ht="14">
      <c r="A928" s="183" t="s">
        <v>147</v>
      </c>
      <c r="B928" s="178">
        <v>5812</v>
      </c>
      <c r="C928" s="25" t="s">
        <v>146</v>
      </c>
      <c r="D928" s="26">
        <v>43891</v>
      </c>
      <c r="E928" s="182">
        <f>SUMIF('FY19-20'!$C$10:$C$172,Import!B928,'FY19-20'!$M$10:$M$172)</f>
        <v>0</v>
      </c>
      <c r="F928" s="182">
        <f>-IF(E928&lt;0,E928)</f>
        <v>0</v>
      </c>
      <c r="G928" s="179" t="s">
        <v>408</v>
      </c>
      <c r="H928" s="182">
        <v>876</v>
      </c>
      <c r="J928" s="181"/>
    </row>
    <row r="929" spans="1:10" ht="14">
      <c r="A929" s="183" t="s">
        <v>147</v>
      </c>
      <c r="B929" s="178">
        <v>5813</v>
      </c>
      <c r="C929" s="25" t="s">
        <v>146</v>
      </c>
      <c r="D929" s="26">
        <v>43891</v>
      </c>
      <c r="E929" s="182">
        <f>SUMIF('FY19-20'!$C$10:$C$172,Import!B929,'FY19-20'!$M$10:$M$172)</f>
        <v>0</v>
      </c>
      <c r="F929" s="182">
        <f>-IF(E929&lt;0,E929)</f>
        <v>0</v>
      </c>
      <c r="G929" s="179" t="s">
        <v>408</v>
      </c>
      <c r="H929" s="182">
        <v>877</v>
      </c>
      <c r="J929" s="181"/>
    </row>
    <row r="930" spans="1:10" ht="14">
      <c r="A930" s="183" t="s">
        <v>147</v>
      </c>
      <c r="B930" s="178">
        <v>5814</v>
      </c>
      <c r="C930" s="25" t="s">
        <v>146</v>
      </c>
      <c r="D930" s="26">
        <v>43891</v>
      </c>
      <c r="E930" s="182">
        <f>SUMIF('FY19-20'!$C$10:$C$172,Import!B930,'FY19-20'!$M$10:$M$172)</f>
        <v>0</v>
      </c>
      <c r="F930" s="182">
        <f>-IF(E930&lt;0,E930)</f>
        <v>0</v>
      </c>
      <c r="G930" s="179" t="s">
        <v>408</v>
      </c>
      <c r="H930" s="182">
        <v>878</v>
      </c>
      <c r="J930" s="181"/>
    </row>
    <row r="931" spans="1:10" ht="14">
      <c r="A931" s="183" t="s">
        <v>147</v>
      </c>
      <c r="B931" s="178">
        <v>5815</v>
      </c>
      <c r="C931" s="25" t="s">
        <v>146</v>
      </c>
      <c r="D931" s="26">
        <v>43891</v>
      </c>
      <c r="E931" s="182">
        <f>SUMIF('FY19-20'!$C$10:$C$172,Import!B931,'FY19-20'!$M$10:$M$172)</f>
        <v>0</v>
      </c>
      <c r="F931" s="182">
        <f>-IF(E931&lt;0,E931,0)</f>
        <v>0</v>
      </c>
      <c r="G931" s="179" t="s">
        <v>408</v>
      </c>
      <c r="J931" s="181"/>
    </row>
    <row r="932" spans="1:10" ht="14">
      <c r="A932" s="183" t="s">
        <v>147</v>
      </c>
      <c r="B932" s="178">
        <v>5820</v>
      </c>
      <c r="C932" s="25" t="s">
        <v>146</v>
      </c>
      <c r="D932" s="26">
        <v>43891</v>
      </c>
      <c r="E932" s="182">
        <f>SUMIF('FY19-20'!$C$10:$C$172,Import!B932,'FY19-20'!$M$10:$M$172)</f>
        <v>0</v>
      </c>
      <c r="F932" s="182">
        <f>-IF(E932&lt;0,E932,0)</f>
        <v>0</v>
      </c>
      <c r="G932" s="179" t="s">
        <v>408</v>
      </c>
      <c r="J932" s="181"/>
    </row>
    <row r="933" spans="1:10" ht="14">
      <c r="A933" s="183" t="s">
        <v>147</v>
      </c>
      <c r="B933" s="178">
        <v>5900</v>
      </c>
      <c r="C933" s="25" t="s">
        <v>146</v>
      </c>
      <c r="D933" s="26">
        <v>43891</v>
      </c>
      <c r="E933" s="182">
        <f>SUMIF('FY19-20'!$C$10:$C$172,Import!B933,'FY19-20'!$M$10:$M$172)</f>
        <v>0</v>
      </c>
      <c r="F933" s="182">
        <f>-IF(E933&lt;0,E933)</f>
        <v>0</v>
      </c>
      <c r="G933" s="179" t="s">
        <v>408</v>
      </c>
      <c r="H933" s="182">
        <v>879</v>
      </c>
      <c r="J933" s="181"/>
    </row>
    <row r="934" spans="1:10" ht="14">
      <c r="A934" s="183" t="s">
        <v>147</v>
      </c>
      <c r="B934" s="178">
        <v>5901</v>
      </c>
      <c r="C934" s="25" t="s">
        <v>146</v>
      </c>
      <c r="D934" s="26">
        <v>43891</v>
      </c>
      <c r="E934" s="182">
        <f>SUMIF('FY19-20'!$C$10:$C$172,Import!B934,'FY19-20'!$M$10:$M$172)</f>
        <v>0</v>
      </c>
      <c r="F934" s="182">
        <f>-IF(E934&lt;0,E934,0)</f>
        <v>0</v>
      </c>
      <c r="G934" s="179" t="s">
        <v>408</v>
      </c>
    </row>
    <row r="935" spans="1:10" ht="14">
      <c r="A935" s="183" t="s">
        <v>147</v>
      </c>
      <c r="B935" s="178">
        <v>6900</v>
      </c>
      <c r="C935" s="25" t="s">
        <v>146</v>
      </c>
      <c r="D935" s="26">
        <v>43891</v>
      </c>
      <c r="E935" s="182">
        <f>SUMIF('FY19-20'!$C$10:$C$172,Import!B935,'FY19-20'!$M$10:$M$172)</f>
        <v>50</v>
      </c>
      <c r="F935" s="182">
        <f t="shared" ref="F935:F966" si="33">-IF(E935&lt;0,E935)</f>
        <v>0</v>
      </c>
      <c r="G935" s="179" t="s">
        <v>408</v>
      </c>
      <c r="H935" s="182">
        <v>880</v>
      </c>
      <c r="J935" s="181"/>
    </row>
    <row r="936" spans="1:10" ht="14">
      <c r="A936" s="183" t="s">
        <v>147</v>
      </c>
      <c r="B936" s="178">
        <v>7438</v>
      </c>
      <c r="C936" s="25" t="s">
        <v>146</v>
      </c>
      <c r="D936" s="26">
        <v>43891</v>
      </c>
      <c r="E936" s="182">
        <f>SUMIF('FY19-20'!$C$10:$C$172,Import!B936,'FY19-20'!$M$10:$M$172)</f>
        <v>0</v>
      </c>
      <c r="F936" s="182">
        <f t="shared" si="33"/>
        <v>0</v>
      </c>
      <c r="G936" s="179" t="s">
        <v>408</v>
      </c>
      <c r="H936" s="182">
        <v>881</v>
      </c>
      <c r="J936" s="181"/>
    </row>
    <row r="937" spans="1:10" ht="14">
      <c r="A937" s="183" t="s">
        <v>147</v>
      </c>
      <c r="B937" s="178">
        <v>8011</v>
      </c>
      <c r="C937" s="25" t="s">
        <v>146</v>
      </c>
      <c r="D937" s="26">
        <v>43891</v>
      </c>
      <c r="E937" s="182">
        <f>SUMIF('FY19-20'!$C$10:$C$172,Import!B937,'FY19-20'!$M$10:$M$172)</f>
        <v>9012241</v>
      </c>
      <c r="F937" s="182">
        <f t="shared" si="33"/>
        <v>0</v>
      </c>
      <c r="G937" s="179" t="s">
        <v>408</v>
      </c>
      <c r="H937" s="182">
        <v>882</v>
      </c>
      <c r="J937" s="181"/>
    </row>
    <row r="938" spans="1:10" ht="14">
      <c r="A938" s="183" t="s">
        <v>147</v>
      </c>
      <c r="B938" s="178">
        <v>8012</v>
      </c>
      <c r="C938" s="25" t="s">
        <v>146</v>
      </c>
      <c r="D938" s="26">
        <v>43891</v>
      </c>
      <c r="E938" s="182">
        <f>SUMIF('FY19-20'!$C$10:$C$172,Import!B938,'FY19-20'!$M$10:$M$172)</f>
        <v>0</v>
      </c>
      <c r="F938" s="182">
        <f t="shared" si="33"/>
        <v>0</v>
      </c>
      <c r="G938" s="179" t="s">
        <v>408</v>
      </c>
      <c r="H938" s="182">
        <v>883</v>
      </c>
      <c r="J938" s="181"/>
    </row>
    <row r="939" spans="1:10" ht="14">
      <c r="A939" s="183" t="s">
        <v>147</v>
      </c>
      <c r="B939" s="178">
        <v>8019</v>
      </c>
      <c r="C939" s="25" t="s">
        <v>146</v>
      </c>
      <c r="D939" s="26">
        <v>43891</v>
      </c>
      <c r="E939" s="182">
        <f>SUMIF('FY19-20'!$C$10:$C$172,Import!B939,'FY19-20'!$M$10:$M$172)</f>
        <v>0</v>
      </c>
      <c r="F939" s="182">
        <f t="shared" si="33"/>
        <v>0</v>
      </c>
      <c r="G939" s="179" t="s">
        <v>408</v>
      </c>
      <c r="H939" s="182">
        <v>884</v>
      </c>
      <c r="J939" s="181"/>
    </row>
    <row r="940" spans="1:10" ht="14">
      <c r="A940" s="183" t="s">
        <v>147</v>
      </c>
      <c r="B940" s="178">
        <v>8096</v>
      </c>
      <c r="C940" s="25" t="s">
        <v>146</v>
      </c>
      <c r="D940" s="26">
        <v>43891</v>
      </c>
      <c r="E940" s="182">
        <f>SUMIF('FY19-20'!$C$10:$C$172,Import!B940,'FY19-20'!$M$10:$M$172)</f>
        <v>0</v>
      </c>
      <c r="F940" s="182">
        <f t="shared" si="33"/>
        <v>0</v>
      </c>
      <c r="G940" s="179" t="s">
        <v>408</v>
      </c>
      <c r="H940" s="182">
        <v>885</v>
      </c>
      <c r="J940" s="181"/>
    </row>
    <row r="941" spans="1:10" ht="14">
      <c r="A941" s="183" t="s">
        <v>147</v>
      </c>
      <c r="B941" s="178">
        <v>8181</v>
      </c>
      <c r="C941" s="25" t="s">
        <v>146</v>
      </c>
      <c r="D941" s="26">
        <v>43891</v>
      </c>
      <c r="E941" s="182">
        <f>SUMIF('FY19-20'!$C$10:$C$172,Import!B941,'FY19-20'!$M$10:$M$172)</f>
        <v>0</v>
      </c>
      <c r="F941" s="182">
        <f t="shared" si="33"/>
        <v>0</v>
      </c>
      <c r="G941" s="179" t="s">
        <v>408</v>
      </c>
      <c r="H941" s="182">
        <v>886</v>
      </c>
      <c r="J941" s="181"/>
    </row>
    <row r="942" spans="1:10" ht="14">
      <c r="A942" s="183" t="s">
        <v>147</v>
      </c>
      <c r="B942" s="178">
        <v>8182</v>
      </c>
      <c r="C942" s="25" t="s">
        <v>146</v>
      </c>
      <c r="D942" s="26">
        <v>43891</v>
      </c>
      <c r="E942" s="182">
        <f>SUMIF('FY19-20'!$C$10:$C$172,Import!B942,'FY19-20'!$M$10:$M$172)</f>
        <v>0</v>
      </c>
      <c r="F942" s="182">
        <f t="shared" si="33"/>
        <v>0</v>
      </c>
      <c r="G942" s="179" t="s">
        <v>408</v>
      </c>
      <c r="H942" s="182">
        <v>887</v>
      </c>
      <c r="J942" s="181"/>
    </row>
    <row r="943" spans="1:10" ht="14">
      <c r="A943" s="183" t="s">
        <v>147</v>
      </c>
      <c r="B943" s="178">
        <v>8220</v>
      </c>
      <c r="C943" s="25" t="s">
        <v>146</v>
      </c>
      <c r="D943" s="26">
        <v>43891</v>
      </c>
      <c r="E943" s="182">
        <f>SUMIF('FY19-20'!$C$10:$C$172,Import!B943,'FY19-20'!$M$10:$M$172)</f>
        <v>0</v>
      </c>
      <c r="F943" s="182">
        <f t="shared" si="33"/>
        <v>0</v>
      </c>
      <c r="G943" s="179" t="s">
        <v>408</v>
      </c>
      <c r="H943" s="182">
        <v>888</v>
      </c>
      <c r="J943" s="181"/>
    </row>
    <row r="944" spans="1:10" ht="14">
      <c r="A944" s="183" t="s">
        <v>147</v>
      </c>
      <c r="B944" s="178">
        <v>8290</v>
      </c>
      <c r="C944" s="25" t="s">
        <v>146</v>
      </c>
      <c r="D944" s="26">
        <v>43891</v>
      </c>
      <c r="E944" s="182">
        <f>SUMIF('FY19-20'!$C$10:$C$172,Import!B944,'FY19-20'!$M$10:$M$172)</f>
        <v>0</v>
      </c>
      <c r="F944" s="182">
        <f t="shared" si="33"/>
        <v>0</v>
      </c>
      <c r="G944" s="179" t="s">
        <v>408</v>
      </c>
      <c r="H944" s="182">
        <v>889</v>
      </c>
      <c r="J944" s="181"/>
    </row>
    <row r="945" spans="1:10" ht="14">
      <c r="A945" s="183" t="s">
        <v>147</v>
      </c>
      <c r="B945" s="178">
        <v>8291</v>
      </c>
      <c r="C945" s="25" t="s">
        <v>146</v>
      </c>
      <c r="D945" s="26">
        <v>43891</v>
      </c>
      <c r="E945" s="182">
        <f>SUMIF('FY19-20'!$C$10:$C$172,Import!B945,'FY19-20'!$M$10:$M$172)</f>
        <v>0</v>
      </c>
      <c r="F945" s="182">
        <f t="shared" si="33"/>
        <v>0</v>
      </c>
      <c r="G945" s="179" t="s">
        <v>408</v>
      </c>
      <c r="H945" s="182">
        <v>890</v>
      </c>
      <c r="J945" s="181"/>
    </row>
    <row r="946" spans="1:10" ht="14">
      <c r="A946" s="183" t="s">
        <v>147</v>
      </c>
      <c r="B946" s="178">
        <v>8292</v>
      </c>
      <c r="C946" s="25" t="s">
        <v>146</v>
      </c>
      <c r="D946" s="26">
        <v>43891</v>
      </c>
      <c r="E946" s="182">
        <f>SUMIF('FY19-20'!$C$10:$C$172,Import!B946,'FY19-20'!$M$10:$M$172)</f>
        <v>0</v>
      </c>
      <c r="F946" s="182">
        <f t="shared" si="33"/>
        <v>0</v>
      </c>
      <c r="G946" s="179" t="s">
        <v>408</v>
      </c>
      <c r="H946" s="182">
        <v>891</v>
      </c>
      <c r="J946" s="181"/>
    </row>
    <row r="947" spans="1:10" ht="14">
      <c r="A947" s="183" t="s">
        <v>147</v>
      </c>
      <c r="B947" s="178">
        <v>8293</v>
      </c>
      <c r="C947" s="25" t="s">
        <v>146</v>
      </c>
      <c r="D947" s="26">
        <v>43891</v>
      </c>
      <c r="E947" s="182">
        <f>SUMIF('FY19-20'!$C$10:$C$172,Import!B947,'FY19-20'!$M$10:$M$172)</f>
        <v>0</v>
      </c>
      <c r="F947" s="182">
        <f t="shared" si="33"/>
        <v>0</v>
      </c>
      <c r="G947" s="179" t="s">
        <v>408</v>
      </c>
      <c r="H947" s="182">
        <v>892</v>
      </c>
      <c r="J947" s="181"/>
    </row>
    <row r="948" spans="1:10" ht="14">
      <c r="A948" s="183" t="s">
        <v>147</v>
      </c>
      <c r="B948" s="178">
        <v>8294</v>
      </c>
      <c r="C948" s="25" t="s">
        <v>146</v>
      </c>
      <c r="D948" s="26">
        <v>43891</v>
      </c>
      <c r="E948" s="182">
        <f>SUMIF('FY19-20'!$C$10:$C$172,Import!B948,'FY19-20'!$M$10:$M$172)</f>
        <v>0</v>
      </c>
      <c r="F948" s="182">
        <f t="shared" si="33"/>
        <v>0</v>
      </c>
      <c r="G948" s="179" t="s">
        <v>408</v>
      </c>
      <c r="H948" s="182">
        <v>893</v>
      </c>
      <c r="J948" s="181"/>
    </row>
    <row r="949" spans="1:10" ht="14">
      <c r="A949" s="183" t="s">
        <v>147</v>
      </c>
      <c r="B949" s="178">
        <v>8295</v>
      </c>
      <c r="C949" s="25" t="s">
        <v>146</v>
      </c>
      <c r="D949" s="26">
        <v>43891</v>
      </c>
      <c r="E949" s="182">
        <f>SUMIF('FY19-20'!$C$10:$C$172,Import!B949,'FY19-20'!$M$10:$M$172)</f>
        <v>0</v>
      </c>
      <c r="F949" s="182">
        <f t="shared" si="33"/>
        <v>0</v>
      </c>
      <c r="G949" s="179" t="s">
        <v>408</v>
      </c>
      <c r="H949" s="182">
        <v>894</v>
      </c>
      <c r="J949" s="181"/>
    </row>
    <row r="950" spans="1:10" ht="14">
      <c r="A950" s="183" t="s">
        <v>147</v>
      </c>
      <c r="B950" s="178">
        <v>8296</v>
      </c>
      <c r="C950" s="25" t="s">
        <v>146</v>
      </c>
      <c r="D950" s="26">
        <v>43891</v>
      </c>
      <c r="E950" s="182">
        <f>SUMIF('FY19-20'!$C$10:$C$172,Import!B950,'FY19-20'!$M$10:$M$172)</f>
        <v>0</v>
      </c>
      <c r="F950" s="182">
        <f t="shared" si="33"/>
        <v>0</v>
      </c>
      <c r="G950" s="179" t="s">
        <v>408</v>
      </c>
      <c r="H950" s="182">
        <v>895</v>
      </c>
      <c r="J950" s="181"/>
    </row>
    <row r="951" spans="1:10" ht="14">
      <c r="A951" s="183" t="s">
        <v>147</v>
      </c>
      <c r="B951" s="178">
        <v>8299</v>
      </c>
      <c r="C951" s="25" t="s">
        <v>146</v>
      </c>
      <c r="D951" s="26">
        <v>43891</v>
      </c>
      <c r="E951" s="182">
        <f>SUMIF('FY19-20'!$C$10:$C$172,Import!B951,'FY19-20'!$M$10:$M$172)</f>
        <v>0</v>
      </c>
      <c r="F951" s="182">
        <f t="shared" si="33"/>
        <v>0</v>
      </c>
      <c r="G951" s="179" t="s">
        <v>408</v>
      </c>
      <c r="H951" s="182">
        <v>896</v>
      </c>
      <c r="J951" s="181"/>
    </row>
    <row r="952" spans="1:10" ht="14">
      <c r="A952" s="183" t="s">
        <v>147</v>
      </c>
      <c r="B952" s="178">
        <v>8311</v>
      </c>
      <c r="C952" s="25" t="s">
        <v>146</v>
      </c>
      <c r="D952" s="26">
        <v>43891</v>
      </c>
      <c r="E952" s="182">
        <f>SUMIF('FY19-20'!$C$10:$C$172,Import!B952,'FY19-20'!$M$10:$M$172)</f>
        <v>321761</v>
      </c>
      <c r="F952" s="182">
        <f t="shared" si="33"/>
        <v>0</v>
      </c>
      <c r="G952" s="179" t="s">
        <v>408</v>
      </c>
      <c r="H952" s="182">
        <v>897</v>
      </c>
      <c r="J952" s="181"/>
    </row>
    <row r="953" spans="1:10" ht="14">
      <c r="A953" s="183" t="s">
        <v>147</v>
      </c>
      <c r="B953" s="178">
        <v>8520</v>
      </c>
      <c r="C953" s="25" t="s">
        <v>146</v>
      </c>
      <c r="D953" s="26">
        <v>43891</v>
      </c>
      <c r="E953" s="182">
        <f>SUMIF('FY19-20'!$C$10:$C$172,Import!B953,'FY19-20'!$M$10:$M$172)</f>
        <v>0</v>
      </c>
      <c r="F953" s="182">
        <f t="shared" si="33"/>
        <v>0</v>
      </c>
      <c r="G953" s="179" t="s">
        <v>408</v>
      </c>
      <c r="H953" s="182">
        <v>898</v>
      </c>
      <c r="J953" s="181"/>
    </row>
    <row r="954" spans="1:10" ht="14">
      <c r="A954" s="183" t="s">
        <v>147</v>
      </c>
      <c r="B954" s="178">
        <v>8545</v>
      </c>
      <c r="C954" s="25" t="s">
        <v>146</v>
      </c>
      <c r="D954" s="26">
        <v>43891</v>
      </c>
      <c r="E954" s="182">
        <f>SUMIF('FY19-20'!$C$10:$C$172,Import!B954,'FY19-20'!$M$10:$M$172)</f>
        <v>0</v>
      </c>
      <c r="F954" s="182">
        <f t="shared" si="33"/>
        <v>0</v>
      </c>
      <c r="G954" s="179" t="s">
        <v>408</v>
      </c>
      <c r="H954" s="182">
        <v>899</v>
      </c>
      <c r="J954" s="181"/>
    </row>
    <row r="955" spans="1:10" ht="14">
      <c r="A955" s="183" t="s">
        <v>147</v>
      </c>
      <c r="B955" s="178">
        <v>8550</v>
      </c>
      <c r="C955" s="25" t="s">
        <v>146</v>
      </c>
      <c r="D955" s="26">
        <v>43891</v>
      </c>
      <c r="E955" s="182">
        <f>SUMIF('FY19-20'!$C$10:$C$172,Import!B955,'FY19-20'!$M$10:$M$172)</f>
        <v>0</v>
      </c>
      <c r="F955" s="182">
        <f t="shared" si="33"/>
        <v>0</v>
      </c>
      <c r="G955" s="179" t="s">
        <v>408</v>
      </c>
      <c r="H955" s="182">
        <v>900</v>
      </c>
      <c r="J955" s="181"/>
    </row>
    <row r="956" spans="1:10" ht="14">
      <c r="A956" s="183" t="s">
        <v>147</v>
      </c>
      <c r="B956" s="178">
        <v>8560</v>
      </c>
      <c r="C956" s="25" t="s">
        <v>146</v>
      </c>
      <c r="D956" s="26">
        <v>43891</v>
      </c>
      <c r="E956" s="182">
        <f>SUMIF('FY19-20'!$C$10:$C$172,Import!B956,'FY19-20'!$M$10:$M$172)</f>
        <v>0</v>
      </c>
      <c r="F956" s="182">
        <f t="shared" si="33"/>
        <v>0</v>
      </c>
      <c r="G956" s="179" t="s">
        <v>408</v>
      </c>
      <c r="H956" s="182">
        <v>901</v>
      </c>
      <c r="J956" s="181"/>
    </row>
    <row r="957" spans="1:10" ht="14">
      <c r="A957" s="183" t="s">
        <v>147</v>
      </c>
      <c r="B957" s="178">
        <v>8598</v>
      </c>
      <c r="C957" s="25" t="s">
        <v>146</v>
      </c>
      <c r="D957" s="26">
        <v>43891</v>
      </c>
      <c r="E957" s="182">
        <f>SUMIF('FY19-20'!$C$10:$C$172,Import!B957,'FY19-20'!$M$10:$M$172)</f>
        <v>0</v>
      </c>
      <c r="F957" s="182">
        <f t="shared" si="33"/>
        <v>0</v>
      </c>
      <c r="G957" s="179" t="s">
        <v>408</v>
      </c>
      <c r="H957" s="182">
        <v>902</v>
      </c>
      <c r="J957" s="181"/>
    </row>
    <row r="958" spans="1:10" ht="14">
      <c r="A958" s="183" t="s">
        <v>147</v>
      </c>
      <c r="B958" s="178">
        <v>8599</v>
      </c>
      <c r="C958" s="25" t="s">
        <v>146</v>
      </c>
      <c r="D958" s="26">
        <v>43891</v>
      </c>
      <c r="E958" s="182">
        <f>SUMIF('FY19-20'!$C$10:$C$172,Import!B958,'FY19-20'!$M$10:$M$172)</f>
        <v>0</v>
      </c>
      <c r="F958" s="182">
        <f t="shared" si="33"/>
        <v>0</v>
      </c>
      <c r="G958" s="179" t="s">
        <v>408</v>
      </c>
      <c r="H958" s="182">
        <v>903</v>
      </c>
      <c r="J958" s="181"/>
    </row>
    <row r="959" spans="1:10" ht="14">
      <c r="A959" s="183" t="s">
        <v>147</v>
      </c>
      <c r="B959" s="178">
        <v>8634</v>
      </c>
      <c r="C959" s="25" t="s">
        <v>146</v>
      </c>
      <c r="D959" s="26">
        <v>43891</v>
      </c>
      <c r="E959" s="182">
        <f>SUMIF('FY19-20'!$C$10:$C$172,Import!B959,'FY19-20'!$M$10:$M$172)</f>
        <v>0</v>
      </c>
      <c r="F959" s="182">
        <f t="shared" si="33"/>
        <v>0</v>
      </c>
      <c r="G959" s="179" t="s">
        <v>408</v>
      </c>
      <c r="H959" s="182">
        <v>904</v>
      </c>
      <c r="J959" s="181"/>
    </row>
    <row r="960" spans="1:10" ht="14">
      <c r="A960" s="183" t="s">
        <v>147</v>
      </c>
      <c r="B960" s="178">
        <v>8650</v>
      </c>
      <c r="C960" s="25" t="s">
        <v>146</v>
      </c>
      <c r="D960" s="26">
        <v>43891</v>
      </c>
      <c r="E960" s="182">
        <f>SUMIF('FY19-20'!$C$10:$C$172,Import!B960,'FY19-20'!$M$10:$M$172)</f>
        <v>0</v>
      </c>
      <c r="F960" s="182">
        <f t="shared" si="33"/>
        <v>0</v>
      </c>
      <c r="G960" s="179" t="s">
        <v>408</v>
      </c>
      <c r="H960" s="182">
        <v>905</v>
      </c>
      <c r="J960" s="181"/>
    </row>
    <row r="961" spans="1:10" ht="14">
      <c r="A961" s="183" t="s">
        <v>147</v>
      </c>
      <c r="B961" s="178">
        <v>8660</v>
      </c>
      <c r="C961" s="25" t="s">
        <v>146</v>
      </c>
      <c r="D961" s="26">
        <v>43891</v>
      </c>
      <c r="E961" s="182">
        <f>SUMIF('FY19-20'!$C$10:$C$172,Import!B961,'FY19-20'!$M$10:$M$172)</f>
        <v>0</v>
      </c>
      <c r="F961" s="182">
        <f t="shared" si="33"/>
        <v>0</v>
      </c>
      <c r="G961" s="179" t="s">
        <v>408</v>
      </c>
      <c r="H961" s="182">
        <v>906</v>
      </c>
      <c r="J961" s="181"/>
    </row>
    <row r="962" spans="1:10" ht="14">
      <c r="A962" s="183" t="s">
        <v>147</v>
      </c>
      <c r="B962" s="178">
        <v>8689</v>
      </c>
      <c r="C962" s="25" t="s">
        <v>146</v>
      </c>
      <c r="D962" s="26">
        <v>43891</v>
      </c>
      <c r="E962" s="182">
        <f>SUMIF('FY19-20'!$C$10:$C$172,Import!B962,'FY19-20'!$M$10:$M$172)</f>
        <v>0</v>
      </c>
      <c r="F962" s="182">
        <f t="shared" si="33"/>
        <v>0</v>
      </c>
      <c r="G962" s="179" t="s">
        <v>408</v>
      </c>
      <c r="H962" s="182">
        <v>907</v>
      </c>
      <c r="J962" s="181"/>
    </row>
    <row r="963" spans="1:10" ht="14">
      <c r="A963" s="183" t="s">
        <v>147</v>
      </c>
      <c r="B963" s="178">
        <v>8698</v>
      </c>
      <c r="C963" s="25" t="s">
        <v>146</v>
      </c>
      <c r="D963" s="26">
        <v>43891</v>
      </c>
      <c r="E963" s="182">
        <f>SUMIF('FY19-20'!$C$10:$C$172,Import!B963,'FY19-20'!$M$10:$M$172)</f>
        <v>0</v>
      </c>
      <c r="F963" s="182">
        <f t="shared" si="33"/>
        <v>0</v>
      </c>
      <c r="G963" s="179" t="s">
        <v>408</v>
      </c>
      <c r="H963" s="182">
        <v>908</v>
      </c>
      <c r="J963" s="181"/>
    </row>
    <row r="964" spans="1:10" ht="14">
      <c r="A964" s="183" t="s">
        <v>147</v>
      </c>
      <c r="B964" s="178">
        <v>8699</v>
      </c>
      <c r="C964" s="25" t="s">
        <v>146</v>
      </c>
      <c r="D964" s="26">
        <v>43891</v>
      </c>
      <c r="E964" s="182">
        <f>SUMIF('FY19-20'!$C$10:$C$172,Import!B964,'FY19-20'!$M$10:$M$172)</f>
        <v>0</v>
      </c>
      <c r="F964" s="182">
        <f t="shared" si="33"/>
        <v>0</v>
      </c>
      <c r="G964" s="179" t="s">
        <v>408</v>
      </c>
      <c r="H964" s="182">
        <v>909</v>
      </c>
      <c r="J964" s="181"/>
    </row>
    <row r="965" spans="1:10" ht="14">
      <c r="A965" s="183" t="s">
        <v>147</v>
      </c>
      <c r="B965" s="178">
        <v>8980</v>
      </c>
      <c r="C965" s="25" t="s">
        <v>146</v>
      </c>
      <c r="D965" s="26">
        <v>43891</v>
      </c>
      <c r="E965" s="182">
        <f>SUMIF('FY19-20'!$C$10:$C$172,Import!B965,'FY19-20'!$M$10:$M$172)</f>
        <v>0</v>
      </c>
      <c r="F965" s="182">
        <f t="shared" si="33"/>
        <v>0</v>
      </c>
      <c r="G965" s="179" t="s">
        <v>408</v>
      </c>
      <c r="H965" s="182">
        <v>910</v>
      </c>
      <c r="J965" s="181"/>
    </row>
    <row r="966" spans="1:10" ht="14">
      <c r="A966" s="183" t="s">
        <v>147</v>
      </c>
      <c r="B966" s="178">
        <v>8990</v>
      </c>
      <c r="C966" s="25" t="s">
        <v>146</v>
      </c>
      <c r="D966" s="26">
        <v>43891</v>
      </c>
      <c r="E966" s="182">
        <f>SUMIF('FY19-20'!$C$10:$C$172,Import!B966,'FY19-20'!$M$10:$M$172)</f>
        <v>0</v>
      </c>
      <c r="F966" s="182">
        <f t="shared" si="33"/>
        <v>0</v>
      </c>
      <c r="G966" s="179" t="s">
        <v>408</v>
      </c>
      <c r="H966" s="182">
        <v>911</v>
      </c>
      <c r="J966" s="181"/>
    </row>
    <row r="967" spans="1:10" ht="14">
      <c r="A967" s="183" t="s">
        <v>147</v>
      </c>
      <c r="B967" s="178">
        <v>1100</v>
      </c>
      <c r="C967" s="25" t="s">
        <v>146</v>
      </c>
      <c r="D967" s="26">
        <v>43922</v>
      </c>
      <c r="E967" s="182">
        <f>SUMIF('FY19-20'!$C$10:$C$172,Import!B967,'FY19-20'!$N$10:$N$172)</f>
        <v>618378.99</v>
      </c>
      <c r="F967" s="182">
        <f t="shared" ref="F967:F998" si="34">-IF(E967&lt;0,E967)</f>
        <v>0</v>
      </c>
      <c r="G967" s="179" t="s">
        <v>408</v>
      </c>
      <c r="H967" s="182">
        <v>912</v>
      </c>
      <c r="J967" s="181"/>
    </row>
    <row r="968" spans="1:10" ht="14">
      <c r="A968" s="183" t="s">
        <v>147</v>
      </c>
      <c r="B968" s="178">
        <v>1170</v>
      </c>
      <c r="C968" s="25" t="s">
        <v>146</v>
      </c>
      <c r="D968" s="26">
        <v>43922</v>
      </c>
      <c r="E968" s="182">
        <f>SUMIF('FY19-20'!$C$10:$C$172,Import!B968,'FY19-20'!$N$10:$N$172)</f>
        <v>0</v>
      </c>
      <c r="F968" s="182">
        <f t="shared" si="34"/>
        <v>0</v>
      </c>
      <c r="G968" s="179" t="s">
        <v>408</v>
      </c>
      <c r="H968" s="182">
        <v>913</v>
      </c>
      <c r="J968" s="181"/>
    </row>
    <row r="969" spans="1:10" ht="14">
      <c r="A969" s="183" t="s">
        <v>147</v>
      </c>
      <c r="B969" s="178">
        <v>1175</v>
      </c>
      <c r="C969" s="25" t="s">
        <v>146</v>
      </c>
      <c r="D969" s="26">
        <v>43922</v>
      </c>
      <c r="E969" s="182">
        <f>SUMIF('FY19-20'!$C$10:$C$172,Import!B969,'FY19-20'!$N$10:$N$172)</f>
        <v>119945.36</v>
      </c>
      <c r="F969" s="182">
        <f t="shared" si="34"/>
        <v>0</v>
      </c>
      <c r="G969" s="179" t="s">
        <v>408</v>
      </c>
      <c r="H969" s="182">
        <v>914</v>
      </c>
      <c r="J969" s="181"/>
    </row>
    <row r="970" spans="1:10" ht="14">
      <c r="A970" s="183" t="s">
        <v>147</v>
      </c>
      <c r="B970" s="178">
        <v>1200</v>
      </c>
      <c r="C970" s="25" t="s">
        <v>146</v>
      </c>
      <c r="D970" s="26">
        <v>43922</v>
      </c>
      <c r="E970" s="182">
        <f>SUMIF('FY19-20'!$C$10:$C$172,Import!B970,'FY19-20'!$N$10:$N$172)</f>
        <v>13465.61</v>
      </c>
      <c r="F970" s="182">
        <f t="shared" si="34"/>
        <v>0</v>
      </c>
      <c r="G970" s="179" t="s">
        <v>408</v>
      </c>
      <c r="H970" s="182">
        <v>915</v>
      </c>
      <c r="J970" s="181"/>
    </row>
    <row r="971" spans="1:10" ht="14">
      <c r="A971" s="183" t="s">
        <v>147</v>
      </c>
      <c r="B971" s="178">
        <v>1300</v>
      </c>
      <c r="C971" s="25" t="s">
        <v>146</v>
      </c>
      <c r="D971" s="26">
        <v>43922</v>
      </c>
      <c r="E971" s="182">
        <f>SUMIF('FY19-20'!$C$10:$C$172,Import!B971,'FY19-20'!$N$10:$N$172)</f>
        <v>117958.34</v>
      </c>
      <c r="F971" s="182">
        <f t="shared" si="34"/>
        <v>0</v>
      </c>
      <c r="G971" s="179" t="s">
        <v>408</v>
      </c>
      <c r="H971" s="182">
        <v>916</v>
      </c>
      <c r="J971" s="181"/>
    </row>
    <row r="972" spans="1:10" ht="14">
      <c r="A972" s="183" t="s">
        <v>147</v>
      </c>
      <c r="B972" s="178">
        <v>1900</v>
      </c>
      <c r="C972" s="25" t="s">
        <v>146</v>
      </c>
      <c r="D972" s="26">
        <v>43922</v>
      </c>
      <c r="E972" s="182">
        <f>SUMIF('FY19-20'!$C$10:$C$172,Import!B972,'FY19-20'!$N$10:$N$172)</f>
        <v>0</v>
      </c>
      <c r="F972" s="182">
        <f t="shared" si="34"/>
        <v>0</v>
      </c>
      <c r="G972" s="179" t="s">
        <v>408</v>
      </c>
      <c r="H972" s="182">
        <v>917</v>
      </c>
      <c r="J972" s="181"/>
    </row>
    <row r="973" spans="1:10" ht="14">
      <c r="A973" s="183" t="s">
        <v>147</v>
      </c>
      <c r="B973" s="178">
        <v>2100</v>
      </c>
      <c r="C973" s="25" t="s">
        <v>146</v>
      </c>
      <c r="D973" s="26">
        <v>43922</v>
      </c>
      <c r="E973" s="182">
        <f>SUMIF('FY19-20'!$C$10:$C$172,Import!B973,'FY19-20'!$N$10:$N$172)</f>
        <v>21822.17</v>
      </c>
      <c r="F973" s="182">
        <f t="shared" si="34"/>
        <v>0</v>
      </c>
      <c r="G973" s="179" t="s">
        <v>408</v>
      </c>
      <c r="H973" s="182">
        <v>918</v>
      </c>
      <c r="J973" s="181"/>
    </row>
    <row r="974" spans="1:10" ht="14">
      <c r="A974" s="183" t="s">
        <v>147</v>
      </c>
      <c r="B974" s="178">
        <v>2200</v>
      </c>
      <c r="C974" s="25" t="s">
        <v>146</v>
      </c>
      <c r="D974" s="26">
        <v>43922</v>
      </c>
      <c r="E974" s="182">
        <f>SUMIF('FY19-20'!$C$10:$C$172,Import!B974,'FY19-20'!$N$10:$N$172)</f>
        <v>0</v>
      </c>
      <c r="F974" s="182">
        <f t="shared" si="34"/>
        <v>0</v>
      </c>
      <c r="G974" s="179" t="s">
        <v>408</v>
      </c>
      <c r="H974" s="182">
        <v>919</v>
      </c>
      <c r="J974" s="181"/>
    </row>
    <row r="975" spans="1:10" ht="14">
      <c r="A975" s="183" t="s">
        <v>147</v>
      </c>
      <c r="B975" s="178">
        <v>2300</v>
      </c>
      <c r="C975" s="25" t="s">
        <v>146</v>
      </c>
      <c r="D975" s="26">
        <v>43922</v>
      </c>
      <c r="E975" s="182">
        <f>SUMIF('FY19-20'!$C$10:$C$172,Import!B975,'FY19-20'!$N$10:$N$172)</f>
        <v>0</v>
      </c>
      <c r="F975" s="182">
        <f t="shared" si="34"/>
        <v>0</v>
      </c>
      <c r="G975" s="179" t="s">
        <v>408</v>
      </c>
      <c r="H975" s="182">
        <v>920</v>
      </c>
      <c r="J975" s="181"/>
    </row>
    <row r="976" spans="1:10" ht="14">
      <c r="A976" s="183" t="s">
        <v>147</v>
      </c>
      <c r="B976" s="178">
        <v>2400</v>
      </c>
      <c r="C976" s="25" t="s">
        <v>146</v>
      </c>
      <c r="D976" s="26">
        <v>43922</v>
      </c>
      <c r="E976" s="182">
        <f>SUMIF('FY19-20'!$C$10:$C$172,Import!B976,'FY19-20'!$N$10:$N$172)</f>
        <v>8402.0300000000007</v>
      </c>
      <c r="F976" s="182">
        <f t="shared" si="34"/>
        <v>0</v>
      </c>
      <c r="G976" s="179" t="s">
        <v>408</v>
      </c>
      <c r="H976" s="182">
        <v>921</v>
      </c>
      <c r="J976" s="181"/>
    </row>
    <row r="977" spans="1:10" ht="14">
      <c r="A977" s="183" t="s">
        <v>147</v>
      </c>
      <c r="B977" s="178">
        <v>2900</v>
      </c>
      <c r="C977" s="25" t="s">
        <v>146</v>
      </c>
      <c r="D977" s="26">
        <v>43922</v>
      </c>
      <c r="E977" s="182">
        <f>SUMIF('FY19-20'!$C$10:$C$172,Import!B977,'FY19-20'!$N$10:$N$172)</f>
        <v>3490.44</v>
      </c>
      <c r="F977" s="182">
        <f t="shared" si="34"/>
        <v>0</v>
      </c>
      <c r="G977" s="179" t="s">
        <v>408</v>
      </c>
      <c r="H977" s="182">
        <v>922</v>
      </c>
      <c r="J977" s="181"/>
    </row>
    <row r="978" spans="1:10" ht="14">
      <c r="A978" s="183" t="s">
        <v>147</v>
      </c>
      <c r="B978" s="178">
        <v>3101</v>
      </c>
      <c r="C978" s="25" t="s">
        <v>146</v>
      </c>
      <c r="D978" s="26">
        <v>43922</v>
      </c>
      <c r="E978" s="182">
        <f>SUMIF('FY19-20'!$C$10:$C$172,Import!B978,'FY19-20'!$N$10:$N$172)</f>
        <v>145861.60999999999</v>
      </c>
      <c r="F978" s="182">
        <f t="shared" si="34"/>
        <v>0</v>
      </c>
      <c r="G978" s="179" t="s">
        <v>408</v>
      </c>
      <c r="H978" s="182">
        <v>923</v>
      </c>
      <c r="J978" s="181"/>
    </row>
    <row r="979" spans="1:10" ht="14">
      <c r="A979" s="183" t="s">
        <v>147</v>
      </c>
      <c r="B979" s="178">
        <v>3202</v>
      </c>
      <c r="C979" s="25" t="s">
        <v>146</v>
      </c>
      <c r="D979" s="26">
        <v>43922</v>
      </c>
      <c r="E979" s="182">
        <f>SUMIF('FY19-20'!$C$10:$C$172,Import!B979,'FY19-20'!$N$10:$N$172)</f>
        <v>0</v>
      </c>
      <c r="F979" s="182">
        <f t="shared" si="34"/>
        <v>0</v>
      </c>
      <c r="G979" s="179" t="s">
        <v>408</v>
      </c>
      <c r="H979" s="182">
        <v>924</v>
      </c>
      <c r="J979" s="181"/>
    </row>
    <row r="980" spans="1:10" ht="14">
      <c r="A980" s="183" t="s">
        <v>147</v>
      </c>
      <c r="B980" s="178">
        <v>3301</v>
      </c>
      <c r="C980" s="25" t="s">
        <v>146</v>
      </c>
      <c r="D980" s="26">
        <v>43922</v>
      </c>
      <c r="E980" s="182">
        <f>SUMIF('FY19-20'!$C$10:$C$172,Import!B980,'FY19-20'!$N$10:$N$172)</f>
        <v>2053.9699999999998</v>
      </c>
      <c r="F980" s="182">
        <f t="shared" si="34"/>
        <v>0</v>
      </c>
      <c r="G980" s="179" t="s">
        <v>408</v>
      </c>
      <c r="H980" s="182">
        <v>925</v>
      </c>
      <c r="J980" s="181"/>
    </row>
    <row r="981" spans="1:10" ht="14">
      <c r="A981" s="183" t="s">
        <v>147</v>
      </c>
      <c r="B981" s="178">
        <v>3302</v>
      </c>
      <c r="C981" s="25" t="s">
        <v>146</v>
      </c>
      <c r="D981" s="26">
        <v>43922</v>
      </c>
      <c r="E981" s="182">
        <f>SUMIF('FY19-20'!$C$10:$C$172,Import!B981,'FY19-20'!$N$10:$N$172)</f>
        <v>0</v>
      </c>
      <c r="F981" s="182">
        <f t="shared" si="34"/>
        <v>0</v>
      </c>
      <c r="G981" s="179" t="s">
        <v>408</v>
      </c>
      <c r="H981" s="182">
        <v>926</v>
      </c>
      <c r="J981" s="181"/>
    </row>
    <row r="982" spans="1:10" ht="14">
      <c r="A982" s="183" t="s">
        <v>147</v>
      </c>
      <c r="B982" s="178">
        <v>3311</v>
      </c>
      <c r="C982" s="25" t="s">
        <v>146</v>
      </c>
      <c r="D982" s="26">
        <v>43922</v>
      </c>
      <c r="E982" s="182">
        <f>SUMIF('FY19-20'!$C$10:$C$172,Import!B982,'FY19-20'!$N$10:$N$172)</f>
        <v>12782.28</v>
      </c>
      <c r="F982" s="182">
        <f t="shared" si="34"/>
        <v>0</v>
      </c>
      <c r="G982" s="179" t="s">
        <v>408</v>
      </c>
      <c r="H982" s="182">
        <v>927</v>
      </c>
      <c r="J982" s="181"/>
    </row>
    <row r="983" spans="1:10" ht="14">
      <c r="A983" s="183" t="s">
        <v>147</v>
      </c>
      <c r="B983" s="178">
        <v>3312</v>
      </c>
      <c r="C983" s="25" t="s">
        <v>146</v>
      </c>
      <c r="D983" s="26">
        <v>43922</v>
      </c>
      <c r="E983" s="182">
        <f>SUMIF('FY19-20'!$C$10:$C$172,Import!B983,'FY19-20'!$N$10:$N$172)</f>
        <v>0</v>
      </c>
      <c r="F983" s="182">
        <f t="shared" si="34"/>
        <v>0</v>
      </c>
      <c r="G983" s="179" t="s">
        <v>408</v>
      </c>
      <c r="H983" s="182">
        <v>928</v>
      </c>
      <c r="J983" s="181"/>
    </row>
    <row r="984" spans="1:10" ht="14">
      <c r="A984" s="183" t="s">
        <v>147</v>
      </c>
      <c r="B984" s="178">
        <v>3401</v>
      </c>
      <c r="C984" s="25" t="s">
        <v>146</v>
      </c>
      <c r="D984" s="26">
        <v>43922</v>
      </c>
      <c r="E984" s="182">
        <f>SUMIF('FY19-20'!$C$10:$C$172,Import!B984,'FY19-20'!$N$10:$N$172)</f>
        <v>93395.33</v>
      </c>
      <c r="F984" s="182">
        <f t="shared" si="34"/>
        <v>0</v>
      </c>
      <c r="G984" s="179" t="s">
        <v>408</v>
      </c>
      <c r="H984" s="182">
        <v>929</v>
      </c>
      <c r="J984" s="181"/>
    </row>
    <row r="985" spans="1:10" ht="14">
      <c r="A985" s="183" t="s">
        <v>147</v>
      </c>
      <c r="B985" s="178">
        <v>3402</v>
      </c>
      <c r="C985" s="25" t="s">
        <v>146</v>
      </c>
      <c r="D985" s="26">
        <v>43922</v>
      </c>
      <c r="E985" s="182">
        <f>SUMIF('FY19-20'!$C$10:$C$172,Import!B985,'FY19-20'!$N$10:$N$172)</f>
        <v>0</v>
      </c>
      <c r="F985" s="182">
        <f t="shared" si="34"/>
        <v>0</v>
      </c>
      <c r="G985" s="179" t="s">
        <v>408</v>
      </c>
      <c r="H985" s="182">
        <v>930</v>
      </c>
      <c r="J985" s="181"/>
    </row>
    <row r="986" spans="1:10" ht="14">
      <c r="A986" s="183" t="s">
        <v>147</v>
      </c>
      <c r="B986" s="178">
        <v>3501</v>
      </c>
      <c r="C986" s="25" t="s">
        <v>146</v>
      </c>
      <c r="D986" s="26">
        <v>43922</v>
      </c>
      <c r="E986" s="182">
        <f>SUMIF('FY19-20'!$C$10:$C$172,Import!B986,'FY19-20'!$N$10:$N$172)</f>
        <v>2845.26</v>
      </c>
      <c r="F986" s="182">
        <f t="shared" si="34"/>
        <v>0</v>
      </c>
      <c r="G986" s="179" t="s">
        <v>408</v>
      </c>
      <c r="H986" s="182">
        <v>931</v>
      </c>
      <c r="J986" s="181"/>
    </row>
    <row r="987" spans="1:10" ht="14">
      <c r="A987" s="183" t="s">
        <v>147</v>
      </c>
      <c r="B987" s="178">
        <v>3502</v>
      </c>
      <c r="C987" s="25" t="s">
        <v>146</v>
      </c>
      <c r="D987" s="26">
        <v>43922</v>
      </c>
      <c r="E987" s="182">
        <f>SUMIF('FY19-20'!$C$10:$C$172,Import!B987,'FY19-20'!$N$10:$N$172)</f>
        <v>0</v>
      </c>
      <c r="F987" s="182">
        <f t="shared" si="34"/>
        <v>0</v>
      </c>
      <c r="G987" s="179" t="s">
        <v>408</v>
      </c>
      <c r="H987" s="182">
        <v>932</v>
      </c>
      <c r="J987" s="181"/>
    </row>
    <row r="988" spans="1:10" ht="14">
      <c r="A988" s="183" t="s">
        <v>147</v>
      </c>
      <c r="B988" s="178">
        <v>3601</v>
      </c>
      <c r="C988" s="25" t="s">
        <v>146</v>
      </c>
      <c r="D988" s="26">
        <v>43922</v>
      </c>
      <c r="E988" s="182">
        <f>SUMIF('FY19-20'!$C$10:$C$172,Import!B988,'FY19-20'!$N$10:$N$172)</f>
        <v>4582.4799999999996</v>
      </c>
      <c r="F988" s="182">
        <f t="shared" si="34"/>
        <v>0</v>
      </c>
      <c r="G988" s="179" t="s">
        <v>408</v>
      </c>
      <c r="H988" s="182">
        <v>933</v>
      </c>
      <c r="J988" s="181"/>
    </row>
    <row r="989" spans="1:10" ht="14">
      <c r="A989" s="183" t="s">
        <v>147</v>
      </c>
      <c r="B989" s="178">
        <v>3602</v>
      </c>
      <c r="C989" s="25" t="s">
        <v>146</v>
      </c>
      <c r="D989" s="26">
        <v>43922</v>
      </c>
      <c r="E989" s="182">
        <f>SUMIF('FY19-20'!$C$10:$C$172,Import!B989,'FY19-20'!$N$10:$N$172)</f>
        <v>0</v>
      </c>
      <c r="F989" s="182">
        <f t="shared" si="34"/>
        <v>0</v>
      </c>
      <c r="G989" s="179" t="s">
        <v>408</v>
      </c>
      <c r="H989" s="182">
        <v>934</v>
      </c>
      <c r="J989" s="181"/>
    </row>
    <row r="990" spans="1:10" ht="14">
      <c r="A990" s="183" t="s">
        <v>147</v>
      </c>
      <c r="B990" s="178">
        <v>3901</v>
      </c>
      <c r="C990" s="25" t="s">
        <v>146</v>
      </c>
      <c r="D990" s="26">
        <v>43922</v>
      </c>
      <c r="E990" s="182">
        <f>SUMIF('FY19-20'!$C$10:$C$172,Import!B990,'FY19-20'!$N$10:$N$172)</f>
        <v>0</v>
      </c>
      <c r="F990" s="182">
        <f t="shared" si="34"/>
        <v>0</v>
      </c>
      <c r="G990" s="179" t="s">
        <v>408</v>
      </c>
      <c r="H990" s="182">
        <v>935</v>
      </c>
      <c r="J990" s="181"/>
    </row>
    <row r="991" spans="1:10" ht="14">
      <c r="A991" s="183" t="s">
        <v>147</v>
      </c>
      <c r="B991" s="178">
        <v>3902</v>
      </c>
      <c r="C991" s="25" t="s">
        <v>146</v>
      </c>
      <c r="D991" s="26">
        <v>43922</v>
      </c>
      <c r="E991" s="182">
        <f>SUMIF('FY19-20'!$C$10:$C$172,Import!B991,'FY19-20'!$N$10:$N$172)</f>
        <v>0</v>
      </c>
      <c r="F991" s="182">
        <f t="shared" si="34"/>
        <v>0</v>
      </c>
      <c r="G991" s="179" t="s">
        <v>408</v>
      </c>
      <c r="H991" s="182">
        <v>936</v>
      </c>
      <c r="J991" s="181"/>
    </row>
    <row r="992" spans="1:10" ht="14">
      <c r="A992" s="183" t="s">
        <v>147</v>
      </c>
      <c r="B992" s="178">
        <v>4100</v>
      </c>
      <c r="C992" s="25" t="s">
        <v>146</v>
      </c>
      <c r="D992" s="26">
        <v>43922</v>
      </c>
      <c r="E992" s="182">
        <f>SUMIF('FY19-20'!$C$10:$C$172,Import!B992,'FY19-20'!$N$10:$N$172)</f>
        <v>0</v>
      </c>
      <c r="F992" s="182">
        <f t="shared" si="34"/>
        <v>0</v>
      </c>
      <c r="G992" s="179" t="s">
        <v>408</v>
      </c>
      <c r="H992" s="182">
        <v>937</v>
      </c>
      <c r="J992" s="181"/>
    </row>
    <row r="993" spans="1:10" ht="14">
      <c r="A993" s="183" t="s">
        <v>147</v>
      </c>
      <c r="B993" s="178">
        <v>4200</v>
      </c>
      <c r="C993" s="25" t="s">
        <v>146</v>
      </c>
      <c r="D993" s="26">
        <v>43922</v>
      </c>
      <c r="E993" s="182">
        <f>SUMIF('FY19-20'!$C$10:$C$172,Import!B993,'FY19-20'!$N$10:$N$172)</f>
        <v>0</v>
      </c>
      <c r="F993" s="182">
        <f t="shared" si="34"/>
        <v>0</v>
      </c>
      <c r="G993" s="179" t="s">
        <v>408</v>
      </c>
      <c r="H993" s="182">
        <v>938</v>
      </c>
      <c r="J993" s="181"/>
    </row>
    <row r="994" spans="1:10" ht="14">
      <c r="A994" s="183" t="s">
        <v>147</v>
      </c>
      <c r="B994" s="178">
        <v>4302</v>
      </c>
      <c r="C994" s="25" t="s">
        <v>146</v>
      </c>
      <c r="D994" s="26">
        <v>43922</v>
      </c>
      <c r="E994" s="182">
        <f>SUMIF('FY19-20'!$C$10:$C$172,Import!B994,'FY19-20'!$N$10:$N$172)</f>
        <v>202633.55</v>
      </c>
      <c r="F994" s="182">
        <f t="shared" si="34"/>
        <v>0</v>
      </c>
      <c r="G994" s="179" t="s">
        <v>408</v>
      </c>
      <c r="H994" s="182">
        <v>939</v>
      </c>
      <c r="J994" s="181"/>
    </row>
    <row r="995" spans="1:10" ht="14">
      <c r="A995" s="183" t="s">
        <v>147</v>
      </c>
      <c r="B995" s="178">
        <v>4305</v>
      </c>
      <c r="C995" s="25" t="s">
        <v>146</v>
      </c>
      <c r="D995" s="26">
        <v>43922</v>
      </c>
      <c r="E995" s="182">
        <f>SUMIF('FY19-20'!$C$10:$C$172,Import!B995,'FY19-20'!$N$10:$N$172)</f>
        <v>11361.64</v>
      </c>
      <c r="F995" s="182">
        <f t="shared" si="34"/>
        <v>0</v>
      </c>
      <c r="G995" s="179" t="s">
        <v>408</v>
      </c>
      <c r="H995" s="182">
        <v>940</v>
      </c>
      <c r="J995" s="181"/>
    </row>
    <row r="996" spans="1:10" ht="14">
      <c r="A996" s="183" t="s">
        <v>147</v>
      </c>
      <c r="B996" s="178">
        <v>4310</v>
      </c>
      <c r="C996" s="25" t="s">
        <v>146</v>
      </c>
      <c r="D996" s="26">
        <v>43922</v>
      </c>
      <c r="E996" s="182">
        <f>SUMIF('FY19-20'!$C$10:$C$172,Import!B996,'FY19-20'!$N$10:$N$172)</f>
        <v>2881.23</v>
      </c>
      <c r="F996" s="182">
        <f t="shared" si="34"/>
        <v>0</v>
      </c>
      <c r="G996" s="179" t="s">
        <v>408</v>
      </c>
      <c r="H996" s="182">
        <v>941</v>
      </c>
      <c r="J996" s="181"/>
    </row>
    <row r="997" spans="1:10" ht="14">
      <c r="A997" s="183" t="s">
        <v>147</v>
      </c>
      <c r="B997" s="178">
        <v>4311</v>
      </c>
      <c r="C997" s="25" t="s">
        <v>146</v>
      </c>
      <c r="D997" s="26">
        <v>43922</v>
      </c>
      <c r="E997" s="182">
        <f>SUMIF('FY19-20'!$C$10:$C$172,Import!B997,'FY19-20'!$N$10:$N$172)</f>
        <v>0</v>
      </c>
      <c r="F997" s="182">
        <f t="shared" si="34"/>
        <v>0</v>
      </c>
      <c r="G997" s="179" t="s">
        <v>408</v>
      </c>
      <c r="H997" s="182">
        <v>942</v>
      </c>
      <c r="J997" s="181"/>
    </row>
    <row r="998" spans="1:10" ht="14">
      <c r="A998" s="183" t="s">
        <v>147</v>
      </c>
      <c r="B998" s="178">
        <v>4312</v>
      </c>
      <c r="C998" s="25" t="s">
        <v>146</v>
      </c>
      <c r="D998" s="26">
        <v>43922</v>
      </c>
      <c r="E998" s="182">
        <f>SUMIF('FY19-20'!$C$10:$C$172,Import!B998,'FY19-20'!$N$10:$N$172)</f>
        <v>0</v>
      </c>
      <c r="F998" s="182">
        <f t="shared" si="34"/>
        <v>0</v>
      </c>
      <c r="G998" s="179" t="s">
        <v>408</v>
      </c>
      <c r="H998" s="182">
        <v>943</v>
      </c>
      <c r="J998" s="181"/>
    </row>
    <row r="999" spans="1:10" ht="14">
      <c r="A999" s="183" t="s">
        <v>147</v>
      </c>
      <c r="B999" s="178">
        <v>4400</v>
      </c>
      <c r="C999" s="25" t="s">
        <v>146</v>
      </c>
      <c r="D999" s="26">
        <v>43922</v>
      </c>
      <c r="E999" s="182">
        <f>SUMIF('FY19-20'!$C$10:$C$172,Import!B999,'FY19-20'!$N$10:$N$172)</f>
        <v>212.97</v>
      </c>
      <c r="F999" s="182">
        <f t="shared" ref="F999:F1028" si="35">-IF(E999&lt;0,E999)</f>
        <v>0</v>
      </c>
      <c r="G999" s="179" t="s">
        <v>408</v>
      </c>
      <c r="H999" s="182">
        <v>944</v>
      </c>
      <c r="J999" s="181"/>
    </row>
    <row r="1000" spans="1:10" ht="14">
      <c r="A1000" s="183" t="s">
        <v>147</v>
      </c>
      <c r="B1000" s="178">
        <v>4700</v>
      </c>
      <c r="C1000" s="25" t="s">
        <v>146</v>
      </c>
      <c r="D1000" s="26">
        <v>43922</v>
      </c>
      <c r="E1000" s="182">
        <f>SUMIF('FY19-20'!$C$10:$C$172,Import!B1000,'FY19-20'!$N$10:$N$172)</f>
        <v>124903.72</v>
      </c>
      <c r="F1000" s="182">
        <f t="shared" si="35"/>
        <v>0</v>
      </c>
      <c r="G1000" s="179" t="s">
        <v>408</v>
      </c>
      <c r="H1000" s="182">
        <v>945</v>
      </c>
      <c r="J1000" s="181"/>
    </row>
    <row r="1001" spans="1:10" ht="14">
      <c r="A1001" s="183" t="s">
        <v>147</v>
      </c>
      <c r="B1001" s="178">
        <v>5101</v>
      </c>
      <c r="C1001" s="25" t="s">
        <v>146</v>
      </c>
      <c r="D1001" s="26">
        <v>43922</v>
      </c>
      <c r="E1001" s="182">
        <f>SUMIF('FY19-20'!$C$10:$C$172,Import!B1001,'FY19-20'!$N$10:$N$172)</f>
        <v>0</v>
      </c>
      <c r="F1001" s="182">
        <f t="shared" si="35"/>
        <v>0</v>
      </c>
      <c r="G1001" s="179" t="s">
        <v>408</v>
      </c>
      <c r="H1001" s="182">
        <v>946</v>
      </c>
      <c r="J1001" s="181"/>
    </row>
    <row r="1002" spans="1:10" ht="14">
      <c r="A1002" s="183" t="s">
        <v>147</v>
      </c>
      <c r="B1002" s="178">
        <v>5102</v>
      </c>
      <c r="C1002" s="25" t="s">
        <v>146</v>
      </c>
      <c r="D1002" s="26">
        <v>43922</v>
      </c>
      <c r="E1002" s="182">
        <f>SUMIF('FY19-20'!$C$10:$C$172,Import!B1002,'FY19-20'!$N$10:$N$172)</f>
        <v>188307.75</v>
      </c>
      <c r="F1002" s="182">
        <f t="shared" si="35"/>
        <v>0</v>
      </c>
      <c r="G1002" s="179" t="s">
        <v>408</v>
      </c>
      <c r="H1002" s="182">
        <v>947</v>
      </c>
      <c r="J1002" s="181"/>
    </row>
    <row r="1003" spans="1:10" ht="14">
      <c r="A1003" s="183" t="s">
        <v>147</v>
      </c>
      <c r="B1003" s="178">
        <v>5103</v>
      </c>
      <c r="C1003" s="25" t="s">
        <v>146</v>
      </c>
      <c r="D1003" s="26">
        <v>43922</v>
      </c>
      <c r="E1003" s="182">
        <f>SUMIF('FY19-20'!$C$10:$C$172,Import!B1003,'FY19-20'!$N$10:$N$172)</f>
        <v>0</v>
      </c>
      <c r="F1003" s="182">
        <f t="shared" si="35"/>
        <v>0</v>
      </c>
      <c r="G1003" s="179" t="s">
        <v>408</v>
      </c>
      <c r="H1003" s="182">
        <v>948</v>
      </c>
      <c r="J1003" s="181"/>
    </row>
    <row r="1004" spans="1:10" ht="14">
      <c r="A1004" s="183" t="s">
        <v>147</v>
      </c>
      <c r="B1004" s="178">
        <v>5104</v>
      </c>
      <c r="C1004" s="25" t="s">
        <v>146</v>
      </c>
      <c r="D1004" s="26">
        <v>43922</v>
      </c>
      <c r="E1004" s="182">
        <f>SUMIF('FY19-20'!$C$10:$C$172,Import!B1004,'FY19-20'!$N$10:$N$172)</f>
        <v>0</v>
      </c>
      <c r="F1004" s="182">
        <f t="shared" si="35"/>
        <v>0</v>
      </c>
      <c r="G1004" s="179" t="s">
        <v>408</v>
      </c>
      <c r="H1004" s="182">
        <v>949</v>
      </c>
      <c r="J1004" s="181"/>
    </row>
    <row r="1005" spans="1:10" ht="14">
      <c r="A1005" s="183" t="s">
        <v>147</v>
      </c>
      <c r="B1005" s="178">
        <v>5105</v>
      </c>
      <c r="C1005" s="25" t="s">
        <v>146</v>
      </c>
      <c r="D1005" s="26">
        <v>43922</v>
      </c>
      <c r="E1005" s="182">
        <f>SUMIF('FY19-20'!$C$10:$C$172,Import!B1005,'FY19-20'!$N$10:$N$172)</f>
        <v>0</v>
      </c>
      <c r="F1005" s="182">
        <f t="shared" si="35"/>
        <v>0</v>
      </c>
      <c r="G1005" s="179" t="s">
        <v>408</v>
      </c>
      <c r="H1005" s="182">
        <v>950</v>
      </c>
      <c r="J1005" s="181"/>
    </row>
    <row r="1006" spans="1:10" ht="14">
      <c r="A1006" s="183" t="s">
        <v>147</v>
      </c>
      <c r="B1006" s="178">
        <v>5106</v>
      </c>
      <c r="C1006" s="25" t="s">
        <v>146</v>
      </c>
      <c r="D1006" s="26">
        <v>43922</v>
      </c>
      <c r="E1006" s="182">
        <f>SUMIF('FY19-20'!$C$10:$C$172,Import!B1006,'FY19-20'!$N$10:$N$172)</f>
        <v>253702.95</v>
      </c>
      <c r="F1006" s="182">
        <f t="shared" si="35"/>
        <v>0</v>
      </c>
      <c r="G1006" s="179" t="s">
        <v>408</v>
      </c>
      <c r="H1006" s="182">
        <v>951</v>
      </c>
      <c r="J1006" s="181"/>
    </row>
    <row r="1007" spans="1:10" ht="14">
      <c r="A1007" s="183" t="s">
        <v>147</v>
      </c>
      <c r="B1007" s="178">
        <v>5107</v>
      </c>
      <c r="C1007" s="25" t="s">
        <v>146</v>
      </c>
      <c r="D1007" s="26">
        <v>43922</v>
      </c>
      <c r="E1007" s="182">
        <f>SUMIF('FY19-20'!$C$10:$C$172,Import!B1007,'FY19-20'!$N$10:$N$172)</f>
        <v>245689</v>
      </c>
      <c r="F1007" s="182">
        <f t="shared" ref="F1007" si="36">-IF(E1007&lt;0,E1007)</f>
        <v>0</v>
      </c>
      <c r="G1007" s="179" t="s">
        <v>408</v>
      </c>
      <c r="H1007" s="182">
        <v>951</v>
      </c>
      <c r="J1007" s="181"/>
    </row>
    <row r="1008" spans="1:10" ht="14">
      <c r="A1008" s="183" t="s">
        <v>147</v>
      </c>
      <c r="B1008" s="178">
        <v>5201</v>
      </c>
      <c r="C1008" s="25" t="s">
        <v>146</v>
      </c>
      <c r="D1008" s="26">
        <v>43922</v>
      </c>
      <c r="E1008" s="182">
        <f>SUMIF('FY19-20'!$C$10:$C$172,Import!B1008,'FY19-20'!$N$10:$N$172)</f>
        <v>0</v>
      </c>
      <c r="F1008" s="182">
        <f t="shared" si="35"/>
        <v>0</v>
      </c>
      <c r="G1008" s="179" t="s">
        <v>408</v>
      </c>
      <c r="H1008" s="182">
        <v>952</v>
      </c>
      <c r="J1008" s="181"/>
    </row>
    <row r="1009" spans="1:10" ht="14">
      <c r="A1009" s="183" t="s">
        <v>147</v>
      </c>
      <c r="B1009" s="178">
        <v>5202</v>
      </c>
      <c r="C1009" s="25" t="s">
        <v>146</v>
      </c>
      <c r="D1009" s="26">
        <v>43922</v>
      </c>
      <c r="E1009" s="182">
        <f>SUMIF('FY19-20'!$C$10:$C$172,Import!B1009,'FY19-20'!$N$10:$N$172)</f>
        <v>0</v>
      </c>
      <c r="F1009" s="182">
        <f t="shared" si="35"/>
        <v>0</v>
      </c>
      <c r="G1009" s="179" t="s">
        <v>408</v>
      </c>
      <c r="H1009" s="182">
        <v>953</v>
      </c>
      <c r="J1009" s="181"/>
    </row>
    <row r="1010" spans="1:10" ht="14">
      <c r="A1010" s="183" t="s">
        <v>147</v>
      </c>
      <c r="B1010" s="178">
        <v>5203</v>
      </c>
      <c r="C1010" s="25" t="s">
        <v>146</v>
      </c>
      <c r="D1010" s="26">
        <v>43922</v>
      </c>
      <c r="E1010" s="182">
        <f>SUMIF('FY19-20'!$C$10:$C$172,Import!B1010,'FY19-20'!$N$10:$N$172)</f>
        <v>0</v>
      </c>
      <c r="F1010" s="182">
        <f t="shared" si="35"/>
        <v>0</v>
      </c>
      <c r="G1010" s="179" t="s">
        <v>408</v>
      </c>
      <c r="H1010" s="182">
        <v>954</v>
      </c>
      <c r="J1010" s="181"/>
    </row>
    <row r="1011" spans="1:10" ht="14">
      <c r="A1011" s="183" t="s">
        <v>147</v>
      </c>
      <c r="B1011" s="178">
        <v>5300</v>
      </c>
      <c r="C1011" s="25" t="s">
        <v>146</v>
      </c>
      <c r="D1011" s="26">
        <v>43922</v>
      </c>
      <c r="E1011" s="182">
        <f>SUMIF('FY19-20'!$C$10:$C$172,Import!B1011,'FY19-20'!$N$10:$N$172)</f>
        <v>0</v>
      </c>
      <c r="F1011" s="182">
        <f t="shared" si="35"/>
        <v>0</v>
      </c>
      <c r="G1011" s="179" t="s">
        <v>408</v>
      </c>
      <c r="H1011" s="182">
        <v>955</v>
      </c>
      <c r="J1011" s="181"/>
    </row>
    <row r="1012" spans="1:10" ht="14">
      <c r="A1012" s="183" t="s">
        <v>147</v>
      </c>
      <c r="B1012" s="178">
        <v>5400</v>
      </c>
      <c r="C1012" s="25" t="s">
        <v>146</v>
      </c>
      <c r="D1012" s="26">
        <v>43922</v>
      </c>
      <c r="E1012" s="182">
        <f>SUMIF('FY19-20'!$C$10:$C$172,Import!B1012,'FY19-20'!$N$10:$N$172)</f>
        <v>22808</v>
      </c>
      <c r="F1012" s="182">
        <f t="shared" si="35"/>
        <v>0</v>
      </c>
      <c r="G1012" s="179" t="s">
        <v>408</v>
      </c>
      <c r="H1012" s="182">
        <v>956</v>
      </c>
      <c r="J1012" s="181"/>
    </row>
    <row r="1013" spans="1:10" ht="14">
      <c r="A1013" s="183" t="s">
        <v>147</v>
      </c>
      <c r="B1013" s="178">
        <v>5501</v>
      </c>
      <c r="C1013" s="25" t="s">
        <v>146</v>
      </c>
      <c r="D1013" s="26">
        <v>43922</v>
      </c>
      <c r="E1013" s="182">
        <f>SUMIF('FY19-20'!$C$10:$C$172,Import!B1013,'FY19-20'!$N$10:$N$172)</f>
        <v>0</v>
      </c>
      <c r="F1013" s="182">
        <f t="shared" si="35"/>
        <v>0</v>
      </c>
      <c r="G1013" s="179" t="s">
        <v>408</v>
      </c>
      <c r="H1013" s="182">
        <v>957</v>
      </c>
      <c r="J1013" s="181"/>
    </row>
    <row r="1014" spans="1:10" ht="14">
      <c r="A1014" s="183" t="s">
        <v>147</v>
      </c>
      <c r="B1014" s="178">
        <v>5502</v>
      </c>
      <c r="C1014" s="25" t="s">
        <v>146</v>
      </c>
      <c r="D1014" s="26">
        <v>43922</v>
      </c>
      <c r="E1014" s="182">
        <f>SUMIF('FY19-20'!$C$10:$C$172,Import!B1014,'FY19-20'!$N$10:$N$172)</f>
        <v>35</v>
      </c>
      <c r="F1014" s="182">
        <f t="shared" si="35"/>
        <v>0</v>
      </c>
      <c r="G1014" s="179" t="s">
        <v>408</v>
      </c>
      <c r="H1014" s="182">
        <v>958</v>
      </c>
      <c r="J1014" s="181"/>
    </row>
    <row r="1015" spans="1:10" ht="14">
      <c r="A1015" s="183" t="s">
        <v>147</v>
      </c>
      <c r="B1015" s="178">
        <v>5516</v>
      </c>
      <c r="C1015" s="25" t="s">
        <v>146</v>
      </c>
      <c r="D1015" s="26">
        <v>43922</v>
      </c>
      <c r="E1015" s="182">
        <f>SUMIF('FY19-20'!$C$10:$C$172,Import!B1015,'FY19-20'!$N$10:$N$172)</f>
        <v>0</v>
      </c>
      <c r="F1015" s="182">
        <f t="shared" si="35"/>
        <v>0</v>
      </c>
      <c r="G1015" s="179" t="s">
        <v>408</v>
      </c>
      <c r="H1015" s="182">
        <v>959</v>
      </c>
      <c r="J1015" s="181"/>
    </row>
    <row r="1016" spans="1:10" ht="14">
      <c r="A1016" s="183" t="s">
        <v>147</v>
      </c>
      <c r="B1016" s="178">
        <v>5531</v>
      </c>
      <c r="C1016" s="25" t="s">
        <v>146</v>
      </c>
      <c r="D1016" s="26">
        <v>43922</v>
      </c>
      <c r="E1016" s="182">
        <f>SUMIF('FY19-20'!$C$10:$C$172,Import!B1016,'FY19-20'!$N$10:$N$172)</f>
        <v>0</v>
      </c>
      <c r="F1016" s="182">
        <f t="shared" si="35"/>
        <v>0</v>
      </c>
      <c r="G1016" s="179" t="s">
        <v>408</v>
      </c>
      <c r="H1016" s="182">
        <v>962</v>
      </c>
      <c r="J1016" s="181"/>
    </row>
    <row r="1017" spans="1:10" ht="14">
      <c r="A1017" s="183" t="s">
        <v>147</v>
      </c>
      <c r="B1017" s="178">
        <v>5540</v>
      </c>
      <c r="C1017" s="25" t="s">
        <v>146</v>
      </c>
      <c r="D1017" s="26">
        <v>43922</v>
      </c>
      <c r="E1017" s="182">
        <f>SUMIF('FY19-20'!$C$10:$C$172,Import!B1017,'FY19-20'!$N$10:$N$172)</f>
        <v>0</v>
      </c>
      <c r="F1017" s="182">
        <f t="shared" si="35"/>
        <v>0</v>
      </c>
      <c r="G1017" s="179" t="s">
        <v>408</v>
      </c>
      <c r="H1017" s="182">
        <v>963</v>
      </c>
      <c r="J1017" s="181"/>
    </row>
    <row r="1018" spans="1:10" ht="14">
      <c r="A1018" s="183" t="s">
        <v>147</v>
      </c>
      <c r="B1018" s="178">
        <v>5601</v>
      </c>
      <c r="C1018" s="25" t="s">
        <v>146</v>
      </c>
      <c r="D1018" s="26">
        <v>43922</v>
      </c>
      <c r="E1018" s="182">
        <f>SUMIF('FY19-20'!$C$10:$C$172,Import!B1018,'FY19-20'!$N$10:$N$172)</f>
        <v>0</v>
      </c>
      <c r="F1018" s="182">
        <f t="shared" si="35"/>
        <v>0</v>
      </c>
      <c r="G1018" s="179" t="s">
        <v>408</v>
      </c>
      <c r="H1018" s="182">
        <v>964</v>
      </c>
      <c r="J1018" s="181"/>
    </row>
    <row r="1019" spans="1:10" ht="14">
      <c r="A1019" s="183" t="s">
        <v>147</v>
      </c>
      <c r="B1019" s="178">
        <v>5602</v>
      </c>
      <c r="C1019" s="25" t="s">
        <v>146</v>
      </c>
      <c r="D1019" s="26">
        <v>43922</v>
      </c>
      <c r="E1019" s="182">
        <f>SUMIF('FY19-20'!$C$10:$C$172,Import!B1019,'FY19-20'!$N$10:$N$172)</f>
        <v>0</v>
      </c>
      <c r="F1019" s="182">
        <f t="shared" si="35"/>
        <v>0</v>
      </c>
      <c r="G1019" s="179" t="s">
        <v>408</v>
      </c>
      <c r="H1019" s="182">
        <v>965</v>
      </c>
      <c r="J1019" s="181"/>
    </row>
    <row r="1020" spans="1:10" ht="14">
      <c r="A1020" s="183" t="s">
        <v>147</v>
      </c>
      <c r="B1020" s="178">
        <v>5603</v>
      </c>
      <c r="C1020" s="25" t="s">
        <v>146</v>
      </c>
      <c r="D1020" s="26">
        <v>43922</v>
      </c>
      <c r="E1020" s="182">
        <f>SUMIF('FY19-20'!$C$10:$C$172,Import!B1020,'FY19-20'!$N$10:$N$172)</f>
        <v>0</v>
      </c>
      <c r="F1020" s="182">
        <f t="shared" si="35"/>
        <v>0</v>
      </c>
      <c r="G1020" s="179" t="s">
        <v>408</v>
      </c>
      <c r="H1020" s="182">
        <v>966</v>
      </c>
      <c r="J1020" s="181"/>
    </row>
    <row r="1021" spans="1:10" ht="14">
      <c r="A1021" s="183" t="s">
        <v>147</v>
      </c>
      <c r="B1021" s="178">
        <v>5604</v>
      </c>
      <c r="C1021" s="25" t="s">
        <v>146</v>
      </c>
      <c r="D1021" s="26">
        <v>43922</v>
      </c>
      <c r="E1021" s="182">
        <f>SUMIF('FY19-20'!$C$10:$C$172,Import!B1021,'FY19-20'!$N$10:$N$172)</f>
        <v>-2900</v>
      </c>
      <c r="F1021" s="182">
        <f t="shared" si="35"/>
        <v>2900</v>
      </c>
      <c r="G1021" s="179" t="s">
        <v>408</v>
      </c>
      <c r="H1021" s="182">
        <v>967</v>
      </c>
      <c r="J1021" s="181"/>
    </row>
    <row r="1022" spans="1:10" ht="14">
      <c r="A1022" s="183" t="s">
        <v>147</v>
      </c>
      <c r="B1022" s="178">
        <v>5605</v>
      </c>
      <c r="C1022" s="25" t="s">
        <v>146</v>
      </c>
      <c r="D1022" s="26">
        <v>43922</v>
      </c>
      <c r="E1022" s="182">
        <f>SUMIF('FY19-20'!$C$10:$C$172,Import!B1022,'FY19-20'!$N$10:$N$172)</f>
        <v>0</v>
      </c>
      <c r="F1022" s="182">
        <f t="shared" si="35"/>
        <v>0</v>
      </c>
      <c r="G1022" s="179" t="s">
        <v>408</v>
      </c>
      <c r="H1022" s="182">
        <v>968</v>
      </c>
      <c r="J1022" s="181"/>
    </row>
    <row r="1023" spans="1:10" ht="14">
      <c r="A1023" s="183" t="s">
        <v>147</v>
      </c>
      <c r="B1023" s="178">
        <v>5610</v>
      </c>
      <c r="C1023" s="25" t="s">
        <v>146</v>
      </c>
      <c r="D1023" s="26">
        <v>43922</v>
      </c>
      <c r="E1023" s="182">
        <f>SUMIF('FY19-20'!$C$10:$C$172,Import!B1023,'FY19-20'!$N$10:$N$172)</f>
        <v>0</v>
      </c>
      <c r="F1023" s="182">
        <f t="shared" si="35"/>
        <v>0</v>
      </c>
      <c r="G1023" s="179" t="s">
        <v>408</v>
      </c>
      <c r="H1023" s="182">
        <v>969</v>
      </c>
      <c r="J1023" s="181"/>
    </row>
    <row r="1024" spans="1:10" ht="14">
      <c r="A1024" s="183" t="s">
        <v>147</v>
      </c>
      <c r="B1024" s="178">
        <v>5801</v>
      </c>
      <c r="C1024" s="25" t="s">
        <v>146</v>
      </c>
      <c r="D1024" s="26">
        <v>43922</v>
      </c>
      <c r="E1024" s="182">
        <f>SUMIF('FY19-20'!$C$10:$C$172,Import!B1024,'FY19-20'!$N$10:$N$172)</f>
        <v>900</v>
      </c>
      <c r="F1024" s="182">
        <f t="shared" si="35"/>
        <v>0</v>
      </c>
      <c r="G1024" s="179" t="s">
        <v>408</v>
      </c>
      <c r="H1024" s="182">
        <v>970</v>
      </c>
      <c r="J1024" s="181"/>
    </row>
    <row r="1025" spans="1:10" ht="14">
      <c r="A1025" s="183" t="s">
        <v>147</v>
      </c>
      <c r="B1025" s="178">
        <v>5802</v>
      </c>
      <c r="C1025" s="25" t="s">
        <v>146</v>
      </c>
      <c r="D1025" s="26">
        <v>43922</v>
      </c>
      <c r="E1025" s="182">
        <f>SUMIF('FY19-20'!$C$10:$C$172,Import!B1025,'FY19-20'!$N$10:$N$172)</f>
        <v>0</v>
      </c>
      <c r="F1025" s="182">
        <f t="shared" si="35"/>
        <v>0</v>
      </c>
      <c r="G1025" s="179" t="s">
        <v>408</v>
      </c>
      <c r="H1025" s="182">
        <v>971</v>
      </c>
      <c r="J1025" s="181"/>
    </row>
    <row r="1026" spans="1:10" ht="14">
      <c r="A1026" s="183" t="s">
        <v>147</v>
      </c>
      <c r="B1026" s="178">
        <v>5803</v>
      </c>
      <c r="C1026" s="25" t="s">
        <v>146</v>
      </c>
      <c r="D1026" s="26">
        <v>43922</v>
      </c>
      <c r="E1026" s="182">
        <f>SUMIF('FY19-20'!$C$10:$C$172,Import!B1026,'FY19-20'!$N$10:$N$172)</f>
        <v>6190</v>
      </c>
      <c r="F1026" s="182">
        <f t="shared" si="35"/>
        <v>0</v>
      </c>
      <c r="G1026" s="179" t="s">
        <v>408</v>
      </c>
      <c r="H1026" s="182">
        <v>972</v>
      </c>
      <c r="J1026" s="181"/>
    </row>
    <row r="1027" spans="1:10" ht="14">
      <c r="A1027" s="183" t="s">
        <v>147</v>
      </c>
      <c r="B1027" s="178">
        <v>5804</v>
      </c>
      <c r="C1027" s="25" t="s">
        <v>146</v>
      </c>
      <c r="D1027" s="26">
        <v>43922</v>
      </c>
      <c r="E1027" s="182">
        <f>SUMIF('FY19-20'!$C$10:$C$172,Import!B1027,'FY19-20'!$N$10:$N$172)</f>
        <v>132.55000000000001</v>
      </c>
      <c r="F1027" s="182">
        <f t="shared" si="35"/>
        <v>0</v>
      </c>
      <c r="G1027" s="179" t="s">
        <v>408</v>
      </c>
      <c r="H1027" s="182">
        <v>973</v>
      </c>
      <c r="J1027" s="181"/>
    </row>
    <row r="1028" spans="1:10" ht="14">
      <c r="A1028" s="183" t="s">
        <v>147</v>
      </c>
      <c r="B1028" s="178">
        <v>5805</v>
      </c>
      <c r="C1028" s="25" t="s">
        <v>146</v>
      </c>
      <c r="D1028" s="26">
        <v>43922</v>
      </c>
      <c r="E1028" s="182">
        <f>SUMIF('FY19-20'!$C$10:$C$172,Import!B1028,'FY19-20'!$N$10:$N$172)</f>
        <v>8750</v>
      </c>
      <c r="F1028" s="182">
        <f t="shared" si="35"/>
        <v>0</v>
      </c>
      <c r="G1028" s="179" t="s">
        <v>408</v>
      </c>
      <c r="H1028" s="182">
        <v>974</v>
      </c>
      <c r="J1028" s="181"/>
    </row>
    <row r="1029" spans="1:10" ht="14">
      <c r="A1029" s="183" t="s">
        <v>147</v>
      </c>
      <c r="B1029" s="178">
        <v>5806</v>
      </c>
      <c r="C1029" s="25" t="s">
        <v>146</v>
      </c>
      <c r="D1029" s="26">
        <v>43922</v>
      </c>
      <c r="E1029" s="182">
        <f>SUMIF('FY19-20'!$C$10:$C$172,Import!B1029,'FY19-20'!$N$10:$N$172)</f>
        <v>1365.68</v>
      </c>
      <c r="F1029" s="182">
        <f>-IF(E1029&lt;0,E1029,0)</f>
        <v>0</v>
      </c>
      <c r="G1029" s="179" t="s">
        <v>408</v>
      </c>
      <c r="J1029" s="181"/>
    </row>
    <row r="1030" spans="1:10" ht="14">
      <c r="A1030" s="183" t="s">
        <v>147</v>
      </c>
      <c r="B1030" s="178">
        <v>5807</v>
      </c>
      <c r="C1030" s="25" t="s">
        <v>146</v>
      </c>
      <c r="D1030" s="26">
        <v>43922</v>
      </c>
      <c r="E1030" s="182">
        <f>SUMIF('FY19-20'!$C$10:$C$172,Import!B1030,'FY19-20'!$N$10:$N$172)</f>
        <v>0</v>
      </c>
      <c r="F1030" s="182">
        <f>-IF(E1030&lt;0,E1030,0)</f>
        <v>0</v>
      </c>
      <c r="G1030" s="179" t="s">
        <v>408</v>
      </c>
      <c r="J1030" s="181"/>
    </row>
    <row r="1031" spans="1:10" ht="14">
      <c r="A1031" s="183" t="s">
        <v>147</v>
      </c>
      <c r="B1031" s="178">
        <v>5808</v>
      </c>
      <c r="C1031" s="25" t="s">
        <v>146</v>
      </c>
      <c r="D1031" s="26">
        <v>43922</v>
      </c>
      <c r="E1031" s="182">
        <f>SUMIF('FY19-20'!$C$10:$C$172,Import!B1031,'FY19-20'!$N$10:$N$172)</f>
        <v>5.2</v>
      </c>
      <c r="F1031" s="182">
        <f>-IF(E1031&lt;0,E1031,0)</f>
        <v>0</v>
      </c>
      <c r="G1031" s="179" t="s">
        <v>408</v>
      </c>
      <c r="J1031" s="181"/>
    </row>
    <row r="1032" spans="1:10" ht="14">
      <c r="A1032" s="183" t="s">
        <v>147</v>
      </c>
      <c r="B1032" s="178">
        <v>5809</v>
      </c>
      <c r="C1032" s="25" t="s">
        <v>146</v>
      </c>
      <c r="D1032" s="26">
        <v>43922</v>
      </c>
      <c r="E1032" s="182">
        <f>SUMIF('FY19-20'!$C$10:$C$172,Import!B1032,'FY19-20'!$N$10:$N$172)</f>
        <v>0</v>
      </c>
      <c r="F1032" s="182">
        <f>-IF(E1032&lt;0,E1032,0)</f>
        <v>0</v>
      </c>
      <c r="G1032" s="179" t="s">
        <v>408</v>
      </c>
      <c r="J1032" s="181"/>
    </row>
    <row r="1033" spans="1:10" ht="14">
      <c r="A1033" s="183" t="s">
        <v>147</v>
      </c>
      <c r="B1033" s="178">
        <v>5810</v>
      </c>
      <c r="C1033" s="25" t="s">
        <v>146</v>
      </c>
      <c r="D1033" s="26">
        <v>43922</v>
      </c>
      <c r="E1033" s="182">
        <f>SUMIF('FY19-20'!$C$10:$C$172,Import!B1033,'FY19-20'!$N$10:$N$172)</f>
        <v>0</v>
      </c>
      <c r="F1033" s="182">
        <f>-IF(E1033&lt;0,E1033)</f>
        <v>0</v>
      </c>
      <c r="G1033" s="179" t="s">
        <v>408</v>
      </c>
      <c r="H1033" s="182">
        <v>975</v>
      </c>
      <c r="J1033" s="181"/>
    </row>
    <row r="1034" spans="1:10" ht="14">
      <c r="A1034" s="183" t="s">
        <v>147</v>
      </c>
      <c r="B1034" s="178">
        <v>5811</v>
      </c>
      <c r="C1034" s="25" t="s">
        <v>146</v>
      </c>
      <c r="D1034" s="26">
        <v>43922</v>
      </c>
      <c r="E1034" s="182">
        <f>SUMIF('FY19-20'!$C$10:$C$172,Import!B1034,'FY19-20'!$N$10:$N$172)</f>
        <v>89087.5</v>
      </c>
      <c r="F1034" s="182">
        <f>-IF(E1034&lt;0,E1034)</f>
        <v>0</v>
      </c>
      <c r="G1034" s="179" t="s">
        <v>408</v>
      </c>
      <c r="H1034" s="182">
        <v>976</v>
      </c>
      <c r="J1034" s="181"/>
    </row>
    <row r="1035" spans="1:10" ht="14">
      <c r="A1035" s="183" t="s">
        <v>147</v>
      </c>
      <c r="B1035" s="178">
        <v>5812</v>
      </c>
      <c r="C1035" s="25" t="s">
        <v>146</v>
      </c>
      <c r="D1035" s="26">
        <v>43922</v>
      </c>
      <c r="E1035" s="182">
        <f>SUMIF('FY19-20'!$C$10:$C$172,Import!B1035,'FY19-20'!$N$10:$N$172)</f>
        <v>0</v>
      </c>
      <c r="F1035" s="182">
        <f>-IF(E1035&lt;0,E1035)</f>
        <v>0</v>
      </c>
      <c r="G1035" s="179" t="s">
        <v>408</v>
      </c>
      <c r="H1035" s="182">
        <v>977</v>
      </c>
      <c r="J1035" s="181"/>
    </row>
    <row r="1036" spans="1:10" ht="14">
      <c r="A1036" s="183" t="s">
        <v>147</v>
      </c>
      <c r="B1036" s="178">
        <v>5813</v>
      </c>
      <c r="C1036" s="25" t="s">
        <v>146</v>
      </c>
      <c r="D1036" s="26">
        <v>43922</v>
      </c>
      <c r="E1036" s="182">
        <f>SUMIF('FY19-20'!$C$10:$C$172,Import!B1036,'FY19-20'!$N$10:$N$172)</f>
        <v>0</v>
      </c>
      <c r="F1036" s="182">
        <f>-IF(E1036&lt;0,E1036)</f>
        <v>0</v>
      </c>
      <c r="G1036" s="179" t="s">
        <v>408</v>
      </c>
      <c r="H1036" s="182">
        <v>978</v>
      </c>
      <c r="J1036" s="181"/>
    </row>
    <row r="1037" spans="1:10" ht="14">
      <c r="A1037" s="183" t="s">
        <v>147</v>
      </c>
      <c r="B1037" s="178">
        <v>5814</v>
      </c>
      <c r="C1037" s="25" t="s">
        <v>146</v>
      </c>
      <c r="D1037" s="26">
        <v>43922</v>
      </c>
      <c r="E1037" s="182">
        <f>SUMIF('FY19-20'!$C$10:$C$172,Import!B1037,'FY19-20'!$N$10:$N$172)</f>
        <v>0</v>
      </c>
      <c r="F1037" s="182">
        <f>-IF(E1037&lt;0,E1037)</f>
        <v>0</v>
      </c>
      <c r="G1037" s="179" t="s">
        <v>408</v>
      </c>
      <c r="H1037" s="182">
        <v>979</v>
      </c>
      <c r="J1037" s="181"/>
    </row>
    <row r="1038" spans="1:10" ht="14">
      <c r="A1038" s="183" t="s">
        <v>147</v>
      </c>
      <c r="B1038" s="178">
        <v>5815</v>
      </c>
      <c r="C1038" s="25" t="s">
        <v>146</v>
      </c>
      <c r="D1038" s="26">
        <v>43922</v>
      </c>
      <c r="E1038" s="182">
        <f>SUMIF('FY19-20'!$C$10:$C$172,Import!B1038,'FY19-20'!$N$10:$N$172)</f>
        <v>413.84</v>
      </c>
      <c r="F1038" s="182">
        <f>-IF(E1038&lt;0,E1038,0)</f>
        <v>0</v>
      </c>
      <c r="G1038" s="179" t="s">
        <v>408</v>
      </c>
      <c r="J1038" s="181"/>
    </row>
    <row r="1039" spans="1:10" ht="14">
      <c r="A1039" s="183" t="s">
        <v>147</v>
      </c>
      <c r="B1039" s="178">
        <v>5820</v>
      </c>
      <c r="C1039" s="25" t="s">
        <v>146</v>
      </c>
      <c r="D1039" s="26">
        <v>43922</v>
      </c>
      <c r="E1039" s="182">
        <f>SUMIF('FY19-20'!$C$10:$C$172,Import!B1039,'FY19-20'!$N$10:$N$172)</f>
        <v>0</v>
      </c>
      <c r="F1039" s="182">
        <f>-IF(E1039&lt;0,E1039,0)</f>
        <v>0</v>
      </c>
      <c r="G1039" s="179" t="s">
        <v>408</v>
      </c>
      <c r="J1039" s="181"/>
    </row>
    <row r="1040" spans="1:10" ht="14">
      <c r="A1040" s="183" t="s">
        <v>147</v>
      </c>
      <c r="B1040" s="178">
        <v>5900</v>
      </c>
      <c r="C1040" s="25" t="s">
        <v>146</v>
      </c>
      <c r="D1040" s="26">
        <v>43922</v>
      </c>
      <c r="E1040" s="182">
        <f>SUMIF('FY19-20'!$C$10:$C$172,Import!B1040,'FY19-20'!$N$10:$N$172)</f>
        <v>69.989999999999995</v>
      </c>
      <c r="F1040" s="182">
        <f>-IF(E1040&lt;0,E1040)</f>
        <v>0</v>
      </c>
      <c r="G1040" s="179" t="s">
        <v>408</v>
      </c>
      <c r="H1040" s="182">
        <v>980</v>
      </c>
      <c r="J1040" s="181"/>
    </row>
    <row r="1041" spans="1:10" ht="14">
      <c r="A1041" s="183" t="s">
        <v>147</v>
      </c>
      <c r="B1041" s="178">
        <v>5901</v>
      </c>
      <c r="C1041" s="25" t="s">
        <v>146</v>
      </c>
      <c r="D1041" s="26">
        <v>43922</v>
      </c>
      <c r="E1041" s="182">
        <f>SUMIF('FY19-20'!$C$10:$C$172,Import!B1041,'FY19-20'!$N$10:$N$172)</f>
        <v>0</v>
      </c>
      <c r="F1041" s="182">
        <f>-IF(E1041&lt;0,E1041,0)</f>
        <v>0</v>
      </c>
      <c r="G1041" s="179" t="s">
        <v>408</v>
      </c>
    </row>
    <row r="1042" spans="1:10" ht="14">
      <c r="A1042" s="183" t="s">
        <v>147</v>
      </c>
      <c r="B1042" s="178">
        <v>6900</v>
      </c>
      <c r="C1042" s="25" t="s">
        <v>146</v>
      </c>
      <c r="D1042" s="26">
        <v>43922</v>
      </c>
      <c r="E1042" s="182">
        <f>SUMIF('FY19-20'!$C$10:$C$172,Import!B1042,'FY19-20'!$N$10:$N$172)</f>
        <v>50</v>
      </c>
      <c r="F1042" s="182">
        <f t="shared" ref="F1042:F1073" si="37">-IF(E1042&lt;0,E1042)</f>
        <v>0</v>
      </c>
      <c r="G1042" s="179" t="s">
        <v>408</v>
      </c>
      <c r="H1042" s="182">
        <v>981</v>
      </c>
      <c r="J1042" s="181"/>
    </row>
    <row r="1043" spans="1:10" ht="14">
      <c r="A1043" s="183" t="s">
        <v>147</v>
      </c>
      <c r="B1043" s="178">
        <v>7438</v>
      </c>
      <c r="C1043" s="25" t="s">
        <v>146</v>
      </c>
      <c r="D1043" s="26">
        <v>43922</v>
      </c>
      <c r="E1043" s="182">
        <f>SUMIF('FY19-20'!$C$10:$C$172,Import!B1043,'FY19-20'!$N$10:$N$172)</f>
        <v>0</v>
      </c>
      <c r="F1043" s="182">
        <f t="shared" si="37"/>
        <v>0</v>
      </c>
      <c r="G1043" s="179" t="s">
        <v>408</v>
      </c>
      <c r="H1043" s="182">
        <v>982</v>
      </c>
      <c r="J1043" s="181"/>
    </row>
    <row r="1044" spans="1:10" ht="14">
      <c r="A1044" s="183" t="s">
        <v>147</v>
      </c>
      <c r="B1044" s="178">
        <v>8011</v>
      </c>
      <c r="C1044" s="25" t="s">
        <v>146</v>
      </c>
      <c r="D1044" s="26">
        <v>43922</v>
      </c>
      <c r="E1044" s="182">
        <f>SUMIF('FY19-20'!$C$10:$C$172,Import!B1044,'FY19-20'!$N$10:$N$172)</f>
        <v>0</v>
      </c>
      <c r="F1044" s="182">
        <f t="shared" si="37"/>
        <v>0</v>
      </c>
      <c r="G1044" s="179" t="s">
        <v>408</v>
      </c>
      <c r="H1044" s="182">
        <v>983</v>
      </c>
      <c r="J1044" s="181"/>
    </row>
    <row r="1045" spans="1:10" ht="14">
      <c r="A1045" s="183" t="s">
        <v>147</v>
      </c>
      <c r="B1045" s="178">
        <v>8012</v>
      </c>
      <c r="C1045" s="25" t="s">
        <v>146</v>
      </c>
      <c r="D1045" s="26">
        <v>43922</v>
      </c>
      <c r="E1045" s="182">
        <f>SUMIF('FY19-20'!$C$10:$C$172,Import!B1045,'FY19-20'!$N$10:$N$172)</f>
        <v>164163</v>
      </c>
      <c r="F1045" s="182">
        <f t="shared" si="37"/>
        <v>0</v>
      </c>
      <c r="G1045" s="179" t="s">
        <v>408</v>
      </c>
      <c r="H1045" s="182">
        <v>984</v>
      </c>
      <c r="J1045" s="181"/>
    </row>
    <row r="1046" spans="1:10" ht="14">
      <c r="A1046" s="183" t="s">
        <v>147</v>
      </c>
      <c r="B1046" s="178">
        <v>8019</v>
      </c>
      <c r="C1046" s="25" t="s">
        <v>146</v>
      </c>
      <c r="D1046" s="26">
        <v>43922</v>
      </c>
      <c r="E1046" s="182">
        <f>SUMIF('FY19-20'!$C$10:$C$172,Import!B1046,'FY19-20'!$N$10:$N$172)</f>
        <v>0</v>
      </c>
      <c r="F1046" s="182">
        <f t="shared" si="37"/>
        <v>0</v>
      </c>
      <c r="G1046" s="179" t="s">
        <v>408</v>
      </c>
      <c r="H1046" s="182">
        <v>985</v>
      </c>
      <c r="J1046" s="181"/>
    </row>
    <row r="1047" spans="1:10" ht="14">
      <c r="A1047" s="183" t="s">
        <v>147</v>
      </c>
      <c r="B1047" s="178">
        <v>8096</v>
      </c>
      <c r="C1047" s="25" t="s">
        <v>146</v>
      </c>
      <c r="D1047" s="26">
        <v>43922</v>
      </c>
      <c r="E1047" s="182">
        <f>SUMIF('FY19-20'!$C$10:$C$172,Import!B1047,'FY19-20'!$N$10:$N$172)</f>
        <v>0</v>
      </c>
      <c r="F1047" s="182">
        <f t="shared" si="37"/>
        <v>0</v>
      </c>
      <c r="G1047" s="179" t="s">
        <v>408</v>
      </c>
      <c r="H1047" s="182">
        <v>986</v>
      </c>
      <c r="J1047" s="181"/>
    </row>
    <row r="1048" spans="1:10" ht="14">
      <c r="A1048" s="183" t="s">
        <v>147</v>
      </c>
      <c r="B1048" s="178">
        <v>8181</v>
      </c>
      <c r="C1048" s="25" t="s">
        <v>146</v>
      </c>
      <c r="D1048" s="26">
        <v>43922</v>
      </c>
      <c r="E1048" s="182">
        <f>SUMIF('FY19-20'!$C$10:$C$172,Import!B1048,'FY19-20'!$N$10:$N$172)</f>
        <v>0</v>
      </c>
      <c r="F1048" s="182">
        <f t="shared" si="37"/>
        <v>0</v>
      </c>
      <c r="G1048" s="179" t="s">
        <v>408</v>
      </c>
      <c r="H1048" s="182">
        <v>987</v>
      </c>
      <c r="J1048" s="181"/>
    </row>
    <row r="1049" spans="1:10" ht="14">
      <c r="A1049" s="183" t="s">
        <v>147</v>
      </c>
      <c r="B1049" s="178">
        <v>8182</v>
      </c>
      <c r="C1049" s="25" t="s">
        <v>146</v>
      </c>
      <c r="D1049" s="26">
        <v>43922</v>
      </c>
      <c r="E1049" s="182">
        <f>SUMIF('FY19-20'!$C$10:$C$172,Import!B1049,'FY19-20'!$N$10:$N$172)</f>
        <v>0</v>
      </c>
      <c r="F1049" s="182">
        <f t="shared" si="37"/>
        <v>0</v>
      </c>
      <c r="G1049" s="179" t="s">
        <v>408</v>
      </c>
      <c r="H1049" s="182">
        <v>988</v>
      </c>
      <c r="J1049" s="181"/>
    </row>
    <row r="1050" spans="1:10" ht="14">
      <c r="A1050" s="183" t="s">
        <v>147</v>
      </c>
      <c r="B1050" s="178">
        <v>8220</v>
      </c>
      <c r="C1050" s="25" t="s">
        <v>146</v>
      </c>
      <c r="D1050" s="26">
        <v>43922</v>
      </c>
      <c r="E1050" s="182">
        <f>SUMIF('FY19-20'!$C$10:$C$172,Import!B1050,'FY19-20'!$N$10:$N$172)</f>
        <v>0</v>
      </c>
      <c r="F1050" s="182">
        <f t="shared" si="37"/>
        <v>0</v>
      </c>
      <c r="G1050" s="179" t="s">
        <v>408</v>
      </c>
      <c r="H1050" s="182">
        <v>989</v>
      </c>
      <c r="J1050" s="181"/>
    </row>
    <row r="1051" spans="1:10" ht="14">
      <c r="A1051" s="183" t="s">
        <v>147</v>
      </c>
      <c r="B1051" s="178">
        <v>8290</v>
      </c>
      <c r="C1051" s="25" t="s">
        <v>146</v>
      </c>
      <c r="D1051" s="26">
        <v>43922</v>
      </c>
      <c r="E1051" s="182">
        <f>SUMIF('FY19-20'!$C$10:$C$172,Import!B1051,'FY19-20'!$N$10:$N$172)</f>
        <v>0</v>
      </c>
      <c r="F1051" s="182">
        <f t="shared" si="37"/>
        <v>0</v>
      </c>
      <c r="G1051" s="179" t="s">
        <v>408</v>
      </c>
      <c r="H1051" s="182">
        <v>990</v>
      </c>
      <c r="J1051" s="181"/>
    </row>
    <row r="1052" spans="1:10" ht="14">
      <c r="A1052" s="183" t="s">
        <v>147</v>
      </c>
      <c r="B1052" s="178">
        <v>8291</v>
      </c>
      <c r="C1052" s="25" t="s">
        <v>146</v>
      </c>
      <c r="D1052" s="26">
        <v>43922</v>
      </c>
      <c r="E1052" s="182">
        <f>SUMIF('FY19-20'!$C$10:$C$172,Import!B1052,'FY19-20'!$N$10:$N$172)</f>
        <v>0</v>
      </c>
      <c r="F1052" s="182">
        <f t="shared" si="37"/>
        <v>0</v>
      </c>
      <c r="G1052" s="179" t="s">
        <v>408</v>
      </c>
      <c r="H1052" s="182">
        <v>991</v>
      </c>
      <c r="J1052" s="181"/>
    </row>
    <row r="1053" spans="1:10" ht="14">
      <c r="A1053" s="183" t="s">
        <v>147</v>
      </c>
      <c r="B1053" s="178">
        <v>8292</v>
      </c>
      <c r="C1053" s="25" t="s">
        <v>146</v>
      </c>
      <c r="D1053" s="26">
        <v>43922</v>
      </c>
      <c r="E1053" s="182">
        <f>SUMIF('FY19-20'!$C$10:$C$172,Import!B1053,'FY19-20'!$N$10:$N$172)</f>
        <v>0</v>
      </c>
      <c r="F1053" s="182">
        <f t="shared" si="37"/>
        <v>0</v>
      </c>
      <c r="G1053" s="179" t="s">
        <v>408</v>
      </c>
      <c r="H1053" s="182">
        <v>992</v>
      </c>
      <c r="J1053" s="181"/>
    </row>
    <row r="1054" spans="1:10" ht="14">
      <c r="A1054" s="183" t="s">
        <v>147</v>
      </c>
      <c r="B1054" s="178">
        <v>8293</v>
      </c>
      <c r="C1054" s="25" t="s">
        <v>146</v>
      </c>
      <c r="D1054" s="26">
        <v>43922</v>
      </c>
      <c r="E1054" s="182">
        <f>SUMIF('FY19-20'!$C$10:$C$172,Import!B1054,'FY19-20'!$N$10:$N$172)</f>
        <v>0</v>
      </c>
      <c r="F1054" s="182">
        <f t="shared" si="37"/>
        <v>0</v>
      </c>
      <c r="G1054" s="179" t="s">
        <v>408</v>
      </c>
      <c r="H1054" s="182">
        <v>993</v>
      </c>
      <c r="J1054" s="181"/>
    </row>
    <row r="1055" spans="1:10" ht="14">
      <c r="A1055" s="183" t="s">
        <v>147</v>
      </c>
      <c r="B1055" s="178">
        <v>8294</v>
      </c>
      <c r="C1055" s="25" t="s">
        <v>146</v>
      </c>
      <c r="D1055" s="26">
        <v>43922</v>
      </c>
      <c r="E1055" s="182">
        <f>SUMIF('FY19-20'!$C$10:$C$172,Import!B1055,'FY19-20'!$N$10:$N$172)</f>
        <v>0</v>
      </c>
      <c r="F1055" s="182">
        <f t="shared" si="37"/>
        <v>0</v>
      </c>
      <c r="G1055" s="179" t="s">
        <v>408</v>
      </c>
      <c r="H1055" s="182">
        <v>994</v>
      </c>
      <c r="J1055" s="181"/>
    </row>
    <row r="1056" spans="1:10" ht="14">
      <c r="A1056" s="183" t="s">
        <v>147</v>
      </c>
      <c r="B1056" s="178">
        <v>8295</v>
      </c>
      <c r="C1056" s="25" t="s">
        <v>146</v>
      </c>
      <c r="D1056" s="26">
        <v>43922</v>
      </c>
      <c r="E1056" s="182">
        <f>SUMIF('FY19-20'!$C$10:$C$172,Import!B1056,'FY19-20'!$N$10:$N$172)</f>
        <v>0</v>
      </c>
      <c r="F1056" s="182">
        <f t="shared" si="37"/>
        <v>0</v>
      </c>
      <c r="G1056" s="179" t="s">
        <v>408</v>
      </c>
      <c r="H1056" s="182">
        <v>995</v>
      </c>
      <c r="J1056" s="181"/>
    </row>
    <row r="1057" spans="1:10" ht="14">
      <c r="A1057" s="183" t="s">
        <v>147</v>
      </c>
      <c r="B1057" s="178">
        <v>8296</v>
      </c>
      <c r="C1057" s="25" t="s">
        <v>146</v>
      </c>
      <c r="D1057" s="26">
        <v>43922</v>
      </c>
      <c r="E1057" s="182">
        <f>SUMIF('FY19-20'!$C$10:$C$172,Import!B1057,'FY19-20'!$N$10:$N$172)</f>
        <v>137645.17000000001</v>
      </c>
      <c r="F1057" s="182">
        <f t="shared" si="37"/>
        <v>0</v>
      </c>
      <c r="G1057" s="179" t="s">
        <v>408</v>
      </c>
      <c r="H1057" s="182">
        <v>996</v>
      </c>
      <c r="J1057" s="181"/>
    </row>
    <row r="1058" spans="1:10" ht="14">
      <c r="A1058" s="183" t="s">
        <v>147</v>
      </c>
      <c r="B1058" s="178">
        <v>8299</v>
      </c>
      <c r="C1058" s="25" t="s">
        <v>146</v>
      </c>
      <c r="D1058" s="26">
        <v>43922</v>
      </c>
      <c r="E1058" s="182">
        <f>SUMIF('FY19-20'!$C$10:$C$172,Import!B1058,'FY19-20'!$N$10:$N$172)</f>
        <v>0</v>
      </c>
      <c r="F1058" s="182">
        <f t="shared" si="37"/>
        <v>0</v>
      </c>
      <c r="G1058" s="179" t="s">
        <v>408</v>
      </c>
      <c r="H1058" s="182">
        <v>997</v>
      </c>
      <c r="J1058" s="181"/>
    </row>
    <row r="1059" spans="1:10" ht="14">
      <c r="A1059" s="183" t="s">
        <v>147</v>
      </c>
      <c r="B1059" s="178">
        <v>8311</v>
      </c>
      <c r="C1059" s="25" t="s">
        <v>146</v>
      </c>
      <c r="D1059" s="26">
        <v>43922</v>
      </c>
      <c r="E1059" s="182">
        <f>SUMIF('FY19-20'!$C$10:$C$172,Import!B1059,'FY19-20'!$N$10:$N$172)</f>
        <v>321761</v>
      </c>
      <c r="F1059" s="182">
        <f t="shared" si="37"/>
        <v>0</v>
      </c>
      <c r="G1059" s="179" t="s">
        <v>408</v>
      </c>
      <c r="H1059" s="182">
        <v>998</v>
      </c>
      <c r="J1059" s="181"/>
    </row>
    <row r="1060" spans="1:10" ht="14">
      <c r="A1060" s="183" t="s">
        <v>147</v>
      </c>
      <c r="B1060" s="178">
        <v>8520</v>
      </c>
      <c r="C1060" s="25" t="s">
        <v>146</v>
      </c>
      <c r="D1060" s="26">
        <v>43922</v>
      </c>
      <c r="E1060" s="182">
        <f>SUMIF('FY19-20'!$C$10:$C$172,Import!B1060,'FY19-20'!$N$10:$N$172)</f>
        <v>0</v>
      </c>
      <c r="F1060" s="182">
        <f t="shared" si="37"/>
        <v>0</v>
      </c>
      <c r="G1060" s="179" t="s">
        <v>408</v>
      </c>
      <c r="H1060" s="182">
        <v>999</v>
      </c>
      <c r="J1060" s="181"/>
    </row>
    <row r="1061" spans="1:10" ht="14">
      <c r="A1061" s="183" t="s">
        <v>147</v>
      </c>
      <c r="B1061" s="178">
        <v>8545</v>
      </c>
      <c r="C1061" s="25" t="s">
        <v>146</v>
      </c>
      <c r="D1061" s="26">
        <v>43922</v>
      </c>
      <c r="E1061" s="182">
        <f>SUMIF('FY19-20'!$C$10:$C$172,Import!B1061,'FY19-20'!$N$10:$N$172)</f>
        <v>0</v>
      </c>
      <c r="F1061" s="182">
        <f t="shared" si="37"/>
        <v>0</v>
      </c>
      <c r="G1061" s="179" t="s">
        <v>408</v>
      </c>
      <c r="H1061" s="182">
        <v>1000</v>
      </c>
      <c r="J1061" s="181"/>
    </row>
    <row r="1062" spans="1:10" ht="14">
      <c r="A1062" s="183" t="s">
        <v>147</v>
      </c>
      <c r="B1062" s="178">
        <v>8550</v>
      </c>
      <c r="C1062" s="25" t="s">
        <v>146</v>
      </c>
      <c r="D1062" s="26">
        <v>43922</v>
      </c>
      <c r="E1062" s="182">
        <f>SUMIF('FY19-20'!$C$10:$C$172,Import!B1062,'FY19-20'!$N$10:$N$172)</f>
        <v>0</v>
      </c>
      <c r="F1062" s="182">
        <f t="shared" si="37"/>
        <v>0</v>
      </c>
      <c r="G1062" s="179" t="s">
        <v>408</v>
      </c>
      <c r="H1062" s="182">
        <v>1001</v>
      </c>
      <c r="J1062" s="181"/>
    </row>
    <row r="1063" spans="1:10" ht="14">
      <c r="A1063" s="183" t="s">
        <v>147</v>
      </c>
      <c r="B1063" s="178">
        <v>8560</v>
      </c>
      <c r="C1063" s="25" t="s">
        <v>146</v>
      </c>
      <c r="D1063" s="26">
        <v>43922</v>
      </c>
      <c r="E1063" s="182">
        <f>SUMIF('FY19-20'!$C$10:$C$172,Import!B1063,'FY19-20'!$N$10:$N$172)</f>
        <v>0</v>
      </c>
      <c r="F1063" s="182">
        <f t="shared" si="37"/>
        <v>0</v>
      </c>
      <c r="G1063" s="179" t="s">
        <v>408</v>
      </c>
      <c r="H1063" s="182">
        <v>1002</v>
      </c>
      <c r="J1063" s="181"/>
    </row>
    <row r="1064" spans="1:10" ht="14">
      <c r="A1064" s="183" t="s">
        <v>147</v>
      </c>
      <c r="B1064" s="178">
        <v>8598</v>
      </c>
      <c r="C1064" s="25" t="s">
        <v>146</v>
      </c>
      <c r="D1064" s="26">
        <v>43922</v>
      </c>
      <c r="E1064" s="182">
        <f>SUMIF('FY19-20'!$C$10:$C$172,Import!B1064,'FY19-20'!$N$10:$N$172)</f>
        <v>0</v>
      </c>
      <c r="F1064" s="182">
        <f t="shared" si="37"/>
        <v>0</v>
      </c>
      <c r="G1064" s="179" t="s">
        <v>408</v>
      </c>
      <c r="H1064" s="182">
        <v>1003</v>
      </c>
      <c r="J1064" s="181"/>
    </row>
    <row r="1065" spans="1:10" ht="14">
      <c r="A1065" s="183" t="s">
        <v>147</v>
      </c>
      <c r="B1065" s="178">
        <v>8599</v>
      </c>
      <c r="C1065" s="25" t="s">
        <v>146</v>
      </c>
      <c r="D1065" s="26">
        <v>43922</v>
      </c>
      <c r="E1065" s="182">
        <f>SUMIF('FY19-20'!$C$10:$C$172,Import!B1065,'FY19-20'!$N$10:$N$172)</f>
        <v>0</v>
      </c>
      <c r="F1065" s="182">
        <f t="shared" si="37"/>
        <v>0</v>
      </c>
      <c r="G1065" s="179" t="s">
        <v>408</v>
      </c>
      <c r="H1065" s="182">
        <v>1004</v>
      </c>
      <c r="J1065" s="181"/>
    </row>
    <row r="1066" spans="1:10" ht="14">
      <c r="A1066" s="183" t="s">
        <v>147</v>
      </c>
      <c r="B1066" s="178">
        <v>8634</v>
      </c>
      <c r="C1066" s="25" t="s">
        <v>146</v>
      </c>
      <c r="D1066" s="26">
        <v>43922</v>
      </c>
      <c r="E1066" s="182">
        <f>SUMIF('FY19-20'!$C$10:$C$172,Import!B1066,'FY19-20'!$N$10:$N$172)</f>
        <v>0</v>
      </c>
      <c r="F1066" s="182">
        <f t="shared" si="37"/>
        <v>0</v>
      </c>
      <c r="G1066" s="179" t="s">
        <v>408</v>
      </c>
      <c r="H1066" s="182">
        <v>1005</v>
      </c>
      <c r="J1066" s="181"/>
    </row>
    <row r="1067" spans="1:10" ht="14">
      <c r="A1067" s="183" t="s">
        <v>147</v>
      </c>
      <c r="B1067" s="178">
        <v>8650</v>
      </c>
      <c r="C1067" s="25" t="s">
        <v>146</v>
      </c>
      <c r="D1067" s="26">
        <v>43922</v>
      </c>
      <c r="E1067" s="182">
        <f>SUMIF('FY19-20'!$C$10:$C$172,Import!B1067,'FY19-20'!$N$10:$N$172)</f>
        <v>0</v>
      </c>
      <c r="F1067" s="182">
        <f t="shared" si="37"/>
        <v>0</v>
      </c>
      <c r="G1067" s="179" t="s">
        <v>408</v>
      </c>
      <c r="H1067" s="182">
        <v>1006</v>
      </c>
      <c r="J1067" s="181"/>
    </row>
    <row r="1068" spans="1:10" ht="14">
      <c r="A1068" s="183" t="s">
        <v>147</v>
      </c>
      <c r="B1068" s="178">
        <v>8660</v>
      </c>
      <c r="C1068" s="25" t="s">
        <v>146</v>
      </c>
      <c r="D1068" s="26">
        <v>43922</v>
      </c>
      <c r="E1068" s="182">
        <f>SUMIF('FY19-20'!$C$10:$C$172,Import!B1068,'FY19-20'!$N$10:$N$172)</f>
        <v>0</v>
      </c>
      <c r="F1068" s="182">
        <f t="shared" si="37"/>
        <v>0</v>
      </c>
      <c r="G1068" s="179" t="s">
        <v>408</v>
      </c>
      <c r="H1068" s="182">
        <v>1007</v>
      </c>
      <c r="J1068" s="181"/>
    </row>
    <row r="1069" spans="1:10" ht="14">
      <c r="A1069" s="183" t="s">
        <v>147</v>
      </c>
      <c r="B1069" s="178">
        <v>8689</v>
      </c>
      <c r="C1069" s="25" t="s">
        <v>146</v>
      </c>
      <c r="D1069" s="26">
        <v>43922</v>
      </c>
      <c r="E1069" s="182">
        <f>SUMIF('FY19-20'!$C$10:$C$172,Import!B1069,'FY19-20'!$N$10:$N$172)</f>
        <v>0</v>
      </c>
      <c r="F1069" s="182">
        <f t="shared" si="37"/>
        <v>0</v>
      </c>
      <c r="G1069" s="179" t="s">
        <v>408</v>
      </c>
      <c r="H1069" s="182">
        <v>1008</v>
      </c>
      <c r="J1069" s="181"/>
    </row>
    <row r="1070" spans="1:10" ht="14">
      <c r="A1070" s="183" t="s">
        <v>147</v>
      </c>
      <c r="B1070" s="178">
        <v>8698</v>
      </c>
      <c r="C1070" s="25" t="s">
        <v>146</v>
      </c>
      <c r="D1070" s="26">
        <v>43922</v>
      </c>
      <c r="E1070" s="182">
        <f>SUMIF('FY19-20'!$C$10:$C$172,Import!B1070,'FY19-20'!$N$10:$N$172)</f>
        <v>0</v>
      </c>
      <c r="F1070" s="182">
        <f t="shared" si="37"/>
        <v>0</v>
      </c>
      <c r="G1070" s="179" t="s">
        <v>408</v>
      </c>
      <c r="H1070" s="182">
        <v>1009</v>
      </c>
      <c r="J1070" s="181"/>
    </row>
    <row r="1071" spans="1:10" ht="14">
      <c r="A1071" s="183" t="s">
        <v>147</v>
      </c>
      <c r="B1071" s="178">
        <v>8699</v>
      </c>
      <c r="C1071" s="25" t="s">
        <v>146</v>
      </c>
      <c r="D1071" s="26">
        <v>43922</v>
      </c>
      <c r="E1071" s="182">
        <f>SUMIF('FY19-20'!$C$10:$C$172,Import!B1071,'FY19-20'!$N$10:$N$172)</f>
        <v>0</v>
      </c>
      <c r="F1071" s="182">
        <f t="shared" si="37"/>
        <v>0</v>
      </c>
      <c r="G1071" s="179" t="s">
        <v>408</v>
      </c>
      <c r="H1071" s="182">
        <v>1010</v>
      </c>
      <c r="J1071" s="181"/>
    </row>
    <row r="1072" spans="1:10" ht="14">
      <c r="A1072" s="183" t="s">
        <v>147</v>
      </c>
      <c r="B1072" s="178">
        <v>8980</v>
      </c>
      <c r="C1072" s="25" t="s">
        <v>146</v>
      </c>
      <c r="D1072" s="26">
        <v>43922</v>
      </c>
      <c r="E1072" s="182">
        <f>SUMIF('FY19-20'!$C$10:$C$172,Import!B1072,'FY19-20'!$N$10:$N$172)</f>
        <v>0</v>
      </c>
      <c r="F1072" s="182">
        <f t="shared" si="37"/>
        <v>0</v>
      </c>
      <c r="G1072" s="179" t="s">
        <v>408</v>
      </c>
      <c r="H1072" s="182">
        <v>1011</v>
      </c>
      <c r="J1072" s="181"/>
    </row>
    <row r="1073" spans="1:10" ht="14">
      <c r="A1073" s="183" t="s">
        <v>147</v>
      </c>
      <c r="B1073" s="178">
        <v>8990</v>
      </c>
      <c r="C1073" s="25" t="s">
        <v>146</v>
      </c>
      <c r="D1073" s="26">
        <v>43922</v>
      </c>
      <c r="E1073" s="182">
        <f>SUMIF('FY19-20'!$C$10:$C$172,Import!B1073,'FY19-20'!$N$10:$N$172)</f>
        <v>0</v>
      </c>
      <c r="F1073" s="182">
        <f t="shared" si="37"/>
        <v>0</v>
      </c>
      <c r="G1073" s="179" t="s">
        <v>408</v>
      </c>
      <c r="H1073" s="182">
        <v>1012</v>
      </c>
      <c r="J1073" s="181"/>
    </row>
    <row r="1074" spans="1:10" ht="14">
      <c r="A1074" s="183" t="s">
        <v>147</v>
      </c>
      <c r="B1074" s="178">
        <v>1100</v>
      </c>
      <c r="C1074" s="25" t="s">
        <v>146</v>
      </c>
      <c r="D1074" s="26">
        <v>43952</v>
      </c>
      <c r="E1074" s="182">
        <f>SUMIF('FY19-20'!$C$10:$C$172,Import!B1074,'FY19-20'!$O$10:$O$172)</f>
        <v>655042.37</v>
      </c>
      <c r="F1074" s="182">
        <f t="shared" ref="F1074:F1105" si="38">-IF(E1074&lt;0,E1074)</f>
        <v>0</v>
      </c>
      <c r="G1074" s="179" t="s">
        <v>408</v>
      </c>
      <c r="H1074" s="182">
        <v>1013</v>
      </c>
      <c r="J1074" s="181"/>
    </row>
    <row r="1075" spans="1:10" ht="14">
      <c r="A1075" s="183" t="s">
        <v>147</v>
      </c>
      <c r="B1075" s="178">
        <v>1170</v>
      </c>
      <c r="C1075" s="25" t="s">
        <v>146</v>
      </c>
      <c r="D1075" s="26">
        <v>43952</v>
      </c>
      <c r="E1075" s="182">
        <f>SUMIF('FY19-20'!$C$10:$C$172,Import!B1075,'FY19-20'!$O$10:$O$172)</f>
        <v>0</v>
      </c>
      <c r="F1075" s="182">
        <f t="shared" si="38"/>
        <v>0</v>
      </c>
      <c r="G1075" s="179" t="s">
        <v>408</v>
      </c>
      <c r="H1075" s="182">
        <v>1014</v>
      </c>
      <c r="J1075" s="181"/>
    </row>
    <row r="1076" spans="1:10" ht="14">
      <c r="A1076" s="183" t="s">
        <v>147</v>
      </c>
      <c r="B1076" s="178">
        <v>1175</v>
      </c>
      <c r="C1076" s="25" t="s">
        <v>146</v>
      </c>
      <c r="D1076" s="26">
        <v>43952</v>
      </c>
      <c r="E1076" s="182">
        <f>SUMIF('FY19-20'!$C$10:$C$172,Import!B1076,'FY19-20'!$O$10:$O$172)</f>
        <v>138820.35999999999</v>
      </c>
      <c r="F1076" s="182">
        <f t="shared" si="38"/>
        <v>0</v>
      </c>
      <c r="G1076" s="179" t="s">
        <v>408</v>
      </c>
      <c r="H1076" s="182">
        <v>1015</v>
      </c>
      <c r="J1076" s="181"/>
    </row>
    <row r="1077" spans="1:10" ht="14">
      <c r="A1077" s="183" t="s">
        <v>147</v>
      </c>
      <c r="B1077" s="178">
        <v>1200</v>
      </c>
      <c r="C1077" s="25" t="s">
        <v>146</v>
      </c>
      <c r="D1077" s="26">
        <v>43952</v>
      </c>
      <c r="E1077" s="182">
        <f>SUMIF('FY19-20'!$C$10:$C$172,Import!B1077,'FY19-20'!$O$10:$O$172)</f>
        <v>19786.68</v>
      </c>
      <c r="F1077" s="182">
        <f t="shared" si="38"/>
        <v>0</v>
      </c>
      <c r="G1077" s="179" t="s">
        <v>408</v>
      </c>
      <c r="H1077" s="182">
        <v>1016</v>
      </c>
      <c r="J1077" s="181"/>
    </row>
    <row r="1078" spans="1:10" ht="14">
      <c r="A1078" s="183" t="s">
        <v>147</v>
      </c>
      <c r="B1078" s="178">
        <v>1300</v>
      </c>
      <c r="C1078" s="25" t="s">
        <v>146</v>
      </c>
      <c r="D1078" s="26">
        <v>43952</v>
      </c>
      <c r="E1078" s="182">
        <f>SUMIF('FY19-20'!$C$10:$C$172,Import!B1078,'FY19-20'!$O$10:$O$172)</f>
        <v>120059.34</v>
      </c>
      <c r="F1078" s="182">
        <f t="shared" si="38"/>
        <v>0</v>
      </c>
      <c r="G1078" s="179" t="s">
        <v>408</v>
      </c>
      <c r="H1078" s="182">
        <v>1017</v>
      </c>
      <c r="J1078" s="181"/>
    </row>
    <row r="1079" spans="1:10" ht="14">
      <c r="A1079" s="183" t="s">
        <v>147</v>
      </c>
      <c r="B1079" s="178">
        <v>1900</v>
      </c>
      <c r="C1079" s="25" t="s">
        <v>146</v>
      </c>
      <c r="D1079" s="26">
        <v>43952</v>
      </c>
      <c r="E1079" s="182">
        <f>SUMIF('FY19-20'!$C$10:$C$172,Import!B1079,'FY19-20'!$O$10:$O$172)</f>
        <v>0</v>
      </c>
      <c r="F1079" s="182">
        <f t="shared" si="38"/>
        <v>0</v>
      </c>
      <c r="G1079" s="179" t="s">
        <v>408</v>
      </c>
      <c r="H1079" s="182">
        <v>1018</v>
      </c>
      <c r="J1079" s="181"/>
    </row>
    <row r="1080" spans="1:10" ht="14">
      <c r="A1080" s="183" t="s">
        <v>147</v>
      </c>
      <c r="B1080" s="178">
        <v>2100</v>
      </c>
      <c r="C1080" s="25" t="s">
        <v>146</v>
      </c>
      <c r="D1080" s="26">
        <v>43952</v>
      </c>
      <c r="E1080" s="182">
        <f>SUMIF('FY19-20'!$C$10:$C$172,Import!B1080,'FY19-20'!$O$10:$O$172)</f>
        <v>13932.52</v>
      </c>
      <c r="F1080" s="182">
        <f t="shared" si="38"/>
        <v>0</v>
      </c>
      <c r="G1080" s="179" t="s">
        <v>408</v>
      </c>
      <c r="H1080" s="182">
        <v>1019</v>
      </c>
      <c r="J1080" s="181"/>
    </row>
    <row r="1081" spans="1:10" ht="14">
      <c r="A1081" s="183" t="s">
        <v>147</v>
      </c>
      <c r="B1081" s="178">
        <v>2200</v>
      </c>
      <c r="C1081" s="25" t="s">
        <v>146</v>
      </c>
      <c r="D1081" s="26">
        <v>43952</v>
      </c>
      <c r="E1081" s="182">
        <f>SUMIF('FY19-20'!$C$10:$C$172,Import!B1081,'FY19-20'!$O$10:$O$172)</f>
        <v>2318.7800000000002</v>
      </c>
      <c r="F1081" s="182">
        <f t="shared" si="38"/>
        <v>0</v>
      </c>
      <c r="G1081" s="179" t="s">
        <v>408</v>
      </c>
      <c r="H1081" s="182">
        <v>1020</v>
      </c>
      <c r="J1081" s="181"/>
    </row>
    <row r="1082" spans="1:10" ht="14">
      <c r="A1082" s="183" t="s">
        <v>147</v>
      </c>
      <c r="B1082" s="178">
        <v>2300</v>
      </c>
      <c r="C1082" s="25" t="s">
        <v>146</v>
      </c>
      <c r="D1082" s="26">
        <v>43952</v>
      </c>
      <c r="E1082" s="182">
        <f>SUMIF('FY19-20'!$C$10:$C$172,Import!B1082,'FY19-20'!$O$10:$O$172)</f>
        <v>24441.96</v>
      </c>
      <c r="F1082" s="182">
        <f t="shared" si="38"/>
        <v>0</v>
      </c>
      <c r="G1082" s="179" t="s">
        <v>408</v>
      </c>
      <c r="H1082" s="182">
        <v>1021</v>
      </c>
      <c r="J1082" s="181"/>
    </row>
    <row r="1083" spans="1:10" ht="14">
      <c r="A1083" s="183" t="s">
        <v>147</v>
      </c>
      <c r="B1083" s="178">
        <v>2400</v>
      </c>
      <c r="C1083" s="25" t="s">
        <v>146</v>
      </c>
      <c r="D1083" s="26">
        <v>43952</v>
      </c>
      <c r="E1083" s="182">
        <f>SUMIF('FY19-20'!$C$10:$C$172,Import!B1083,'FY19-20'!$O$10:$O$172)</f>
        <v>5607.73</v>
      </c>
      <c r="F1083" s="182">
        <f t="shared" si="38"/>
        <v>0</v>
      </c>
      <c r="G1083" s="179" t="s">
        <v>408</v>
      </c>
      <c r="H1083" s="182">
        <v>1022</v>
      </c>
      <c r="J1083" s="181"/>
    </row>
    <row r="1084" spans="1:10" ht="14">
      <c r="A1084" s="183" t="s">
        <v>147</v>
      </c>
      <c r="B1084" s="178">
        <v>2900</v>
      </c>
      <c r="C1084" s="25" t="s">
        <v>146</v>
      </c>
      <c r="D1084" s="26">
        <v>43952</v>
      </c>
      <c r="E1084" s="182">
        <f>SUMIF('FY19-20'!$C$10:$C$172,Import!B1084,'FY19-20'!$O$10:$O$172)</f>
        <v>8178.08</v>
      </c>
      <c r="F1084" s="182">
        <f t="shared" si="38"/>
        <v>0</v>
      </c>
      <c r="G1084" s="179" t="s">
        <v>408</v>
      </c>
      <c r="H1084" s="182">
        <v>1023</v>
      </c>
      <c r="J1084" s="181"/>
    </row>
    <row r="1085" spans="1:10" ht="14">
      <c r="A1085" s="183" t="s">
        <v>147</v>
      </c>
      <c r="B1085" s="178">
        <v>3101</v>
      </c>
      <c r="C1085" s="25" t="s">
        <v>146</v>
      </c>
      <c r="D1085" s="26">
        <v>43952</v>
      </c>
      <c r="E1085" s="182">
        <f>SUMIF('FY19-20'!$C$10:$C$172,Import!B1085,'FY19-20'!$O$10:$O$172)</f>
        <v>156166.53</v>
      </c>
      <c r="F1085" s="182">
        <f t="shared" si="38"/>
        <v>0</v>
      </c>
      <c r="G1085" s="179" t="s">
        <v>408</v>
      </c>
      <c r="H1085" s="182">
        <v>1024</v>
      </c>
      <c r="J1085" s="181"/>
    </row>
    <row r="1086" spans="1:10" ht="14">
      <c r="A1086" s="183" t="s">
        <v>147</v>
      </c>
      <c r="B1086" s="178">
        <v>3202</v>
      </c>
      <c r="C1086" s="25" t="s">
        <v>146</v>
      </c>
      <c r="D1086" s="26">
        <v>43952</v>
      </c>
      <c r="E1086" s="182">
        <f>SUMIF('FY19-20'!$C$10:$C$172,Import!B1086,'FY19-20'!$O$10:$O$172)</f>
        <v>0</v>
      </c>
      <c r="F1086" s="182">
        <f t="shared" si="38"/>
        <v>0</v>
      </c>
      <c r="G1086" s="179" t="s">
        <v>408</v>
      </c>
      <c r="H1086" s="182">
        <v>1025</v>
      </c>
      <c r="J1086" s="181"/>
    </row>
    <row r="1087" spans="1:10" ht="14">
      <c r="A1087" s="183" t="s">
        <v>147</v>
      </c>
      <c r="B1087" s="178">
        <v>3301</v>
      </c>
      <c r="C1087" s="25" t="s">
        <v>146</v>
      </c>
      <c r="D1087" s="26">
        <v>43952</v>
      </c>
      <c r="E1087" s="182">
        <f>SUMIF('FY19-20'!$C$10:$C$172,Import!B1087,'FY19-20'!$O$10:$O$172)</f>
        <v>3908.22</v>
      </c>
      <c r="F1087" s="182">
        <f t="shared" si="38"/>
        <v>0</v>
      </c>
      <c r="G1087" s="179" t="s">
        <v>408</v>
      </c>
      <c r="H1087" s="182">
        <v>1026</v>
      </c>
      <c r="J1087" s="181"/>
    </row>
    <row r="1088" spans="1:10" ht="14">
      <c r="A1088" s="183" t="s">
        <v>147</v>
      </c>
      <c r="B1088" s="178">
        <v>3302</v>
      </c>
      <c r="C1088" s="25" t="s">
        <v>146</v>
      </c>
      <c r="D1088" s="26">
        <v>43952</v>
      </c>
      <c r="E1088" s="182">
        <f>SUMIF('FY19-20'!$C$10:$C$172,Import!B1088,'FY19-20'!$O$10:$O$172)</f>
        <v>0</v>
      </c>
      <c r="F1088" s="182">
        <f t="shared" si="38"/>
        <v>0</v>
      </c>
      <c r="G1088" s="179" t="s">
        <v>408</v>
      </c>
      <c r="H1088" s="182">
        <v>1027</v>
      </c>
      <c r="J1088" s="181"/>
    </row>
    <row r="1089" spans="1:10" ht="14">
      <c r="A1089" s="183" t="s">
        <v>147</v>
      </c>
      <c r="B1089" s="178">
        <v>3311</v>
      </c>
      <c r="C1089" s="25" t="s">
        <v>146</v>
      </c>
      <c r="D1089" s="26">
        <v>43952</v>
      </c>
      <c r="E1089" s="182">
        <f>SUMIF('FY19-20'!$C$10:$C$172,Import!B1089,'FY19-20'!$O$10:$O$172)</f>
        <v>13487.04</v>
      </c>
      <c r="F1089" s="182">
        <f t="shared" si="38"/>
        <v>0</v>
      </c>
      <c r="G1089" s="179" t="s">
        <v>408</v>
      </c>
      <c r="H1089" s="182">
        <v>1028</v>
      </c>
      <c r="J1089" s="181"/>
    </row>
    <row r="1090" spans="1:10" ht="14">
      <c r="A1090" s="183" t="s">
        <v>147</v>
      </c>
      <c r="B1090" s="178">
        <v>3312</v>
      </c>
      <c r="C1090" s="25" t="s">
        <v>146</v>
      </c>
      <c r="D1090" s="26">
        <v>43952</v>
      </c>
      <c r="E1090" s="182">
        <f>SUMIF('FY19-20'!$C$10:$C$172,Import!B1090,'FY19-20'!$O$10:$O$172)</f>
        <v>0</v>
      </c>
      <c r="F1090" s="182">
        <f t="shared" si="38"/>
        <v>0</v>
      </c>
      <c r="G1090" s="179" t="s">
        <v>408</v>
      </c>
      <c r="H1090" s="182">
        <v>1029</v>
      </c>
      <c r="J1090" s="181"/>
    </row>
    <row r="1091" spans="1:10" ht="14">
      <c r="A1091" s="183" t="s">
        <v>147</v>
      </c>
      <c r="B1091" s="178">
        <v>3401</v>
      </c>
      <c r="C1091" s="25" t="s">
        <v>146</v>
      </c>
      <c r="D1091" s="26">
        <v>43952</v>
      </c>
      <c r="E1091" s="182">
        <f>SUMIF('FY19-20'!$C$10:$C$172,Import!B1091,'FY19-20'!$O$10:$O$172)</f>
        <v>95834.65</v>
      </c>
      <c r="F1091" s="182">
        <f t="shared" si="38"/>
        <v>0</v>
      </c>
      <c r="G1091" s="179" t="s">
        <v>408</v>
      </c>
      <c r="H1091" s="182">
        <v>1030</v>
      </c>
      <c r="J1091" s="181"/>
    </row>
    <row r="1092" spans="1:10" ht="14">
      <c r="A1092" s="183" t="s">
        <v>147</v>
      </c>
      <c r="B1092" s="178">
        <v>3402</v>
      </c>
      <c r="C1092" s="25" t="s">
        <v>146</v>
      </c>
      <c r="D1092" s="26">
        <v>43952</v>
      </c>
      <c r="E1092" s="182">
        <f>SUMIF('FY19-20'!$C$10:$C$172,Import!B1092,'FY19-20'!$O$10:$O$172)</f>
        <v>0</v>
      </c>
      <c r="F1092" s="182">
        <f t="shared" si="38"/>
        <v>0</v>
      </c>
      <c r="G1092" s="179" t="s">
        <v>408</v>
      </c>
      <c r="H1092" s="182">
        <v>1031</v>
      </c>
      <c r="J1092" s="181"/>
    </row>
    <row r="1093" spans="1:10" ht="14">
      <c r="A1093" s="183" t="s">
        <v>147</v>
      </c>
      <c r="B1093" s="178">
        <v>3501</v>
      </c>
      <c r="C1093" s="25" t="s">
        <v>146</v>
      </c>
      <c r="D1093" s="26">
        <v>43952</v>
      </c>
      <c r="E1093" s="182">
        <f>SUMIF('FY19-20'!$C$10:$C$172,Import!B1093,'FY19-20'!$O$10:$O$172)</f>
        <v>2367.4899999999998</v>
      </c>
      <c r="F1093" s="182">
        <f t="shared" si="38"/>
        <v>0</v>
      </c>
      <c r="G1093" s="179" t="s">
        <v>408</v>
      </c>
      <c r="H1093" s="182">
        <v>1032</v>
      </c>
      <c r="J1093" s="181"/>
    </row>
    <row r="1094" spans="1:10" ht="14">
      <c r="A1094" s="183" t="s">
        <v>147</v>
      </c>
      <c r="B1094" s="178">
        <v>3502</v>
      </c>
      <c r="C1094" s="25" t="s">
        <v>146</v>
      </c>
      <c r="D1094" s="26">
        <v>43952</v>
      </c>
      <c r="E1094" s="182">
        <f>SUMIF('FY19-20'!$C$10:$C$172,Import!B1094,'FY19-20'!$O$10:$O$172)</f>
        <v>0</v>
      </c>
      <c r="F1094" s="182">
        <f t="shared" si="38"/>
        <v>0</v>
      </c>
      <c r="G1094" s="179" t="s">
        <v>408</v>
      </c>
      <c r="H1094" s="182">
        <v>1033</v>
      </c>
      <c r="J1094" s="181"/>
    </row>
    <row r="1095" spans="1:10" ht="14">
      <c r="A1095" s="183" t="s">
        <v>147</v>
      </c>
      <c r="B1095" s="178">
        <v>3601</v>
      </c>
      <c r="C1095" s="25" t="s">
        <v>146</v>
      </c>
      <c r="D1095" s="26">
        <v>43952</v>
      </c>
      <c r="E1095" s="182">
        <f>SUMIF('FY19-20'!$C$10:$C$172,Import!B1095,'FY19-20'!$O$10:$O$172)</f>
        <v>8106.72</v>
      </c>
      <c r="F1095" s="182">
        <f t="shared" si="38"/>
        <v>0</v>
      </c>
      <c r="G1095" s="179" t="s">
        <v>408</v>
      </c>
      <c r="H1095" s="182">
        <v>1034</v>
      </c>
      <c r="J1095" s="181"/>
    </row>
    <row r="1096" spans="1:10" ht="14">
      <c r="A1096" s="183" t="s">
        <v>147</v>
      </c>
      <c r="B1096" s="178">
        <v>3602</v>
      </c>
      <c r="C1096" s="25" t="s">
        <v>146</v>
      </c>
      <c r="D1096" s="26">
        <v>43952</v>
      </c>
      <c r="E1096" s="182">
        <f>SUMIF('FY19-20'!$C$10:$C$172,Import!B1096,'FY19-20'!$O$10:$O$172)</f>
        <v>0</v>
      </c>
      <c r="F1096" s="182">
        <f t="shared" si="38"/>
        <v>0</v>
      </c>
      <c r="G1096" s="179" t="s">
        <v>408</v>
      </c>
      <c r="H1096" s="182">
        <v>1035</v>
      </c>
      <c r="J1096" s="181"/>
    </row>
    <row r="1097" spans="1:10" ht="14">
      <c r="A1097" s="183" t="s">
        <v>147</v>
      </c>
      <c r="B1097" s="178">
        <v>3901</v>
      </c>
      <c r="C1097" s="25" t="s">
        <v>146</v>
      </c>
      <c r="D1097" s="26">
        <v>43952</v>
      </c>
      <c r="E1097" s="182">
        <f>SUMIF('FY19-20'!$C$10:$C$172,Import!B1097,'FY19-20'!$O$10:$O$172)</f>
        <v>0</v>
      </c>
      <c r="F1097" s="182">
        <f t="shared" si="38"/>
        <v>0</v>
      </c>
      <c r="G1097" s="179" t="s">
        <v>408</v>
      </c>
      <c r="H1097" s="182">
        <v>1036</v>
      </c>
      <c r="J1097" s="181"/>
    </row>
    <row r="1098" spans="1:10" ht="14">
      <c r="A1098" s="183" t="s">
        <v>147</v>
      </c>
      <c r="B1098" s="178">
        <v>3902</v>
      </c>
      <c r="C1098" s="25" t="s">
        <v>146</v>
      </c>
      <c r="D1098" s="26">
        <v>43952</v>
      </c>
      <c r="E1098" s="182">
        <f>SUMIF('FY19-20'!$C$10:$C$172,Import!B1098,'FY19-20'!$O$10:$O$172)</f>
        <v>0</v>
      </c>
      <c r="F1098" s="182">
        <f t="shared" si="38"/>
        <v>0</v>
      </c>
      <c r="G1098" s="179" t="s">
        <v>408</v>
      </c>
      <c r="H1098" s="182">
        <v>1037</v>
      </c>
      <c r="J1098" s="181"/>
    </row>
    <row r="1099" spans="1:10" ht="14">
      <c r="A1099" s="183" t="s">
        <v>147</v>
      </c>
      <c r="B1099" s="178">
        <v>4100</v>
      </c>
      <c r="C1099" s="25" t="s">
        <v>146</v>
      </c>
      <c r="D1099" s="26">
        <v>43952</v>
      </c>
      <c r="E1099" s="182">
        <f>SUMIF('FY19-20'!$C$10:$C$172,Import!B1099,'FY19-20'!$O$10:$O$172)</f>
        <v>0</v>
      </c>
      <c r="F1099" s="182">
        <f t="shared" si="38"/>
        <v>0</v>
      </c>
      <c r="G1099" s="179" t="s">
        <v>408</v>
      </c>
      <c r="H1099" s="182">
        <v>1038</v>
      </c>
      <c r="J1099" s="181"/>
    </row>
    <row r="1100" spans="1:10" ht="14">
      <c r="A1100" s="183" t="s">
        <v>147</v>
      </c>
      <c r="B1100" s="178">
        <v>4200</v>
      </c>
      <c r="C1100" s="25" t="s">
        <v>146</v>
      </c>
      <c r="D1100" s="26">
        <v>43952</v>
      </c>
      <c r="E1100" s="182">
        <f>SUMIF('FY19-20'!$C$10:$C$172,Import!B1100,'FY19-20'!$O$10:$O$172)</f>
        <v>0</v>
      </c>
      <c r="F1100" s="182">
        <f t="shared" si="38"/>
        <v>0</v>
      </c>
      <c r="G1100" s="179" t="s">
        <v>408</v>
      </c>
      <c r="H1100" s="182">
        <v>1039</v>
      </c>
      <c r="J1100" s="181"/>
    </row>
    <row r="1101" spans="1:10" ht="14">
      <c r="A1101" s="183" t="s">
        <v>147</v>
      </c>
      <c r="B1101" s="178">
        <v>4302</v>
      </c>
      <c r="C1101" s="25" t="s">
        <v>146</v>
      </c>
      <c r="D1101" s="26">
        <v>43952</v>
      </c>
      <c r="E1101" s="182">
        <f>SUMIF('FY19-20'!$C$10:$C$172,Import!B1101,'FY19-20'!$O$10:$O$172)</f>
        <v>241987.95</v>
      </c>
      <c r="F1101" s="182">
        <f t="shared" si="38"/>
        <v>0</v>
      </c>
      <c r="G1101" s="179" t="s">
        <v>408</v>
      </c>
      <c r="H1101" s="182">
        <v>1040</v>
      </c>
      <c r="J1101" s="181"/>
    </row>
    <row r="1102" spans="1:10" ht="14">
      <c r="A1102" s="183" t="s">
        <v>147</v>
      </c>
      <c r="B1102" s="178">
        <v>4305</v>
      </c>
      <c r="C1102" s="25" t="s">
        <v>146</v>
      </c>
      <c r="D1102" s="26">
        <v>43952</v>
      </c>
      <c r="E1102" s="182">
        <f>SUMIF('FY19-20'!$C$10:$C$172,Import!B1102,'FY19-20'!$O$10:$O$172)</f>
        <v>69269.440000000002</v>
      </c>
      <c r="F1102" s="182">
        <f t="shared" si="38"/>
        <v>0</v>
      </c>
      <c r="G1102" s="179" t="s">
        <v>408</v>
      </c>
      <c r="H1102" s="182">
        <v>1041</v>
      </c>
      <c r="J1102" s="181"/>
    </row>
    <row r="1103" spans="1:10" ht="14">
      <c r="A1103" s="183" t="s">
        <v>147</v>
      </c>
      <c r="B1103" s="178">
        <v>4310</v>
      </c>
      <c r="C1103" s="25" t="s">
        <v>146</v>
      </c>
      <c r="D1103" s="26">
        <v>43952</v>
      </c>
      <c r="E1103" s="182">
        <f>SUMIF('FY19-20'!$C$10:$C$172,Import!B1103,'FY19-20'!$O$10:$O$172)</f>
        <v>3934.5</v>
      </c>
      <c r="F1103" s="182">
        <f t="shared" si="38"/>
        <v>0</v>
      </c>
      <c r="G1103" s="179" t="s">
        <v>408</v>
      </c>
      <c r="H1103" s="182">
        <v>1042</v>
      </c>
      <c r="J1103" s="181"/>
    </row>
    <row r="1104" spans="1:10" ht="14">
      <c r="A1104" s="183" t="s">
        <v>147</v>
      </c>
      <c r="B1104" s="178">
        <v>4311</v>
      </c>
      <c r="C1104" s="25" t="s">
        <v>146</v>
      </c>
      <c r="D1104" s="26">
        <v>43952</v>
      </c>
      <c r="E1104" s="182">
        <f>SUMIF('FY19-20'!$C$10:$C$172,Import!B1104,'FY19-20'!$O$10:$O$172)</f>
        <v>0</v>
      </c>
      <c r="F1104" s="182">
        <f t="shared" si="38"/>
        <v>0</v>
      </c>
      <c r="G1104" s="179" t="s">
        <v>408</v>
      </c>
      <c r="H1104" s="182">
        <v>1043</v>
      </c>
      <c r="J1104" s="181"/>
    </row>
    <row r="1105" spans="1:10" ht="14">
      <c r="A1105" s="183" t="s">
        <v>147</v>
      </c>
      <c r="B1105" s="178">
        <v>4312</v>
      </c>
      <c r="C1105" s="25" t="s">
        <v>146</v>
      </c>
      <c r="D1105" s="26">
        <v>43952</v>
      </c>
      <c r="E1105" s="182">
        <f>SUMIF('FY19-20'!$C$10:$C$172,Import!B1105,'FY19-20'!$O$10:$O$172)</f>
        <v>0</v>
      </c>
      <c r="F1105" s="182">
        <f t="shared" si="38"/>
        <v>0</v>
      </c>
      <c r="G1105" s="179" t="s">
        <v>408</v>
      </c>
      <c r="H1105" s="182">
        <v>1044</v>
      </c>
      <c r="J1105" s="181"/>
    </row>
    <row r="1106" spans="1:10" ht="14">
      <c r="A1106" s="183" t="s">
        <v>147</v>
      </c>
      <c r="B1106" s="178">
        <v>4400</v>
      </c>
      <c r="C1106" s="25" t="s">
        <v>146</v>
      </c>
      <c r="D1106" s="26">
        <v>43952</v>
      </c>
      <c r="E1106" s="182">
        <f>SUMIF('FY19-20'!$C$10:$C$172,Import!B1106,'FY19-20'!$O$10:$O$172)</f>
        <v>0</v>
      </c>
      <c r="F1106" s="182">
        <f t="shared" ref="F1106:F1135" si="39">-IF(E1106&lt;0,E1106)</f>
        <v>0</v>
      </c>
      <c r="G1106" s="179" t="s">
        <v>408</v>
      </c>
      <c r="H1106" s="182">
        <v>1045</v>
      </c>
      <c r="J1106" s="181"/>
    </row>
    <row r="1107" spans="1:10" ht="14">
      <c r="A1107" s="183" t="s">
        <v>147</v>
      </c>
      <c r="B1107" s="178">
        <v>4700</v>
      </c>
      <c r="C1107" s="25" t="s">
        <v>146</v>
      </c>
      <c r="D1107" s="26">
        <v>43952</v>
      </c>
      <c r="E1107" s="182">
        <f>SUMIF('FY19-20'!$C$10:$C$172,Import!B1107,'FY19-20'!$O$10:$O$172)</f>
        <v>0</v>
      </c>
      <c r="F1107" s="182">
        <f t="shared" si="39"/>
        <v>0</v>
      </c>
      <c r="G1107" s="179" t="s">
        <v>408</v>
      </c>
      <c r="H1107" s="182">
        <v>1046</v>
      </c>
      <c r="J1107" s="181"/>
    </row>
    <row r="1108" spans="1:10" ht="14">
      <c r="A1108" s="183" t="s">
        <v>147</v>
      </c>
      <c r="B1108" s="178">
        <v>5101</v>
      </c>
      <c r="C1108" s="25" t="s">
        <v>146</v>
      </c>
      <c r="D1108" s="26">
        <v>43952</v>
      </c>
      <c r="E1108" s="182">
        <f>SUMIF('FY19-20'!$C$10:$C$172,Import!B1108,'FY19-20'!$O$10:$O$172)</f>
        <v>0</v>
      </c>
      <c r="F1108" s="182">
        <f t="shared" si="39"/>
        <v>0</v>
      </c>
      <c r="G1108" s="179" t="s">
        <v>408</v>
      </c>
      <c r="H1108" s="182">
        <v>1047</v>
      </c>
      <c r="J1108" s="181"/>
    </row>
    <row r="1109" spans="1:10" ht="14">
      <c r="A1109" s="183" t="s">
        <v>147</v>
      </c>
      <c r="B1109" s="178">
        <v>5102</v>
      </c>
      <c r="C1109" s="25" t="s">
        <v>146</v>
      </c>
      <c r="D1109" s="26">
        <v>43952</v>
      </c>
      <c r="E1109" s="182">
        <f>SUMIF('FY19-20'!$C$10:$C$172,Import!B1109,'FY19-20'!$O$10:$O$172)</f>
        <v>225262.59</v>
      </c>
      <c r="F1109" s="182">
        <f t="shared" si="39"/>
        <v>0</v>
      </c>
      <c r="G1109" s="179" t="s">
        <v>408</v>
      </c>
      <c r="H1109" s="182">
        <v>1048</v>
      </c>
      <c r="J1109" s="181"/>
    </row>
    <row r="1110" spans="1:10" ht="14">
      <c r="A1110" s="183" t="s">
        <v>147</v>
      </c>
      <c r="B1110" s="178">
        <v>5103</v>
      </c>
      <c r="C1110" s="25" t="s">
        <v>146</v>
      </c>
      <c r="D1110" s="26">
        <v>43952</v>
      </c>
      <c r="E1110" s="182">
        <f>SUMIF('FY19-20'!$C$10:$C$172,Import!B1110,'FY19-20'!$O$10:$O$172)</f>
        <v>0</v>
      </c>
      <c r="F1110" s="182">
        <f t="shared" si="39"/>
        <v>0</v>
      </c>
      <c r="G1110" s="179" t="s">
        <v>408</v>
      </c>
      <c r="H1110" s="182">
        <v>1049</v>
      </c>
      <c r="J1110" s="181"/>
    </row>
    <row r="1111" spans="1:10" ht="14">
      <c r="A1111" s="183" t="s">
        <v>147</v>
      </c>
      <c r="B1111" s="178">
        <v>5104</v>
      </c>
      <c r="C1111" s="25" t="s">
        <v>146</v>
      </c>
      <c r="D1111" s="26">
        <v>43952</v>
      </c>
      <c r="E1111" s="182">
        <f>SUMIF('FY19-20'!$C$10:$C$172,Import!B1111,'FY19-20'!$O$10:$O$172)</f>
        <v>0</v>
      </c>
      <c r="F1111" s="182">
        <f t="shared" si="39"/>
        <v>0</v>
      </c>
      <c r="G1111" s="179" t="s">
        <v>408</v>
      </c>
      <c r="H1111" s="182">
        <v>1050</v>
      </c>
      <c r="J1111" s="181"/>
    </row>
    <row r="1112" spans="1:10" ht="14">
      <c r="A1112" s="183" t="s">
        <v>147</v>
      </c>
      <c r="B1112" s="178">
        <v>5105</v>
      </c>
      <c r="C1112" s="25" t="s">
        <v>146</v>
      </c>
      <c r="D1112" s="26">
        <v>43952</v>
      </c>
      <c r="E1112" s="182">
        <f>SUMIF('FY19-20'!$C$10:$C$172,Import!B1112,'FY19-20'!$O$10:$O$172)</f>
        <v>0</v>
      </c>
      <c r="F1112" s="182">
        <f t="shared" si="39"/>
        <v>0</v>
      </c>
      <c r="G1112" s="179" t="s">
        <v>408</v>
      </c>
      <c r="H1112" s="182">
        <v>1051</v>
      </c>
      <c r="J1112" s="181"/>
    </row>
    <row r="1113" spans="1:10" ht="14">
      <c r="A1113" s="183" t="s">
        <v>147</v>
      </c>
      <c r="B1113" s="178">
        <v>5106</v>
      </c>
      <c r="C1113" s="25" t="s">
        <v>146</v>
      </c>
      <c r="D1113" s="26">
        <v>43952</v>
      </c>
      <c r="E1113" s="182">
        <f>SUMIF('FY19-20'!$C$10:$C$172,Import!B1113,'FY19-20'!$O$10:$O$172)</f>
        <v>197255.07</v>
      </c>
      <c r="F1113" s="182">
        <f t="shared" si="39"/>
        <v>0</v>
      </c>
      <c r="G1113" s="179" t="s">
        <v>408</v>
      </c>
      <c r="H1113" s="182">
        <v>1052</v>
      </c>
      <c r="J1113" s="181"/>
    </row>
    <row r="1114" spans="1:10" ht="14">
      <c r="A1114" s="183" t="s">
        <v>147</v>
      </c>
      <c r="B1114" s="178">
        <v>5107</v>
      </c>
      <c r="C1114" s="25" t="s">
        <v>146</v>
      </c>
      <c r="D1114" s="26">
        <v>43952</v>
      </c>
      <c r="E1114" s="182">
        <f>SUMIF('FY19-20'!$C$10:$C$172,Import!B1114,'FY19-20'!$O$10:$O$172)</f>
        <v>246287</v>
      </c>
      <c r="F1114" s="182">
        <f t="shared" ref="F1114" si="40">-IF(E1114&lt;0,E1114)</f>
        <v>0</v>
      </c>
      <c r="G1114" s="179" t="s">
        <v>408</v>
      </c>
      <c r="H1114" s="182">
        <v>1052</v>
      </c>
      <c r="J1114" s="181"/>
    </row>
    <row r="1115" spans="1:10" ht="14">
      <c r="A1115" s="183" t="s">
        <v>147</v>
      </c>
      <c r="B1115" s="178">
        <v>5201</v>
      </c>
      <c r="C1115" s="25" t="s">
        <v>146</v>
      </c>
      <c r="D1115" s="26">
        <v>43952</v>
      </c>
      <c r="E1115" s="182">
        <f>SUMIF('FY19-20'!$C$10:$C$172,Import!B1115,'FY19-20'!$O$10:$O$172)</f>
        <v>0</v>
      </c>
      <c r="F1115" s="182">
        <f t="shared" si="39"/>
        <v>0</v>
      </c>
      <c r="G1115" s="179" t="s">
        <v>408</v>
      </c>
      <c r="H1115" s="182">
        <v>1053</v>
      </c>
      <c r="J1115" s="181"/>
    </row>
    <row r="1116" spans="1:10" ht="14">
      <c r="A1116" s="183" t="s">
        <v>147</v>
      </c>
      <c r="B1116" s="178">
        <v>5202</v>
      </c>
      <c r="C1116" s="25" t="s">
        <v>146</v>
      </c>
      <c r="D1116" s="26">
        <v>43952</v>
      </c>
      <c r="E1116" s="182">
        <f>SUMIF('FY19-20'!$C$10:$C$172,Import!B1116,'FY19-20'!$O$10:$O$172)</f>
        <v>0</v>
      </c>
      <c r="F1116" s="182">
        <f t="shared" si="39"/>
        <v>0</v>
      </c>
      <c r="G1116" s="179" t="s">
        <v>408</v>
      </c>
      <c r="H1116" s="182">
        <v>1054</v>
      </c>
      <c r="J1116" s="181"/>
    </row>
    <row r="1117" spans="1:10" ht="14">
      <c r="A1117" s="183" t="s">
        <v>147</v>
      </c>
      <c r="B1117" s="178">
        <v>5203</v>
      </c>
      <c r="C1117" s="25" t="s">
        <v>146</v>
      </c>
      <c r="D1117" s="26">
        <v>43952</v>
      </c>
      <c r="E1117" s="182">
        <f>SUMIF('FY19-20'!$C$10:$C$172,Import!B1117,'FY19-20'!$O$10:$O$172)</f>
        <v>0</v>
      </c>
      <c r="F1117" s="182">
        <f t="shared" si="39"/>
        <v>0</v>
      </c>
      <c r="G1117" s="179" t="s">
        <v>408</v>
      </c>
      <c r="H1117" s="182">
        <v>1055</v>
      </c>
      <c r="J1117" s="181"/>
    </row>
    <row r="1118" spans="1:10" ht="14">
      <c r="A1118" s="183" t="s">
        <v>147</v>
      </c>
      <c r="B1118" s="178">
        <v>5300</v>
      </c>
      <c r="C1118" s="25" t="s">
        <v>146</v>
      </c>
      <c r="D1118" s="26">
        <v>43952</v>
      </c>
      <c r="E1118" s="182">
        <f>SUMIF('FY19-20'!$C$10:$C$172,Import!B1118,'FY19-20'!$O$10:$O$172)</f>
        <v>0</v>
      </c>
      <c r="F1118" s="182">
        <f t="shared" si="39"/>
        <v>0</v>
      </c>
      <c r="G1118" s="179" t="s">
        <v>408</v>
      </c>
      <c r="H1118" s="182">
        <v>1056</v>
      </c>
      <c r="J1118" s="181"/>
    </row>
    <row r="1119" spans="1:10" ht="14">
      <c r="A1119" s="183" t="s">
        <v>147</v>
      </c>
      <c r="B1119" s="178">
        <v>5400</v>
      </c>
      <c r="C1119" s="25" t="s">
        <v>146</v>
      </c>
      <c r="D1119" s="26">
        <v>43952</v>
      </c>
      <c r="E1119" s="182">
        <f>SUMIF('FY19-20'!$C$10:$C$172,Import!B1119,'FY19-20'!$O$10:$O$172)</f>
        <v>68955.490000000005</v>
      </c>
      <c r="F1119" s="182">
        <f t="shared" si="39"/>
        <v>0</v>
      </c>
      <c r="G1119" s="179" t="s">
        <v>408</v>
      </c>
      <c r="H1119" s="182">
        <v>1057</v>
      </c>
      <c r="J1119" s="181"/>
    </row>
    <row r="1120" spans="1:10" ht="14">
      <c r="A1120" s="183" t="s">
        <v>147</v>
      </c>
      <c r="B1120" s="178">
        <v>5501</v>
      </c>
      <c r="C1120" s="25" t="s">
        <v>146</v>
      </c>
      <c r="D1120" s="26">
        <v>43952</v>
      </c>
      <c r="E1120" s="182">
        <f>SUMIF('FY19-20'!$C$10:$C$172,Import!B1120,'FY19-20'!$O$10:$O$172)</f>
        <v>0</v>
      </c>
      <c r="F1120" s="182">
        <f t="shared" si="39"/>
        <v>0</v>
      </c>
      <c r="G1120" s="179" t="s">
        <v>408</v>
      </c>
      <c r="H1120" s="182">
        <v>1058</v>
      </c>
      <c r="J1120" s="181"/>
    </row>
    <row r="1121" spans="1:10" ht="14">
      <c r="A1121" s="183" t="s">
        <v>147</v>
      </c>
      <c r="B1121" s="178">
        <v>5502</v>
      </c>
      <c r="C1121" s="25" t="s">
        <v>146</v>
      </c>
      <c r="D1121" s="26">
        <v>43952</v>
      </c>
      <c r="E1121" s="182">
        <f>SUMIF('FY19-20'!$C$10:$C$172,Import!B1121,'FY19-20'!$O$10:$O$172)</f>
        <v>0</v>
      </c>
      <c r="F1121" s="182">
        <f t="shared" si="39"/>
        <v>0</v>
      </c>
      <c r="G1121" s="179" t="s">
        <v>408</v>
      </c>
      <c r="H1121" s="182">
        <v>1059</v>
      </c>
      <c r="J1121" s="181"/>
    </row>
    <row r="1122" spans="1:10" ht="14">
      <c r="A1122" s="183" t="s">
        <v>147</v>
      </c>
      <c r="B1122" s="178">
        <v>5516</v>
      </c>
      <c r="C1122" s="25" t="s">
        <v>146</v>
      </c>
      <c r="D1122" s="26">
        <v>43952</v>
      </c>
      <c r="E1122" s="182">
        <f>SUMIF('FY19-20'!$C$10:$C$172,Import!B1122,'FY19-20'!$O$10:$O$172)</f>
        <v>0</v>
      </c>
      <c r="F1122" s="182">
        <f t="shared" si="39"/>
        <v>0</v>
      </c>
      <c r="G1122" s="179" t="s">
        <v>408</v>
      </c>
      <c r="H1122" s="182">
        <v>1060</v>
      </c>
      <c r="J1122" s="181"/>
    </row>
    <row r="1123" spans="1:10" ht="14">
      <c r="A1123" s="183" t="s">
        <v>147</v>
      </c>
      <c r="B1123" s="178">
        <v>5531</v>
      </c>
      <c r="C1123" s="25" t="s">
        <v>146</v>
      </c>
      <c r="D1123" s="26">
        <v>43952</v>
      </c>
      <c r="E1123" s="182">
        <f>SUMIF('FY19-20'!$C$10:$C$172,Import!B1123,'FY19-20'!$O$10:$O$172)</f>
        <v>0</v>
      </c>
      <c r="F1123" s="182">
        <f t="shared" si="39"/>
        <v>0</v>
      </c>
      <c r="G1123" s="179" t="s">
        <v>408</v>
      </c>
      <c r="H1123" s="182">
        <v>1063</v>
      </c>
      <c r="J1123" s="181"/>
    </row>
    <row r="1124" spans="1:10" ht="14">
      <c r="A1124" s="183" t="s">
        <v>147</v>
      </c>
      <c r="B1124" s="178">
        <v>5540</v>
      </c>
      <c r="C1124" s="25" t="s">
        <v>146</v>
      </c>
      <c r="D1124" s="26">
        <v>43952</v>
      </c>
      <c r="E1124" s="182">
        <f>SUMIF('FY19-20'!$C$10:$C$172,Import!B1124,'FY19-20'!$O$10:$O$172)</f>
        <v>0</v>
      </c>
      <c r="F1124" s="182">
        <f t="shared" si="39"/>
        <v>0</v>
      </c>
      <c r="G1124" s="179" t="s">
        <v>408</v>
      </c>
      <c r="H1124" s="182">
        <v>1064</v>
      </c>
      <c r="J1124" s="181"/>
    </row>
    <row r="1125" spans="1:10" ht="14">
      <c r="A1125" s="183" t="s">
        <v>147</v>
      </c>
      <c r="B1125" s="178">
        <v>5601</v>
      </c>
      <c r="C1125" s="25" t="s">
        <v>146</v>
      </c>
      <c r="D1125" s="26">
        <v>43952</v>
      </c>
      <c r="E1125" s="182">
        <f>SUMIF('FY19-20'!$C$10:$C$172,Import!B1125,'FY19-20'!$O$10:$O$172)</f>
        <v>0</v>
      </c>
      <c r="F1125" s="182">
        <f t="shared" si="39"/>
        <v>0</v>
      </c>
      <c r="G1125" s="179" t="s">
        <v>408</v>
      </c>
      <c r="H1125" s="182">
        <v>1065</v>
      </c>
      <c r="J1125" s="181"/>
    </row>
    <row r="1126" spans="1:10" ht="14">
      <c r="A1126" s="183" t="s">
        <v>147</v>
      </c>
      <c r="B1126" s="178">
        <v>5602</v>
      </c>
      <c r="C1126" s="25" t="s">
        <v>146</v>
      </c>
      <c r="D1126" s="26">
        <v>43952</v>
      </c>
      <c r="E1126" s="182">
        <f>SUMIF('FY19-20'!$C$10:$C$172,Import!B1126,'FY19-20'!$O$10:$O$172)</f>
        <v>0</v>
      </c>
      <c r="F1126" s="182">
        <f t="shared" si="39"/>
        <v>0</v>
      </c>
      <c r="G1126" s="179" t="s">
        <v>408</v>
      </c>
      <c r="H1126" s="182">
        <v>1066</v>
      </c>
      <c r="J1126" s="181"/>
    </row>
    <row r="1127" spans="1:10" ht="14">
      <c r="A1127" s="183" t="s">
        <v>147</v>
      </c>
      <c r="B1127" s="178">
        <v>5603</v>
      </c>
      <c r="C1127" s="25" t="s">
        <v>146</v>
      </c>
      <c r="D1127" s="26">
        <v>43952</v>
      </c>
      <c r="E1127" s="182">
        <f>SUMIF('FY19-20'!$C$10:$C$172,Import!B1127,'FY19-20'!$O$10:$O$172)</f>
        <v>0</v>
      </c>
      <c r="F1127" s="182">
        <f t="shared" si="39"/>
        <v>0</v>
      </c>
      <c r="G1127" s="179" t="s">
        <v>408</v>
      </c>
      <c r="H1127" s="182">
        <v>1067</v>
      </c>
      <c r="J1127" s="181"/>
    </row>
    <row r="1128" spans="1:10" ht="14">
      <c r="A1128" s="183" t="s">
        <v>147</v>
      </c>
      <c r="B1128" s="178">
        <v>5604</v>
      </c>
      <c r="C1128" s="25" t="s">
        <v>146</v>
      </c>
      <c r="D1128" s="26">
        <v>43952</v>
      </c>
      <c r="E1128" s="182">
        <f>SUMIF('FY19-20'!$C$10:$C$172,Import!B1128,'FY19-20'!$O$10:$O$172)</f>
        <v>-3649</v>
      </c>
      <c r="F1128" s="182">
        <f t="shared" si="39"/>
        <v>3649</v>
      </c>
      <c r="G1128" s="179" t="s">
        <v>408</v>
      </c>
      <c r="H1128" s="182">
        <v>1068</v>
      </c>
      <c r="J1128" s="181"/>
    </row>
    <row r="1129" spans="1:10" ht="14">
      <c r="A1129" s="183" t="s">
        <v>147</v>
      </c>
      <c r="B1129" s="178">
        <v>5605</v>
      </c>
      <c r="C1129" s="25" t="s">
        <v>146</v>
      </c>
      <c r="D1129" s="26">
        <v>43952</v>
      </c>
      <c r="E1129" s="182">
        <f>SUMIF('FY19-20'!$C$10:$C$172,Import!B1129,'FY19-20'!$O$10:$O$172)</f>
        <v>0</v>
      </c>
      <c r="F1129" s="182">
        <f t="shared" si="39"/>
        <v>0</v>
      </c>
      <c r="G1129" s="179" t="s">
        <v>408</v>
      </c>
      <c r="H1129" s="182">
        <v>1069</v>
      </c>
      <c r="J1129" s="181"/>
    </row>
    <row r="1130" spans="1:10" ht="14">
      <c r="A1130" s="183" t="s">
        <v>147</v>
      </c>
      <c r="B1130" s="178">
        <v>5610</v>
      </c>
      <c r="C1130" s="25" t="s">
        <v>146</v>
      </c>
      <c r="D1130" s="26">
        <v>43952</v>
      </c>
      <c r="E1130" s="182">
        <f>SUMIF('FY19-20'!$C$10:$C$172,Import!B1130,'FY19-20'!$O$10:$O$172)</f>
        <v>0</v>
      </c>
      <c r="F1130" s="182">
        <f t="shared" si="39"/>
        <v>0</v>
      </c>
      <c r="G1130" s="179" t="s">
        <v>408</v>
      </c>
      <c r="H1130" s="182">
        <v>1070</v>
      </c>
      <c r="J1130" s="181"/>
    </row>
    <row r="1131" spans="1:10" ht="14">
      <c r="A1131" s="183" t="s">
        <v>147</v>
      </c>
      <c r="B1131" s="178">
        <v>5801</v>
      </c>
      <c r="C1131" s="25" t="s">
        <v>146</v>
      </c>
      <c r="D1131" s="26">
        <v>43952</v>
      </c>
      <c r="E1131" s="182">
        <f>SUMIF('FY19-20'!$C$10:$C$172,Import!B1131,'FY19-20'!$O$10:$O$172)</f>
        <v>0</v>
      </c>
      <c r="F1131" s="182">
        <f t="shared" si="39"/>
        <v>0</v>
      </c>
      <c r="G1131" s="179" t="s">
        <v>408</v>
      </c>
      <c r="H1131" s="182">
        <v>1071</v>
      </c>
      <c r="J1131" s="181"/>
    </row>
    <row r="1132" spans="1:10" ht="14">
      <c r="A1132" s="183" t="s">
        <v>147</v>
      </c>
      <c r="B1132" s="178">
        <v>5802</v>
      </c>
      <c r="C1132" s="25" t="s">
        <v>146</v>
      </c>
      <c r="D1132" s="26">
        <v>43952</v>
      </c>
      <c r="E1132" s="182">
        <f>SUMIF('FY19-20'!$C$10:$C$172,Import!B1132,'FY19-20'!$O$10:$O$172)</f>
        <v>0</v>
      </c>
      <c r="F1132" s="182">
        <f t="shared" si="39"/>
        <v>0</v>
      </c>
      <c r="G1132" s="179" t="s">
        <v>408</v>
      </c>
      <c r="H1132" s="182">
        <v>1072</v>
      </c>
      <c r="J1132" s="181"/>
    </row>
    <row r="1133" spans="1:10" ht="14">
      <c r="A1133" s="183" t="s">
        <v>147</v>
      </c>
      <c r="B1133" s="178">
        <v>5803</v>
      </c>
      <c r="C1133" s="25" t="s">
        <v>146</v>
      </c>
      <c r="D1133" s="26">
        <v>43952</v>
      </c>
      <c r="E1133" s="182">
        <f>SUMIF('FY19-20'!$C$10:$C$172,Import!B1133,'FY19-20'!$O$10:$O$172)</f>
        <v>308</v>
      </c>
      <c r="F1133" s="182">
        <f t="shared" si="39"/>
        <v>0</v>
      </c>
      <c r="G1133" s="179" t="s">
        <v>408</v>
      </c>
      <c r="H1133" s="182">
        <v>1073</v>
      </c>
      <c r="J1133" s="181"/>
    </row>
    <row r="1134" spans="1:10" ht="14">
      <c r="A1134" s="183" t="s">
        <v>147</v>
      </c>
      <c r="B1134" s="178">
        <v>5804</v>
      </c>
      <c r="C1134" s="25" t="s">
        <v>146</v>
      </c>
      <c r="D1134" s="26">
        <v>43952</v>
      </c>
      <c r="E1134" s="182">
        <f>SUMIF('FY19-20'!$C$10:$C$172,Import!B1134,'FY19-20'!$O$10:$O$172)</f>
        <v>122.5</v>
      </c>
      <c r="F1134" s="182">
        <f t="shared" si="39"/>
        <v>0</v>
      </c>
      <c r="G1134" s="179" t="s">
        <v>408</v>
      </c>
      <c r="H1134" s="182">
        <v>1074</v>
      </c>
      <c r="J1134" s="181"/>
    </row>
    <row r="1135" spans="1:10" ht="14">
      <c r="A1135" s="183" t="s">
        <v>147</v>
      </c>
      <c r="B1135" s="178">
        <v>5805</v>
      </c>
      <c r="C1135" s="25" t="s">
        <v>146</v>
      </c>
      <c r="D1135" s="26">
        <v>43952</v>
      </c>
      <c r="E1135" s="182">
        <f>SUMIF('FY19-20'!$C$10:$C$172,Import!B1135,'FY19-20'!$O$10:$O$172)</f>
        <v>0</v>
      </c>
      <c r="F1135" s="182">
        <f t="shared" si="39"/>
        <v>0</v>
      </c>
      <c r="G1135" s="179" t="s">
        <v>408</v>
      </c>
      <c r="H1135" s="182">
        <v>1075</v>
      </c>
      <c r="J1135" s="181"/>
    </row>
    <row r="1136" spans="1:10" ht="14">
      <c r="A1136" s="183" t="s">
        <v>147</v>
      </c>
      <c r="B1136" s="178">
        <v>5806</v>
      </c>
      <c r="C1136" s="25" t="s">
        <v>146</v>
      </c>
      <c r="D1136" s="26">
        <v>43952</v>
      </c>
      <c r="E1136" s="182">
        <f>SUMIF('FY19-20'!$C$10:$C$172,Import!B1136,'FY19-20'!$O$10:$O$172)</f>
        <v>22180.74</v>
      </c>
      <c r="F1136" s="182">
        <f>-IF(E1136&lt;0,E1136,0)</f>
        <v>0</v>
      </c>
      <c r="G1136" s="179" t="s">
        <v>408</v>
      </c>
      <c r="J1136" s="181"/>
    </row>
    <row r="1137" spans="1:10" ht="14">
      <c r="A1137" s="183" t="s">
        <v>147</v>
      </c>
      <c r="B1137" s="178">
        <v>5807</v>
      </c>
      <c r="C1137" s="25" t="s">
        <v>146</v>
      </c>
      <c r="D1137" s="26">
        <v>43952</v>
      </c>
      <c r="E1137" s="182">
        <f>SUMIF('FY19-20'!$C$10:$C$172,Import!B1137,'FY19-20'!$O$10:$O$172)</f>
        <v>124.35</v>
      </c>
      <c r="F1137" s="182">
        <f>-IF(E1137&lt;0,E1137,0)</f>
        <v>0</v>
      </c>
      <c r="G1137" s="179" t="s">
        <v>408</v>
      </c>
      <c r="J1137" s="181"/>
    </row>
    <row r="1138" spans="1:10" ht="14">
      <c r="A1138" s="183" t="s">
        <v>147</v>
      </c>
      <c r="B1138" s="178">
        <v>5808</v>
      </c>
      <c r="C1138" s="25" t="s">
        <v>146</v>
      </c>
      <c r="D1138" s="26">
        <v>43952</v>
      </c>
      <c r="E1138" s="182">
        <f>SUMIF('FY19-20'!$C$10:$C$172,Import!B1138,'FY19-20'!$O$10:$O$172)</f>
        <v>0</v>
      </c>
      <c r="F1138" s="182">
        <f>-IF(E1138&lt;0,E1138,0)</f>
        <v>0</v>
      </c>
      <c r="G1138" s="179" t="s">
        <v>408</v>
      </c>
      <c r="J1138" s="181"/>
    </row>
    <row r="1139" spans="1:10" ht="14">
      <c r="A1139" s="183" t="s">
        <v>147</v>
      </c>
      <c r="B1139" s="178">
        <v>5809</v>
      </c>
      <c r="C1139" s="25" t="s">
        <v>146</v>
      </c>
      <c r="D1139" s="26">
        <v>43952</v>
      </c>
      <c r="E1139" s="182">
        <f>SUMIF('FY19-20'!$C$10:$C$172,Import!B1139,'FY19-20'!$O$10:$O$172)</f>
        <v>35.979999999999997</v>
      </c>
      <c r="F1139" s="182">
        <f>-IF(E1139&lt;0,E1139,0)</f>
        <v>0</v>
      </c>
      <c r="G1139" s="179" t="s">
        <v>408</v>
      </c>
      <c r="J1139" s="181"/>
    </row>
    <row r="1140" spans="1:10" ht="14">
      <c r="A1140" s="183" t="s">
        <v>147</v>
      </c>
      <c r="B1140" s="178">
        <v>5810</v>
      </c>
      <c r="C1140" s="25" t="s">
        <v>146</v>
      </c>
      <c r="D1140" s="26">
        <v>43952</v>
      </c>
      <c r="E1140" s="182">
        <f>SUMIF('FY19-20'!$C$10:$C$172,Import!B1140,'FY19-20'!$O$10:$O$172)</f>
        <v>2094.5</v>
      </c>
      <c r="F1140" s="182">
        <f>-IF(E1140&lt;0,E1140)</f>
        <v>0</v>
      </c>
      <c r="G1140" s="179" t="s">
        <v>408</v>
      </c>
      <c r="H1140" s="182">
        <v>1076</v>
      </c>
      <c r="J1140" s="181"/>
    </row>
    <row r="1141" spans="1:10" ht="14">
      <c r="A1141" s="183" t="s">
        <v>147</v>
      </c>
      <c r="B1141" s="178">
        <v>5811</v>
      </c>
      <c r="C1141" s="25" t="s">
        <v>146</v>
      </c>
      <c r="D1141" s="26">
        <v>43952</v>
      </c>
      <c r="E1141" s="182">
        <f>SUMIF('FY19-20'!$C$10:$C$172,Import!B1141,'FY19-20'!$O$10:$O$172)</f>
        <v>89148</v>
      </c>
      <c r="F1141" s="182">
        <f>-IF(E1141&lt;0,E1141)</f>
        <v>0</v>
      </c>
      <c r="G1141" s="179" t="s">
        <v>408</v>
      </c>
      <c r="H1141" s="182">
        <v>1077</v>
      </c>
      <c r="J1141" s="181"/>
    </row>
    <row r="1142" spans="1:10" ht="14">
      <c r="A1142" s="183" t="s">
        <v>147</v>
      </c>
      <c r="B1142" s="178">
        <v>5812</v>
      </c>
      <c r="C1142" s="25" t="s">
        <v>146</v>
      </c>
      <c r="D1142" s="26">
        <v>43952</v>
      </c>
      <c r="E1142" s="182">
        <f>SUMIF('FY19-20'!$C$10:$C$172,Import!B1142,'FY19-20'!$O$10:$O$172)</f>
        <v>667396</v>
      </c>
      <c r="F1142" s="182">
        <f>-IF(E1142&lt;0,E1142)</f>
        <v>0</v>
      </c>
      <c r="G1142" s="179" t="s">
        <v>408</v>
      </c>
      <c r="H1142" s="182">
        <v>1078</v>
      </c>
      <c r="J1142" s="181"/>
    </row>
    <row r="1143" spans="1:10" ht="14">
      <c r="A1143" s="183" t="s">
        <v>147</v>
      </c>
      <c r="B1143" s="178">
        <v>5813</v>
      </c>
      <c r="C1143" s="25" t="s">
        <v>146</v>
      </c>
      <c r="D1143" s="26">
        <v>43952</v>
      </c>
      <c r="E1143" s="182">
        <f>SUMIF('FY19-20'!$C$10:$C$172,Import!B1143,'FY19-20'!$O$10:$O$172)</f>
        <v>0</v>
      </c>
      <c r="F1143" s="182">
        <f>-IF(E1143&lt;0,E1143)</f>
        <v>0</v>
      </c>
      <c r="G1143" s="179" t="s">
        <v>408</v>
      </c>
      <c r="H1143" s="182">
        <v>1079</v>
      </c>
      <c r="J1143" s="181"/>
    </row>
    <row r="1144" spans="1:10" ht="14">
      <c r="A1144" s="183" t="s">
        <v>147</v>
      </c>
      <c r="B1144" s="178">
        <v>5814</v>
      </c>
      <c r="C1144" s="25" t="s">
        <v>146</v>
      </c>
      <c r="D1144" s="26">
        <v>43952</v>
      </c>
      <c r="E1144" s="182">
        <f>SUMIF('FY19-20'!$C$10:$C$172,Import!B1144,'FY19-20'!$O$10:$O$172)</f>
        <v>0</v>
      </c>
      <c r="F1144" s="182">
        <f>-IF(E1144&lt;0,E1144)</f>
        <v>0</v>
      </c>
      <c r="G1144" s="179" t="s">
        <v>408</v>
      </c>
      <c r="H1144" s="182">
        <v>1080</v>
      </c>
      <c r="J1144" s="181"/>
    </row>
    <row r="1145" spans="1:10" ht="14">
      <c r="A1145" s="183" t="s">
        <v>147</v>
      </c>
      <c r="B1145" s="178">
        <v>5815</v>
      </c>
      <c r="C1145" s="25" t="s">
        <v>146</v>
      </c>
      <c r="D1145" s="26">
        <v>43952</v>
      </c>
      <c r="E1145" s="182">
        <f>SUMIF('FY19-20'!$C$10:$C$172,Import!B1145,'FY19-20'!$O$10:$O$172)</f>
        <v>0</v>
      </c>
      <c r="F1145" s="182">
        <f>-IF(E1145&lt;0,E1145,0)</f>
        <v>0</v>
      </c>
      <c r="G1145" s="179" t="s">
        <v>408</v>
      </c>
      <c r="J1145" s="181"/>
    </row>
    <row r="1146" spans="1:10" ht="14">
      <c r="A1146" s="183" t="s">
        <v>147</v>
      </c>
      <c r="B1146" s="178">
        <v>5820</v>
      </c>
      <c r="C1146" s="25" t="s">
        <v>146</v>
      </c>
      <c r="D1146" s="26">
        <v>43952</v>
      </c>
      <c r="E1146" s="182">
        <f>SUMIF('FY19-20'!$C$10:$C$172,Import!B1146,'FY19-20'!$O$10:$O$172)</f>
        <v>0</v>
      </c>
      <c r="F1146" s="182">
        <f>-IF(E1146&lt;0,E1146,0)</f>
        <v>0</v>
      </c>
      <c r="G1146" s="179" t="s">
        <v>408</v>
      </c>
      <c r="J1146" s="181"/>
    </row>
    <row r="1147" spans="1:10" ht="14">
      <c r="A1147" s="183" t="s">
        <v>147</v>
      </c>
      <c r="B1147" s="178">
        <v>5900</v>
      </c>
      <c r="C1147" s="25" t="s">
        <v>146</v>
      </c>
      <c r="D1147" s="26">
        <v>43952</v>
      </c>
      <c r="E1147" s="182">
        <f>SUMIF('FY19-20'!$C$10:$C$172,Import!B1147,'FY19-20'!$O$10:$O$172)</f>
        <v>71.099999999999994</v>
      </c>
      <c r="F1147" s="182">
        <f>-IF(E1147&lt;0,E1147)</f>
        <v>0</v>
      </c>
      <c r="G1147" s="179" t="s">
        <v>408</v>
      </c>
      <c r="H1147" s="182">
        <v>1081</v>
      </c>
      <c r="J1147" s="181"/>
    </row>
    <row r="1148" spans="1:10" ht="14">
      <c r="A1148" s="183" t="s">
        <v>147</v>
      </c>
      <c r="B1148" s="178">
        <v>5901</v>
      </c>
      <c r="C1148" s="25" t="s">
        <v>146</v>
      </c>
      <c r="D1148" s="26">
        <v>43952</v>
      </c>
      <c r="E1148" s="182">
        <f>SUMIF('FY19-20'!$C$10:$C$172,Import!B1148,'FY19-20'!$O$10:$O$172)</f>
        <v>348</v>
      </c>
      <c r="F1148" s="182">
        <f>-IF(E1148&lt;0,E1148,0)</f>
        <v>0</v>
      </c>
      <c r="G1148" s="179" t="s">
        <v>408</v>
      </c>
    </row>
    <row r="1149" spans="1:10" ht="14">
      <c r="A1149" s="183" t="s">
        <v>147</v>
      </c>
      <c r="B1149" s="178">
        <v>6900</v>
      </c>
      <c r="C1149" s="25" t="s">
        <v>146</v>
      </c>
      <c r="D1149" s="26">
        <v>43952</v>
      </c>
      <c r="E1149" s="182">
        <f>SUMIF('FY19-20'!$C$10:$C$172,Import!B1149,'FY19-20'!$O$10:$O$172)</f>
        <v>50</v>
      </c>
      <c r="F1149" s="182">
        <f t="shared" ref="F1149:F1212" si="41">-IF(E1149&lt;0,E1149)</f>
        <v>0</v>
      </c>
      <c r="G1149" s="179" t="s">
        <v>408</v>
      </c>
      <c r="H1149" s="182">
        <v>1082</v>
      </c>
      <c r="J1149" s="181"/>
    </row>
    <row r="1150" spans="1:10" ht="14">
      <c r="A1150" s="183" t="s">
        <v>147</v>
      </c>
      <c r="B1150" s="178">
        <v>7438</v>
      </c>
      <c r="C1150" s="25" t="s">
        <v>146</v>
      </c>
      <c r="D1150" s="26">
        <v>43952</v>
      </c>
      <c r="E1150" s="182">
        <f>SUMIF('FY19-20'!$C$10:$C$172,Import!B1150,'FY19-20'!$O$10:$O$172)</f>
        <v>161149</v>
      </c>
      <c r="F1150" s="182">
        <f t="shared" si="41"/>
        <v>0</v>
      </c>
      <c r="G1150" s="179" t="s">
        <v>408</v>
      </c>
      <c r="H1150" s="182">
        <v>1083</v>
      </c>
      <c r="J1150" s="181"/>
    </row>
    <row r="1151" spans="1:10" ht="14">
      <c r="A1151" s="183" t="s">
        <v>147</v>
      </c>
      <c r="B1151" s="178">
        <v>8011</v>
      </c>
      <c r="C1151" s="25" t="s">
        <v>146</v>
      </c>
      <c r="D1151" s="26">
        <v>43952</v>
      </c>
      <c r="E1151" s="182">
        <f>SUMIF('FY19-20'!$C$10:$C$172,Import!B1151,'FY19-20'!$O$10:$O$172)</f>
        <v>0</v>
      </c>
      <c r="F1151" s="182">
        <f t="shared" si="41"/>
        <v>0</v>
      </c>
      <c r="G1151" s="179" t="s">
        <v>408</v>
      </c>
      <c r="H1151" s="182">
        <v>1084</v>
      </c>
      <c r="J1151" s="181"/>
    </row>
    <row r="1152" spans="1:10" ht="14">
      <c r="A1152" s="183" t="s">
        <v>147</v>
      </c>
      <c r="B1152" s="178">
        <v>8012</v>
      </c>
      <c r="C1152" s="25" t="s">
        <v>146</v>
      </c>
      <c r="D1152" s="26">
        <v>43952</v>
      </c>
      <c r="E1152" s="182">
        <f>SUMIF('FY19-20'!$C$10:$C$172,Import!B1152,'FY19-20'!$O$10:$O$172)</f>
        <v>0</v>
      </c>
      <c r="F1152" s="182">
        <f t="shared" si="41"/>
        <v>0</v>
      </c>
      <c r="G1152" s="179" t="s">
        <v>408</v>
      </c>
      <c r="H1152" s="182">
        <v>1085</v>
      </c>
      <c r="J1152" s="181"/>
    </row>
    <row r="1153" spans="1:10" ht="14">
      <c r="A1153" s="183" t="s">
        <v>147</v>
      </c>
      <c r="B1153" s="178">
        <v>8019</v>
      </c>
      <c r="C1153" s="25" t="s">
        <v>146</v>
      </c>
      <c r="D1153" s="26">
        <v>43952</v>
      </c>
      <c r="E1153" s="182">
        <f>SUMIF('FY19-20'!$C$10:$C$172,Import!B1153,'FY19-20'!$O$10:$O$172)</f>
        <v>0</v>
      </c>
      <c r="F1153" s="182">
        <f t="shared" si="41"/>
        <v>0</v>
      </c>
      <c r="G1153" s="179" t="s">
        <v>408</v>
      </c>
      <c r="H1153" s="182">
        <v>1086</v>
      </c>
      <c r="J1153" s="181"/>
    </row>
    <row r="1154" spans="1:10" ht="14">
      <c r="A1154" s="183" t="s">
        <v>147</v>
      </c>
      <c r="B1154" s="178">
        <v>8096</v>
      </c>
      <c r="C1154" s="25" t="s">
        <v>146</v>
      </c>
      <c r="D1154" s="26">
        <v>43952</v>
      </c>
      <c r="E1154" s="182">
        <f>SUMIF('FY19-20'!$C$10:$C$172,Import!B1154,'FY19-20'!$O$10:$O$172)</f>
        <v>0</v>
      </c>
      <c r="F1154" s="182">
        <f t="shared" si="41"/>
        <v>0</v>
      </c>
      <c r="G1154" s="179" t="s">
        <v>408</v>
      </c>
      <c r="H1154" s="182">
        <v>1087</v>
      </c>
      <c r="J1154" s="181"/>
    </row>
    <row r="1155" spans="1:10" ht="14">
      <c r="A1155" s="183" t="s">
        <v>147</v>
      </c>
      <c r="B1155" s="178">
        <v>8181</v>
      </c>
      <c r="C1155" s="25" t="s">
        <v>146</v>
      </c>
      <c r="D1155" s="26">
        <v>43952</v>
      </c>
      <c r="E1155" s="182">
        <f>SUMIF('FY19-20'!$C$10:$C$172,Import!B1155,'FY19-20'!$O$10:$O$172)</f>
        <v>0</v>
      </c>
      <c r="F1155" s="182">
        <f t="shared" si="41"/>
        <v>0</v>
      </c>
      <c r="G1155" s="179" t="s">
        <v>408</v>
      </c>
      <c r="H1155" s="182">
        <v>1088</v>
      </c>
      <c r="J1155" s="181"/>
    </row>
    <row r="1156" spans="1:10" ht="14">
      <c r="A1156" s="183" t="s">
        <v>147</v>
      </c>
      <c r="B1156" s="178">
        <v>8182</v>
      </c>
      <c r="C1156" s="25" t="s">
        <v>146</v>
      </c>
      <c r="D1156" s="26">
        <v>43952</v>
      </c>
      <c r="E1156" s="182">
        <f>SUMIF('FY19-20'!$C$10:$C$172,Import!B1156,'FY19-20'!$O$10:$O$172)</f>
        <v>0</v>
      </c>
      <c r="F1156" s="182">
        <f t="shared" si="41"/>
        <v>0</v>
      </c>
      <c r="G1156" s="179" t="s">
        <v>408</v>
      </c>
      <c r="H1156" s="182">
        <v>1089</v>
      </c>
      <c r="J1156" s="181"/>
    </row>
    <row r="1157" spans="1:10" ht="14">
      <c r="A1157" s="183" t="s">
        <v>147</v>
      </c>
      <c r="B1157" s="178">
        <v>8220</v>
      </c>
      <c r="C1157" s="25" t="s">
        <v>146</v>
      </c>
      <c r="D1157" s="26">
        <v>43952</v>
      </c>
      <c r="E1157" s="182">
        <f>SUMIF('FY19-20'!$C$10:$C$172,Import!B1157,'FY19-20'!$O$10:$O$172)</f>
        <v>0</v>
      </c>
      <c r="F1157" s="182">
        <f t="shared" si="41"/>
        <v>0</v>
      </c>
      <c r="G1157" s="179" t="s">
        <v>408</v>
      </c>
      <c r="H1157" s="182">
        <v>1090</v>
      </c>
      <c r="J1157" s="181"/>
    </row>
    <row r="1158" spans="1:10" ht="14">
      <c r="A1158" s="183" t="s">
        <v>147</v>
      </c>
      <c r="B1158" s="178">
        <v>8290</v>
      </c>
      <c r="C1158" s="25" t="s">
        <v>146</v>
      </c>
      <c r="D1158" s="26">
        <v>43952</v>
      </c>
      <c r="E1158" s="182">
        <f>SUMIF('FY19-20'!$C$10:$C$172,Import!B1158,'FY19-20'!$O$10:$O$172)</f>
        <v>0</v>
      </c>
      <c r="F1158" s="182">
        <f t="shared" si="41"/>
        <v>0</v>
      </c>
      <c r="G1158" s="179" t="s">
        <v>408</v>
      </c>
      <c r="H1158" s="182">
        <v>1091</v>
      </c>
      <c r="J1158" s="181"/>
    </row>
    <row r="1159" spans="1:10" ht="14">
      <c r="A1159" s="183" t="s">
        <v>147</v>
      </c>
      <c r="B1159" s="178">
        <v>8291</v>
      </c>
      <c r="C1159" s="25" t="s">
        <v>146</v>
      </c>
      <c r="D1159" s="26">
        <v>43952</v>
      </c>
      <c r="E1159" s="182">
        <f>SUMIF('FY19-20'!$C$10:$C$172,Import!B1159,'FY19-20'!$O$10:$O$172)</f>
        <v>0</v>
      </c>
      <c r="F1159" s="182">
        <f t="shared" si="41"/>
        <v>0</v>
      </c>
      <c r="G1159" s="179" t="s">
        <v>408</v>
      </c>
      <c r="H1159" s="182">
        <v>1092</v>
      </c>
      <c r="J1159" s="181"/>
    </row>
    <row r="1160" spans="1:10" ht="14">
      <c r="A1160" s="183" t="s">
        <v>147</v>
      </c>
      <c r="B1160" s="178">
        <v>8292</v>
      </c>
      <c r="C1160" s="25" t="s">
        <v>146</v>
      </c>
      <c r="D1160" s="26">
        <v>43952</v>
      </c>
      <c r="E1160" s="182">
        <f>SUMIF('FY19-20'!$C$10:$C$172,Import!B1160,'FY19-20'!$O$10:$O$172)</f>
        <v>0</v>
      </c>
      <c r="F1160" s="182">
        <f t="shared" si="41"/>
        <v>0</v>
      </c>
      <c r="G1160" s="179" t="s">
        <v>408</v>
      </c>
      <c r="H1160" s="182">
        <v>1093</v>
      </c>
      <c r="J1160" s="181"/>
    </row>
    <row r="1161" spans="1:10" ht="14">
      <c r="A1161" s="183" t="s">
        <v>147</v>
      </c>
      <c r="B1161" s="178">
        <v>8293</v>
      </c>
      <c r="C1161" s="25" t="s">
        <v>146</v>
      </c>
      <c r="D1161" s="26">
        <v>43952</v>
      </c>
      <c r="E1161" s="182">
        <f>SUMIF('FY19-20'!$C$10:$C$172,Import!B1161,'FY19-20'!$O$10:$O$172)</f>
        <v>0</v>
      </c>
      <c r="F1161" s="182">
        <f t="shared" si="41"/>
        <v>0</v>
      </c>
      <c r="G1161" s="179" t="s">
        <v>408</v>
      </c>
      <c r="H1161" s="182">
        <v>1094</v>
      </c>
      <c r="J1161" s="181"/>
    </row>
    <row r="1162" spans="1:10" ht="14">
      <c r="A1162" s="183" t="s">
        <v>147</v>
      </c>
      <c r="B1162" s="178">
        <v>8294</v>
      </c>
      <c r="C1162" s="25" t="s">
        <v>146</v>
      </c>
      <c r="D1162" s="26">
        <v>43952</v>
      </c>
      <c r="E1162" s="182">
        <f>SUMIF('FY19-20'!$C$10:$C$172,Import!B1162,'FY19-20'!$O$10:$O$172)</f>
        <v>0</v>
      </c>
      <c r="F1162" s="182">
        <f t="shared" si="41"/>
        <v>0</v>
      </c>
      <c r="G1162" s="179" t="s">
        <v>408</v>
      </c>
      <c r="H1162" s="182">
        <v>1095</v>
      </c>
      <c r="J1162" s="181"/>
    </row>
    <row r="1163" spans="1:10" ht="14">
      <c r="A1163" s="183" t="s">
        <v>147</v>
      </c>
      <c r="B1163" s="178">
        <v>8295</v>
      </c>
      <c r="C1163" s="25" t="s">
        <v>146</v>
      </c>
      <c r="D1163" s="26">
        <v>43952</v>
      </c>
      <c r="E1163" s="182">
        <f>SUMIF('FY19-20'!$C$10:$C$172,Import!B1163,'FY19-20'!$O$10:$O$172)</f>
        <v>0</v>
      </c>
      <c r="F1163" s="182">
        <f t="shared" si="41"/>
        <v>0</v>
      </c>
      <c r="G1163" s="179" t="s">
        <v>408</v>
      </c>
      <c r="H1163" s="182">
        <v>1096</v>
      </c>
      <c r="J1163" s="181"/>
    </row>
    <row r="1164" spans="1:10" ht="14">
      <c r="A1164" s="183" t="s">
        <v>147</v>
      </c>
      <c r="B1164" s="178">
        <v>8296</v>
      </c>
      <c r="C1164" s="25" t="s">
        <v>146</v>
      </c>
      <c r="D1164" s="26">
        <v>43952</v>
      </c>
      <c r="E1164" s="182">
        <f>SUMIF('FY19-20'!$C$10:$C$172,Import!B1164,'FY19-20'!$O$10:$O$172)</f>
        <v>0</v>
      </c>
      <c r="F1164" s="182">
        <f t="shared" si="41"/>
        <v>0</v>
      </c>
      <c r="G1164" s="179" t="s">
        <v>408</v>
      </c>
      <c r="H1164" s="182">
        <v>1097</v>
      </c>
      <c r="J1164" s="181"/>
    </row>
    <row r="1165" spans="1:10" ht="14">
      <c r="A1165" s="183" t="s">
        <v>147</v>
      </c>
      <c r="B1165" s="178">
        <v>8299</v>
      </c>
      <c r="C1165" s="25" t="s">
        <v>146</v>
      </c>
      <c r="D1165" s="26">
        <v>43952</v>
      </c>
      <c r="E1165" s="182">
        <f>SUMIF('FY19-20'!$C$10:$C$172,Import!B1165,'FY19-20'!$O$10:$O$172)</f>
        <v>0</v>
      </c>
      <c r="F1165" s="182">
        <f t="shared" si="41"/>
        <v>0</v>
      </c>
      <c r="G1165" s="179" t="s">
        <v>408</v>
      </c>
      <c r="H1165" s="182">
        <v>1098</v>
      </c>
      <c r="J1165" s="181"/>
    </row>
    <row r="1166" spans="1:10" ht="14">
      <c r="A1166" s="183" t="s">
        <v>147</v>
      </c>
      <c r="B1166" s="178">
        <v>8311</v>
      </c>
      <c r="C1166" s="25" t="s">
        <v>146</v>
      </c>
      <c r="D1166" s="26">
        <v>43952</v>
      </c>
      <c r="E1166" s="182">
        <f>SUMIF('FY19-20'!$C$10:$C$172,Import!B1166,'FY19-20'!$O$10:$O$172)</f>
        <v>321761</v>
      </c>
      <c r="F1166" s="182">
        <f t="shared" si="41"/>
        <v>0</v>
      </c>
      <c r="G1166" s="179" t="s">
        <v>408</v>
      </c>
      <c r="H1166" s="182">
        <v>1099</v>
      </c>
      <c r="J1166" s="181"/>
    </row>
    <row r="1167" spans="1:10" ht="14">
      <c r="A1167" s="183" t="s">
        <v>147</v>
      </c>
      <c r="B1167" s="178">
        <v>8520</v>
      </c>
      <c r="C1167" s="25" t="s">
        <v>146</v>
      </c>
      <c r="D1167" s="26">
        <v>43952</v>
      </c>
      <c r="E1167" s="182">
        <f>SUMIF('FY19-20'!$C$10:$C$172,Import!B1167,'FY19-20'!$O$10:$O$172)</f>
        <v>0</v>
      </c>
      <c r="F1167" s="182">
        <f t="shared" si="41"/>
        <v>0</v>
      </c>
      <c r="G1167" s="179" t="s">
        <v>408</v>
      </c>
      <c r="H1167" s="182">
        <v>1100</v>
      </c>
      <c r="J1167" s="181"/>
    </row>
    <row r="1168" spans="1:10" ht="14">
      <c r="A1168" s="183" t="s">
        <v>147</v>
      </c>
      <c r="B1168" s="178">
        <v>8545</v>
      </c>
      <c r="C1168" s="25" t="s">
        <v>146</v>
      </c>
      <c r="D1168" s="26">
        <v>43952</v>
      </c>
      <c r="E1168" s="182">
        <f>SUMIF('FY19-20'!$C$10:$C$172,Import!B1168,'FY19-20'!$O$10:$O$172)</f>
        <v>0</v>
      </c>
      <c r="F1168" s="182">
        <f t="shared" si="41"/>
        <v>0</v>
      </c>
      <c r="G1168" s="179" t="s">
        <v>408</v>
      </c>
      <c r="H1168" s="182">
        <v>1101</v>
      </c>
      <c r="J1168" s="181"/>
    </row>
    <row r="1169" spans="1:10" ht="14">
      <c r="A1169" s="183" t="s">
        <v>147</v>
      </c>
      <c r="B1169" s="178">
        <v>8550</v>
      </c>
      <c r="C1169" s="25" t="s">
        <v>146</v>
      </c>
      <c r="D1169" s="26">
        <v>43952</v>
      </c>
      <c r="E1169" s="182">
        <f>SUMIF('FY19-20'!$C$10:$C$172,Import!B1169,'FY19-20'!$O$10:$O$172)</f>
        <v>0</v>
      </c>
      <c r="F1169" s="182">
        <f t="shared" si="41"/>
        <v>0</v>
      </c>
      <c r="G1169" s="179" t="s">
        <v>408</v>
      </c>
      <c r="H1169" s="182">
        <v>1102</v>
      </c>
      <c r="J1169" s="181"/>
    </row>
    <row r="1170" spans="1:10" ht="14">
      <c r="A1170" s="183" t="s">
        <v>147</v>
      </c>
      <c r="B1170" s="178">
        <v>8560</v>
      </c>
      <c r="C1170" s="25" t="s">
        <v>146</v>
      </c>
      <c r="D1170" s="26">
        <v>43952</v>
      </c>
      <c r="E1170" s="182">
        <f>SUMIF('FY19-20'!$C$10:$C$172,Import!B1170,'FY19-20'!$O$10:$O$172)</f>
        <v>0</v>
      </c>
      <c r="F1170" s="182">
        <f t="shared" si="41"/>
        <v>0</v>
      </c>
      <c r="G1170" s="179" t="s">
        <v>408</v>
      </c>
      <c r="H1170" s="182">
        <v>1103</v>
      </c>
      <c r="J1170" s="181"/>
    </row>
    <row r="1171" spans="1:10" ht="14">
      <c r="A1171" s="183" t="s">
        <v>147</v>
      </c>
      <c r="B1171" s="178">
        <v>8598</v>
      </c>
      <c r="C1171" s="25" t="s">
        <v>146</v>
      </c>
      <c r="D1171" s="26">
        <v>43952</v>
      </c>
      <c r="E1171" s="182">
        <f>SUMIF('FY19-20'!$C$10:$C$172,Import!B1171,'FY19-20'!$O$10:$O$172)</f>
        <v>0</v>
      </c>
      <c r="F1171" s="182">
        <f t="shared" si="41"/>
        <v>0</v>
      </c>
      <c r="G1171" s="179" t="s">
        <v>408</v>
      </c>
      <c r="H1171" s="182">
        <v>1104</v>
      </c>
      <c r="J1171" s="181"/>
    </row>
    <row r="1172" spans="1:10" ht="14">
      <c r="A1172" s="183" t="s">
        <v>147</v>
      </c>
      <c r="B1172" s="178">
        <v>8599</v>
      </c>
      <c r="C1172" s="25" t="s">
        <v>146</v>
      </c>
      <c r="D1172" s="26">
        <v>43952</v>
      </c>
      <c r="E1172" s="182">
        <f>SUMIF('FY19-20'!$C$10:$C$172,Import!B1172,'FY19-20'!$O$10:$O$172)</f>
        <v>0</v>
      </c>
      <c r="F1172" s="182">
        <f t="shared" si="41"/>
        <v>0</v>
      </c>
      <c r="G1172" s="179" t="s">
        <v>408</v>
      </c>
      <c r="H1172" s="182">
        <v>1105</v>
      </c>
      <c r="J1172" s="181"/>
    </row>
    <row r="1173" spans="1:10" ht="14">
      <c r="A1173" s="183" t="s">
        <v>147</v>
      </c>
      <c r="B1173" s="178">
        <v>8634</v>
      </c>
      <c r="C1173" s="25" t="s">
        <v>146</v>
      </c>
      <c r="D1173" s="26">
        <v>43952</v>
      </c>
      <c r="E1173" s="182">
        <f>SUMIF('FY19-20'!$C$10:$C$172,Import!B1173,'FY19-20'!$O$10:$O$172)</f>
        <v>0</v>
      </c>
      <c r="F1173" s="182">
        <f t="shared" si="41"/>
        <v>0</v>
      </c>
      <c r="G1173" s="179" t="s">
        <v>408</v>
      </c>
      <c r="H1173" s="182">
        <v>1106</v>
      </c>
      <c r="J1173" s="181"/>
    </row>
    <row r="1174" spans="1:10" ht="14">
      <c r="A1174" s="183" t="s">
        <v>147</v>
      </c>
      <c r="B1174" s="178">
        <v>8650</v>
      </c>
      <c r="C1174" s="25" t="s">
        <v>146</v>
      </c>
      <c r="D1174" s="26">
        <v>43952</v>
      </c>
      <c r="E1174" s="182">
        <f>SUMIF('FY19-20'!$C$10:$C$172,Import!B1174,'FY19-20'!$O$10:$O$172)</f>
        <v>0</v>
      </c>
      <c r="F1174" s="182">
        <f t="shared" si="41"/>
        <v>0</v>
      </c>
      <c r="G1174" s="179" t="s">
        <v>408</v>
      </c>
      <c r="H1174" s="182">
        <v>1107</v>
      </c>
      <c r="J1174" s="181"/>
    </row>
    <row r="1175" spans="1:10" ht="14">
      <c r="A1175" s="183" t="s">
        <v>147</v>
      </c>
      <c r="B1175" s="178">
        <v>8660</v>
      </c>
      <c r="C1175" s="25" t="s">
        <v>146</v>
      </c>
      <c r="D1175" s="26">
        <v>43952</v>
      </c>
      <c r="E1175" s="182">
        <f>SUMIF('FY19-20'!$C$10:$C$172,Import!B1175,'FY19-20'!$O$10:$O$172)</f>
        <v>0</v>
      </c>
      <c r="F1175" s="182">
        <f t="shared" si="41"/>
        <v>0</v>
      </c>
      <c r="G1175" s="179" t="s">
        <v>408</v>
      </c>
      <c r="H1175" s="182">
        <v>1108</v>
      </c>
      <c r="J1175" s="181"/>
    </row>
    <row r="1176" spans="1:10" ht="14">
      <c r="A1176" s="183" t="s">
        <v>147</v>
      </c>
      <c r="B1176" s="178">
        <v>8689</v>
      </c>
      <c r="C1176" s="25" t="s">
        <v>146</v>
      </c>
      <c r="D1176" s="26">
        <v>43952</v>
      </c>
      <c r="E1176" s="182">
        <f>SUMIF('FY19-20'!$C$10:$C$172,Import!B1176,'FY19-20'!$O$10:$O$172)</f>
        <v>0</v>
      </c>
      <c r="F1176" s="182">
        <f t="shared" si="41"/>
        <v>0</v>
      </c>
      <c r="G1176" s="179" t="s">
        <v>408</v>
      </c>
      <c r="H1176" s="182">
        <v>1109</v>
      </c>
      <c r="J1176" s="181"/>
    </row>
    <row r="1177" spans="1:10" ht="14">
      <c r="A1177" s="183" t="s">
        <v>147</v>
      </c>
      <c r="B1177" s="178">
        <v>8698</v>
      </c>
      <c r="C1177" s="25" t="s">
        <v>146</v>
      </c>
      <c r="D1177" s="26">
        <v>43952</v>
      </c>
      <c r="E1177" s="182">
        <f>SUMIF('FY19-20'!$C$10:$C$172,Import!B1177,'FY19-20'!$O$10:$O$172)</f>
        <v>0</v>
      </c>
      <c r="F1177" s="182">
        <f t="shared" si="41"/>
        <v>0</v>
      </c>
      <c r="G1177" s="179" t="s">
        <v>408</v>
      </c>
      <c r="H1177" s="182">
        <v>1110</v>
      </c>
      <c r="J1177" s="181"/>
    </row>
    <row r="1178" spans="1:10" ht="14">
      <c r="A1178" s="183" t="s">
        <v>147</v>
      </c>
      <c r="B1178" s="178">
        <v>8699</v>
      </c>
      <c r="C1178" s="25" t="s">
        <v>146</v>
      </c>
      <c r="D1178" s="26">
        <v>43952</v>
      </c>
      <c r="E1178" s="182">
        <f>SUMIF('FY19-20'!$C$10:$C$172,Import!B1178,'FY19-20'!$O$10:$O$172)</f>
        <v>0</v>
      </c>
      <c r="F1178" s="182">
        <f t="shared" si="41"/>
        <v>0</v>
      </c>
      <c r="G1178" s="179" t="s">
        <v>408</v>
      </c>
      <c r="H1178" s="182">
        <v>1111</v>
      </c>
      <c r="J1178" s="181"/>
    </row>
    <row r="1179" spans="1:10" ht="14">
      <c r="A1179" s="183" t="s">
        <v>147</v>
      </c>
      <c r="B1179" s="178">
        <v>8980</v>
      </c>
      <c r="C1179" s="25" t="s">
        <v>146</v>
      </c>
      <c r="D1179" s="26">
        <v>43952</v>
      </c>
      <c r="E1179" s="182">
        <f>SUMIF('FY19-20'!$C$10:$C$172,Import!B1179,'FY19-20'!$O$10:$O$172)</f>
        <v>0</v>
      </c>
      <c r="F1179" s="182">
        <f t="shared" si="41"/>
        <v>0</v>
      </c>
      <c r="G1179" s="179" t="s">
        <v>408</v>
      </c>
      <c r="H1179" s="182">
        <v>1112</v>
      </c>
      <c r="J1179" s="181"/>
    </row>
    <row r="1180" spans="1:10" ht="14">
      <c r="A1180" s="183" t="s">
        <v>147</v>
      </c>
      <c r="B1180" s="178">
        <v>8990</v>
      </c>
      <c r="C1180" s="25" t="s">
        <v>146</v>
      </c>
      <c r="D1180" s="26">
        <v>43952</v>
      </c>
      <c r="E1180" s="182">
        <f>SUMIF('FY19-20'!$C$10:$C$172,Import!B1180,'FY19-20'!$O$10:$O$172)</f>
        <v>0</v>
      </c>
      <c r="F1180" s="182">
        <f t="shared" si="41"/>
        <v>0</v>
      </c>
      <c r="G1180" s="179" t="s">
        <v>408</v>
      </c>
      <c r="H1180" s="182">
        <v>1113</v>
      </c>
      <c r="J1180" s="181"/>
    </row>
    <row r="1181" spans="1:10" ht="14">
      <c r="A1181" s="183" t="s">
        <v>147</v>
      </c>
      <c r="B1181" s="178">
        <v>1100</v>
      </c>
      <c r="C1181" s="25" t="s">
        <v>146</v>
      </c>
      <c r="D1181" s="26">
        <v>43983</v>
      </c>
      <c r="E1181" s="182">
        <f>SUMIF('FY19-20'!$C$10:$C$172,Import!B1181,'FY19-20'!$P$10:$P$172)</f>
        <v>551079.31000000006</v>
      </c>
      <c r="F1181" s="182">
        <f t="shared" si="41"/>
        <v>0</v>
      </c>
      <c r="G1181" s="179" t="s">
        <v>408</v>
      </c>
      <c r="H1181" s="182">
        <v>1013</v>
      </c>
      <c r="J1181" s="181"/>
    </row>
    <row r="1182" spans="1:10" ht="14">
      <c r="A1182" s="183" t="s">
        <v>147</v>
      </c>
      <c r="B1182" s="178">
        <v>1170</v>
      </c>
      <c r="C1182" s="25" t="s">
        <v>146</v>
      </c>
      <c r="D1182" s="26">
        <v>43983</v>
      </c>
      <c r="E1182" s="182">
        <f>SUMIF('FY19-20'!$C$10:$C$172,Import!B1182,'FY19-20'!$P$10:$P$172)</f>
        <v>0</v>
      </c>
      <c r="F1182" s="182">
        <f t="shared" si="41"/>
        <v>0</v>
      </c>
      <c r="G1182" s="179" t="s">
        <v>408</v>
      </c>
      <c r="H1182" s="182">
        <v>1014</v>
      </c>
      <c r="J1182" s="181"/>
    </row>
    <row r="1183" spans="1:10" ht="14">
      <c r="A1183" s="183" t="s">
        <v>147</v>
      </c>
      <c r="B1183" s="178">
        <v>1175</v>
      </c>
      <c r="C1183" s="25" t="s">
        <v>146</v>
      </c>
      <c r="D1183" s="26">
        <v>43983</v>
      </c>
      <c r="E1183" s="182">
        <f>SUMIF('FY19-20'!$C$10:$C$172,Import!B1183,'FY19-20'!$P$10:$P$172)</f>
        <v>241472.6</v>
      </c>
      <c r="F1183" s="182">
        <f t="shared" si="41"/>
        <v>0</v>
      </c>
      <c r="G1183" s="179" t="s">
        <v>408</v>
      </c>
      <c r="H1183" s="182">
        <v>1015</v>
      </c>
      <c r="J1183" s="181"/>
    </row>
    <row r="1184" spans="1:10" ht="14">
      <c r="A1184" s="183" t="s">
        <v>147</v>
      </c>
      <c r="B1184" s="178">
        <v>1200</v>
      </c>
      <c r="C1184" s="25" t="s">
        <v>146</v>
      </c>
      <c r="D1184" s="26">
        <v>43983</v>
      </c>
      <c r="E1184" s="182">
        <f>SUMIF('FY19-20'!$C$10:$C$172,Import!B1184,'FY19-20'!$P$10:$P$172)</f>
        <v>19786.68</v>
      </c>
      <c r="F1184" s="182">
        <f t="shared" si="41"/>
        <v>0</v>
      </c>
      <c r="G1184" s="179" t="s">
        <v>408</v>
      </c>
      <c r="H1184" s="182">
        <v>1016</v>
      </c>
      <c r="J1184" s="181"/>
    </row>
    <row r="1185" spans="1:10" ht="14">
      <c r="A1185" s="183" t="s">
        <v>147</v>
      </c>
      <c r="B1185" s="178">
        <v>1300</v>
      </c>
      <c r="C1185" s="25" t="s">
        <v>146</v>
      </c>
      <c r="D1185" s="26">
        <v>43983</v>
      </c>
      <c r="E1185" s="182">
        <f>SUMIF('FY19-20'!$C$10:$C$172,Import!B1185,'FY19-20'!$P$10:$P$172)</f>
        <v>141670.14000000001</v>
      </c>
      <c r="F1185" s="182">
        <f t="shared" si="41"/>
        <v>0</v>
      </c>
      <c r="G1185" s="179" t="s">
        <v>408</v>
      </c>
      <c r="H1185" s="182">
        <v>1017</v>
      </c>
      <c r="J1185" s="181"/>
    </row>
    <row r="1186" spans="1:10" ht="14">
      <c r="A1186" s="183" t="s">
        <v>147</v>
      </c>
      <c r="B1186" s="178">
        <v>1900</v>
      </c>
      <c r="C1186" s="25" t="s">
        <v>146</v>
      </c>
      <c r="D1186" s="26">
        <v>43983</v>
      </c>
      <c r="E1186" s="182">
        <f>SUMIF('FY19-20'!$C$10:$C$172,Import!B1186,'FY19-20'!$P$10:$P$172)</f>
        <v>0</v>
      </c>
      <c r="F1186" s="182">
        <f t="shared" si="41"/>
        <v>0</v>
      </c>
      <c r="G1186" s="179" t="s">
        <v>408</v>
      </c>
      <c r="H1186" s="182">
        <v>1018</v>
      </c>
      <c r="J1186" s="181"/>
    </row>
    <row r="1187" spans="1:10" ht="14">
      <c r="A1187" s="183" t="s">
        <v>147</v>
      </c>
      <c r="B1187" s="178">
        <v>2100</v>
      </c>
      <c r="C1187" s="25" t="s">
        <v>146</v>
      </c>
      <c r="D1187" s="26">
        <v>43983</v>
      </c>
      <c r="E1187" s="182">
        <f>SUMIF('FY19-20'!$C$10:$C$172,Import!B1187,'FY19-20'!$P$10:$P$172)</f>
        <v>16465.05</v>
      </c>
      <c r="F1187" s="182">
        <f t="shared" si="41"/>
        <v>0</v>
      </c>
      <c r="G1187" s="179" t="s">
        <v>408</v>
      </c>
      <c r="H1187" s="182">
        <v>1019</v>
      </c>
      <c r="J1187" s="181"/>
    </row>
    <row r="1188" spans="1:10" ht="14">
      <c r="A1188" s="183" t="s">
        <v>147</v>
      </c>
      <c r="B1188" s="178">
        <v>2200</v>
      </c>
      <c r="C1188" s="25" t="s">
        <v>146</v>
      </c>
      <c r="D1188" s="26">
        <v>43983</v>
      </c>
      <c r="E1188" s="182">
        <f>SUMIF('FY19-20'!$C$10:$C$172,Import!B1188,'FY19-20'!$P$10:$P$172)</f>
        <v>3924.1</v>
      </c>
      <c r="F1188" s="182">
        <f t="shared" si="41"/>
        <v>0</v>
      </c>
      <c r="G1188" s="179" t="s">
        <v>408</v>
      </c>
      <c r="H1188" s="182">
        <v>1020</v>
      </c>
      <c r="J1188" s="181"/>
    </row>
    <row r="1189" spans="1:10" ht="14">
      <c r="A1189" s="183" t="s">
        <v>147</v>
      </c>
      <c r="B1189" s="178">
        <v>2300</v>
      </c>
      <c r="C1189" s="25" t="s">
        <v>146</v>
      </c>
      <c r="D1189" s="26">
        <v>43983</v>
      </c>
      <c r="E1189" s="182">
        <f>SUMIF('FY19-20'!$C$10:$C$172,Import!B1189,'FY19-20'!$P$10:$P$172)</f>
        <v>41583.300000000003</v>
      </c>
      <c r="F1189" s="182">
        <f t="shared" si="41"/>
        <v>0</v>
      </c>
      <c r="G1189" s="179" t="s">
        <v>408</v>
      </c>
      <c r="H1189" s="182">
        <v>1021</v>
      </c>
      <c r="J1189" s="181"/>
    </row>
    <row r="1190" spans="1:10" ht="14">
      <c r="A1190" s="183" t="s">
        <v>147</v>
      </c>
      <c r="B1190" s="178">
        <v>2400</v>
      </c>
      <c r="C1190" s="25" t="s">
        <v>146</v>
      </c>
      <c r="D1190" s="26">
        <v>43983</v>
      </c>
      <c r="E1190" s="182">
        <f>SUMIF('FY19-20'!$C$10:$C$172,Import!B1190,'FY19-20'!$P$10:$P$172)</f>
        <v>3215.34</v>
      </c>
      <c r="F1190" s="182">
        <f t="shared" si="41"/>
        <v>0</v>
      </c>
      <c r="G1190" s="179" t="s">
        <v>408</v>
      </c>
      <c r="H1190" s="182">
        <v>1022</v>
      </c>
      <c r="J1190" s="181"/>
    </row>
    <row r="1191" spans="1:10" ht="14">
      <c r="A1191" s="183" t="s">
        <v>147</v>
      </c>
      <c r="B1191" s="178">
        <v>2900</v>
      </c>
      <c r="C1191" s="25" t="s">
        <v>146</v>
      </c>
      <c r="D1191" s="26">
        <v>43983</v>
      </c>
      <c r="E1191" s="182">
        <f>SUMIF('FY19-20'!$C$10:$C$172,Import!B1191,'FY19-20'!$P$10:$P$172)</f>
        <v>14220.32</v>
      </c>
      <c r="F1191" s="182">
        <f t="shared" si="41"/>
        <v>0</v>
      </c>
      <c r="G1191" s="179" t="s">
        <v>408</v>
      </c>
      <c r="H1191" s="182">
        <v>1023</v>
      </c>
      <c r="J1191" s="181"/>
    </row>
    <row r="1192" spans="1:10" ht="14">
      <c r="A1192" s="183" t="s">
        <v>147</v>
      </c>
      <c r="B1192" s="178">
        <v>3101</v>
      </c>
      <c r="C1192" s="25" t="s">
        <v>146</v>
      </c>
      <c r="D1192" s="26">
        <v>43983</v>
      </c>
      <c r="E1192" s="182">
        <f>SUMIF('FY19-20'!$C$10:$C$172,Import!B1192,'FY19-20'!$P$10:$P$172)</f>
        <v>148786.53</v>
      </c>
      <c r="F1192" s="182">
        <f t="shared" si="41"/>
        <v>0</v>
      </c>
      <c r="G1192" s="179" t="s">
        <v>408</v>
      </c>
      <c r="H1192" s="182">
        <v>1024</v>
      </c>
      <c r="J1192" s="181"/>
    </row>
    <row r="1193" spans="1:10" ht="14">
      <c r="A1193" s="183" t="s">
        <v>147</v>
      </c>
      <c r="B1193" s="178">
        <v>3202</v>
      </c>
      <c r="C1193" s="25" t="s">
        <v>146</v>
      </c>
      <c r="D1193" s="26">
        <v>43983</v>
      </c>
      <c r="E1193" s="182">
        <f>SUMIF('FY19-20'!$C$10:$C$172,Import!B1193,'FY19-20'!$P$10:$P$172)</f>
        <v>0</v>
      </c>
      <c r="F1193" s="182">
        <f t="shared" si="41"/>
        <v>0</v>
      </c>
      <c r="G1193" s="179" t="s">
        <v>408</v>
      </c>
      <c r="H1193" s="182">
        <v>1025</v>
      </c>
      <c r="J1193" s="181"/>
    </row>
    <row r="1194" spans="1:10" ht="14">
      <c r="A1194" s="183" t="s">
        <v>147</v>
      </c>
      <c r="B1194" s="178">
        <v>3301</v>
      </c>
      <c r="C1194" s="25" t="s">
        <v>146</v>
      </c>
      <c r="D1194" s="26">
        <v>43983</v>
      </c>
      <c r="E1194" s="182">
        <f>SUMIF('FY19-20'!$C$10:$C$172,Import!B1194,'FY19-20'!$P$10:$P$172)</f>
        <v>4874.72</v>
      </c>
      <c r="F1194" s="182">
        <f t="shared" si="41"/>
        <v>0</v>
      </c>
      <c r="G1194" s="179" t="s">
        <v>408</v>
      </c>
      <c r="H1194" s="182">
        <v>1026</v>
      </c>
      <c r="J1194" s="181"/>
    </row>
    <row r="1195" spans="1:10" ht="14">
      <c r="A1195" s="183" t="s">
        <v>147</v>
      </c>
      <c r="B1195" s="178">
        <v>3302</v>
      </c>
      <c r="C1195" s="25" t="s">
        <v>146</v>
      </c>
      <c r="D1195" s="26">
        <v>43983</v>
      </c>
      <c r="E1195" s="182">
        <f>SUMIF('FY19-20'!$C$10:$C$172,Import!B1195,'FY19-20'!$P$10:$P$172)</f>
        <v>0</v>
      </c>
      <c r="F1195" s="182">
        <f t="shared" si="41"/>
        <v>0</v>
      </c>
      <c r="G1195" s="179" t="s">
        <v>408</v>
      </c>
      <c r="H1195" s="182">
        <v>1027</v>
      </c>
      <c r="J1195" s="181"/>
    </row>
    <row r="1196" spans="1:10" ht="14">
      <c r="A1196" s="183" t="s">
        <v>147</v>
      </c>
      <c r="B1196" s="178">
        <v>3311</v>
      </c>
      <c r="C1196" s="25" t="s">
        <v>146</v>
      </c>
      <c r="D1196" s="26">
        <v>43983</v>
      </c>
      <c r="E1196" s="182">
        <f>SUMIF('FY19-20'!$C$10:$C$172,Import!B1196,'FY19-20'!$P$10:$P$172)</f>
        <v>14742.15</v>
      </c>
      <c r="F1196" s="182">
        <f t="shared" si="41"/>
        <v>0</v>
      </c>
      <c r="G1196" s="179" t="s">
        <v>408</v>
      </c>
      <c r="H1196" s="182">
        <v>1028</v>
      </c>
      <c r="J1196" s="181"/>
    </row>
    <row r="1197" spans="1:10" ht="14">
      <c r="A1197" s="183" t="s">
        <v>147</v>
      </c>
      <c r="B1197" s="178">
        <v>3312</v>
      </c>
      <c r="C1197" s="25" t="s">
        <v>146</v>
      </c>
      <c r="D1197" s="26">
        <v>43983</v>
      </c>
      <c r="E1197" s="182">
        <f>SUMIF('FY19-20'!$C$10:$C$172,Import!B1197,'FY19-20'!$P$10:$P$172)</f>
        <v>0</v>
      </c>
      <c r="F1197" s="182">
        <f t="shared" si="41"/>
        <v>0</v>
      </c>
      <c r="G1197" s="179" t="s">
        <v>408</v>
      </c>
      <c r="H1197" s="182">
        <v>1029</v>
      </c>
      <c r="J1197" s="181"/>
    </row>
    <row r="1198" spans="1:10" ht="14">
      <c r="A1198" s="183" t="s">
        <v>147</v>
      </c>
      <c r="B1198" s="178">
        <v>3401</v>
      </c>
      <c r="C1198" s="25" t="s">
        <v>146</v>
      </c>
      <c r="D1198" s="26">
        <v>43983</v>
      </c>
      <c r="E1198" s="182">
        <f>SUMIF('FY19-20'!$C$10:$C$172,Import!B1198,'FY19-20'!$P$10:$P$172)</f>
        <v>113008.47</v>
      </c>
      <c r="F1198" s="182">
        <f t="shared" si="41"/>
        <v>0</v>
      </c>
      <c r="G1198" s="179" t="s">
        <v>408</v>
      </c>
      <c r="H1198" s="182">
        <v>1030</v>
      </c>
      <c r="J1198" s="181"/>
    </row>
    <row r="1199" spans="1:10" ht="14">
      <c r="A1199" s="183" t="s">
        <v>147</v>
      </c>
      <c r="B1199" s="178">
        <v>3402</v>
      </c>
      <c r="C1199" s="25" t="s">
        <v>146</v>
      </c>
      <c r="D1199" s="26">
        <v>43983</v>
      </c>
      <c r="E1199" s="182">
        <f>SUMIF('FY19-20'!$C$10:$C$172,Import!B1199,'FY19-20'!$P$10:$P$172)</f>
        <v>0</v>
      </c>
      <c r="F1199" s="182">
        <f t="shared" si="41"/>
        <v>0</v>
      </c>
      <c r="G1199" s="179" t="s">
        <v>408</v>
      </c>
      <c r="H1199" s="182">
        <v>1031</v>
      </c>
      <c r="J1199" s="181"/>
    </row>
    <row r="1200" spans="1:10" ht="14">
      <c r="A1200" s="183" t="s">
        <v>147</v>
      </c>
      <c r="B1200" s="178">
        <v>3501</v>
      </c>
      <c r="C1200" s="25" t="s">
        <v>146</v>
      </c>
      <c r="D1200" s="26">
        <v>43983</v>
      </c>
      <c r="E1200" s="182">
        <f>SUMIF('FY19-20'!$C$10:$C$172,Import!B1200,'FY19-20'!$P$10:$P$172)</f>
        <v>-1123.97</v>
      </c>
      <c r="F1200" s="182">
        <f t="shared" si="41"/>
        <v>1123.97</v>
      </c>
      <c r="G1200" s="179" t="s">
        <v>408</v>
      </c>
      <c r="H1200" s="182">
        <v>1032</v>
      </c>
      <c r="J1200" s="181"/>
    </row>
    <row r="1201" spans="1:10" ht="14">
      <c r="A1201" s="183" t="s">
        <v>147</v>
      </c>
      <c r="B1201" s="178">
        <v>3502</v>
      </c>
      <c r="C1201" s="25" t="s">
        <v>146</v>
      </c>
      <c r="D1201" s="26">
        <v>43983</v>
      </c>
      <c r="E1201" s="182">
        <f>SUMIF('FY19-20'!$C$10:$C$172,Import!B1201,'FY19-20'!$P$10:$P$172)</f>
        <v>0</v>
      </c>
      <c r="F1201" s="182">
        <f t="shared" si="41"/>
        <v>0</v>
      </c>
      <c r="G1201" s="179" t="s">
        <v>408</v>
      </c>
      <c r="H1201" s="182">
        <v>1033</v>
      </c>
      <c r="J1201" s="181"/>
    </row>
    <row r="1202" spans="1:10" ht="14">
      <c r="A1202" s="183" t="s">
        <v>147</v>
      </c>
      <c r="B1202" s="178">
        <v>3601</v>
      </c>
      <c r="C1202" s="25" t="s">
        <v>146</v>
      </c>
      <c r="D1202" s="26">
        <v>43983</v>
      </c>
      <c r="E1202" s="182">
        <f>SUMIF('FY19-20'!$C$10:$C$172,Import!B1202,'FY19-20'!$P$10:$P$172)</f>
        <v>-15092.88</v>
      </c>
      <c r="F1202" s="182">
        <f t="shared" si="41"/>
        <v>15092.88</v>
      </c>
      <c r="G1202" s="179" t="s">
        <v>408</v>
      </c>
      <c r="H1202" s="182">
        <v>1034</v>
      </c>
      <c r="J1202" s="181"/>
    </row>
    <row r="1203" spans="1:10" ht="14">
      <c r="A1203" s="183" t="s">
        <v>147</v>
      </c>
      <c r="B1203" s="178">
        <v>3602</v>
      </c>
      <c r="C1203" s="25" t="s">
        <v>146</v>
      </c>
      <c r="D1203" s="26">
        <v>43983</v>
      </c>
      <c r="E1203" s="182">
        <f>SUMIF('FY19-20'!$C$10:$C$172,Import!B1203,'FY19-20'!$P$10:$P$172)</f>
        <v>0</v>
      </c>
      <c r="F1203" s="182">
        <f t="shared" si="41"/>
        <v>0</v>
      </c>
      <c r="G1203" s="179" t="s">
        <v>408</v>
      </c>
      <c r="H1203" s="182">
        <v>1035</v>
      </c>
      <c r="J1203" s="181"/>
    </row>
    <row r="1204" spans="1:10" ht="14">
      <c r="A1204" s="183" t="s">
        <v>147</v>
      </c>
      <c r="B1204" s="178">
        <v>3901</v>
      </c>
      <c r="C1204" s="25" t="s">
        <v>146</v>
      </c>
      <c r="D1204" s="26">
        <v>43983</v>
      </c>
      <c r="E1204" s="182">
        <f>SUMIF('FY19-20'!$C$10:$C$172,Import!B1204,'FY19-20'!$P$10:$P$172)</f>
        <v>0</v>
      </c>
      <c r="F1204" s="182">
        <f t="shared" si="41"/>
        <v>0</v>
      </c>
      <c r="G1204" s="179" t="s">
        <v>408</v>
      </c>
      <c r="H1204" s="182">
        <v>1036</v>
      </c>
      <c r="J1204" s="181"/>
    </row>
    <row r="1205" spans="1:10" ht="14">
      <c r="A1205" s="183" t="s">
        <v>147</v>
      </c>
      <c r="B1205" s="178">
        <v>3902</v>
      </c>
      <c r="C1205" s="25" t="s">
        <v>146</v>
      </c>
      <c r="D1205" s="26">
        <v>43983</v>
      </c>
      <c r="E1205" s="182">
        <f>SUMIF('FY19-20'!$C$10:$C$172,Import!B1205,'FY19-20'!$P$10:$P$172)</f>
        <v>0</v>
      </c>
      <c r="F1205" s="182">
        <f t="shared" si="41"/>
        <v>0</v>
      </c>
      <c r="G1205" s="179" t="s">
        <v>408</v>
      </c>
      <c r="H1205" s="182">
        <v>1037</v>
      </c>
      <c r="J1205" s="181"/>
    </row>
    <row r="1206" spans="1:10" ht="14">
      <c r="A1206" s="183" t="s">
        <v>147</v>
      </c>
      <c r="B1206" s="178">
        <v>4100</v>
      </c>
      <c r="C1206" s="25" t="s">
        <v>146</v>
      </c>
      <c r="D1206" s="26">
        <v>43983</v>
      </c>
      <c r="E1206" s="182">
        <f>SUMIF('FY19-20'!$C$10:$C$172,Import!B1206,'FY19-20'!$P$10:$P$172)</f>
        <v>0</v>
      </c>
      <c r="F1206" s="182">
        <f t="shared" si="41"/>
        <v>0</v>
      </c>
      <c r="G1206" s="179" t="s">
        <v>408</v>
      </c>
      <c r="H1206" s="182">
        <v>1038</v>
      </c>
      <c r="J1206" s="181"/>
    </row>
    <row r="1207" spans="1:10" ht="14">
      <c r="A1207" s="183" t="s">
        <v>147</v>
      </c>
      <c r="B1207" s="178">
        <v>4200</v>
      </c>
      <c r="C1207" s="25" t="s">
        <v>146</v>
      </c>
      <c r="D1207" s="26">
        <v>43983</v>
      </c>
      <c r="E1207" s="182">
        <f>SUMIF('FY19-20'!$C$10:$C$172,Import!B1207,'FY19-20'!$P$10:$P$172)</f>
        <v>0</v>
      </c>
      <c r="F1207" s="182">
        <f t="shared" si="41"/>
        <v>0</v>
      </c>
      <c r="G1207" s="179" t="s">
        <v>408</v>
      </c>
      <c r="H1207" s="182">
        <v>1039</v>
      </c>
      <c r="J1207" s="181"/>
    </row>
    <row r="1208" spans="1:10" ht="14">
      <c r="A1208" s="183" t="s">
        <v>147</v>
      </c>
      <c r="B1208" s="178">
        <v>4302</v>
      </c>
      <c r="C1208" s="25" t="s">
        <v>146</v>
      </c>
      <c r="D1208" s="26">
        <v>43983</v>
      </c>
      <c r="E1208" s="182">
        <f>SUMIF('FY19-20'!$C$10:$C$172,Import!B1208,'FY19-20'!$P$10:$P$172)</f>
        <v>346033.87</v>
      </c>
      <c r="F1208" s="182">
        <f t="shared" si="41"/>
        <v>0</v>
      </c>
      <c r="G1208" s="179" t="s">
        <v>408</v>
      </c>
      <c r="H1208" s="182">
        <v>1040</v>
      </c>
      <c r="J1208" s="181"/>
    </row>
    <row r="1209" spans="1:10" ht="14">
      <c r="A1209" s="183" t="s">
        <v>147</v>
      </c>
      <c r="B1209" s="178">
        <v>4305</v>
      </c>
      <c r="C1209" s="25" t="s">
        <v>146</v>
      </c>
      <c r="D1209" s="26">
        <v>43983</v>
      </c>
      <c r="E1209" s="182">
        <f>SUMIF('FY19-20'!$C$10:$C$172,Import!B1209,'FY19-20'!$P$10:$P$172)</f>
        <v>277690.03999999998</v>
      </c>
      <c r="F1209" s="182">
        <f t="shared" si="41"/>
        <v>0</v>
      </c>
      <c r="G1209" s="179" t="s">
        <v>408</v>
      </c>
      <c r="H1209" s="182">
        <v>1041</v>
      </c>
      <c r="J1209" s="181"/>
    </row>
    <row r="1210" spans="1:10" ht="14">
      <c r="A1210" s="183" t="s">
        <v>147</v>
      </c>
      <c r="B1210" s="178">
        <v>4310</v>
      </c>
      <c r="C1210" s="25" t="s">
        <v>146</v>
      </c>
      <c r="D1210" s="26">
        <v>43983</v>
      </c>
      <c r="E1210" s="182">
        <f>SUMIF('FY19-20'!$C$10:$C$172,Import!B1210,'FY19-20'!$P$10:$P$172)</f>
        <v>72912.95</v>
      </c>
      <c r="F1210" s="182">
        <f t="shared" si="41"/>
        <v>0</v>
      </c>
      <c r="G1210" s="179" t="s">
        <v>408</v>
      </c>
      <c r="H1210" s="182">
        <v>1042</v>
      </c>
      <c r="J1210" s="181"/>
    </row>
    <row r="1211" spans="1:10" ht="14">
      <c r="A1211" s="183" t="s">
        <v>147</v>
      </c>
      <c r="B1211" s="178">
        <v>4311</v>
      </c>
      <c r="C1211" s="25" t="s">
        <v>146</v>
      </c>
      <c r="D1211" s="26">
        <v>43983</v>
      </c>
      <c r="E1211" s="182">
        <f>SUMIF('FY19-20'!$C$10:$C$172,Import!B1211,'FY19-20'!$P$10:$P$172)</f>
        <v>0</v>
      </c>
      <c r="F1211" s="182">
        <f t="shared" si="41"/>
        <v>0</v>
      </c>
      <c r="G1211" s="179" t="s">
        <v>408</v>
      </c>
      <c r="H1211" s="182">
        <v>1043</v>
      </c>
      <c r="J1211" s="181"/>
    </row>
    <row r="1212" spans="1:10" ht="14">
      <c r="A1212" s="183" t="s">
        <v>147</v>
      </c>
      <c r="B1212" s="178">
        <v>4312</v>
      </c>
      <c r="C1212" s="25" t="s">
        <v>146</v>
      </c>
      <c r="D1212" s="26">
        <v>43983</v>
      </c>
      <c r="E1212" s="182">
        <f>SUMIF('FY19-20'!$C$10:$C$172,Import!B1212,'FY19-20'!$P$10:$P$172)</f>
        <v>0</v>
      </c>
      <c r="F1212" s="182">
        <f t="shared" si="41"/>
        <v>0</v>
      </c>
      <c r="G1212" s="179" t="s">
        <v>408</v>
      </c>
      <c r="H1212" s="182">
        <v>1044</v>
      </c>
      <c r="J1212" s="181"/>
    </row>
    <row r="1213" spans="1:10" ht="14">
      <c r="A1213" s="183" t="s">
        <v>147</v>
      </c>
      <c r="B1213" s="178">
        <v>4400</v>
      </c>
      <c r="C1213" s="25" t="s">
        <v>146</v>
      </c>
      <c r="D1213" s="26">
        <v>43983</v>
      </c>
      <c r="E1213" s="182">
        <f>SUMIF('FY19-20'!$C$10:$C$172,Import!B1213,'FY19-20'!$P$10:$P$172)</f>
        <v>368535.9</v>
      </c>
      <c r="F1213" s="182">
        <f t="shared" ref="F1213:F1242" si="42">-IF(E1213&lt;0,E1213)</f>
        <v>0</v>
      </c>
      <c r="G1213" s="179" t="s">
        <v>408</v>
      </c>
      <c r="H1213" s="182">
        <v>1045</v>
      </c>
      <c r="J1213" s="181"/>
    </row>
    <row r="1214" spans="1:10" ht="14">
      <c r="A1214" s="183" t="s">
        <v>147</v>
      </c>
      <c r="B1214" s="178">
        <v>4700</v>
      </c>
      <c r="C1214" s="25" t="s">
        <v>146</v>
      </c>
      <c r="D1214" s="26">
        <v>43983</v>
      </c>
      <c r="E1214" s="182">
        <f>SUMIF('FY19-20'!$C$10:$C$172,Import!B1214,'FY19-20'!$P$10:$P$172)</f>
        <v>0</v>
      </c>
      <c r="F1214" s="182">
        <f t="shared" si="42"/>
        <v>0</v>
      </c>
      <c r="G1214" s="179" t="s">
        <v>408</v>
      </c>
      <c r="H1214" s="182">
        <v>1046</v>
      </c>
      <c r="J1214" s="181"/>
    </row>
    <row r="1215" spans="1:10" ht="14">
      <c r="A1215" s="183" t="s">
        <v>147</v>
      </c>
      <c r="B1215" s="178">
        <v>5101</v>
      </c>
      <c r="C1215" s="25" t="s">
        <v>146</v>
      </c>
      <c r="D1215" s="26">
        <v>43983</v>
      </c>
      <c r="E1215" s="182">
        <f>SUMIF('FY19-20'!$C$10:$C$172,Import!B1215,'FY19-20'!$P$10:$P$172)</f>
        <v>0</v>
      </c>
      <c r="F1215" s="182">
        <f t="shared" si="42"/>
        <v>0</v>
      </c>
      <c r="G1215" s="179" t="s">
        <v>408</v>
      </c>
      <c r="H1215" s="182">
        <v>1047</v>
      </c>
      <c r="J1215" s="181"/>
    </row>
    <row r="1216" spans="1:10" ht="14">
      <c r="A1216" s="183" t="s">
        <v>147</v>
      </c>
      <c r="B1216" s="178">
        <v>5102</v>
      </c>
      <c r="C1216" s="25" t="s">
        <v>146</v>
      </c>
      <c r="D1216" s="26">
        <v>43983</v>
      </c>
      <c r="E1216" s="182">
        <f>SUMIF('FY19-20'!$C$10:$C$172,Import!B1216,'FY19-20'!$P$10:$P$172)</f>
        <v>169999.48</v>
      </c>
      <c r="F1216" s="182">
        <f t="shared" si="42"/>
        <v>0</v>
      </c>
      <c r="G1216" s="179" t="s">
        <v>408</v>
      </c>
      <c r="H1216" s="182">
        <v>1048</v>
      </c>
      <c r="J1216" s="181"/>
    </row>
    <row r="1217" spans="1:10" ht="14">
      <c r="A1217" s="183" t="s">
        <v>147</v>
      </c>
      <c r="B1217" s="178">
        <v>5103</v>
      </c>
      <c r="C1217" s="25" t="s">
        <v>146</v>
      </c>
      <c r="D1217" s="26">
        <v>43983</v>
      </c>
      <c r="E1217" s="182">
        <f>SUMIF('FY19-20'!$C$10:$C$172,Import!B1217,'FY19-20'!$P$10:$P$172)</f>
        <v>0</v>
      </c>
      <c r="F1217" s="182">
        <f t="shared" si="42"/>
        <v>0</v>
      </c>
      <c r="G1217" s="179" t="s">
        <v>408</v>
      </c>
      <c r="H1217" s="182">
        <v>1049</v>
      </c>
      <c r="J1217" s="181"/>
    </row>
    <row r="1218" spans="1:10" ht="14">
      <c r="A1218" s="183" t="s">
        <v>147</v>
      </c>
      <c r="B1218" s="178">
        <v>5104</v>
      </c>
      <c r="C1218" s="25" t="s">
        <v>146</v>
      </c>
      <c r="D1218" s="26">
        <v>43983</v>
      </c>
      <c r="E1218" s="182">
        <f>SUMIF('FY19-20'!$C$10:$C$172,Import!B1218,'FY19-20'!$P$10:$P$172)</f>
        <v>0</v>
      </c>
      <c r="F1218" s="182">
        <f t="shared" si="42"/>
        <v>0</v>
      </c>
      <c r="G1218" s="179" t="s">
        <v>408</v>
      </c>
      <c r="H1218" s="182">
        <v>1050</v>
      </c>
      <c r="J1218" s="181"/>
    </row>
    <row r="1219" spans="1:10" ht="14">
      <c r="A1219" s="183" t="s">
        <v>147</v>
      </c>
      <c r="B1219" s="178">
        <v>5105</v>
      </c>
      <c r="C1219" s="25" t="s">
        <v>146</v>
      </c>
      <c r="D1219" s="26">
        <v>43983</v>
      </c>
      <c r="E1219" s="182">
        <f>SUMIF('FY19-20'!$C$10:$C$172,Import!B1219,'FY19-20'!$P$10:$P$172)</f>
        <v>0</v>
      </c>
      <c r="F1219" s="182">
        <f t="shared" si="42"/>
        <v>0</v>
      </c>
      <c r="G1219" s="179" t="s">
        <v>408</v>
      </c>
      <c r="H1219" s="182">
        <v>1051</v>
      </c>
      <c r="J1219" s="181"/>
    </row>
    <row r="1220" spans="1:10" ht="14">
      <c r="A1220" s="183" t="s">
        <v>147</v>
      </c>
      <c r="B1220" s="178">
        <v>5106</v>
      </c>
      <c r="C1220" s="25" t="s">
        <v>146</v>
      </c>
      <c r="D1220" s="26">
        <v>43983</v>
      </c>
      <c r="E1220" s="182">
        <f>SUMIF('FY19-20'!$C$10:$C$172,Import!B1220,'FY19-20'!$P$10:$P$172)</f>
        <v>982361.04</v>
      </c>
      <c r="F1220" s="182">
        <f t="shared" si="42"/>
        <v>0</v>
      </c>
      <c r="G1220" s="179" t="s">
        <v>408</v>
      </c>
      <c r="H1220" s="182">
        <v>1052</v>
      </c>
      <c r="J1220" s="181"/>
    </row>
    <row r="1221" spans="1:10" ht="14">
      <c r="A1221" s="183" t="s">
        <v>147</v>
      </c>
      <c r="B1221" s="178">
        <v>5107</v>
      </c>
      <c r="C1221" s="25" t="s">
        <v>146</v>
      </c>
      <c r="D1221" s="26">
        <v>43983</v>
      </c>
      <c r="E1221" s="182">
        <f>SUMIF('FY19-20'!$C$10:$C$172,Import!B1221,'FY19-20'!$P$10:$P$172)</f>
        <v>246287</v>
      </c>
      <c r="F1221" s="182">
        <f t="shared" si="42"/>
        <v>0</v>
      </c>
      <c r="G1221" s="179" t="s">
        <v>408</v>
      </c>
      <c r="H1221" s="182">
        <v>1052</v>
      </c>
      <c r="J1221" s="181"/>
    </row>
    <row r="1222" spans="1:10" ht="14">
      <c r="A1222" s="183" t="s">
        <v>147</v>
      </c>
      <c r="B1222" s="178">
        <v>5201</v>
      </c>
      <c r="C1222" s="25" t="s">
        <v>146</v>
      </c>
      <c r="D1222" s="26">
        <v>43983</v>
      </c>
      <c r="E1222" s="182">
        <f>SUMIF('FY19-20'!$C$10:$C$172,Import!B1222,'FY19-20'!$P$10:$P$172)</f>
        <v>10290</v>
      </c>
      <c r="F1222" s="182">
        <f t="shared" si="42"/>
        <v>0</v>
      </c>
      <c r="G1222" s="179" t="s">
        <v>408</v>
      </c>
      <c r="H1222" s="182">
        <v>1053</v>
      </c>
      <c r="J1222" s="181"/>
    </row>
    <row r="1223" spans="1:10" ht="14">
      <c r="A1223" s="183" t="s">
        <v>147</v>
      </c>
      <c r="B1223" s="178">
        <v>5202</v>
      </c>
      <c r="C1223" s="25" t="s">
        <v>146</v>
      </c>
      <c r="D1223" s="26">
        <v>43983</v>
      </c>
      <c r="E1223" s="182">
        <f>SUMIF('FY19-20'!$C$10:$C$172,Import!B1223,'FY19-20'!$P$10:$P$172)</f>
        <v>0</v>
      </c>
      <c r="F1223" s="182">
        <f t="shared" si="42"/>
        <v>0</v>
      </c>
      <c r="G1223" s="179" t="s">
        <v>408</v>
      </c>
      <c r="H1223" s="182">
        <v>1054</v>
      </c>
      <c r="J1223" s="181"/>
    </row>
    <row r="1224" spans="1:10" ht="14">
      <c r="A1224" s="183" t="s">
        <v>147</v>
      </c>
      <c r="B1224" s="178">
        <v>5203</v>
      </c>
      <c r="C1224" s="25" t="s">
        <v>146</v>
      </c>
      <c r="D1224" s="26">
        <v>43983</v>
      </c>
      <c r="E1224" s="182">
        <f>SUMIF('FY19-20'!$C$10:$C$172,Import!B1224,'FY19-20'!$P$10:$P$172)</f>
        <v>0</v>
      </c>
      <c r="F1224" s="182">
        <f t="shared" si="42"/>
        <v>0</v>
      </c>
      <c r="G1224" s="179" t="s">
        <v>408</v>
      </c>
      <c r="H1224" s="182">
        <v>1055</v>
      </c>
      <c r="J1224" s="181"/>
    </row>
    <row r="1225" spans="1:10" ht="14">
      <c r="A1225" s="183" t="s">
        <v>147</v>
      </c>
      <c r="B1225" s="178">
        <v>5300</v>
      </c>
      <c r="C1225" s="25" t="s">
        <v>146</v>
      </c>
      <c r="D1225" s="26">
        <v>43983</v>
      </c>
      <c r="E1225" s="182">
        <f>SUMIF('FY19-20'!$C$10:$C$172,Import!B1225,'FY19-20'!$P$10:$P$172)</f>
        <v>0</v>
      </c>
      <c r="F1225" s="182">
        <f t="shared" si="42"/>
        <v>0</v>
      </c>
      <c r="G1225" s="179" t="s">
        <v>408</v>
      </c>
      <c r="H1225" s="182">
        <v>1056</v>
      </c>
      <c r="J1225" s="181"/>
    </row>
    <row r="1226" spans="1:10" ht="14">
      <c r="A1226" s="183" t="s">
        <v>147</v>
      </c>
      <c r="B1226" s="178">
        <v>5400</v>
      </c>
      <c r="C1226" s="25" t="s">
        <v>146</v>
      </c>
      <c r="D1226" s="26">
        <v>43983</v>
      </c>
      <c r="E1226" s="182">
        <f>SUMIF('FY19-20'!$C$10:$C$172,Import!B1226,'FY19-20'!$P$10:$P$172)</f>
        <v>26659.78</v>
      </c>
      <c r="F1226" s="182">
        <f t="shared" si="42"/>
        <v>0</v>
      </c>
      <c r="G1226" s="179" t="s">
        <v>408</v>
      </c>
      <c r="H1226" s="182">
        <v>1057</v>
      </c>
      <c r="J1226" s="181"/>
    </row>
    <row r="1227" spans="1:10" ht="14">
      <c r="A1227" s="183" t="s">
        <v>147</v>
      </c>
      <c r="B1227" s="178">
        <v>5501</v>
      </c>
      <c r="C1227" s="25" t="s">
        <v>146</v>
      </c>
      <c r="D1227" s="26">
        <v>43983</v>
      </c>
      <c r="E1227" s="182">
        <f>SUMIF('FY19-20'!$C$10:$C$172,Import!B1227,'FY19-20'!$P$10:$P$172)</f>
        <v>0</v>
      </c>
      <c r="F1227" s="182">
        <f t="shared" si="42"/>
        <v>0</v>
      </c>
      <c r="G1227" s="179" t="s">
        <v>408</v>
      </c>
      <c r="H1227" s="182">
        <v>1058</v>
      </c>
      <c r="J1227" s="181"/>
    </row>
    <row r="1228" spans="1:10" ht="14">
      <c r="A1228" s="183" t="s">
        <v>147</v>
      </c>
      <c r="B1228" s="178">
        <v>5502</v>
      </c>
      <c r="C1228" s="25" t="s">
        <v>146</v>
      </c>
      <c r="D1228" s="26">
        <v>43983</v>
      </c>
      <c r="E1228" s="182">
        <f>SUMIF('FY19-20'!$C$10:$C$172,Import!B1228,'FY19-20'!$P$10:$P$172)</f>
        <v>0</v>
      </c>
      <c r="F1228" s="182">
        <f t="shared" si="42"/>
        <v>0</v>
      </c>
      <c r="G1228" s="179" t="s">
        <v>408</v>
      </c>
      <c r="H1228" s="182">
        <v>1059</v>
      </c>
      <c r="J1228" s="181"/>
    </row>
    <row r="1229" spans="1:10" ht="14">
      <c r="A1229" s="183" t="s">
        <v>147</v>
      </c>
      <c r="B1229" s="178">
        <v>5516</v>
      </c>
      <c r="C1229" s="25" t="s">
        <v>146</v>
      </c>
      <c r="D1229" s="26">
        <v>43983</v>
      </c>
      <c r="E1229" s="182">
        <f>SUMIF('FY19-20'!$C$10:$C$172,Import!B1229,'FY19-20'!$P$10:$P$172)</f>
        <v>0</v>
      </c>
      <c r="F1229" s="182">
        <f t="shared" si="42"/>
        <v>0</v>
      </c>
      <c r="G1229" s="179" t="s">
        <v>408</v>
      </c>
      <c r="H1229" s="182">
        <v>1060</v>
      </c>
      <c r="J1229" s="181"/>
    </row>
    <row r="1230" spans="1:10" ht="14">
      <c r="A1230" s="183" t="s">
        <v>147</v>
      </c>
      <c r="B1230" s="178">
        <v>5531</v>
      </c>
      <c r="C1230" s="25" t="s">
        <v>146</v>
      </c>
      <c r="D1230" s="26">
        <v>43983</v>
      </c>
      <c r="E1230" s="182">
        <f>SUMIF('FY19-20'!$C$10:$C$172,Import!B1230,'FY19-20'!$P$10:$P$172)</f>
        <v>0</v>
      </c>
      <c r="F1230" s="182">
        <f t="shared" si="42"/>
        <v>0</v>
      </c>
      <c r="G1230" s="179" t="s">
        <v>408</v>
      </c>
      <c r="H1230" s="182">
        <v>1063</v>
      </c>
      <c r="J1230" s="181"/>
    </row>
    <row r="1231" spans="1:10" ht="14">
      <c r="A1231" s="183" t="s">
        <v>147</v>
      </c>
      <c r="B1231" s="178">
        <v>5540</v>
      </c>
      <c r="C1231" s="25" t="s">
        <v>146</v>
      </c>
      <c r="D1231" s="26">
        <v>43983</v>
      </c>
      <c r="E1231" s="182">
        <f>SUMIF('FY19-20'!$C$10:$C$172,Import!B1231,'FY19-20'!$P$10:$P$172)</f>
        <v>0</v>
      </c>
      <c r="F1231" s="182">
        <f t="shared" si="42"/>
        <v>0</v>
      </c>
      <c r="G1231" s="179" t="s">
        <v>408</v>
      </c>
      <c r="H1231" s="182">
        <v>1064</v>
      </c>
      <c r="J1231" s="181"/>
    </row>
    <row r="1232" spans="1:10" ht="14">
      <c r="A1232" s="183" t="s">
        <v>147</v>
      </c>
      <c r="B1232" s="178">
        <v>5601</v>
      </c>
      <c r="C1232" s="25" t="s">
        <v>146</v>
      </c>
      <c r="D1232" s="26">
        <v>43983</v>
      </c>
      <c r="E1232" s="182">
        <f>SUMIF('FY19-20'!$C$10:$C$172,Import!B1232,'FY19-20'!$P$10:$P$172)</f>
        <v>-126</v>
      </c>
      <c r="F1232" s="182">
        <f t="shared" si="42"/>
        <v>126</v>
      </c>
      <c r="G1232" s="179" t="s">
        <v>408</v>
      </c>
      <c r="H1232" s="182">
        <v>1065</v>
      </c>
      <c r="J1232" s="181"/>
    </row>
    <row r="1233" spans="1:10" ht="14">
      <c r="A1233" s="183" t="s">
        <v>147</v>
      </c>
      <c r="B1233" s="178">
        <v>5602</v>
      </c>
      <c r="C1233" s="25" t="s">
        <v>146</v>
      </c>
      <c r="D1233" s="26">
        <v>43983</v>
      </c>
      <c r="E1233" s="182">
        <f>SUMIF('FY19-20'!$C$10:$C$172,Import!B1233,'FY19-20'!$P$10:$P$172)</f>
        <v>0</v>
      </c>
      <c r="F1233" s="182">
        <f t="shared" si="42"/>
        <v>0</v>
      </c>
      <c r="G1233" s="179" t="s">
        <v>408</v>
      </c>
      <c r="H1233" s="182">
        <v>1066</v>
      </c>
      <c r="J1233" s="181"/>
    </row>
    <row r="1234" spans="1:10" ht="14">
      <c r="A1234" s="183" t="s">
        <v>147</v>
      </c>
      <c r="B1234" s="178">
        <v>5603</v>
      </c>
      <c r="C1234" s="25" t="s">
        <v>146</v>
      </c>
      <c r="D1234" s="26">
        <v>43983</v>
      </c>
      <c r="E1234" s="182">
        <f>SUMIF('FY19-20'!$C$10:$C$172,Import!B1234,'FY19-20'!$P$10:$P$172)</f>
        <v>0</v>
      </c>
      <c r="F1234" s="182">
        <f t="shared" si="42"/>
        <v>0</v>
      </c>
      <c r="G1234" s="179" t="s">
        <v>408</v>
      </c>
      <c r="H1234" s="182">
        <v>1067</v>
      </c>
      <c r="J1234" s="181"/>
    </row>
    <row r="1235" spans="1:10" ht="14">
      <c r="A1235" s="183" t="s">
        <v>147</v>
      </c>
      <c r="B1235" s="178">
        <v>5604</v>
      </c>
      <c r="C1235" s="25" t="s">
        <v>146</v>
      </c>
      <c r="D1235" s="26">
        <v>43983</v>
      </c>
      <c r="E1235" s="182">
        <f>SUMIF('FY19-20'!$C$10:$C$172,Import!B1235,'FY19-20'!$P$10:$P$172)</f>
        <v>-1950</v>
      </c>
      <c r="F1235" s="182">
        <f t="shared" si="42"/>
        <v>1950</v>
      </c>
      <c r="G1235" s="179" t="s">
        <v>408</v>
      </c>
      <c r="H1235" s="182">
        <v>1068</v>
      </c>
      <c r="J1235" s="181"/>
    </row>
    <row r="1236" spans="1:10" ht="14">
      <c r="A1236" s="183" t="s">
        <v>147</v>
      </c>
      <c r="B1236" s="178">
        <v>5605</v>
      </c>
      <c r="C1236" s="25" t="s">
        <v>146</v>
      </c>
      <c r="D1236" s="26">
        <v>43983</v>
      </c>
      <c r="E1236" s="182">
        <f>SUMIF('FY19-20'!$C$10:$C$172,Import!B1236,'FY19-20'!$P$10:$P$172)</f>
        <v>0</v>
      </c>
      <c r="F1236" s="182">
        <f t="shared" si="42"/>
        <v>0</v>
      </c>
      <c r="G1236" s="179" t="s">
        <v>408</v>
      </c>
      <c r="H1236" s="182">
        <v>1069</v>
      </c>
      <c r="J1236" s="181"/>
    </row>
    <row r="1237" spans="1:10" ht="14">
      <c r="A1237" s="183" t="s">
        <v>147</v>
      </c>
      <c r="B1237" s="178">
        <v>5610</v>
      </c>
      <c r="C1237" s="25" t="s">
        <v>146</v>
      </c>
      <c r="D1237" s="26">
        <v>43983</v>
      </c>
      <c r="E1237" s="182">
        <f>SUMIF('FY19-20'!$C$10:$C$172,Import!B1237,'FY19-20'!$P$10:$P$172)</f>
        <v>0</v>
      </c>
      <c r="F1237" s="182">
        <f t="shared" si="42"/>
        <v>0</v>
      </c>
      <c r="G1237" s="179" t="s">
        <v>408</v>
      </c>
      <c r="H1237" s="182">
        <v>1070</v>
      </c>
      <c r="J1237" s="181"/>
    </row>
    <row r="1238" spans="1:10" ht="14">
      <c r="A1238" s="183" t="s">
        <v>147</v>
      </c>
      <c r="B1238" s="178">
        <v>5801</v>
      </c>
      <c r="C1238" s="25" t="s">
        <v>146</v>
      </c>
      <c r="D1238" s="26">
        <v>43983</v>
      </c>
      <c r="E1238" s="182">
        <f>SUMIF('FY19-20'!$C$10:$C$172,Import!B1238,'FY19-20'!$P$10:$P$172)</f>
        <v>26912.9</v>
      </c>
      <c r="F1238" s="182">
        <f t="shared" si="42"/>
        <v>0</v>
      </c>
      <c r="G1238" s="179" t="s">
        <v>408</v>
      </c>
      <c r="H1238" s="182">
        <v>1071</v>
      </c>
      <c r="J1238" s="181"/>
    </row>
    <row r="1239" spans="1:10" ht="14">
      <c r="A1239" s="183" t="s">
        <v>147</v>
      </c>
      <c r="B1239" s="178">
        <v>5802</v>
      </c>
      <c r="C1239" s="25" t="s">
        <v>146</v>
      </c>
      <c r="D1239" s="26">
        <v>43983</v>
      </c>
      <c r="E1239" s="182">
        <f>SUMIF('FY19-20'!$C$10:$C$172,Import!B1239,'FY19-20'!$P$10:$P$172)</f>
        <v>0</v>
      </c>
      <c r="F1239" s="182">
        <f t="shared" si="42"/>
        <v>0</v>
      </c>
      <c r="G1239" s="179" t="s">
        <v>408</v>
      </c>
      <c r="H1239" s="182">
        <v>1072</v>
      </c>
      <c r="J1239" s="181"/>
    </row>
    <row r="1240" spans="1:10" ht="14">
      <c r="A1240" s="183" t="s">
        <v>147</v>
      </c>
      <c r="B1240" s="178">
        <v>5803</v>
      </c>
      <c r="C1240" s="25" t="s">
        <v>146</v>
      </c>
      <c r="D1240" s="26">
        <v>43983</v>
      </c>
      <c r="E1240" s="182">
        <f>SUMIF('FY19-20'!$C$10:$C$172,Import!B1240,'FY19-20'!$P$10:$P$172)</f>
        <v>44661.87</v>
      </c>
      <c r="F1240" s="182">
        <f t="shared" si="42"/>
        <v>0</v>
      </c>
      <c r="G1240" s="179" t="s">
        <v>408</v>
      </c>
      <c r="H1240" s="182">
        <v>1073</v>
      </c>
      <c r="J1240" s="181"/>
    </row>
    <row r="1241" spans="1:10" ht="14">
      <c r="A1241" s="183" t="s">
        <v>147</v>
      </c>
      <c r="B1241" s="178">
        <v>5804</v>
      </c>
      <c r="C1241" s="25" t="s">
        <v>146</v>
      </c>
      <c r="D1241" s="26">
        <v>43983</v>
      </c>
      <c r="E1241" s="182">
        <f>SUMIF('FY19-20'!$C$10:$C$172,Import!B1241,'FY19-20'!$P$10:$P$172)</f>
        <v>18184</v>
      </c>
      <c r="F1241" s="182">
        <f t="shared" si="42"/>
        <v>0</v>
      </c>
      <c r="G1241" s="179" t="s">
        <v>408</v>
      </c>
      <c r="H1241" s="182">
        <v>1074</v>
      </c>
      <c r="J1241" s="181"/>
    </row>
    <row r="1242" spans="1:10" ht="14">
      <c r="A1242" s="183" t="s">
        <v>147</v>
      </c>
      <c r="B1242" s="178">
        <v>5805</v>
      </c>
      <c r="C1242" s="25" t="s">
        <v>146</v>
      </c>
      <c r="D1242" s="26">
        <v>43983</v>
      </c>
      <c r="E1242" s="182">
        <f>SUMIF('FY19-20'!$C$10:$C$172,Import!B1242,'FY19-20'!$P$10:$P$172)</f>
        <v>2100</v>
      </c>
      <c r="F1242" s="182">
        <f t="shared" si="42"/>
        <v>0</v>
      </c>
      <c r="G1242" s="179" t="s">
        <v>408</v>
      </c>
      <c r="H1242" s="182">
        <v>1075</v>
      </c>
      <c r="J1242" s="181"/>
    </row>
    <row r="1243" spans="1:10" ht="14">
      <c r="A1243" s="183" t="s">
        <v>147</v>
      </c>
      <c r="B1243" s="178">
        <v>5806</v>
      </c>
      <c r="C1243" s="25" t="s">
        <v>146</v>
      </c>
      <c r="D1243" s="26">
        <v>43983</v>
      </c>
      <c r="E1243" s="182">
        <f>SUMIF('FY19-20'!$C$10:$C$172,Import!B1243,'FY19-20'!$P$10:$P$172)</f>
        <v>1974.98</v>
      </c>
      <c r="F1243" s="182">
        <f>-IF(E1243&lt;0,E1243,0)</f>
        <v>0</v>
      </c>
      <c r="G1243" s="179" t="s">
        <v>408</v>
      </c>
      <c r="J1243" s="181"/>
    </row>
    <row r="1244" spans="1:10" ht="14">
      <c r="A1244" s="183" t="s">
        <v>147</v>
      </c>
      <c r="B1244" s="178">
        <v>5807</v>
      </c>
      <c r="C1244" s="25" t="s">
        <v>146</v>
      </c>
      <c r="D1244" s="26">
        <v>43983</v>
      </c>
      <c r="E1244" s="182">
        <f>SUMIF('FY19-20'!$C$10:$C$172,Import!B1244,'FY19-20'!$P$10:$P$172)</f>
        <v>75.650000000000006</v>
      </c>
      <c r="F1244" s="182">
        <f>-IF(E1244&lt;0,E1244,0)</f>
        <v>0</v>
      </c>
      <c r="G1244" s="179" t="s">
        <v>408</v>
      </c>
      <c r="J1244" s="181"/>
    </row>
    <row r="1245" spans="1:10" ht="14">
      <c r="A1245" s="183" t="s">
        <v>147</v>
      </c>
      <c r="B1245" s="178">
        <v>5808</v>
      </c>
      <c r="C1245" s="25" t="s">
        <v>146</v>
      </c>
      <c r="D1245" s="26">
        <v>43983</v>
      </c>
      <c r="E1245" s="182">
        <f>SUMIF('FY19-20'!$C$10:$C$172,Import!B1245,'FY19-20'!$P$10:$P$172)</f>
        <v>0</v>
      </c>
      <c r="F1245" s="182">
        <f>-IF(E1245&lt;0,E1245,0)</f>
        <v>0</v>
      </c>
      <c r="G1245" s="179" t="s">
        <v>408</v>
      </c>
      <c r="J1245" s="181"/>
    </row>
    <row r="1246" spans="1:10" ht="14">
      <c r="A1246" s="183" t="s">
        <v>147</v>
      </c>
      <c r="B1246" s="178">
        <v>5809</v>
      </c>
      <c r="C1246" s="25" t="s">
        <v>146</v>
      </c>
      <c r="D1246" s="26">
        <v>43983</v>
      </c>
      <c r="E1246" s="182">
        <f>SUMIF('FY19-20'!$C$10:$C$172,Import!B1246,'FY19-20'!$P$10:$P$172)</f>
        <v>420</v>
      </c>
      <c r="F1246" s="182">
        <f>-IF(E1246&lt;0,E1246,0)</f>
        <v>0</v>
      </c>
      <c r="G1246" s="179" t="s">
        <v>408</v>
      </c>
      <c r="J1246" s="181"/>
    </row>
    <row r="1247" spans="1:10" ht="14">
      <c r="A1247" s="183" t="s">
        <v>147</v>
      </c>
      <c r="B1247" s="178">
        <v>5810</v>
      </c>
      <c r="C1247" s="25" t="s">
        <v>146</v>
      </c>
      <c r="D1247" s="26">
        <v>43983</v>
      </c>
      <c r="E1247" s="182">
        <f>SUMIF('FY19-20'!$C$10:$C$172,Import!B1247,'FY19-20'!$P$10:$P$172)</f>
        <v>2456.5</v>
      </c>
      <c r="F1247" s="182">
        <f>-IF(E1247&lt;0,E1247)</f>
        <v>0</v>
      </c>
      <c r="G1247" s="179" t="s">
        <v>408</v>
      </c>
      <c r="H1247" s="182">
        <v>1076</v>
      </c>
      <c r="J1247" s="181"/>
    </row>
    <row r="1248" spans="1:10" ht="14">
      <c r="A1248" s="183" t="s">
        <v>147</v>
      </c>
      <c r="B1248" s="178">
        <v>5811</v>
      </c>
      <c r="C1248" s="25" t="s">
        <v>146</v>
      </c>
      <c r="D1248" s="26">
        <v>43983</v>
      </c>
      <c r="E1248" s="182">
        <f>SUMIF('FY19-20'!$C$10:$C$172,Import!B1248,'FY19-20'!$P$10:$P$172)</f>
        <v>89298</v>
      </c>
      <c r="F1248" s="182">
        <f>-IF(E1248&lt;0,E1248)</f>
        <v>0</v>
      </c>
      <c r="G1248" s="179" t="s">
        <v>408</v>
      </c>
      <c r="H1248" s="182">
        <v>1077</v>
      </c>
      <c r="J1248" s="181"/>
    </row>
    <row r="1249" spans="1:10" ht="14">
      <c r="A1249" s="183" t="s">
        <v>147</v>
      </c>
      <c r="B1249" s="178">
        <v>5812</v>
      </c>
      <c r="C1249" s="25" t="s">
        <v>146</v>
      </c>
      <c r="D1249" s="26">
        <v>43983</v>
      </c>
      <c r="E1249" s="182">
        <f>SUMIF('FY19-20'!$C$10:$C$172,Import!B1249,'FY19-20'!$P$10:$P$172)</f>
        <v>68.430000000000007</v>
      </c>
      <c r="F1249" s="182">
        <f>-IF(E1249&lt;0,E1249)</f>
        <v>0</v>
      </c>
      <c r="G1249" s="179" t="s">
        <v>408</v>
      </c>
      <c r="H1249" s="182">
        <v>1078</v>
      </c>
      <c r="J1249" s="181"/>
    </row>
    <row r="1250" spans="1:10" ht="14">
      <c r="A1250" s="183" t="s">
        <v>147</v>
      </c>
      <c r="B1250" s="178">
        <v>5813</v>
      </c>
      <c r="C1250" s="25" t="s">
        <v>146</v>
      </c>
      <c r="D1250" s="26">
        <v>43983</v>
      </c>
      <c r="E1250" s="182">
        <f>SUMIF('FY19-20'!$C$10:$C$172,Import!B1250,'FY19-20'!$P$10:$P$172)</f>
        <v>0</v>
      </c>
      <c r="F1250" s="182">
        <f>-IF(E1250&lt;0,E1250)</f>
        <v>0</v>
      </c>
      <c r="G1250" s="179" t="s">
        <v>408</v>
      </c>
      <c r="H1250" s="182">
        <v>1079</v>
      </c>
      <c r="J1250" s="181"/>
    </row>
    <row r="1251" spans="1:10" ht="14">
      <c r="A1251" s="183" t="s">
        <v>147</v>
      </c>
      <c r="B1251" s="178">
        <v>5814</v>
      </c>
      <c r="C1251" s="25" t="s">
        <v>146</v>
      </c>
      <c r="D1251" s="26">
        <v>43983</v>
      </c>
      <c r="E1251" s="182">
        <f>SUMIF('FY19-20'!$C$10:$C$172,Import!B1251,'FY19-20'!$P$10:$P$172)</f>
        <v>88491.56</v>
      </c>
      <c r="F1251" s="182">
        <f>-IF(E1251&lt;0,E1251)</f>
        <v>0</v>
      </c>
      <c r="G1251" s="179" t="s">
        <v>408</v>
      </c>
      <c r="H1251" s="182">
        <v>1080</v>
      </c>
      <c r="J1251" s="181"/>
    </row>
    <row r="1252" spans="1:10" ht="14">
      <c r="A1252" s="183" t="s">
        <v>147</v>
      </c>
      <c r="B1252" s="178">
        <v>5815</v>
      </c>
      <c r="C1252" s="25" t="s">
        <v>146</v>
      </c>
      <c r="D1252" s="26">
        <v>43983</v>
      </c>
      <c r="E1252" s="182">
        <f>SUMIF('FY19-20'!$C$10:$C$172,Import!B1252,'FY19-20'!$P$10:$P$172)</f>
        <v>0</v>
      </c>
      <c r="F1252" s="182">
        <f>-IF(E1252&lt;0,E1252,0)</f>
        <v>0</v>
      </c>
      <c r="G1252" s="179" t="s">
        <v>408</v>
      </c>
      <c r="J1252" s="181"/>
    </row>
    <row r="1253" spans="1:10" ht="14">
      <c r="A1253" s="183" t="s">
        <v>147</v>
      </c>
      <c r="B1253" s="178">
        <v>5820</v>
      </c>
      <c r="C1253" s="25" t="s">
        <v>146</v>
      </c>
      <c r="D1253" s="26">
        <v>43983</v>
      </c>
      <c r="E1253" s="182">
        <f>SUMIF('FY19-20'!$C$10:$C$172,Import!B1253,'FY19-20'!$P$10:$P$172)</f>
        <v>0</v>
      </c>
      <c r="F1253" s="182">
        <f>-IF(E1253&lt;0,E1253,0)</f>
        <v>0</v>
      </c>
      <c r="G1253" s="179" t="s">
        <v>408</v>
      </c>
      <c r="J1253" s="181"/>
    </row>
    <row r="1254" spans="1:10" ht="14">
      <c r="A1254" s="183" t="s">
        <v>147</v>
      </c>
      <c r="B1254" s="178">
        <v>5900</v>
      </c>
      <c r="C1254" s="25" t="s">
        <v>146</v>
      </c>
      <c r="D1254" s="26">
        <v>43983</v>
      </c>
      <c r="E1254" s="182">
        <f>SUMIF('FY19-20'!$C$10:$C$172,Import!B1254,'FY19-20'!$P$10:$P$172)</f>
        <v>74.989999999999995</v>
      </c>
      <c r="F1254" s="182">
        <f>-IF(E1254&lt;0,E1254)</f>
        <v>0</v>
      </c>
      <c r="G1254" s="179" t="s">
        <v>408</v>
      </c>
      <c r="H1254" s="182">
        <v>1081</v>
      </c>
      <c r="J1254" s="181"/>
    </row>
    <row r="1255" spans="1:10" ht="14">
      <c r="A1255" s="183" t="s">
        <v>147</v>
      </c>
      <c r="B1255" s="178">
        <v>5901</v>
      </c>
      <c r="C1255" s="25" t="s">
        <v>146</v>
      </c>
      <c r="D1255" s="26">
        <v>43983</v>
      </c>
      <c r="E1255" s="182">
        <f>SUMIF('FY19-20'!$C$10:$C$172,Import!B1255,'FY19-20'!$P$10:$P$172)</f>
        <v>489.5</v>
      </c>
      <c r="F1255" s="182">
        <f>-IF(E1255&lt;0,E1255,0)</f>
        <v>0</v>
      </c>
      <c r="G1255" s="179" t="s">
        <v>408</v>
      </c>
    </row>
    <row r="1256" spans="1:10" ht="14">
      <c r="A1256" s="183" t="s">
        <v>147</v>
      </c>
      <c r="B1256" s="178">
        <v>6900</v>
      </c>
      <c r="C1256" s="25" t="s">
        <v>146</v>
      </c>
      <c r="D1256" s="26">
        <v>43983</v>
      </c>
      <c r="E1256" s="182">
        <f>SUMIF('FY19-20'!$C$10:$C$172,Import!B1256,'FY19-20'!$P$10:$P$172)</f>
        <v>50</v>
      </c>
      <c r="F1256" s="182">
        <f t="shared" ref="F1256:F1319" si="43">-IF(E1256&lt;0,E1256)</f>
        <v>0</v>
      </c>
      <c r="G1256" s="179" t="s">
        <v>408</v>
      </c>
      <c r="H1256" s="182">
        <v>1082</v>
      </c>
      <c r="J1256" s="181"/>
    </row>
    <row r="1257" spans="1:10" ht="14">
      <c r="A1257" s="183" t="s">
        <v>147</v>
      </c>
      <c r="B1257" s="178">
        <v>7438</v>
      </c>
      <c r="C1257" s="25" t="s">
        <v>146</v>
      </c>
      <c r="D1257" s="26">
        <v>43983</v>
      </c>
      <c r="E1257" s="182">
        <f>SUMIF('FY19-20'!$C$10:$C$172,Import!B1257,'FY19-20'!$P$10:$P$172)</f>
        <v>0</v>
      </c>
      <c r="F1257" s="182">
        <f t="shared" si="43"/>
        <v>0</v>
      </c>
      <c r="G1257" s="179" t="s">
        <v>408</v>
      </c>
      <c r="H1257" s="182">
        <v>1083</v>
      </c>
      <c r="J1257" s="181"/>
    </row>
    <row r="1258" spans="1:10" ht="14">
      <c r="A1258" s="183" t="s">
        <v>147</v>
      </c>
      <c r="B1258" s="178">
        <v>8011</v>
      </c>
      <c r="C1258" s="25" t="s">
        <v>146</v>
      </c>
      <c r="D1258" s="26">
        <v>43983</v>
      </c>
      <c r="E1258" s="182">
        <f>SUMIF('FY19-20'!$C$10:$C$172,Import!B1258,'FY19-20'!$P$10:$P$172)</f>
        <v>282070</v>
      </c>
      <c r="F1258" s="182">
        <f t="shared" si="43"/>
        <v>0</v>
      </c>
      <c r="G1258" s="179" t="s">
        <v>408</v>
      </c>
      <c r="H1258" s="182">
        <v>1084</v>
      </c>
      <c r="J1258" s="181"/>
    </row>
    <row r="1259" spans="1:10" ht="14">
      <c r="A1259" s="183" t="s">
        <v>147</v>
      </c>
      <c r="B1259" s="178">
        <v>8012</v>
      </c>
      <c r="C1259" s="25" t="s">
        <v>146</v>
      </c>
      <c r="D1259" s="26">
        <v>43983</v>
      </c>
      <c r="E1259" s="182">
        <f>SUMIF('FY19-20'!$C$10:$C$172,Import!B1259,'FY19-20'!$P$10:$P$172)</f>
        <v>161694</v>
      </c>
      <c r="F1259" s="182">
        <f t="shared" si="43"/>
        <v>0</v>
      </c>
      <c r="G1259" s="179" t="s">
        <v>408</v>
      </c>
      <c r="H1259" s="182">
        <v>1085</v>
      </c>
      <c r="J1259" s="181"/>
    </row>
    <row r="1260" spans="1:10" ht="14">
      <c r="A1260" s="183" t="s">
        <v>147</v>
      </c>
      <c r="B1260" s="178">
        <v>8019</v>
      </c>
      <c r="C1260" s="25" t="s">
        <v>146</v>
      </c>
      <c r="D1260" s="26">
        <v>43983</v>
      </c>
      <c r="E1260" s="182">
        <f>SUMIF('FY19-20'!$C$10:$C$172,Import!B1260,'FY19-20'!$P$10:$P$172)</f>
        <v>0</v>
      </c>
      <c r="F1260" s="182">
        <f t="shared" si="43"/>
        <v>0</v>
      </c>
      <c r="G1260" s="179" t="s">
        <v>408</v>
      </c>
      <c r="H1260" s="182">
        <v>1086</v>
      </c>
      <c r="J1260" s="181"/>
    </row>
    <row r="1261" spans="1:10" ht="14">
      <c r="A1261" s="183" t="s">
        <v>147</v>
      </c>
      <c r="B1261" s="178">
        <v>8096</v>
      </c>
      <c r="C1261" s="25" t="s">
        <v>146</v>
      </c>
      <c r="D1261" s="26">
        <v>43983</v>
      </c>
      <c r="E1261" s="182">
        <f>SUMIF('FY19-20'!$C$10:$C$172,Import!B1261,'FY19-20'!$P$10:$P$172)</f>
        <v>841560</v>
      </c>
      <c r="F1261" s="182">
        <f t="shared" si="43"/>
        <v>0</v>
      </c>
      <c r="G1261" s="179" t="s">
        <v>408</v>
      </c>
      <c r="H1261" s="182">
        <v>1087</v>
      </c>
      <c r="J1261" s="181"/>
    </row>
    <row r="1262" spans="1:10" ht="14">
      <c r="A1262" s="183" t="s">
        <v>147</v>
      </c>
      <c r="B1262" s="178">
        <v>8181</v>
      </c>
      <c r="C1262" s="25" t="s">
        <v>146</v>
      </c>
      <c r="D1262" s="26">
        <v>43983</v>
      </c>
      <c r="E1262" s="182">
        <f>SUMIF('FY19-20'!$C$10:$C$172,Import!B1262,'FY19-20'!$P$10:$P$172)</f>
        <v>0</v>
      </c>
      <c r="F1262" s="182">
        <f t="shared" si="43"/>
        <v>0</v>
      </c>
      <c r="G1262" s="179" t="s">
        <v>408</v>
      </c>
      <c r="H1262" s="182">
        <v>1088</v>
      </c>
      <c r="J1262" s="181"/>
    </row>
    <row r="1263" spans="1:10" ht="14">
      <c r="A1263" s="183" t="s">
        <v>147</v>
      </c>
      <c r="B1263" s="178">
        <v>8182</v>
      </c>
      <c r="C1263" s="25" t="s">
        <v>146</v>
      </c>
      <c r="D1263" s="26">
        <v>43983</v>
      </c>
      <c r="E1263" s="182">
        <f>SUMIF('FY19-20'!$C$10:$C$172,Import!B1263,'FY19-20'!$P$10:$P$172)</f>
        <v>0</v>
      </c>
      <c r="F1263" s="182">
        <f t="shared" si="43"/>
        <v>0</v>
      </c>
      <c r="G1263" s="179" t="s">
        <v>408</v>
      </c>
      <c r="H1263" s="182">
        <v>1089</v>
      </c>
      <c r="J1263" s="181"/>
    </row>
    <row r="1264" spans="1:10" ht="14">
      <c r="A1264" s="183" t="s">
        <v>147</v>
      </c>
      <c r="B1264" s="178">
        <v>8220</v>
      </c>
      <c r="C1264" s="25" t="s">
        <v>146</v>
      </c>
      <c r="D1264" s="26">
        <v>43983</v>
      </c>
      <c r="E1264" s="182">
        <f>SUMIF('FY19-20'!$C$10:$C$172,Import!B1264,'FY19-20'!$P$10:$P$172)</f>
        <v>0</v>
      </c>
      <c r="F1264" s="182">
        <f t="shared" si="43"/>
        <v>0</v>
      </c>
      <c r="G1264" s="179" t="s">
        <v>408</v>
      </c>
      <c r="H1264" s="182">
        <v>1090</v>
      </c>
      <c r="J1264" s="181"/>
    </row>
    <row r="1265" spans="1:10" ht="14">
      <c r="A1265" s="183" t="s">
        <v>147</v>
      </c>
      <c r="B1265" s="178">
        <v>8290</v>
      </c>
      <c r="C1265" s="25" t="s">
        <v>146</v>
      </c>
      <c r="D1265" s="26">
        <v>43983</v>
      </c>
      <c r="E1265" s="182">
        <f>SUMIF('FY19-20'!$C$10:$C$172,Import!B1265,'FY19-20'!$P$10:$P$172)</f>
        <v>0</v>
      </c>
      <c r="F1265" s="182">
        <f t="shared" si="43"/>
        <v>0</v>
      </c>
      <c r="G1265" s="179" t="s">
        <v>408</v>
      </c>
      <c r="H1265" s="182">
        <v>1091</v>
      </c>
      <c r="J1265" s="181"/>
    </row>
    <row r="1266" spans="1:10" ht="14">
      <c r="A1266" s="183" t="s">
        <v>147</v>
      </c>
      <c r="B1266" s="178">
        <v>8291</v>
      </c>
      <c r="C1266" s="25" t="s">
        <v>146</v>
      </c>
      <c r="D1266" s="26">
        <v>43983</v>
      </c>
      <c r="E1266" s="182">
        <f>SUMIF('FY19-20'!$C$10:$C$172,Import!B1266,'FY19-20'!$P$10:$P$172)</f>
        <v>0</v>
      </c>
      <c r="F1266" s="182">
        <f t="shared" si="43"/>
        <v>0</v>
      </c>
      <c r="G1266" s="179" t="s">
        <v>408</v>
      </c>
      <c r="H1266" s="182">
        <v>1092</v>
      </c>
      <c r="J1266" s="181"/>
    </row>
    <row r="1267" spans="1:10" ht="14">
      <c r="A1267" s="183" t="s">
        <v>147</v>
      </c>
      <c r="B1267" s="178">
        <v>8292</v>
      </c>
      <c r="C1267" s="25" t="s">
        <v>146</v>
      </c>
      <c r="D1267" s="26">
        <v>43983</v>
      </c>
      <c r="E1267" s="182">
        <f>SUMIF('FY19-20'!$C$10:$C$172,Import!B1267,'FY19-20'!$P$10:$P$172)</f>
        <v>0</v>
      </c>
      <c r="F1267" s="182">
        <f t="shared" si="43"/>
        <v>0</v>
      </c>
      <c r="G1267" s="179" t="s">
        <v>408</v>
      </c>
      <c r="H1267" s="182">
        <v>1093</v>
      </c>
      <c r="J1267" s="181"/>
    </row>
    <row r="1268" spans="1:10" ht="14">
      <c r="A1268" s="183" t="s">
        <v>147</v>
      </c>
      <c r="B1268" s="178">
        <v>8293</v>
      </c>
      <c r="C1268" s="25" t="s">
        <v>146</v>
      </c>
      <c r="D1268" s="26">
        <v>43983</v>
      </c>
      <c r="E1268" s="182">
        <f>SUMIF('FY19-20'!$C$10:$C$172,Import!B1268,'FY19-20'!$P$10:$P$172)</f>
        <v>0</v>
      </c>
      <c r="F1268" s="182">
        <f t="shared" si="43"/>
        <v>0</v>
      </c>
      <c r="G1268" s="179" t="s">
        <v>408</v>
      </c>
      <c r="H1268" s="182">
        <v>1094</v>
      </c>
      <c r="J1268" s="181"/>
    </row>
    <row r="1269" spans="1:10" ht="14">
      <c r="A1269" s="183" t="s">
        <v>147</v>
      </c>
      <c r="B1269" s="178">
        <v>8294</v>
      </c>
      <c r="C1269" s="25" t="s">
        <v>146</v>
      </c>
      <c r="D1269" s="26">
        <v>43983</v>
      </c>
      <c r="E1269" s="182">
        <f>SUMIF('FY19-20'!$C$10:$C$172,Import!B1269,'FY19-20'!$P$10:$P$172)</f>
        <v>0</v>
      </c>
      <c r="F1269" s="182">
        <f t="shared" si="43"/>
        <v>0</v>
      </c>
      <c r="G1269" s="179" t="s">
        <v>408</v>
      </c>
      <c r="H1269" s="182">
        <v>1095</v>
      </c>
      <c r="J1269" s="181"/>
    </row>
    <row r="1270" spans="1:10" ht="14">
      <c r="A1270" s="183" t="s">
        <v>147</v>
      </c>
      <c r="B1270" s="178">
        <v>8295</v>
      </c>
      <c r="C1270" s="25" t="s">
        <v>146</v>
      </c>
      <c r="D1270" s="26">
        <v>43983</v>
      </c>
      <c r="E1270" s="182">
        <f>SUMIF('FY19-20'!$C$10:$C$172,Import!B1270,'FY19-20'!$P$10:$P$172)</f>
        <v>0</v>
      </c>
      <c r="F1270" s="182">
        <f t="shared" si="43"/>
        <v>0</v>
      </c>
      <c r="G1270" s="179" t="s">
        <v>408</v>
      </c>
      <c r="H1270" s="182">
        <v>1096</v>
      </c>
      <c r="J1270" s="181"/>
    </row>
    <row r="1271" spans="1:10" ht="14">
      <c r="A1271" s="183" t="s">
        <v>147</v>
      </c>
      <c r="B1271" s="178">
        <v>8296</v>
      </c>
      <c r="C1271" s="25" t="s">
        <v>146</v>
      </c>
      <c r="D1271" s="26">
        <v>43983</v>
      </c>
      <c r="E1271" s="182">
        <f>SUMIF('FY19-20'!$C$10:$C$172,Import!B1271,'FY19-20'!$P$10:$P$172)</f>
        <v>60138.19</v>
      </c>
      <c r="F1271" s="182">
        <f t="shared" si="43"/>
        <v>0</v>
      </c>
      <c r="G1271" s="179" t="s">
        <v>408</v>
      </c>
      <c r="H1271" s="182">
        <v>1097</v>
      </c>
      <c r="J1271" s="181"/>
    </row>
    <row r="1272" spans="1:10" ht="14">
      <c r="A1272" s="183" t="s">
        <v>147</v>
      </c>
      <c r="B1272" s="178">
        <v>8299</v>
      </c>
      <c r="C1272" s="25" t="s">
        <v>146</v>
      </c>
      <c r="D1272" s="26">
        <v>43983</v>
      </c>
      <c r="E1272" s="182">
        <f>SUMIF('FY19-20'!$C$10:$C$172,Import!B1272,'FY19-20'!$P$10:$P$172)</f>
        <v>0</v>
      </c>
      <c r="F1272" s="182">
        <f t="shared" si="43"/>
        <v>0</v>
      </c>
      <c r="G1272" s="179" t="s">
        <v>408</v>
      </c>
      <c r="H1272" s="182">
        <v>1098</v>
      </c>
      <c r="J1272" s="181"/>
    </row>
    <row r="1273" spans="1:10" ht="14">
      <c r="A1273" s="183" t="s">
        <v>147</v>
      </c>
      <c r="B1273" s="178">
        <v>8311</v>
      </c>
      <c r="C1273" s="25" t="s">
        <v>146</v>
      </c>
      <c r="D1273" s="26">
        <v>43983</v>
      </c>
      <c r="E1273" s="182">
        <f>SUMIF('FY19-20'!$C$10:$C$172,Import!B1273,'FY19-20'!$P$10:$P$172)</f>
        <v>804548.28</v>
      </c>
      <c r="F1273" s="182">
        <f t="shared" si="43"/>
        <v>0</v>
      </c>
      <c r="G1273" s="179" t="s">
        <v>408</v>
      </c>
      <c r="H1273" s="182">
        <v>1099</v>
      </c>
      <c r="J1273" s="181"/>
    </row>
    <row r="1274" spans="1:10" ht="14">
      <c r="A1274" s="183" t="s">
        <v>147</v>
      </c>
      <c r="B1274" s="178">
        <v>8520</v>
      </c>
      <c r="C1274" s="25" t="s">
        <v>146</v>
      </c>
      <c r="D1274" s="26">
        <v>43983</v>
      </c>
      <c r="E1274" s="182">
        <f>SUMIF('FY19-20'!$C$10:$C$172,Import!B1274,'FY19-20'!$P$10:$P$172)</f>
        <v>0</v>
      </c>
      <c r="F1274" s="182">
        <f t="shared" si="43"/>
        <v>0</v>
      </c>
      <c r="G1274" s="179" t="s">
        <v>408</v>
      </c>
      <c r="H1274" s="182">
        <v>1100</v>
      </c>
      <c r="J1274" s="181"/>
    </row>
    <row r="1275" spans="1:10" ht="14">
      <c r="A1275" s="183" t="s">
        <v>147</v>
      </c>
      <c r="B1275" s="178">
        <v>8545</v>
      </c>
      <c r="C1275" s="25" t="s">
        <v>146</v>
      </c>
      <c r="D1275" s="26">
        <v>43983</v>
      </c>
      <c r="E1275" s="182">
        <f>SUMIF('FY19-20'!$C$10:$C$172,Import!B1275,'FY19-20'!$P$10:$P$172)</f>
        <v>0</v>
      </c>
      <c r="F1275" s="182">
        <f t="shared" si="43"/>
        <v>0</v>
      </c>
      <c r="G1275" s="179" t="s">
        <v>408</v>
      </c>
      <c r="H1275" s="182">
        <v>1101</v>
      </c>
      <c r="J1275" s="181"/>
    </row>
    <row r="1276" spans="1:10" ht="14">
      <c r="A1276" s="183" t="s">
        <v>147</v>
      </c>
      <c r="B1276" s="178">
        <v>8550</v>
      </c>
      <c r="C1276" s="25" t="s">
        <v>146</v>
      </c>
      <c r="D1276" s="26">
        <v>43983</v>
      </c>
      <c r="E1276" s="182">
        <f>SUMIF('FY19-20'!$C$10:$C$172,Import!B1276,'FY19-20'!$P$10:$P$172)</f>
        <v>0</v>
      </c>
      <c r="F1276" s="182">
        <f t="shared" si="43"/>
        <v>0</v>
      </c>
      <c r="G1276" s="179" t="s">
        <v>408</v>
      </c>
      <c r="H1276" s="182">
        <v>1102</v>
      </c>
      <c r="J1276" s="181"/>
    </row>
    <row r="1277" spans="1:10" ht="14">
      <c r="A1277" s="183" t="s">
        <v>147</v>
      </c>
      <c r="B1277" s="178">
        <v>8560</v>
      </c>
      <c r="C1277" s="25" t="s">
        <v>146</v>
      </c>
      <c r="D1277" s="26">
        <v>43983</v>
      </c>
      <c r="E1277" s="182">
        <f>SUMIF('FY19-20'!$C$10:$C$172,Import!B1277,'FY19-20'!$P$10:$P$172)</f>
        <v>627423.09</v>
      </c>
      <c r="F1277" s="182">
        <f t="shared" si="43"/>
        <v>0</v>
      </c>
      <c r="G1277" s="179" t="s">
        <v>408</v>
      </c>
      <c r="H1277" s="182">
        <v>1103</v>
      </c>
      <c r="J1277" s="181"/>
    </row>
    <row r="1278" spans="1:10" ht="14">
      <c r="A1278" s="183" t="s">
        <v>147</v>
      </c>
      <c r="B1278" s="178">
        <v>8598</v>
      </c>
      <c r="C1278" s="25" t="s">
        <v>146</v>
      </c>
      <c r="D1278" s="26">
        <v>43983</v>
      </c>
      <c r="E1278" s="182">
        <f>SUMIF('FY19-20'!$C$10:$C$172,Import!B1278,'FY19-20'!$P$10:$P$172)</f>
        <v>0</v>
      </c>
      <c r="F1278" s="182">
        <f t="shared" si="43"/>
        <v>0</v>
      </c>
      <c r="G1278" s="179" t="s">
        <v>408</v>
      </c>
      <c r="H1278" s="182">
        <v>1104</v>
      </c>
      <c r="J1278" s="181"/>
    </row>
    <row r="1279" spans="1:10" ht="14">
      <c r="A1279" s="183" t="s">
        <v>147</v>
      </c>
      <c r="B1279" s="178">
        <v>8599</v>
      </c>
      <c r="C1279" s="25" t="s">
        <v>146</v>
      </c>
      <c r="D1279" s="26">
        <v>43983</v>
      </c>
      <c r="E1279" s="182">
        <f>SUMIF('FY19-20'!$C$10:$C$172,Import!B1279,'FY19-20'!$P$10:$P$172)</f>
        <v>0</v>
      </c>
      <c r="F1279" s="182">
        <f t="shared" si="43"/>
        <v>0</v>
      </c>
      <c r="G1279" s="179" t="s">
        <v>408</v>
      </c>
      <c r="H1279" s="182">
        <v>1105</v>
      </c>
      <c r="J1279" s="181"/>
    </row>
    <row r="1280" spans="1:10" ht="14">
      <c r="A1280" s="183" t="s">
        <v>147</v>
      </c>
      <c r="B1280" s="178">
        <v>8634</v>
      </c>
      <c r="C1280" s="25" t="s">
        <v>146</v>
      </c>
      <c r="D1280" s="26">
        <v>43983</v>
      </c>
      <c r="E1280" s="182">
        <f>SUMIF('FY19-20'!$C$10:$C$172,Import!B1280,'FY19-20'!$P$10:$P$172)</f>
        <v>0</v>
      </c>
      <c r="F1280" s="182">
        <f t="shared" si="43"/>
        <v>0</v>
      </c>
      <c r="G1280" s="179" t="s">
        <v>408</v>
      </c>
      <c r="H1280" s="182">
        <v>1106</v>
      </c>
      <c r="J1280" s="181"/>
    </row>
    <row r="1281" spans="1:10" ht="14">
      <c r="A1281" s="183" t="s">
        <v>147</v>
      </c>
      <c r="B1281" s="178">
        <v>8650</v>
      </c>
      <c r="C1281" s="25" t="s">
        <v>146</v>
      </c>
      <c r="D1281" s="26">
        <v>43983</v>
      </c>
      <c r="E1281" s="182">
        <f>SUMIF('FY19-20'!$C$10:$C$172,Import!B1281,'FY19-20'!$P$10:$P$172)</f>
        <v>0</v>
      </c>
      <c r="F1281" s="182">
        <f t="shared" si="43"/>
        <v>0</v>
      </c>
      <c r="G1281" s="179" t="s">
        <v>408</v>
      </c>
      <c r="H1281" s="182">
        <v>1107</v>
      </c>
      <c r="J1281" s="181"/>
    </row>
    <row r="1282" spans="1:10" ht="14">
      <c r="A1282" s="183" t="s">
        <v>147</v>
      </c>
      <c r="B1282" s="178">
        <v>8660</v>
      </c>
      <c r="C1282" s="25" t="s">
        <v>146</v>
      </c>
      <c r="D1282" s="26">
        <v>43983</v>
      </c>
      <c r="E1282" s="182">
        <f>SUMIF('FY19-20'!$C$10:$C$172,Import!B1282,'FY19-20'!$P$10:$P$172)</f>
        <v>0</v>
      </c>
      <c r="F1282" s="182">
        <f t="shared" si="43"/>
        <v>0</v>
      </c>
      <c r="G1282" s="179" t="s">
        <v>408</v>
      </c>
      <c r="H1282" s="182">
        <v>1108</v>
      </c>
      <c r="J1282" s="181"/>
    </row>
    <row r="1283" spans="1:10" ht="14">
      <c r="A1283" s="183" t="s">
        <v>147</v>
      </c>
      <c r="B1283" s="178">
        <v>8689</v>
      </c>
      <c r="C1283" s="25" t="s">
        <v>146</v>
      </c>
      <c r="D1283" s="26">
        <v>43983</v>
      </c>
      <c r="E1283" s="182">
        <f>SUMIF('FY19-20'!$C$10:$C$172,Import!B1283,'FY19-20'!$P$10:$P$172)</f>
        <v>0</v>
      </c>
      <c r="F1283" s="182">
        <f t="shared" si="43"/>
        <v>0</v>
      </c>
      <c r="G1283" s="179" t="s">
        <v>408</v>
      </c>
      <c r="H1283" s="182">
        <v>1109</v>
      </c>
      <c r="J1283" s="181"/>
    </row>
    <row r="1284" spans="1:10" ht="14">
      <c r="A1284" s="183" t="s">
        <v>147</v>
      </c>
      <c r="B1284" s="178">
        <v>8698</v>
      </c>
      <c r="C1284" s="25" t="s">
        <v>146</v>
      </c>
      <c r="D1284" s="26">
        <v>43983</v>
      </c>
      <c r="E1284" s="182">
        <f>SUMIF('FY19-20'!$C$10:$C$172,Import!B1284,'FY19-20'!$P$10:$P$172)</f>
        <v>0</v>
      </c>
      <c r="F1284" s="182">
        <f t="shared" si="43"/>
        <v>0</v>
      </c>
      <c r="G1284" s="179" t="s">
        <v>408</v>
      </c>
      <c r="H1284" s="182">
        <v>1110</v>
      </c>
      <c r="J1284" s="181"/>
    </row>
    <row r="1285" spans="1:10" ht="14">
      <c r="A1285" s="183" t="s">
        <v>147</v>
      </c>
      <c r="B1285" s="178">
        <v>8699</v>
      </c>
      <c r="C1285" s="25" t="s">
        <v>146</v>
      </c>
      <c r="D1285" s="26">
        <v>43983</v>
      </c>
      <c r="E1285" s="182">
        <f>SUMIF('FY19-20'!$C$10:$C$172,Import!B1285,'FY19-20'!$P$10:$P$172)</f>
        <v>0</v>
      </c>
      <c r="F1285" s="182">
        <f t="shared" si="43"/>
        <v>0</v>
      </c>
      <c r="G1285" s="179" t="s">
        <v>408</v>
      </c>
      <c r="H1285" s="182">
        <v>1111</v>
      </c>
      <c r="J1285" s="181"/>
    </row>
    <row r="1286" spans="1:10" ht="14">
      <c r="A1286" s="183" t="s">
        <v>147</v>
      </c>
      <c r="B1286" s="178">
        <v>8980</v>
      </c>
      <c r="C1286" s="25" t="s">
        <v>146</v>
      </c>
      <c r="D1286" s="26">
        <v>43983</v>
      </c>
      <c r="E1286" s="182">
        <f>SUMIF('FY19-20'!$C$10:$C$172,Import!B1286,'FY19-20'!$P$10:$P$172)</f>
        <v>0</v>
      </c>
      <c r="F1286" s="182">
        <f t="shared" si="43"/>
        <v>0</v>
      </c>
      <c r="G1286" s="179" t="s">
        <v>408</v>
      </c>
      <c r="H1286" s="182">
        <v>1112</v>
      </c>
      <c r="J1286" s="181"/>
    </row>
    <row r="1287" spans="1:10" ht="14">
      <c r="A1287" s="183" t="s">
        <v>147</v>
      </c>
      <c r="B1287" s="178">
        <v>8990</v>
      </c>
      <c r="C1287" s="25" t="s">
        <v>146</v>
      </c>
      <c r="D1287" s="26">
        <v>43983</v>
      </c>
      <c r="E1287" s="182">
        <f>SUMIF('FY19-20'!$C$10:$C$172,Import!B1287,'FY19-20'!$P$10:$P$172)</f>
        <v>0</v>
      </c>
      <c r="F1287" s="182">
        <f t="shared" si="43"/>
        <v>0</v>
      </c>
      <c r="G1287" s="179" t="s">
        <v>408</v>
      </c>
      <c r="H1287" s="182">
        <v>1113</v>
      </c>
      <c r="J1287" s="181"/>
    </row>
    <row r="1288" spans="1:10" ht="14">
      <c r="A1288" s="183" t="s">
        <v>147</v>
      </c>
      <c r="B1288" s="178">
        <v>1100</v>
      </c>
      <c r="C1288" s="25" t="s">
        <v>146</v>
      </c>
      <c r="D1288" s="26">
        <v>43983</v>
      </c>
      <c r="E1288" s="182">
        <f>SUMIF('FY19-20'!$C$10:$C$172,Import!B1288,'FY19-20'!$Q$10:$Q$172)</f>
        <v>0</v>
      </c>
      <c r="F1288" s="182">
        <f t="shared" si="43"/>
        <v>0</v>
      </c>
      <c r="G1288" s="179" t="s">
        <v>408</v>
      </c>
      <c r="H1288" s="182">
        <v>1013</v>
      </c>
      <c r="J1288" s="181"/>
    </row>
    <row r="1289" spans="1:10" ht="14">
      <c r="A1289" s="183" t="s">
        <v>147</v>
      </c>
      <c r="B1289" s="178">
        <v>1170</v>
      </c>
      <c r="C1289" s="25" t="s">
        <v>146</v>
      </c>
      <c r="D1289" s="26">
        <v>43983</v>
      </c>
      <c r="E1289" s="182">
        <f>SUMIF('FY19-20'!$C$10:$C$172,Import!B1289,'FY19-20'!$Q$10:$Q$172)</f>
        <v>0</v>
      </c>
      <c r="F1289" s="182">
        <f t="shared" si="43"/>
        <v>0</v>
      </c>
      <c r="G1289" s="179" t="s">
        <v>408</v>
      </c>
      <c r="H1289" s="182">
        <v>1014</v>
      </c>
      <c r="J1289" s="181"/>
    </row>
    <row r="1290" spans="1:10" ht="14">
      <c r="A1290" s="183" t="s">
        <v>147</v>
      </c>
      <c r="B1290" s="178">
        <v>1175</v>
      </c>
      <c r="C1290" s="25" t="s">
        <v>146</v>
      </c>
      <c r="D1290" s="26">
        <v>43983</v>
      </c>
      <c r="E1290" s="182">
        <f>SUMIF('FY19-20'!$C$10:$C$172,Import!B1290,'FY19-20'!$Q$10:$Q$172)</f>
        <v>0</v>
      </c>
      <c r="F1290" s="182">
        <f t="shared" si="43"/>
        <v>0</v>
      </c>
      <c r="G1290" s="179" t="s">
        <v>408</v>
      </c>
      <c r="H1290" s="182">
        <v>1015</v>
      </c>
      <c r="J1290" s="181"/>
    </row>
    <row r="1291" spans="1:10" ht="14">
      <c r="A1291" s="183" t="s">
        <v>147</v>
      </c>
      <c r="B1291" s="178">
        <v>1200</v>
      </c>
      <c r="C1291" s="25" t="s">
        <v>146</v>
      </c>
      <c r="D1291" s="26">
        <v>43983</v>
      </c>
      <c r="E1291" s="182">
        <f>SUMIF('FY19-20'!$C$10:$C$172,Import!B1291,'FY19-20'!$Q$10:$Q$172)</f>
        <v>0</v>
      </c>
      <c r="F1291" s="182">
        <f t="shared" si="43"/>
        <v>0</v>
      </c>
      <c r="G1291" s="179" t="s">
        <v>408</v>
      </c>
      <c r="H1291" s="182">
        <v>1016</v>
      </c>
      <c r="J1291" s="181"/>
    </row>
    <row r="1292" spans="1:10" ht="14">
      <c r="A1292" s="183" t="s">
        <v>147</v>
      </c>
      <c r="B1292" s="178">
        <v>1300</v>
      </c>
      <c r="C1292" s="25" t="s">
        <v>146</v>
      </c>
      <c r="D1292" s="26">
        <v>43983</v>
      </c>
      <c r="E1292" s="182">
        <f>SUMIF('FY19-20'!$C$10:$C$172,Import!B1292,'FY19-20'!$Q$10:$Q$172)</f>
        <v>0</v>
      </c>
      <c r="F1292" s="182">
        <f t="shared" si="43"/>
        <v>0</v>
      </c>
      <c r="G1292" s="179" t="s">
        <v>408</v>
      </c>
      <c r="H1292" s="182">
        <v>1017</v>
      </c>
      <c r="J1292" s="181"/>
    </row>
    <row r="1293" spans="1:10" ht="14">
      <c r="A1293" s="183" t="s">
        <v>147</v>
      </c>
      <c r="B1293" s="178">
        <v>1900</v>
      </c>
      <c r="C1293" s="25" t="s">
        <v>146</v>
      </c>
      <c r="D1293" s="26">
        <v>43983</v>
      </c>
      <c r="E1293" s="182">
        <f>SUMIF('FY19-20'!$C$10:$C$172,Import!B1293,'FY19-20'!$Q$10:$Q$172)</f>
        <v>0</v>
      </c>
      <c r="F1293" s="182">
        <f t="shared" si="43"/>
        <v>0</v>
      </c>
      <c r="G1293" s="179" t="s">
        <v>408</v>
      </c>
      <c r="H1293" s="182">
        <v>1018</v>
      </c>
      <c r="J1293" s="181"/>
    </row>
    <row r="1294" spans="1:10" ht="14">
      <c r="A1294" s="183" t="s">
        <v>147</v>
      </c>
      <c r="B1294" s="178">
        <v>2100</v>
      </c>
      <c r="C1294" s="25" t="s">
        <v>146</v>
      </c>
      <c r="D1294" s="26">
        <v>43983</v>
      </c>
      <c r="E1294" s="182">
        <f>SUMIF('FY19-20'!$C$10:$C$172,Import!B1294,'FY19-20'!$Q$10:$Q$172)</f>
        <v>0</v>
      </c>
      <c r="F1294" s="182">
        <f t="shared" si="43"/>
        <v>0</v>
      </c>
      <c r="G1294" s="179" t="s">
        <v>408</v>
      </c>
      <c r="H1294" s="182">
        <v>1019</v>
      </c>
      <c r="J1294" s="181"/>
    </row>
    <row r="1295" spans="1:10" ht="14">
      <c r="A1295" s="183" t="s">
        <v>147</v>
      </c>
      <c r="B1295" s="178">
        <v>2200</v>
      </c>
      <c r="C1295" s="25" t="s">
        <v>146</v>
      </c>
      <c r="D1295" s="26">
        <v>43983</v>
      </c>
      <c r="E1295" s="182">
        <f>SUMIF('FY19-20'!$C$10:$C$172,Import!B1295,'FY19-20'!$Q$10:$Q$172)</f>
        <v>0</v>
      </c>
      <c r="F1295" s="182">
        <f t="shared" si="43"/>
        <v>0</v>
      </c>
      <c r="G1295" s="179" t="s">
        <v>408</v>
      </c>
      <c r="H1295" s="182">
        <v>1020</v>
      </c>
      <c r="J1295" s="181"/>
    </row>
    <row r="1296" spans="1:10" ht="14">
      <c r="A1296" s="183" t="s">
        <v>147</v>
      </c>
      <c r="B1296" s="178">
        <v>2300</v>
      </c>
      <c r="C1296" s="25" t="s">
        <v>146</v>
      </c>
      <c r="D1296" s="26">
        <v>43983</v>
      </c>
      <c r="E1296" s="182">
        <f>SUMIF('FY19-20'!$C$10:$C$172,Import!B1296,'FY19-20'!$Q$10:$Q$172)</f>
        <v>0</v>
      </c>
      <c r="F1296" s="182">
        <f t="shared" si="43"/>
        <v>0</v>
      </c>
      <c r="G1296" s="179" t="s">
        <v>408</v>
      </c>
      <c r="H1296" s="182">
        <v>1021</v>
      </c>
      <c r="J1296" s="181"/>
    </row>
    <row r="1297" spans="1:10" ht="14">
      <c r="A1297" s="183" t="s">
        <v>147</v>
      </c>
      <c r="B1297" s="178">
        <v>2400</v>
      </c>
      <c r="C1297" s="25" t="s">
        <v>146</v>
      </c>
      <c r="D1297" s="26">
        <v>43983</v>
      </c>
      <c r="E1297" s="182">
        <f>SUMIF('FY19-20'!$C$10:$C$172,Import!B1297,'FY19-20'!$Q$10:$Q$172)</f>
        <v>0</v>
      </c>
      <c r="F1297" s="182">
        <f t="shared" si="43"/>
        <v>0</v>
      </c>
      <c r="G1297" s="179" t="s">
        <v>408</v>
      </c>
      <c r="H1297" s="182">
        <v>1022</v>
      </c>
      <c r="J1297" s="181"/>
    </row>
    <row r="1298" spans="1:10" ht="14">
      <c r="A1298" s="183" t="s">
        <v>147</v>
      </c>
      <c r="B1298" s="178">
        <v>2900</v>
      </c>
      <c r="C1298" s="25" t="s">
        <v>146</v>
      </c>
      <c r="D1298" s="26">
        <v>43983</v>
      </c>
      <c r="E1298" s="182">
        <f>SUMIF('FY19-20'!$C$10:$C$172,Import!B1298,'FY19-20'!$Q$10:$Q$172)</f>
        <v>0</v>
      </c>
      <c r="F1298" s="182">
        <f t="shared" si="43"/>
        <v>0</v>
      </c>
      <c r="G1298" s="179" t="s">
        <v>408</v>
      </c>
      <c r="H1298" s="182">
        <v>1023</v>
      </c>
      <c r="J1298" s="181"/>
    </row>
    <row r="1299" spans="1:10" ht="14">
      <c r="A1299" s="183" t="s">
        <v>147</v>
      </c>
      <c r="B1299" s="178">
        <v>3101</v>
      </c>
      <c r="C1299" s="25" t="s">
        <v>146</v>
      </c>
      <c r="D1299" s="26">
        <v>43983</v>
      </c>
      <c r="E1299" s="182">
        <f>SUMIF('FY19-20'!$C$10:$C$172,Import!B1299,'FY19-20'!$Q$10:$Q$172)</f>
        <v>0</v>
      </c>
      <c r="F1299" s="182">
        <f t="shared" si="43"/>
        <v>0</v>
      </c>
      <c r="G1299" s="179" t="s">
        <v>408</v>
      </c>
      <c r="H1299" s="182">
        <v>1024</v>
      </c>
      <c r="J1299" s="181"/>
    </row>
    <row r="1300" spans="1:10" ht="14">
      <c r="A1300" s="183" t="s">
        <v>147</v>
      </c>
      <c r="B1300" s="178">
        <v>3202</v>
      </c>
      <c r="C1300" s="25" t="s">
        <v>146</v>
      </c>
      <c r="D1300" s="26">
        <v>43983</v>
      </c>
      <c r="E1300" s="182">
        <f>SUMIF('FY19-20'!$C$10:$C$172,Import!B1300,'FY19-20'!$Q$10:$Q$172)</f>
        <v>0</v>
      </c>
      <c r="F1300" s="182">
        <f t="shared" si="43"/>
        <v>0</v>
      </c>
      <c r="G1300" s="179" t="s">
        <v>408</v>
      </c>
      <c r="H1300" s="182">
        <v>1025</v>
      </c>
      <c r="J1300" s="181"/>
    </row>
    <row r="1301" spans="1:10" ht="14">
      <c r="A1301" s="183" t="s">
        <v>147</v>
      </c>
      <c r="B1301" s="178">
        <v>3301</v>
      </c>
      <c r="C1301" s="25" t="s">
        <v>146</v>
      </c>
      <c r="D1301" s="26">
        <v>43983</v>
      </c>
      <c r="E1301" s="182">
        <f>SUMIF('FY19-20'!$C$10:$C$172,Import!B1301,'FY19-20'!$Q$10:$Q$172)</f>
        <v>0</v>
      </c>
      <c r="F1301" s="182">
        <f t="shared" si="43"/>
        <v>0</v>
      </c>
      <c r="G1301" s="179" t="s">
        <v>408</v>
      </c>
      <c r="H1301" s="182">
        <v>1026</v>
      </c>
      <c r="J1301" s="181"/>
    </row>
    <row r="1302" spans="1:10" ht="14">
      <c r="A1302" s="183" t="s">
        <v>147</v>
      </c>
      <c r="B1302" s="178">
        <v>3302</v>
      </c>
      <c r="C1302" s="25" t="s">
        <v>146</v>
      </c>
      <c r="D1302" s="26">
        <v>43983</v>
      </c>
      <c r="E1302" s="182">
        <f>SUMIF('FY19-20'!$C$10:$C$172,Import!B1302,'FY19-20'!$Q$10:$Q$172)</f>
        <v>0</v>
      </c>
      <c r="F1302" s="182">
        <f t="shared" si="43"/>
        <v>0</v>
      </c>
      <c r="G1302" s="179" t="s">
        <v>408</v>
      </c>
      <c r="H1302" s="182">
        <v>1027</v>
      </c>
      <c r="J1302" s="181"/>
    </row>
    <row r="1303" spans="1:10" ht="14">
      <c r="A1303" s="183" t="s">
        <v>147</v>
      </c>
      <c r="B1303" s="178">
        <v>3311</v>
      </c>
      <c r="C1303" s="25" t="s">
        <v>146</v>
      </c>
      <c r="D1303" s="26">
        <v>43983</v>
      </c>
      <c r="E1303" s="182">
        <f>SUMIF('FY19-20'!$C$10:$C$172,Import!B1303,'FY19-20'!$Q$10:$Q$172)</f>
        <v>0</v>
      </c>
      <c r="F1303" s="182">
        <f t="shared" si="43"/>
        <v>0</v>
      </c>
      <c r="G1303" s="179" t="s">
        <v>408</v>
      </c>
      <c r="H1303" s="182">
        <v>1028</v>
      </c>
      <c r="J1303" s="181"/>
    </row>
    <row r="1304" spans="1:10" ht="14">
      <c r="A1304" s="183" t="s">
        <v>147</v>
      </c>
      <c r="B1304" s="178">
        <v>3312</v>
      </c>
      <c r="C1304" s="25" t="s">
        <v>146</v>
      </c>
      <c r="D1304" s="26">
        <v>43983</v>
      </c>
      <c r="E1304" s="182">
        <f>SUMIF('FY19-20'!$C$10:$C$172,Import!B1304,'FY19-20'!$Q$10:$Q$172)</f>
        <v>0</v>
      </c>
      <c r="F1304" s="182">
        <f t="shared" si="43"/>
        <v>0</v>
      </c>
      <c r="G1304" s="179" t="s">
        <v>408</v>
      </c>
      <c r="H1304" s="182">
        <v>1029</v>
      </c>
      <c r="J1304" s="181"/>
    </row>
    <row r="1305" spans="1:10" ht="14">
      <c r="A1305" s="183" t="s">
        <v>147</v>
      </c>
      <c r="B1305" s="178">
        <v>3401</v>
      </c>
      <c r="C1305" s="25" t="s">
        <v>146</v>
      </c>
      <c r="D1305" s="26">
        <v>43983</v>
      </c>
      <c r="E1305" s="182">
        <f>SUMIF('FY19-20'!$C$10:$C$172,Import!B1305,'FY19-20'!$Q$10:$Q$172)</f>
        <v>0</v>
      </c>
      <c r="F1305" s="182">
        <f t="shared" si="43"/>
        <v>0</v>
      </c>
      <c r="G1305" s="179" t="s">
        <v>408</v>
      </c>
      <c r="H1305" s="182">
        <v>1030</v>
      </c>
      <c r="J1305" s="181"/>
    </row>
    <row r="1306" spans="1:10" ht="14">
      <c r="A1306" s="183" t="s">
        <v>147</v>
      </c>
      <c r="B1306" s="178">
        <v>3402</v>
      </c>
      <c r="C1306" s="25" t="s">
        <v>146</v>
      </c>
      <c r="D1306" s="26">
        <v>43983</v>
      </c>
      <c r="E1306" s="182">
        <f>SUMIF('FY19-20'!$C$10:$C$172,Import!B1306,'FY19-20'!$Q$10:$Q$172)</f>
        <v>0</v>
      </c>
      <c r="F1306" s="182">
        <f t="shared" si="43"/>
        <v>0</v>
      </c>
      <c r="G1306" s="179" t="s">
        <v>408</v>
      </c>
      <c r="H1306" s="182">
        <v>1031</v>
      </c>
      <c r="J1306" s="181"/>
    </row>
    <row r="1307" spans="1:10" ht="14">
      <c r="A1307" s="183" t="s">
        <v>147</v>
      </c>
      <c r="B1307" s="178">
        <v>3501</v>
      </c>
      <c r="C1307" s="25" t="s">
        <v>146</v>
      </c>
      <c r="D1307" s="26">
        <v>43983</v>
      </c>
      <c r="E1307" s="182">
        <f>SUMIF('FY19-20'!$C$10:$C$172,Import!B1307,'FY19-20'!$Q$10:$Q$172)</f>
        <v>0</v>
      </c>
      <c r="F1307" s="182">
        <f t="shared" si="43"/>
        <v>0</v>
      </c>
      <c r="G1307" s="179" t="s">
        <v>408</v>
      </c>
      <c r="H1307" s="182">
        <v>1032</v>
      </c>
      <c r="J1307" s="181"/>
    </row>
    <row r="1308" spans="1:10" ht="14">
      <c r="A1308" s="183" t="s">
        <v>147</v>
      </c>
      <c r="B1308" s="178">
        <v>3502</v>
      </c>
      <c r="C1308" s="25" t="s">
        <v>146</v>
      </c>
      <c r="D1308" s="26">
        <v>43983</v>
      </c>
      <c r="E1308" s="182">
        <f>SUMIF('FY19-20'!$C$10:$C$172,Import!B1308,'FY19-20'!$Q$10:$Q$172)</f>
        <v>0</v>
      </c>
      <c r="F1308" s="182">
        <f t="shared" si="43"/>
        <v>0</v>
      </c>
      <c r="G1308" s="179" t="s">
        <v>408</v>
      </c>
      <c r="H1308" s="182">
        <v>1033</v>
      </c>
      <c r="J1308" s="181"/>
    </row>
    <row r="1309" spans="1:10" ht="14">
      <c r="A1309" s="183" t="s">
        <v>147</v>
      </c>
      <c r="B1309" s="178">
        <v>3601</v>
      </c>
      <c r="C1309" s="25" t="s">
        <v>146</v>
      </c>
      <c r="D1309" s="26">
        <v>43983</v>
      </c>
      <c r="E1309" s="182">
        <f>SUMIF('FY19-20'!$C$10:$C$172,Import!B1309,'FY19-20'!$Q$10:$Q$172)</f>
        <v>0</v>
      </c>
      <c r="F1309" s="182">
        <f t="shared" si="43"/>
        <v>0</v>
      </c>
      <c r="G1309" s="179" t="s">
        <v>408</v>
      </c>
      <c r="H1309" s="182">
        <v>1034</v>
      </c>
      <c r="J1309" s="181"/>
    </row>
    <row r="1310" spans="1:10" ht="14">
      <c r="A1310" s="183" t="s">
        <v>147</v>
      </c>
      <c r="B1310" s="178">
        <v>3602</v>
      </c>
      <c r="C1310" s="25" t="s">
        <v>146</v>
      </c>
      <c r="D1310" s="26">
        <v>43983</v>
      </c>
      <c r="E1310" s="182">
        <f>SUMIF('FY19-20'!$C$10:$C$172,Import!B1310,'FY19-20'!$Q$10:$Q$172)</f>
        <v>0</v>
      </c>
      <c r="F1310" s="182">
        <f t="shared" si="43"/>
        <v>0</v>
      </c>
      <c r="G1310" s="179" t="s">
        <v>408</v>
      </c>
      <c r="H1310" s="182">
        <v>1035</v>
      </c>
      <c r="J1310" s="181"/>
    </row>
    <row r="1311" spans="1:10" ht="14">
      <c r="A1311" s="183" t="s">
        <v>147</v>
      </c>
      <c r="B1311" s="178">
        <v>3901</v>
      </c>
      <c r="C1311" s="25" t="s">
        <v>146</v>
      </c>
      <c r="D1311" s="26">
        <v>43983</v>
      </c>
      <c r="E1311" s="182">
        <f>SUMIF('FY19-20'!$C$10:$C$172,Import!B1311,'FY19-20'!$Q$10:$Q$172)</f>
        <v>0</v>
      </c>
      <c r="F1311" s="182">
        <f t="shared" si="43"/>
        <v>0</v>
      </c>
      <c r="G1311" s="179" t="s">
        <v>408</v>
      </c>
      <c r="H1311" s="182">
        <v>1036</v>
      </c>
      <c r="J1311" s="181"/>
    </row>
    <row r="1312" spans="1:10" ht="14">
      <c r="A1312" s="183" t="s">
        <v>147</v>
      </c>
      <c r="B1312" s="178">
        <v>3902</v>
      </c>
      <c r="C1312" s="25" t="s">
        <v>146</v>
      </c>
      <c r="D1312" s="26">
        <v>43983</v>
      </c>
      <c r="E1312" s="182">
        <f>SUMIF('FY19-20'!$C$10:$C$172,Import!B1312,'FY19-20'!$Q$10:$Q$172)</f>
        <v>0</v>
      </c>
      <c r="F1312" s="182">
        <f t="shared" si="43"/>
        <v>0</v>
      </c>
      <c r="G1312" s="179" t="s">
        <v>408</v>
      </c>
      <c r="H1312" s="182">
        <v>1037</v>
      </c>
      <c r="J1312" s="181"/>
    </row>
    <row r="1313" spans="1:10" ht="14">
      <c r="A1313" s="183" t="s">
        <v>147</v>
      </c>
      <c r="B1313" s="178">
        <v>4100</v>
      </c>
      <c r="C1313" s="25" t="s">
        <v>146</v>
      </c>
      <c r="D1313" s="26">
        <v>43983</v>
      </c>
      <c r="E1313" s="182">
        <f>SUMIF('FY19-20'!$C$10:$C$172,Import!B1313,'FY19-20'!$Q$10:$Q$172)</f>
        <v>0</v>
      </c>
      <c r="F1313" s="182">
        <f t="shared" si="43"/>
        <v>0</v>
      </c>
      <c r="G1313" s="179" t="s">
        <v>408</v>
      </c>
      <c r="H1313" s="182">
        <v>1038</v>
      </c>
      <c r="J1313" s="181"/>
    </row>
    <row r="1314" spans="1:10" ht="14">
      <c r="A1314" s="183" t="s">
        <v>147</v>
      </c>
      <c r="B1314" s="178">
        <v>4200</v>
      </c>
      <c r="C1314" s="25" t="s">
        <v>146</v>
      </c>
      <c r="D1314" s="26">
        <v>43983</v>
      </c>
      <c r="E1314" s="182">
        <f>SUMIF('FY19-20'!$C$10:$C$172,Import!B1314,'FY19-20'!$Q$10:$Q$172)</f>
        <v>0</v>
      </c>
      <c r="F1314" s="182">
        <f t="shared" si="43"/>
        <v>0</v>
      </c>
      <c r="G1314" s="179" t="s">
        <v>408</v>
      </c>
      <c r="H1314" s="182">
        <v>1039</v>
      </c>
      <c r="J1314" s="181"/>
    </row>
    <row r="1315" spans="1:10" ht="14">
      <c r="A1315" s="183" t="s">
        <v>147</v>
      </c>
      <c r="B1315" s="178">
        <v>4302</v>
      </c>
      <c r="C1315" s="25" t="s">
        <v>146</v>
      </c>
      <c r="D1315" s="26">
        <v>43983</v>
      </c>
      <c r="E1315" s="182">
        <f>SUMIF('FY19-20'!$C$10:$C$172,Import!B1315,'FY19-20'!$Q$10:$Q$172)</f>
        <v>0</v>
      </c>
      <c r="F1315" s="182">
        <f t="shared" si="43"/>
        <v>0</v>
      </c>
      <c r="G1315" s="179" t="s">
        <v>408</v>
      </c>
      <c r="H1315" s="182">
        <v>1040</v>
      </c>
      <c r="J1315" s="181"/>
    </row>
    <row r="1316" spans="1:10" ht="14">
      <c r="A1316" s="183" t="s">
        <v>147</v>
      </c>
      <c r="B1316" s="178">
        <v>4305</v>
      </c>
      <c r="C1316" s="25" t="s">
        <v>146</v>
      </c>
      <c r="D1316" s="26">
        <v>43983</v>
      </c>
      <c r="E1316" s="182">
        <f>SUMIF('FY19-20'!$C$10:$C$172,Import!B1316,'FY19-20'!$Q$10:$Q$172)</f>
        <v>0</v>
      </c>
      <c r="F1316" s="182">
        <f t="shared" si="43"/>
        <v>0</v>
      </c>
      <c r="G1316" s="179" t="s">
        <v>408</v>
      </c>
      <c r="H1316" s="182">
        <v>1041</v>
      </c>
      <c r="J1316" s="181"/>
    </row>
    <row r="1317" spans="1:10" ht="14">
      <c r="A1317" s="183" t="s">
        <v>147</v>
      </c>
      <c r="B1317" s="178">
        <v>4310</v>
      </c>
      <c r="C1317" s="25" t="s">
        <v>146</v>
      </c>
      <c r="D1317" s="26">
        <v>43983</v>
      </c>
      <c r="E1317" s="182">
        <f>SUMIF('FY19-20'!$C$10:$C$172,Import!B1317,'FY19-20'!$Q$10:$Q$172)</f>
        <v>0</v>
      </c>
      <c r="F1317" s="182">
        <f t="shared" si="43"/>
        <v>0</v>
      </c>
      <c r="G1317" s="179" t="s">
        <v>408</v>
      </c>
      <c r="H1317" s="182">
        <v>1042</v>
      </c>
      <c r="J1317" s="181"/>
    </row>
    <row r="1318" spans="1:10" ht="14">
      <c r="A1318" s="183" t="s">
        <v>147</v>
      </c>
      <c r="B1318" s="178">
        <v>4311</v>
      </c>
      <c r="C1318" s="25" t="s">
        <v>146</v>
      </c>
      <c r="D1318" s="26">
        <v>43983</v>
      </c>
      <c r="E1318" s="182">
        <f>SUMIF('FY19-20'!$C$10:$C$172,Import!B1318,'FY19-20'!$Q$10:$Q$172)</f>
        <v>0</v>
      </c>
      <c r="F1318" s="182">
        <f t="shared" si="43"/>
        <v>0</v>
      </c>
      <c r="G1318" s="179" t="s">
        <v>408</v>
      </c>
      <c r="H1318" s="182">
        <v>1043</v>
      </c>
      <c r="J1318" s="181"/>
    </row>
    <row r="1319" spans="1:10" ht="14">
      <c r="A1319" s="183" t="s">
        <v>147</v>
      </c>
      <c r="B1319" s="178">
        <v>4312</v>
      </c>
      <c r="C1319" s="25" t="s">
        <v>146</v>
      </c>
      <c r="D1319" s="26">
        <v>43983</v>
      </c>
      <c r="E1319" s="182">
        <f>SUMIF('FY19-20'!$C$10:$C$172,Import!B1319,'FY19-20'!$Q$10:$Q$172)</f>
        <v>0</v>
      </c>
      <c r="F1319" s="182">
        <f t="shared" si="43"/>
        <v>0</v>
      </c>
      <c r="G1319" s="179" t="s">
        <v>408</v>
      </c>
      <c r="H1319" s="182">
        <v>1044</v>
      </c>
      <c r="J1319" s="181"/>
    </row>
    <row r="1320" spans="1:10" ht="14">
      <c r="A1320" s="183" t="s">
        <v>147</v>
      </c>
      <c r="B1320" s="178">
        <v>4400</v>
      </c>
      <c r="C1320" s="25" t="s">
        <v>146</v>
      </c>
      <c r="D1320" s="26">
        <v>43983</v>
      </c>
      <c r="E1320" s="182">
        <f>SUMIF('FY19-20'!$C$10:$C$172,Import!B1320,'FY19-20'!$Q$10:$Q$172)</f>
        <v>0</v>
      </c>
      <c r="F1320" s="182">
        <f t="shared" ref="F1320:F1349" si="44">-IF(E1320&lt;0,E1320)</f>
        <v>0</v>
      </c>
      <c r="G1320" s="179" t="s">
        <v>408</v>
      </c>
      <c r="H1320" s="182">
        <v>1045</v>
      </c>
      <c r="J1320" s="181"/>
    </row>
    <row r="1321" spans="1:10" ht="14">
      <c r="A1321" s="183" t="s">
        <v>147</v>
      </c>
      <c r="B1321" s="178">
        <v>4700</v>
      </c>
      <c r="C1321" s="25" t="s">
        <v>146</v>
      </c>
      <c r="D1321" s="26">
        <v>43983</v>
      </c>
      <c r="E1321" s="182">
        <f>SUMIF('FY19-20'!$C$10:$C$172,Import!B1321,'FY19-20'!$Q$10:$Q$172)</f>
        <v>0</v>
      </c>
      <c r="F1321" s="182">
        <f t="shared" si="44"/>
        <v>0</v>
      </c>
      <c r="G1321" s="179" t="s">
        <v>408</v>
      </c>
      <c r="H1321" s="182">
        <v>1046</v>
      </c>
      <c r="J1321" s="181"/>
    </row>
    <row r="1322" spans="1:10" ht="14">
      <c r="A1322" s="183" t="s">
        <v>147</v>
      </c>
      <c r="B1322" s="178">
        <v>5101</v>
      </c>
      <c r="C1322" s="25" t="s">
        <v>146</v>
      </c>
      <c r="D1322" s="26">
        <v>43983</v>
      </c>
      <c r="E1322" s="182">
        <f>SUMIF('FY19-20'!$C$10:$C$172,Import!B1322,'FY19-20'!$Q$10:$Q$172)</f>
        <v>0</v>
      </c>
      <c r="F1322" s="182">
        <f t="shared" si="44"/>
        <v>0</v>
      </c>
      <c r="G1322" s="179" t="s">
        <v>408</v>
      </c>
      <c r="H1322" s="182">
        <v>1047</v>
      </c>
      <c r="J1322" s="181"/>
    </row>
    <row r="1323" spans="1:10" ht="14">
      <c r="A1323" s="183" t="s">
        <v>147</v>
      </c>
      <c r="B1323" s="178">
        <v>5102</v>
      </c>
      <c r="C1323" s="25" t="s">
        <v>146</v>
      </c>
      <c r="D1323" s="26">
        <v>43983</v>
      </c>
      <c r="E1323" s="182">
        <f>SUMIF('FY19-20'!$C$10:$C$172,Import!B1323,'FY19-20'!$Q$10:$Q$172)</f>
        <v>0</v>
      </c>
      <c r="F1323" s="182">
        <f t="shared" si="44"/>
        <v>0</v>
      </c>
      <c r="G1323" s="179" t="s">
        <v>408</v>
      </c>
      <c r="H1323" s="182">
        <v>1048</v>
      </c>
      <c r="J1323" s="181"/>
    </row>
    <row r="1324" spans="1:10" ht="14">
      <c r="A1324" s="183" t="s">
        <v>147</v>
      </c>
      <c r="B1324" s="178">
        <v>5103</v>
      </c>
      <c r="C1324" s="25" t="s">
        <v>146</v>
      </c>
      <c r="D1324" s="26">
        <v>43983</v>
      </c>
      <c r="E1324" s="182">
        <f>SUMIF('FY19-20'!$C$10:$C$172,Import!B1324,'FY19-20'!$Q$10:$Q$172)</f>
        <v>0</v>
      </c>
      <c r="F1324" s="182">
        <f t="shared" si="44"/>
        <v>0</v>
      </c>
      <c r="G1324" s="179" t="s">
        <v>408</v>
      </c>
      <c r="H1324" s="182">
        <v>1049</v>
      </c>
      <c r="J1324" s="181"/>
    </row>
    <row r="1325" spans="1:10" ht="14">
      <c r="A1325" s="183" t="s">
        <v>147</v>
      </c>
      <c r="B1325" s="178">
        <v>5104</v>
      </c>
      <c r="C1325" s="25" t="s">
        <v>146</v>
      </c>
      <c r="D1325" s="26">
        <v>43983</v>
      </c>
      <c r="E1325" s="182">
        <f>SUMIF('FY19-20'!$C$10:$C$172,Import!B1325,'FY19-20'!$Q$10:$Q$172)</f>
        <v>0</v>
      </c>
      <c r="F1325" s="182">
        <f t="shared" si="44"/>
        <v>0</v>
      </c>
      <c r="G1325" s="179" t="s">
        <v>408</v>
      </c>
      <c r="H1325" s="182">
        <v>1050</v>
      </c>
      <c r="J1325" s="181"/>
    </row>
    <row r="1326" spans="1:10" ht="14">
      <c r="A1326" s="183" t="s">
        <v>147</v>
      </c>
      <c r="B1326" s="178">
        <v>5105</v>
      </c>
      <c r="C1326" s="25" t="s">
        <v>146</v>
      </c>
      <c r="D1326" s="26">
        <v>43983</v>
      </c>
      <c r="E1326" s="182">
        <f>SUMIF('FY19-20'!$C$10:$C$172,Import!B1326,'FY19-20'!$Q$10:$Q$172)</f>
        <v>0</v>
      </c>
      <c r="F1326" s="182">
        <f t="shared" si="44"/>
        <v>0</v>
      </c>
      <c r="G1326" s="179" t="s">
        <v>408</v>
      </c>
      <c r="H1326" s="182">
        <v>1051</v>
      </c>
      <c r="J1326" s="181"/>
    </row>
    <row r="1327" spans="1:10" ht="14">
      <c r="A1327" s="183" t="s">
        <v>147</v>
      </c>
      <c r="B1327" s="178">
        <v>5106</v>
      </c>
      <c r="C1327" s="25" t="s">
        <v>146</v>
      </c>
      <c r="D1327" s="26">
        <v>43983</v>
      </c>
      <c r="E1327" s="182">
        <f>SUMIF('FY19-20'!$C$10:$C$172,Import!B1327,'FY19-20'!$Q$10:$Q$172)</f>
        <v>0</v>
      </c>
      <c r="F1327" s="182">
        <f t="shared" si="44"/>
        <v>0</v>
      </c>
      <c r="G1327" s="179" t="s">
        <v>408</v>
      </c>
      <c r="H1327" s="182">
        <v>1052</v>
      </c>
      <c r="J1327" s="181"/>
    </row>
    <row r="1328" spans="1:10" ht="14">
      <c r="A1328" s="183" t="s">
        <v>147</v>
      </c>
      <c r="B1328" s="178">
        <v>5107</v>
      </c>
      <c r="C1328" s="25" t="s">
        <v>146</v>
      </c>
      <c r="D1328" s="26">
        <v>43983</v>
      </c>
      <c r="E1328" s="182">
        <f>SUMIF('FY19-20'!$C$10:$C$172,Import!B1328,'FY19-20'!$Q$10:$Q$172)</f>
        <v>0</v>
      </c>
      <c r="F1328" s="182">
        <f t="shared" si="44"/>
        <v>0</v>
      </c>
      <c r="G1328" s="179" t="s">
        <v>408</v>
      </c>
      <c r="H1328" s="182">
        <v>1052</v>
      </c>
      <c r="J1328" s="181"/>
    </row>
    <row r="1329" spans="1:10" ht="14">
      <c r="A1329" s="183" t="s">
        <v>147</v>
      </c>
      <c r="B1329" s="178">
        <v>5201</v>
      </c>
      <c r="C1329" s="25" t="s">
        <v>146</v>
      </c>
      <c r="D1329" s="26">
        <v>43983</v>
      </c>
      <c r="E1329" s="182">
        <f>SUMIF('FY19-20'!$C$10:$C$172,Import!B1329,'FY19-20'!$Q$10:$Q$172)</f>
        <v>0</v>
      </c>
      <c r="F1329" s="182">
        <f t="shared" si="44"/>
        <v>0</v>
      </c>
      <c r="G1329" s="179" t="s">
        <v>408</v>
      </c>
      <c r="H1329" s="182">
        <v>1053</v>
      </c>
      <c r="J1329" s="181"/>
    </row>
    <row r="1330" spans="1:10" ht="14">
      <c r="A1330" s="183" t="s">
        <v>147</v>
      </c>
      <c r="B1330" s="178">
        <v>5202</v>
      </c>
      <c r="C1330" s="25" t="s">
        <v>146</v>
      </c>
      <c r="D1330" s="26">
        <v>43983</v>
      </c>
      <c r="E1330" s="182">
        <f>SUMIF('FY19-20'!$C$10:$C$172,Import!B1330,'FY19-20'!$Q$10:$Q$172)</f>
        <v>0</v>
      </c>
      <c r="F1330" s="182">
        <f t="shared" si="44"/>
        <v>0</v>
      </c>
      <c r="G1330" s="179" t="s">
        <v>408</v>
      </c>
      <c r="H1330" s="182">
        <v>1054</v>
      </c>
      <c r="J1330" s="181"/>
    </row>
    <row r="1331" spans="1:10" ht="14">
      <c r="A1331" s="183" t="s">
        <v>147</v>
      </c>
      <c r="B1331" s="178">
        <v>5203</v>
      </c>
      <c r="C1331" s="25" t="s">
        <v>146</v>
      </c>
      <c r="D1331" s="26">
        <v>43983</v>
      </c>
      <c r="E1331" s="182">
        <f>SUMIF('FY19-20'!$C$10:$C$172,Import!B1331,'FY19-20'!$Q$10:$Q$172)</f>
        <v>0</v>
      </c>
      <c r="F1331" s="182">
        <f t="shared" si="44"/>
        <v>0</v>
      </c>
      <c r="G1331" s="179" t="s">
        <v>408</v>
      </c>
      <c r="H1331" s="182">
        <v>1055</v>
      </c>
      <c r="J1331" s="181"/>
    </row>
    <row r="1332" spans="1:10" ht="14">
      <c r="A1332" s="183" t="s">
        <v>147</v>
      </c>
      <c r="B1332" s="178">
        <v>5300</v>
      </c>
      <c r="C1332" s="25" t="s">
        <v>146</v>
      </c>
      <c r="D1332" s="26">
        <v>43983</v>
      </c>
      <c r="E1332" s="182">
        <f>SUMIF('FY19-20'!$C$10:$C$172,Import!B1332,'FY19-20'!$Q$10:$Q$172)</f>
        <v>0</v>
      </c>
      <c r="F1332" s="182">
        <f t="shared" si="44"/>
        <v>0</v>
      </c>
      <c r="G1332" s="179" t="s">
        <v>408</v>
      </c>
      <c r="H1332" s="182">
        <v>1056</v>
      </c>
      <c r="J1332" s="181"/>
    </row>
    <row r="1333" spans="1:10" ht="14">
      <c r="A1333" s="183" t="s">
        <v>147</v>
      </c>
      <c r="B1333" s="178">
        <v>5400</v>
      </c>
      <c r="C1333" s="25" t="s">
        <v>146</v>
      </c>
      <c r="D1333" s="26">
        <v>43983</v>
      </c>
      <c r="E1333" s="182">
        <f>SUMIF('FY19-20'!$C$10:$C$172,Import!B1333,'FY19-20'!$Q$10:$Q$172)</f>
        <v>0</v>
      </c>
      <c r="F1333" s="182">
        <f t="shared" si="44"/>
        <v>0</v>
      </c>
      <c r="G1333" s="179" t="s">
        <v>408</v>
      </c>
      <c r="H1333" s="182">
        <v>1057</v>
      </c>
      <c r="J1333" s="181"/>
    </row>
    <row r="1334" spans="1:10" ht="14">
      <c r="A1334" s="183" t="s">
        <v>147</v>
      </c>
      <c r="B1334" s="178">
        <v>5501</v>
      </c>
      <c r="C1334" s="25" t="s">
        <v>146</v>
      </c>
      <c r="D1334" s="26">
        <v>43983</v>
      </c>
      <c r="E1334" s="182">
        <f>SUMIF('FY19-20'!$C$10:$C$172,Import!B1334,'FY19-20'!$Q$10:$Q$172)</f>
        <v>0</v>
      </c>
      <c r="F1334" s="182">
        <f t="shared" si="44"/>
        <v>0</v>
      </c>
      <c r="G1334" s="179" t="s">
        <v>408</v>
      </c>
      <c r="H1334" s="182">
        <v>1058</v>
      </c>
      <c r="J1334" s="181"/>
    </row>
    <row r="1335" spans="1:10" ht="14">
      <c r="A1335" s="183" t="s">
        <v>147</v>
      </c>
      <c r="B1335" s="178">
        <v>5502</v>
      </c>
      <c r="C1335" s="25" t="s">
        <v>146</v>
      </c>
      <c r="D1335" s="26">
        <v>43983</v>
      </c>
      <c r="E1335" s="182">
        <f>SUMIF('FY19-20'!$C$10:$C$172,Import!B1335,'FY19-20'!$Q$10:$Q$172)</f>
        <v>0</v>
      </c>
      <c r="F1335" s="182">
        <f t="shared" si="44"/>
        <v>0</v>
      </c>
      <c r="G1335" s="179" t="s">
        <v>408</v>
      </c>
      <c r="H1335" s="182">
        <v>1059</v>
      </c>
      <c r="J1335" s="181"/>
    </row>
    <row r="1336" spans="1:10" ht="14">
      <c r="A1336" s="183" t="s">
        <v>147</v>
      </c>
      <c r="B1336" s="178">
        <v>5516</v>
      </c>
      <c r="C1336" s="25" t="s">
        <v>146</v>
      </c>
      <c r="D1336" s="26">
        <v>43983</v>
      </c>
      <c r="E1336" s="182">
        <f>SUMIF('FY19-20'!$C$10:$C$172,Import!B1336,'FY19-20'!$Q$10:$Q$172)</f>
        <v>0</v>
      </c>
      <c r="F1336" s="182">
        <f t="shared" si="44"/>
        <v>0</v>
      </c>
      <c r="G1336" s="179" t="s">
        <v>408</v>
      </c>
      <c r="H1336" s="182">
        <v>1060</v>
      </c>
      <c r="J1336" s="181"/>
    </row>
    <row r="1337" spans="1:10" ht="14">
      <c r="A1337" s="183" t="s">
        <v>147</v>
      </c>
      <c r="B1337" s="178">
        <v>5531</v>
      </c>
      <c r="C1337" s="25" t="s">
        <v>146</v>
      </c>
      <c r="D1337" s="26">
        <v>43983</v>
      </c>
      <c r="E1337" s="182">
        <f>SUMIF('FY19-20'!$C$10:$C$172,Import!B1337,'FY19-20'!$Q$10:$Q$172)</f>
        <v>0</v>
      </c>
      <c r="F1337" s="182">
        <f t="shared" si="44"/>
        <v>0</v>
      </c>
      <c r="G1337" s="179" t="s">
        <v>408</v>
      </c>
      <c r="H1337" s="182">
        <v>1063</v>
      </c>
      <c r="J1337" s="181"/>
    </row>
    <row r="1338" spans="1:10" ht="14">
      <c r="A1338" s="183" t="s">
        <v>147</v>
      </c>
      <c r="B1338" s="178">
        <v>5540</v>
      </c>
      <c r="C1338" s="25" t="s">
        <v>146</v>
      </c>
      <c r="D1338" s="26">
        <v>43983</v>
      </c>
      <c r="E1338" s="182">
        <f>SUMIF('FY19-20'!$C$10:$C$172,Import!B1338,'FY19-20'!$Q$10:$Q$172)</f>
        <v>0</v>
      </c>
      <c r="F1338" s="182">
        <f t="shared" si="44"/>
        <v>0</v>
      </c>
      <c r="G1338" s="179" t="s">
        <v>408</v>
      </c>
      <c r="H1338" s="182">
        <v>1064</v>
      </c>
      <c r="J1338" s="181"/>
    </row>
    <row r="1339" spans="1:10" ht="14">
      <c r="A1339" s="183" t="s">
        <v>147</v>
      </c>
      <c r="B1339" s="178">
        <v>5601</v>
      </c>
      <c r="C1339" s="25" t="s">
        <v>146</v>
      </c>
      <c r="D1339" s="26">
        <v>43983</v>
      </c>
      <c r="E1339" s="182">
        <f>SUMIF('FY19-20'!$C$10:$C$172,Import!B1339,'FY19-20'!$Q$10:$Q$172)</f>
        <v>0</v>
      </c>
      <c r="F1339" s="182">
        <f t="shared" si="44"/>
        <v>0</v>
      </c>
      <c r="G1339" s="179" t="s">
        <v>408</v>
      </c>
      <c r="H1339" s="182">
        <v>1065</v>
      </c>
      <c r="J1339" s="181"/>
    </row>
    <row r="1340" spans="1:10" ht="14">
      <c r="A1340" s="183" t="s">
        <v>147</v>
      </c>
      <c r="B1340" s="178">
        <v>5602</v>
      </c>
      <c r="C1340" s="25" t="s">
        <v>146</v>
      </c>
      <c r="D1340" s="26">
        <v>43983</v>
      </c>
      <c r="E1340" s="182">
        <f>SUMIF('FY19-20'!$C$10:$C$172,Import!B1340,'FY19-20'!$Q$10:$Q$172)</f>
        <v>0</v>
      </c>
      <c r="F1340" s="182">
        <f t="shared" si="44"/>
        <v>0</v>
      </c>
      <c r="G1340" s="179" t="s">
        <v>408</v>
      </c>
      <c r="H1340" s="182">
        <v>1066</v>
      </c>
      <c r="J1340" s="181"/>
    </row>
    <row r="1341" spans="1:10" ht="14">
      <c r="A1341" s="183" t="s">
        <v>147</v>
      </c>
      <c r="B1341" s="178">
        <v>5603</v>
      </c>
      <c r="C1341" s="25" t="s">
        <v>146</v>
      </c>
      <c r="D1341" s="26">
        <v>43983</v>
      </c>
      <c r="E1341" s="182">
        <f>SUMIF('FY19-20'!$C$10:$C$172,Import!B1341,'FY19-20'!$Q$10:$Q$172)</f>
        <v>0</v>
      </c>
      <c r="F1341" s="182">
        <f t="shared" si="44"/>
        <v>0</v>
      </c>
      <c r="G1341" s="179" t="s">
        <v>408</v>
      </c>
      <c r="H1341" s="182">
        <v>1067</v>
      </c>
      <c r="J1341" s="181"/>
    </row>
    <row r="1342" spans="1:10" ht="14">
      <c r="A1342" s="183" t="s">
        <v>147</v>
      </c>
      <c r="B1342" s="178">
        <v>5604</v>
      </c>
      <c r="C1342" s="25" t="s">
        <v>146</v>
      </c>
      <c r="D1342" s="26">
        <v>43983</v>
      </c>
      <c r="E1342" s="182">
        <f>SUMIF('FY19-20'!$C$10:$C$172,Import!B1342,'FY19-20'!$Q$10:$Q$172)</f>
        <v>0</v>
      </c>
      <c r="F1342" s="182">
        <f t="shared" si="44"/>
        <v>0</v>
      </c>
      <c r="G1342" s="179" t="s">
        <v>408</v>
      </c>
      <c r="H1342" s="182">
        <v>1068</v>
      </c>
      <c r="J1342" s="181"/>
    </row>
    <row r="1343" spans="1:10" ht="14">
      <c r="A1343" s="183" t="s">
        <v>147</v>
      </c>
      <c r="B1343" s="178">
        <v>5605</v>
      </c>
      <c r="C1343" s="25" t="s">
        <v>146</v>
      </c>
      <c r="D1343" s="26">
        <v>43983</v>
      </c>
      <c r="E1343" s="182">
        <f>SUMIF('FY19-20'!$C$10:$C$172,Import!B1343,'FY19-20'!$Q$10:$Q$172)</f>
        <v>0</v>
      </c>
      <c r="F1343" s="182">
        <f t="shared" si="44"/>
        <v>0</v>
      </c>
      <c r="G1343" s="179" t="s">
        <v>408</v>
      </c>
      <c r="H1343" s="182">
        <v>1069</v>
      </c>
      <c r="J1343" s="181"/>
    </row>
    <row r="1344" spans="1:10" ht="14">
      <c r="A1344" s="183" t="s">
        <v>147</v>
      </c>
      <c r="B1344" s="178">
        <v>5610</v>
      </c>
      <c r="C1344" s="25" t="s">
        <v>146</v>
      </c>
      <c r="D1344" s="26">
        <v>43983</v>
      </c>
      <c r="E1344" s="182">
        <f>SUMIF('FY19-20'!$C$10:$C$172,Import!B1344,'FY19-20'!$Q$10:$Q$172)</f>
        <v>0</v>
      </c>
      <c r="F1344" s="182">
        <f t="shared" si="44"/>
        <v>0</v>
      </c>
      <c r="G1344" s="179" t="s">
        <v>408</v>
      </c>
      <c r="H1344" s="182">
        <v>1070</v>
      </c>
      <c r="J1344" s="181"/>
    </row>
    <row r="1345" spans="1:10" ht="14">
      <c r="A1345" s="183" t="s">
        <v>147</v>
      </c>
      <c r="B1345" s="178">
        <v>5801</v>
      </c>
      <c r="C1345" s="25" t="s">
        <v>146</v>
      </c>
      <c r="D1345" s="26">
        <v>43983</v>
      </c>
      <c r="E1345" s="182">
        <f>SUMIF('FY19-20'!$C$10:$C$172,Import!B1345,'FY19-20'!$Q$10:$Q$172)</f>
        <v>0</v>
      </c>
      <c r="F1345" s="182">
        <f t="shared" si="44"/>
        <v>0</v>
      </c>
      <c r="G1345" s="179" t="s">
        <v>408</v>
      </c>
      <c r="H1345" s="182">
        <v>1071</v>
      </c>
      <c r="J1345" s="181"/>
    </row>
    <row r="1346" spans="1:10" ht="14">
      <c r="A1346" s="183" t="s">
        <v>147</v>
      </c>
      <c r="B1346" s="178">
        <v>5802</v>
      </c>
      <c r="C1346" s="25" t="s">
        <v>146</v>
      </c>
      <c r="D1346" s="26">
        <v>43983</v>
      </c>
      <c r="E1346" s="182">
        <f>SUMIF('FY19-20'!$C$10:$C$172,Import!B1346,'FY19-20'!$Q$10:$Q$172)</f>
        <v>0</v>
      </c>
      <c r="F1346" s="182">
        <f t="shared" si="44"/>
        <v>0</v>
      </c>
      <c r="G1346" s="179" t="s">
        <v>408</v>
      </c>
      <c r="H1346" s="182">
        <v>1072</v>
      </c>
      <c r="J1346" s="181"/>
    </row>
    <row r="1347" spans="1:10" ht="14">
      <c r="A1347" s="183" t="s">
        <v>147</v>
      </c>
      <c r="B1347" s="178">
        <v>5803</v>
      </c>
      <c r="C1347" s="25" t="s">
        <v>146</v>
      </c>
      <c r="D1347" s="26">
        <v>43983</v>
      </c>
      <c r="E1347" s="182">
        <f>SUMIF('FY19-20'!$C$10:$C$172,Import!B1347,'FY19-20'!$Q$10:$Q$172)</f>
        <v>0</v>
      </c>
      <c r="F1347" s="182">
        <f t="shared" si="44"/>
        <v>0</v>
      </c>
      <c r="G1347" s="179" t="s">
        <v>408</v>
      </c>
      <c r="H1347" s="182">
        <v>1073</v>
      </c>
      <c r="J1347" s="181"/>
    </row>
    <row r="1348" spans="1:10" ht="14">
      <c r="A1348" s="183" t="s">
        <v>147</v>
      </c>
      <c r="B1348" s="178">
        <v>5804</v>
      </c>
      <c r="C1348" s="25" t="s">
        <v>146</v>
      </c>
      <c r="D1348" s="26">
        <v>43983</v>
      </c>
      <c r="E1348" s="182">
        <f>SUMIF('FY19-20'!$C$10:$C$172,Import!B1348,'FY19-20'!$Q$10:$Q$172)</f>
        <v>0</v>
      </c>
      <c r="F1348" s="182">
        <f t="shared" si="44"/>
        <v>0</v>
      </c>
      <c r="G1348" s="179" t="s">
        <v>408</v>
      </c>
      <c r="H1348" s="182">
        <v>1074</v>
      </c>
      <c r="J1348" s="181"/>
    </row>
    <row r="1349" spans="1:10" ht="14">
      <c r="A1349" s="183" t="s">
        <v>147</v>
      </c>
      <c r="B1349" s="178">
        <v>5805</v>
      </c>
      <c r="C1349" s="25" t="s">
        <v>146</v>
      </c>
      <c r="D1349" s="26">
        <v>43983</v>
      </c>
      <c r="E1349" s="182">
        <f>SUMIF('FY19-20'!$C$10:$C$172,Import!B1349,'FY19-20'!$Q$10:$Q$172)</f>
        <v>0</v>
      </c>
      <c r="F1349" s="182">
        <f t="shared" si="44"/>
        <v>0</v>
      </c>
      <c r="G1349" s="179" t="s">
        <v>408</v>
      </c>
      <c r="H1349" s="182">
        <v>1075</v>
      </c>
      <c r="J1349" s="181"/>
    </row>
    <row r="1350" spans="1:10" ht="14">
      <c r="A1350" s="183" t="s">
        <v>147</v>
      </c>
      <c r="B1350" s="178">
        <v>5806</v>
      </c>
      <c r="C1350" s="25" t="s">
        <v>146</v>
      </c>
      <c r="D1350" s="26">
        <v>43983</v>
      </c>
      <c r="E1350" s="182">
        <f>SUMIF('FY19-20'!$C$10:$C$172,Import!B1350,'FY19-20'!$Q$10:$Q$172)</f>
        <v>0</v>
      </c>
      <c r="F1350" s="182">
        <f>-IF(E1350&lt;0,E1350,0)</f>
        <v>0</v>
      </c>
      <c r="G1350" s="179" t="s">
        <v>408</v>
      </c>
      <c r="J1350" s="181"/>
    </row>
    <row r="1351" spans="1:10" ht="14">
      <c r="A1351" s="183" t="s">
        <v>147</v>
      </c>
      <c r="B1351" s="178">
        <v>5807</v>
      </c>
      <c r="C1351" s="25" t="s">
        <v>146</v>
      </c>
      <c r="D1351" s="26">
        <v>43983</v>
      </c>
      <c r="E1351" s="182">
        <f>SUMIF('FY19-20'!$C$10:$C$172,Import!B1351,'FY19-20'!$Q$10:$Q$172)</f>
        <v>0</v>
      </c>
      <c r="F1351" s="182">
        <f>-IF(E1351&lt;0,E1351,0)</f>
        <v>0</v>
      </c>
      <c r="G1351" s="179" t="s">
        <v>408</v>
      </c>
      <c r="J1351" s="181"/>
    </row>
    <row r="1352" spans="1:10" ht="14">
      <c r="A1352" s="183" t="s">
        <v>147</v>
      </c>
      <c r="B1352" s="178">
        <v>5808</v>
      </c>
      <c r="C1352" s="25" t="s">
        <v>146</v>
      </c>
      <c r="D1352" s="26">
        <v>43983</v>
      </c>
      <c r="E1352" s="182">
        <f>SUMIF('FY19-20'!$C$10:$C$172,Import!B1352,'FY19-20'!$Q$10:$Q$172)</f>
        <v>0</v>
      </c>
      <c r="F1352" s="182">
        <f>-IF(E1352&lt;0,E1352,0)</f>
        <v>0</v>
      </c>
      <c r="G1352" s="179" t="s">
        <v>408</v>
      </c>
      <c r="J1352" s="181"/>
    </row>
    <row r="1353" spans="1:10" ht="14">
      <c r="A1353" s="183" t="s">
        <v>147</v>
      </c>
      <c r="B1353" s="178">
        <v>5809</v>
      </c>
      <c r="C1353" s="25" t="s">
        <v>146</v>
      </c>
      <c r="D1353" s="26">
        <v>43983</v>
      </c>
      <c r="E1353" s="182">
        <f>SUMIF('FY19-20'!$C$10:$C$172,Import!B1353,'FY19-20'!$Q$10:$Q$172)</f>
        <v>0</v>
      </c>
      <c r="F1353" s="182">
        <f>-IF(E1353&lt;0,E1353,0)</f>
        <v>0</v>
      </c>
      <c r="G1353" s="179" t="s">
        <v>408</v>
      </c>
      <c r="J1353" s="181"/>
    </row>
    <row r="1354" spans="1:10" ht="14">
      <c r="A1354" s="183" t="s">
        <v>147</v>
      </c>
      <c r="B1354" s="178">
        <v>5810</v>
      </c>
      <c r="C1354" s="25" t="s">
        <v>146</v>
      </c>
      <c r="D1354" s="26">
        <v>43983</v>
      </c>
      <c r="E1354" s="182">
        <f>SUMIF('FY19-20'!$C$10:$C$172,Import!B1354,'FY19-20'!$Q$10:$Q$172)</f>
        <v>0</v>
      </c>
      <c r="F1354" s="182">
        <f>-IF(E1354&lt;0,E1354)</f>
        <v>0</v>
      </c>
      <c r="G1354" s="179" t="s">
        <v>408</v>
      </c>
      <c r="H1354" s="182">
        <v>1076</v>
      </c>
      <c r="J1354" s="181"/>
    </row>
    <row r="1355" spans="1:10" ht="14">
      <c r="A1355" s="183" t="s">
        <v>147</v>
      </c>
      <c r="B1355" s="178">
        <v>5811</v>
      </c>
      <c r="C1355" s="25" t="s">
        <v>146</v>
      </c>
      <c r="D1355" s="26">
        <v>43983</v>
      </c>
      <c r="E1355" s="182">
        <f>SUMIF('FY19-20'!$C$10:$C$172,Import!B1355,'FY19-20'!$Q$10:$Q$172)</f>
        <v>0</v>
      </c>
      <c r="F1355" s="182">
        <f>-IF(E1355&lt;0,E1355)</f>
        <v>0</v>
      </c>
      <c r="G1355" s="179" t="s">
        <v>408</v>
      </c>
      <c r="H1355" s="182">
        <v>1077</v>
      </c>
      <c r="J1355" s="181"/>
    </row>
    <row r="1356" spans="1:10" ht="14">
      <c r="A1356" s="183" t="s">
        <v>147</v>
      </c>
      <c r="B1356" s="178">
        <v>5812</v>
      </c>
      <c r="C1356" s="25" t="s">
        <v>146</v>
      </c>
      <c r="D1356" s="26">
        <v>43983</v>
      </c>
      <c r="E1356" s="182">
        <f>SUMIF('FY19-20'!$C$10:$C$172,Import!B1356,'FY19-20'!$Q$10:$Q$172)</f>
        <v>0</v>
      </c>
      <c r="F1356" s="182">
        <f>-IF(E1356&lt;0,E1356)</f>
        <v>0</v>
      </c>
      <c r="G1356" s="179" t="s">
        <v>408</v>
      </c>
      <c r="H1356" s="182">
        <v>1078</v>
      </c>
      <c r="J1356" s="181"/>
    </row>
    <row r="1357" spans="1:10" ht="14">
      <c r="A1357" s="183" t="s">
        <v>147</v>
      </c>
      <c r="B1357" s="178">
        <v>5813</v>
      </c>
      <c r="C1357" s="25" t="s">
        <v>146</v>
      </c>
      <c r="D1357" s="26">
        <v>43983</v>
      </c>
      <c r="E1357" s="182">
        <f>SUMIF('FY19-20'!$C$10:$C$172,Import!B1357,'FY19-20'!$Q$10:$Q$172)</f>
        <v>0</v>
      </c>
      <c r="F1357" s="182">
        <f>-IF(E1357&lt;0,E1357)</f>
        <v>0</v>
      </c>
      <c r="G1357" s="179" t="s">
        <v>408</v>
      </c>
      <c r="H1357" s="182">
        <v>1079</v>
      </c>
      <c r="J1357" s="181"/>
    </row>
    <row r="1358" spans="1:10" ht="14">
      <c r="A1358" s="183" t="s">
        <v>147</v>
      </c>
      <c r="B1358" s="178">
        <v>5814</v>
      </c>
      <c r="C1358" s="25" t="s">
        <v>146</v>
      </c>
      <c r="D1358" s="26">
        <v>43983</v>
      </c>
      <c r="E1358" s="182">
        <f>SUMIF('FY19-20'!$C$10:$C$172,Import!B1358,'FY19-20'!$Q$10:$Q$172)</f>
        <v>0</v>
      </c>
      <c r="F1358" s="182">
        <f>-IF(E1358&lt;0,E1358)</f>
        <v>0</v>
      </c>
      <c r="G1358" s="179" t="s">
        <v>408</v>
      </c>
      <c r="H1358" s="182">
        <v>1080</v>
      </c>
      <c r="J1358" s="181"/>
    </row>
    <row r="1359" spans="1:10" ht="14">
      <c r="A1359" s="183" t="s">
        <v>147</v>
      </c>
      <c r="B1359" s="178">
        <v>5815</v>
      </c>
      <c r="C1359" s="25" t="s">
        <v>146</v>
      </c>
      <c r="D1359" s="26">
        <v>43983</v>
      </c>
      <c r="E1359" s="182">
        <f>SUMIF('FY19-20'!$C$10:$C$172,Import!B1359,'FY19-20'!$Q$10:$Q$172)</f>
        <v>0</v>
      </c>
      <c r="F1359" s="182">
        <f>-IF(E1359&lt;0,E1359,0)</f>
        <v>0</v>
      </c>
      <c r="G1359" s="179" t="s">
        <v>408</v>
      </c>
      <c r="J1359" s="181"/>
    </row>
    <row r="1360" spans="1:10" ht="14">
      <c r="A1360" s="183" t="s">
        <v>147</v>
      </c>
      <c r="B1360" s="178">
        <v>5820</v>
      </c>
      <c r="C1360" s="25" t="s">
        <v>146</v>
      </c>
      <c r="D1360" s="26">
        <v>43983</v>
      </c>
      <c r="E1360" s="182">
        <f>SUMIF('FY19-20'!$C$10:$C$172,Import!B1360,'FY19-20'!$Q$10:$Q$172)</f>
        <v>0</v>
      </c>
      <c r="F1360" s="182">
        <f>-IF(E1360&lt;0,E1360,0)</f>
        <v>0</v>
      </c>
      <c r="G1360" s="179" t="s">
        <v>408</v>
      </c>
      <c r="J1360" s="181"/>
    </row>
    <row r="1361" spans="1:10" ht="14">
      <c r="A1361" s="183" t="s">
        <v>147</v>
      </c>
      <c r="B1361" s="178">
        <v>5900</v>
      </c>
      <c r="C1361" s="25" t="s">
        <v>146</v>
      </c>
      <c r="D1361" s="26">
        <v>43983</v>
      </c>
      <c r="E1361" s="182">
        <f>SUMIF('FY19-20'!$C$10:$C$172,Import!B1361,'FY19-20'!$Q$10:$Q$172)</f>
        <v>0</v>
      </c>
      <c r="F1361" s="182">
        <f>-IF(E1361&lt;0,E1361)</f>
        <v>0</v>
      </c>
      <c r="G1361" s="179" t="s">
        <v>408</v>
      </c>
      <c r="H1361" s="182">
        <v>1081</v>
      </c>
      <c r="J1361" s="181"/>
    </row>
    <row r="1362" spans="1:10" ht="14">
      <c r="A1362" s="183" t="s">
        <v>147</v>
      </c>
      <c r="B1362" s="178">
        <v>5901</v>
      </c>
      <c r="C1362" s="25" t="s">
        <v>146</v>
      </c>
      <c r="D1362" s="26">
        <v>43983</v>
      </c>
      <c r="E1362" s="182">
        <f>SUMIF('FY19-20'!$C$10:$C$172,Import!B1362,'FY19-20'!$Q$10:$Q$172)</f>
        <v>0</v>
      </c>
      <c r="F1362" s="182">
        <f>-IF(E1362&lt;0,E1362,0)</f>
        <v>0</v>
      </c>
      <c r="G1362" s="179" t="s">
        <v>408</v>
      </c>
    </row>
    <row r="1363" spans="1:10" ht="14">
      <c r="A1363" s="183" t="s">
        <v>147</v>
      </c>
      <c r="B1363" s="178">
        <v>6900</v>
      </c>
      <c r="C1363" s="25" t="s">
        <v>146</v>
      </c>
      <c r="D1363" s="26">
        <v>43983</v>
      </c>
      <c r="E1363" s="182">
        <f>SUMIF('FY19-20'!$C$10:$C$172,Import!B1363,'FY19-20'!$Q$10:$Q$172)</f>
        <v>0</v>
      </c>
      <c r="F1363" s="182">
        <f t="shared" ref="F1363:F1394" si="45">-IF(E1363&lt;0,E1363)</f>
        <v>0</v>
      </c>
      <c r="G1363" s="179" t="s">
        <v>408</v>
      </c>
      <c r="H1363" s="182">
        <v>1082</v>
      </c>
      <c r="J1363" s="181"/>
    </row>
    <row r="1364" spans="1:10" ht="14">
      <c r="A1364" s="183" t="s">
        <v>147</v>
      </c>
      <c r="B1364" s="178">
        <v>7438</v>
      </c>
      <c r="C1364" s="25" t="s">
        <v>146</v>
      </c>
      <c r="D1364" s="26">
        <v>43983</v>
      </c>
      <c r="E1364" s="182">
        <f>SUMIF('FY19-20'!$C$10:$C$172,Import!B1364,'FY19-20'!$Q$10:$Q$172)</f>
        <v>0</v>
      </c>
      <c r="F1364" s="182">
        <f t="shared" si="45"/>
        <v>0</v>
      </c>
      <c r="G1364" s="179" t="s">
        <v>408</v>
      </c>
      <c r="H1364" s="182">
        <v>1083</v>
      </c>
      <c r="J1364" s="181"/>
    </row>
    <row r="1365" spans="1:10" ht="14">
      <c r="A1365" s="183" t="s">
        <v>147</v>
      </c>
      <c r="B1365" s="178">
        <v>8011</v>
      </c>
      <c r="C1365" s="25" t="s">
        <v>146</v>
      </c>
      <c r="D1365" s="26">
        <v>43983</v>
      </c>
      <c r="E1365" s="182">
        <f>SUMIF('FY19-20'!$C$10:$C$172,Import!B1365,'FY19-20'!$Q$10:$Q$172)</f>
        <v>0</v>
      </c>
      <c r="F1365" s="182">
        <f t="shared" si="45"/>
        <v>0</v>
      </c>
      <c r="G1365" s="179" t="s">
        <v>408</v>
      </c>
      <c r="H1365" s="182">
        <v>1084</v>
      </c>
      <c r="J1365" s="181"/>
    </row>
    <row r="1366" spans="1:10" ht="14">
      <c r="A1366" s="183" t="s">
        <v>147</v>
      </c>
      <c r="B1366" s="178">
        <v>8012</v>
      </c>
      <c r="C1366" s="25" t="s">
        <v>146</v>
      </c>
      <c r="D1366" s="26">
        <v>43983</v>
      </c>
      <c r="E1366" s="182">
        <f>SUMIF('FY19-20'!$C$10:$C$172,Import!B1366,'FY19-20'!$Q$10:$Q$172)</f>
        <v>0</v>
      </c>
      <c r="F1366" s="182">
        <f t="shared" si="45"/>
        <v>0</v>
      </c>
      <c r="G1366" s="179" t="s">
        <v>408</v>
      </c>
      <c r="H1366" s="182">
        <v>1085</v>
      </c>
      <c r="J1366" s="181"/>
    </row>
    <row r="1367" spans="1:10" ht="14">
      <c r="A1367" s="183" t="s">
        <v>147</v>
      </c>
      <c r="B1367" s="178">
        <v>8019</v>
      </c>
      <c r="C1367" s="25" t="s">
        <v>146</v>
      </c>
      <c r="D1367" s="26">
        <v>43983</v>
      </c>
      <c r="E1367" s="182">
        <f>SUMIF('FY19-20'!$C$10:$C$172,Import!B1367,'FY19-20'!$Q$10:$Q$172)</f>
        <v>0</v>
      </c>
      <c r="F1367" s="182">
        <f t="shared" si="45"/>
        <v>0</v>
      </c>
      <c r="G1367" s="179" t="s">
        <v>408</v>
      </c>
      <c r="H1367" s="182">
        <v>1086</v>
      </c>
      <c r="J1367" s="181"/>
    </row>
    <row r="1368" spans="1:10" ht="14">
      <c r="A1368" s="183" t="s">
        <v>147</v>
      </c>
      <c r="B1368" s="178">
        <v>8096</v>
      </c>
      <c r="C1368" s="25" t="s">
        <v>146</v>
      </c>
      <c r="D1368" s="26">
        <v>43983</v>
      </c>
      <c r="E1368" s="182">
        <f>SUMIF('FY19-20'!$C$10:$C$172,Import!B1368,'FY19-20'!$Q$10:$Q$172)</f>
        <v>0</v>
      </c>
      <c r="F1368" s="182">
        <f t="shared" si="45"/>
        <v>0</v>
      </c>
      <c r="G1368" s="179" t="s">
        <v>408</v>
      </c>
      <c r="H1368" s="182">
        <v>1087</v>
      </c>
      <c r="J1368" s="181"/>
    </row>
    <row r="1369" spans="1:10" ht="14">
      <c r="A1369" s="183" t="s">
        <v>147</v>
      </c>
      <c r="B1369" s="178">
        <v>8181</v>
      </c>
      <c r="C1369" s="25" t="s">
        <v>146</v>
      </c>
      <c r="D1369" s="26">
        <v>43983</v>
      </c>
      <c r="E1369" s="182">
        <f>SUMIF('FY19-20'!$C$10:$C$172,Import!B1369,'FY19-20'!$Q$10:$Q$172)</f>
        <v>0</v>
      </c>
      <c r="F1369" s="182">
        <f t="shared" si="45"/>
        <v>0</v>
      </c>
      <c r="G1369" s="179" t="s">
        <v>408</v>
      </c>
      <c r="H1369" s="182">
        <v>1088</v>
      </c>
      <c r="J1369" s="181"/>
    </row>
    <row r="1370" spans="1:10" ht="14">
      <c r="A1370" s="183" t="s">
        <v>147</v>
      </c>
      <c r="B1370" s="178">
        <v>8182</v>
      </c>
      <c r="C1370" s="25" t="s">
        <v>146</v>
      </c>
      <c r="D1370" s="26">
        <v>43983</v>
      </c>
      <c r="E1370" s="182">
        <f>SUMIF('FY19-20'!$C$10:$C$172,Import!B1370,'FY19-20'!$Q$10:$Q$172)</f>
        <v>0</v>
      </c>
      <c r="F1370" s="182">
        <f t="shared" si="45"/>
        <v>0</v>
      </c>
      <c r="G1370" s="179" t="s">
        <v>408</v>
      </c>
      <c r="H1370" s="182">
        <v>1089</v>
      </c>
      <c r="J1370" s="181"/>
    </row>
    <row r="1371" spans="1:10" ht="14">
      <c r="A1371" s="183" t="s">
        <v>147</v>
      </c>
      <c r="B1371" s="178">
        <v>8220</v>
      </c>
      <c r="C1371" s="25" t="s">
        <v>146</v>
      </c>
      <c r="D1371" s="26">
        <v>43983</v>
      </c>
      <c r="E1371" s="182">
        <f>SUMIF('FY19-20'!$C$10:$C$172,Import!B1371,'FY19-20'!$Q$10:$Q$172)</f>
        <v>0</v>
      </c>
      <c r="F1371" s="182">
        <f t="shared" si="45"/>
        <v>0</v>
      </c>
      <c r="G1371" s="179" t="s">
        <v>408</v>
      </c>
      <c r="H1371" s="182">
        <v>1090</v>
      </c>
      <c r="J1371" s="181"/>
    </row>
    <row r="1372" spans="1:10" ht="14">
      <c r="A1372" s="183" t="s">
        <v>147</v>
      </c>
      <c r="B1372" s="178">
        <v>8290</v>
      </c>
      <c r="C1372" s="25" t="s">
        <v>146</v>
      </c>
      <c r="D1372" s="26">
        <v>43983</v>
      </c>
      <c r="E1372" s="182">
        <f>SUMIF('FY19-20'!$C$10:$C$172,Import!B1372,'FY19-20'!$Q$10:$Q$172)</f>
        <v>0</v>
      </c>
      <c r="F1372" s="182">
        <f t="shared" si="45"/>
        <v>0</v>
      </c>
      <c r="G1372" s="179" t="s">
        <v>408</v>
      </c>
      <c r="H1372" s="182">
        <v>1091</v>
      </c>
      <c r="J1372" s="181"/>
    </row>
    <row r="1373" spans="1:10" ht="14">
      <c r="A1373" s="183" t="s">
        <v>147</v>
      </c>
      <c r="B1373" s="178">
        <v>8291</v>
      </c>
      <c r="C1373" s="25" t="s">
        <v>146</v>
      </c>
      <c r="D1373" s="26">
        <v>43983</v>
      </c>
      <c r="E1373" s="182">
        <f>SUMIF('FY19-20'!$C$10:$C$172,Import!B1373,'FY19-20'!$Q$10:$Q$172)</f>
        <v>0</v>
      </c>
      <c r="F1373" s="182">
        <f t="shared" si="45"/>
        <v>0</v>
      </c>
      <c r="G1373" s="179" t="s">
        <v>408</v>
      </c>
      <c r="H1373" s="182">
        <v>1092</v>
      </c>
      <c r="J1373" s="181"/>
    </row>
    <row r="1374" spans="1:10" ht="14">
      <c r="A1374" s="183" t="s">
        <v>147</v>
      </c>
      <c r="B1374" s="178">
        <v>8292</v>
      </c>
      <c r="C1374" s="25" t="s">
        <v>146</v>
      </c>
      <c r="D1374" s="26">
        <v>43983</v>
      </c>
      <c r="E1374" s="182">
        <f>SUMIF('FY19-20'!$C$10:$C$172,Import!B1374,'FY19-20'!$Q$10:$Q$172)</f>
        <v>0</v>
      </c>
      <c r="F1374" s="182">
        <f t="shared" si="45"/>
        <v>0</v>
      </c>
      <c r="G1374" s="179" t="s">
        <v>408</v>
      </c>
      <c r="H1374" s="182">
        <v>1093</v>
      </c>
      <c r="J1374" s="181"/>
    </row>
    <row r="1375" spans="1:10" ht="14">
      <c r="A1375" s="183" t="s">
        <v>147</v>
      </c>
      <c r="B1375" s="178">
        <v>8293</v>
      </c>
      <c r="C1375" s="25" t="s">
        <v>146</v>
      </c>
      <c r="D1375" s="26">
        <v>43983</v>
      </c>
      <c r="E1375" s="182">
        <f>SUMIF('FY19-20'!$C$10:$C$172,Import!B1375,'FY19-20'!$Q$10:$Q$172)</f>
        <v>0</v>
      </c>
      <c r="F1375" s="182">
        <f t="shared" si="45"/>
        <v>0</v>
      </c>
      <c r="G1375" s="179" t="s">
        <v>408</v>
      </c>
      <c r="H1375" s="182">
        <v>1094</v>
      </c>
      <c r="J1375" s="181"/>
    </row>
    <row r="1376" spans="1:10" ht="14">
      <c r="A1376" s="183" t="s">
        <v>147</v>
      </c>
      <c r="B1376" s="178">
        <v>8294</v>
      </c>
      <c r="C1376" s="25" t="s">
        <v>146</v>
      </c>
      <c r="D1376" s="26">
        <v>43983</v>
      </c>
      <c r="E1376" s="182">
        <f>SUMIF('FY19-20'!$C$10:$C$172,Import!B1376,'FY19-20'!$Q$10:$Q$172)</f>
        <v>0</v>
      </c>
      <c r="F1376" s="182">
        <f t="shared" si="45"/>
        <v>0</v>
      </c>
      <c r="G1376" s="179" t="s">
        <v>408</v>
      </c>
      <c r="H1376" s="182">
        <v>1095</v>
      </c>
      <c r="J1376" s="181"/>
    </row>
    <row r="1377" spans="1:10" ht="14">
      <c r="A1377" s="183" t="s">
        <v>147</v>
      </c>
      <c r="B1377" s="178">
        <v>8295</v>
      </c>
      <c r="C1377" s="25" t="s">
        <v>146</v>
      </c>
      <c r="D1377" s="26">
        <v>43983</v>
      </c>
      <c r="E1377" s="182">
        <f>SUMIF('FY19-20'!$C$10:$C$172,Import!B1377,'FY19-20'!$Q$10:$Q$172)</f>
        <v>0</v>
      </c>
      <c r="F1377" s="182">
        <f t="shared" si="45"/>
        <v>0</v>
      </c>
      <c r="G1377" s="179" t="s">
        <v>408</v>
      </c>
      <c r="H1377" s="182">
        <v>1096</v>
      </c>
      <c r="J1377" s="181"/>
    </row>
    <row r="1378" spans="1:10" ht="14">
      <c r="A1378" s="183" t="s">
        <v>147</v>
      </c>
      <c r="B1378" s="178">
        <v>8296</v>
      </c>
      <c r="C1378" s="25" t="s">
        <v>146</v>
      </c>
      <c r="D1378" s="26">
        <v>43983</v>
      </c>
      <c r="E1378" s="182">
        <f>SUMIF('FY19-20'!$C$10:$C$172,Import!B1378,'FY19-20'!$Q$10:$Q$172)</f>
        <v>0</v>
      </c>
      <c r="F1378" s="182">
        <f t="shared" si="45"/>
        <v>0</v>
      </c>
      <c r="G1378" s="179" t="s">
        <v>408</v>
      </c>
      <c r="H1378" s="182">
        <v>1097</v>
      </c>
      <c r="J1378" s="181"/>
    </row>
    <row r="1379" spans="1:10" ht="14">
      <c r="A1379" s="183" t="s">
        <v>147</v>
      </c>
      <c r="B1379" s="178">
        <v>8299</v>
      </c>
      <c r="C1379" s="25" t="s">
        <v>146</v>
      </c>
      <c r="D1379" s="26">
        <v>43983</v>
      </c>
      <c r="E1379" s="182">
        <f>SUMIF('FY19-20'!$C$10:$C$172,Import!B1379,'FY19-20'!$Q$10:$Q$172)</f>
        <v>0</v>
      </c>
      <c r="F1379" s="182">
        <f t="shared" si="45"/>
        <v>0</v>
      </c>
      <c r="G1379" s="179" t="s">
        <v>408</v>
      </c>
      <c r="H1379" s="182">
        <v>1098</v>
      </c>
      <c r="J1379" s="181"/>
    </row>
    <row r="1380" spans="1:10" ht="14">
      <c r="A1380" s="183" t="s">
        <v>147</v>
      </c>
      <c r="B1380" s="178">
        <v>8311</v>
      </c>
      <c r="C1380" s="25" t="s">
        <v>146</v>
      </c>
      <c r="D1380" s="26">
        <v>43983</v>
      </c>
      <c r="E1380" s="182">
        <f>SUMIF('FY19-20'!$C$10:$C$172,Import!B1380,'FY19-20'!$Q$10:$Q$172)</f>
        <v>0</v>
      </c>
      <c r="F1380" s="182">
        <f t="shared" si="45"/>
        <v>0</v>
      </c>
      <c r="G1380" s="179" t="s">
        <v>408</v>
      </c>
      <c r="H1380" s="182">
        <v>1099</v>
      </c>
      <c r="J1380" s="181"/>
    </row>
    <row r="1381" spans="1:10" ht="14">
      <c r="A1381" s="183" t="s">
        <v>147</v>
      </c>
      <c r="B1381" s="178">
        <v>8520</v>
      </c>
      <c r="C1381" s="25" t="s">
        <v>146</v>
      </c>
      <c r="D1381" s="26">
        <v>43983</v>
      </c>
      <c r="E1381" s="182">
        <f>SUMIF('FY19-20'!$C$10:$C$172,Import!B1381,'FY19-20'!$Q$10:$Q$172)</f>
        <v>0</v>
      </c>
      <c r="F1381" s="182">
        <f t="shared" si="45"/>
        <v>0</v>
      </c>
      <c r="G1381" s="179" t="s">
        <v>408</v>
      </c>
      <c r="H1381" s="182">
        <v>1100</v>
      </c>
      <c r="J1381" s="181"/>
    </row>
    <row r="1382" spans="1:10" ht="14">
      <c r="A1382" s="183" t="s">
        <v>147</v>
      </c>
      <c r="B1382" s="178">
        <v>8545</v>
      </c>
      <c r="C1382" s="25" t="s">
        <v>146</v>
      </c>
      <c r="D1382" s="26">
        <v>43983</v>
      </c>
      <c r="E1382" s="182">
        <f>SUMIF('FY19-20'!$C$10:$C$172,Import!B1382,'FY19-20'!$Q$10:$Q$172)</f>
        <v>0</v>
      </c>
      <c r="F1382" s="182">
        <f t="shared" si="45"/>
        <v>0</v>
      </c>
      <c r="G1382" s="179" t="s">
        <v>408</v>
      </c>
      <c r="H1382" s="182">
        <v>1101</v>
      </c>
      <c r="J1382" s="181"/>
    </row>
    <row r="1383" spans="1:10" ht="14">
      <c r="A1383" s="183" t="s">
        <v>147</v>
      </c>
      <c r="B1383" s="178">
        <v>8550</v>
      </c>
      <c r="C1383" s="25" t="s">
        <v>146</v>
      </c>
      <c r="D1383" s="26">
        <v>43983</v>
      </c>
      <c r="E1383" s="182">
        <f>SUMIF('FY19-20'!$C$10:$C$172,Import!B1383,'FY19-20'!$Q$10:$Q$172)</f>
        <v>0</v>
      </c>
      <c r="F1383" s="182">
        <f t="shared" si="45"/>
        <v>0</v>
      </c>
      <c r="G1383" s="179" t="s">
        <v>408</v>
      </c>
      <c r="H1383" s="182">
        <v>1102</v>
      </c>
      <c r="J1383" s="181"/>
    </row>
    <row r="1384" spans="1:10" ht="14">
      <c r="A1384" s="183" t="s">
        <v>147</v>
      </c>
      <c r="B1384" s="178">
        <v>8560</v>
      </c>
      <c r="C1384" s="25" t="s">
        <v>146</v>
      </c>
      <c r="D1384" s="26">
        <v>43983</v>
      </c>
      <c r="E1384" s="182">
        <f>SUMIF('FY19-20'!$C$10:$C$172,Import!B1384,'FY19-20'!$Q$10:$Q$172)</f>
        <v>0</v>
      </c>
      <c r="F1384" s="182">
        <f t="shared" si="45"/>
        <v>0</v>
      </c>
      <c r="G1384" s="179" t="s">
        <v>408</v>
      </c>
      <c r="H1384" s="182">
        <v>1103</v>
      </c>
      <c r="J1384" s="181"/>
    </row>
    <row r="1385" spans="1:10" ht="14">
      <c r="A1385" s="183" t="s">
        <v>147</v>
      </c>
      <c r="B1385" s="178">
        <v>8598</v>
      </c>
      <c r="C1385" s="25" t="s">
        <v>146</v>
      </c>
      <c r="D1385" s="26">
        <v>43983</v>
      </c>
      <c r="E1385" s="182">
        <f>SUMIF('FY19-20'!$C$10:$C$172,Import!B1385,'FY19-20'!$Q$10:$Q$172)</f>
        <v>0</v>
      </c>
      <c r="F1385" s="182">
        <f t="shared" si="45"/>
        <v>0</v>
      </c>
      <c r="G1385" s="179" t="s">
        <v>408</v>
      </c>
      <c r="H1385" s="182">
        <v>1104</v>
      </c>
      <c r="J1385" s="181"/>
    </row>
    <row r="1386" spans="1:10" ht="14">
      <c r="A1386" s="183" t="s">
        <v>147</v>
      </c>
      <c r="B1386" s="178">
        <v>8599</v>
      </c>
      <c r="C1386" s="25" t="s">
        <v>146</v>
      </c>
      <c r="D1386" s="26">
        <v>43983</v>
      </c>
      <c r="E1386" s="182">
        <f>SUMIF('FY19-20'!$C$10:$C$172,Import!B1386,'FY19-20'!$Q$10:$Q$172)</f>
        <v>0</v>
      </c>
      <c r="F1386" s="182">
        <f t="shared" si="45"/>
        <v>0</v>
      </c>
      <c r="G1386" s="179" t="s">
        <v>408</v>
      </c>
      <c r="H1386" s="182">
        <v>1105</v>
      </c>
      <c r="J1386" s="181"/>
    </row>
    <row r="1387" spans="1:10" ht="14">
      <c r="A1387" s="183" t="s">
        <v>147</v>
      </c>
      <c r="B1387" s="178">
        <v>8634</v>
      </c>
      <c r="C1387" s="25" t="s">
        <v>146</v>
      </c>
      <c r="D1387" s="26">
        <v>43983</v>
      </c>
      <c r="E1387" s="182">
        <f>SUMIF('FY19-20'!$C$10:$C$172,Import!B1387,'FY19-20'!$Q$10:$Q$172)</f>
        <v>0</v>
      </c>
      <c r="F1387" s="182">
        <f t="shared" si="45"/>
        <v>0</v>
      </c>
      <c r="G1387" s="179" t="s">
        <v>408</v>
      </c>
      <c r="H1387" s="182">
        <v>1106</v>
      </c>
      <c r="J1387" s="181"/>
    </row>
    <row r="1388" spans="1:10" ht="14">
      <c r="A1388" s="183" t="s">
        <v>147</v>
      </c>
      <c r="B1388" s="178">
        <v>8650</v>
      </c>
      <c r="C1388" s="25" t="s">
        <v>146</v>
      </c>
      <c r="D1388" s="26">
        <v>43983</v>
      </c>
      <c r="E1388" s="182">
        <f>SUMIF('FY19-20'!$C$10:$C$172,Import!B1388,'FY19-20'!$Q$10:$Q$172)</f>
        <v>0</v>
      </c>
      <c r="F1388" s="182">
        <f t="shared" si="45"/>
        <v>0</v>
      </c>
      <c r="G1388" s="179" t="s">
        <v>408</v>
      </c>
      <c r="H1388" s="182">
        <v>1107</v>
      </c>
      <c r="J1388" s="181"/>
    </row>
    <row r="1389" spans="1:10" ht="14">
      <c r="A1389" s="183" t="s">
        <v>147</v>
      </c>
      <c r="B1389" s="178">
        <v>8660</v>
      </c>
      <c r="C1389" s="25" t="s">
        <v>146</v>
      </c>
      <c r="D1389" s="26">
        <v>43983</v>
      </c>
      <c r="E1389" s="182">
        <f>SUMIF('FY19-20'!$C$10:$C$172,Import!B1389,'FY19-20'!$Q$10:$Q$172)</f>
        <v>0</v>
      </c>
      <c r="F1389" s="182">
        <f t="shared" si="45"/>
        <v>0</v>
      </c>
      <c r="G1389" s="179" t="s">
        <v>408</v>
      </c>
      <c r="H1389" s="182">
        <v>1108</v>
      </c>
      <c r="J1389" s="181"/>
    </row>
    <row r="1390" spans="1:10" ht="14">
      <c r="A1390" s="183" t="s">
        <v>147</v>
      </c>
      <c r="B1390" s="178">
        <v>8689</v>
      </c>
      <c r="C1390" s="25" t="s">
        <v>146</v>
      </c>
      <c r="D1390" s="26">
        <v>43983</v>
      </c>
      <c r="E1390" s="182">
        <f>SUMIF('FY19-20'!$C$10:$C$172,Import!B1390,'FY19-20'!$Q$10:$Q$172)</f>
        <v>0</v>
      </c>
      <c r="F1390" s="182">
        <f t="shared" si="45"/>
        <v>0</v>
      </c>
      <c r="G1390" s="179" t="s">
        <v>408</v>
      </c>
      <c r="H1390" s="182">
        <v>1109</v>
      </c>
      <c r="J1390" s="181"/>
    </row>
    <row r="1391" spans="1:10" ht="14">
      <c r="A1391" s="183" t="s">
        <v>147</v>
      </c>
      <c r="B1391" s="178">
        <v>8698</v>
      </c>
      <c r="C1391" s="25" t="s">
        <v>146</v>
      </c>
      <c r="D1391" s="26">
        <v>43983</v>
      </c>
      <c r="E1391" s="182">
        <f>SUMIF('FY19-20'!$C$10:$C$172,Import!B1391,'FY19-20'!$Q$10:$Q$172)</f>
        <v>0</v>
      </c>
      <c r="F1391" s="182">
        <f t="shared" si="45"/>
        <v>0</v>
      </c>
      <c r="G1391" s="179" t="s">
        <v>408</v>
      </c>
      <c r="H1391" s="182">
        <v>1110</v>
      </c>
      <c r="J1391" s="181"/>
    </row>
    <row r="1392" spans="1:10" ht="14">
      <c r="A1392" s="183" t="s">
        <v>147</v>
      </c>
      <c r="B1392" s="178">
        <v>8699</v>
      </c>
      <c r="C1392" s="25" t="s">
        <v>146</v>
      </c>
      <c r="D1392" s="26">
        <v>43983</v>
      </c>
      <c r="E1392" s="182">
        <f>SUMIF('FY19-20'!$C$10:$C$172,Import!B1392,'FY19-20'!$Q$10:$Q$172)</f>
        <v>0</v>
      </c>
      <c r="F1392" s="182">
        <f t="shared" si="45"/>
        <v>0</v>
      </c>
      <c r="G1392" s="179" t="s">
        <v>408</v>
      </c>
      <c r="H1392" s="182">
        <v>1111</v>
      </c>
      <c r="J1392" s="181"/>
    </row>
    <row r="1393" spans="1:10" ht="14">
      <c r="A1393" s="183" t="s">
        <v>147</v>
      </c>
      <c r="B1393" s="178">
        <v>8980</v>
      </c>
      <c r="C1393" s="25" t="s">
        <v>146</v>
      </c>
      <c r="D1393" s="26">
        <v>43983</v>
      </c>
      <c r="E1393" s="182">
        <f>SUMIF('FY19-20'!$C$10:$C$172,Import!B1393,'FY19-20'!$Q$10:$Q$172)</f>
        <v>0</v>
      </c>
      <c r="F1393" s="182">
        <f t="shared" si="45"/>
        <v>0</v>
      </c>
      <c r="G1393" s="179" t="s">
        <v>408</v>
      </c>
      <c r="H1393" s="182">
        <v>1112</v>
      </c>
      <c r="J1393" s="181"/>
    </row>
    <row r="1394" spans="1:10" ht="14">
      <c r="A1394" s="183" t="s">
        <v>147</v>
      </c>
      <c r="B1394" s="178">
        <v>8990</v>
      </c>
      <c r="C1394" s="25" t="s">
        <v>146</v>
      </c>
      <c r="D1394" s="26">
        <v>43983</v>
      </c>
      <c r="E1394" s="182">
        <f>SUMIF('FY19-20'!$C$10:$C$172,Import!B1394,'FY19-20'!$Q$10:$Q$172)</f>
        <v>0</v>
      </c>
      <c r="F1394" s="182">
        <f t="shared" si="45"/>
        <v>0</v>
      </c>
      <c r="G1394" s="179" t="s">
        <v>408</v>
      </c>
      <c r="H1394" s="182">
        <v>1113</v>
      </c>
      <c r="J1394" s="181"/>
    </row>
    <row r="1395" spans="1:10">
      <c r="E1395" s="179"/>
    </row>
  </sheetData>
  <sortState xmlns:xlrd2="http://schemas.microsoft.com/office/spreadsheetml/2017/richdata2" ref="B111:B384">
    <sortCondition ref="B1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6"/>
  <sheetViews>
    <sheetView view="pageBreakPreview" zoomScale="115" zoomScaleNormal="130" zoomScaleSheetLayoutView="115" workbookViewId="0">
      <pane xSplit="5" ySplit="5" topLeftCell="F6" activePane="bottomRight" state="frozen"/>
      <selection activeCell="I11" sqref="I11"/>
      <selection pane="topRight" activeCell="I11" sqref="I11"/>
      <selection pane="bottomLeft" activeCell="I11" sqref="I11"/>
      <selection pane="bottomRight" activeCell="H21" sqref="H21"/>
    </sheetView>
  </sheetViews>
  <sheetFormatPr baseColWidth="10" defaultColWidth="9.1640625" defaultRowHeight="15"/>
  <cols>
    <col min="1" max="1" width="2.6640625" style="188" customWidth="1"/>
    <col min="2" max="2" width="2.6640625" style="54" customWidth="1"/>
    <col min="3" max="3" width="1.5" style="54" customWidth="1"/>
    <col min="4" max="4" width="4.6640625" style="62" customWidth="1"/>
    <col min="5" max="5" width="27" style="62" customWidth="1"/>
    <col min="6" max="6" width="7.83203125" style="140" hidden="1" customWidth="1"/>
    <col min="7" max="7" width="1.6640625" style="63" hidden="1" customWidth="1"/>
    <col min="8" max="8" width="12" style="140" bestFit="1" customWidth="1"/>
    <col min="9" max="9" width="1.6640625" style="63" customWidth="1"/>
    <col min="10" max="10" width="12" style="140" bestFit="1" customWidth="1"/>
    <col min="11" max="11" width="1.6640625" style="63" customWidth="1"/>
    <col min="12" max="12" width="12" style="140" bestFit="1" customWidth="1"/>
    <col min="13" max="13" width="1.6640625" style="62" customWidth="1"/>
    <col min="14" max="14" width="12" style="140" bestFit="1" customWidth="1"/>
    <col min="15" max="15" width="1.5" style="62" customWidth="1"/>
    <col min="16" max="16" width="12" style="140" bestFit="1" customWidth="1"/>
    <col min="17" max="17" width="0.33203125" style="188" customWidth="1"/>
    <col min="18" max="16384" width="9.1640625" style="188"/>
  </cols>
  <sheetData>
    <row r="1" spans="1:24" ht="21">
      <c r="A1" s="678" t="s">
        <v>791</v>
      </c>
      <c r="D1" s="54"/>
      <c r="E1" s="54"/>
      <c r="F1" s="233"/>
      <c r="H1" s="233"/>
      <c r="J1" s="233"/>
      <c r="L1" s="233"/>
      <c r="N1" s="233"/>
      <c r="P1" s="233"/>
    </row>
    <row r="2" spans="1:24">
      <c r="A2" s="56" t="s">
        <v>222</v>
      </c>
      <c r="C2" s="57"/>
      <c r="D2" s="57"/>
      <c r="E2" s="57"/>
    </row>
    <row r="3" spans="1:24">
      <c r="A3" s="61" t="str">
        <f>'FY19-20'!A3</f>
        <v>Revised 08/06/20</v>
      </c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</row>
    <row r="4" spans="1:24">
      <c r="B4" s="61"/>
      <c r="F4" s="676" t="s">
        <v>221</v>
      </c>
      <c r="G4" s="677"/>
      <c r="H4" s="676" t="s">
        <v>253</v>
      </c>
      <c r="I4" s="677"/>
      <c r="J4" s="676" t="s">
        <v>323</v>
      </c>
      <c r="K4" s="677"/>
      <c r="L4" s="676" t="s">
        <v>332</v>
      </c>
      <c r="M4" s="677"/>
      <c r="N4" s="676" t="s">
        <v>340</v>
      </c>
      <c r="O4" s="677"/>
      <c r="P4" s="676" t="s">
        <v>406</v>
      </c>
      <c r="S4" s="219" t="str">
        <f>+F4</f>
        <v>2018-19</v>
      </c>
      <c r="T4" s="219" t="str">
        <f>+H4</f>
        <v>2019-20</v>
      </c>
      <c r="U4" s="219" t="str">
        <f>+J4</f>
        <v>2020-21</v>
      </c>
    </row>
    <row r="5" spans="1:24">
      <c r="B5" s="227"/>
      <c r="C5" s="227"/>
      <c r="D5" s="227"/>
      <c r="E5" s="227"/>
      <c r="F5" s="675" t="s">
        <v>172</v>
      </c>
      <c r="G5" s="247"/>
      <c r="H5" s="675" t="s">
        <v>172</v>
      </c>
      <c r="I5" s="247"/>
      <c r="J5" s="675" t="s">
        <v>172</v>
      </c>
      <c r="K5" s="248"/>
      <c r="L5" s="675" t="str">
        <f>J5</f>
        <v>Forecast</v>
      </c>
      <c r="M5" s="247"/>
      <c r="N5" s="675" t="str">
        <f>L5</f>
        <v>Forecast</v>
      </c>
      <c r="O5" s="247"/>
      <c r="P5" s="675" t="str">
        <f>N5</f>
        <v>Forecast</v>
      </c>
      <c r="S5" s="188" t="s">
        <v>563</v>
      </c>
    </row>
    <row r="6" spans="1:24">
      <c r="B6" s="451" t="s">
        <v>333</v>
      </c>
      <c r="C6" s="227"/>
      <c r="D6" s="227"/>
      <c r="E6" s="227"/>
      <c r="F6" s="65"/>
      <c r="G6" s="247"/>
      <c r="H6" s="65"/>
      <c r="I6" s="247"/>
      <c r="J6" s="65"/>
      <c r="K6" s="248"/>
      <c r="L6" s="65"/>
      <c r="M6" s="247"/>
      <c r="N6" s="65"/>
      <c r="O6" s="247"/>
      <c r="P6" s="65"/>
    </row>
    <row r="7" spans="1:24">
      <c r="B7" s="451"/>
      <c r="C7" s="227"/>
      <c r="D7" s="670"/>
      <c r="E7" s="671" t="s">
        <v>397</v>
      </c>
      <c r="F7" s="672">
        <f>LCFF!F6</f>
        <v>3.6999999999999998E-2</v>
      </c>
      <c r="G7" s="672"/>
      <c r="H7" s="672">
        <f>LCFF!H6</f>
        <v>3.2599999999999997E-2</v>
      </c>
      <c r="I7" s="672"/>
      <c r="J7" s="672">
        <f>LCFF!J6</f>
        <v>2.29E-2</v>
      </c>
      <c r="K7" s="672"/>
      <c r="L7" s="672">
        <f>LCFF!L6</f>
        <v>2.7099999999999999E-2</v>
      </c>
      <c r="M7" s="672"/>
      <c r="N7" s="672">
        <f>LCFF!N6</f>
        <v>2.8199999999999999E-2</v>
      </c>
      <c r="O7" s="672"/>
      <c r="P7" s="673">
        <f>LCFF!P6</f>
        <v>0</v>
      </c>
    </row>
    <row r="8" spans="1:24">
      <c r="B8" s="188"/>
      <c r="C8" s="96"/>
      <c r="D8" s="452"/>
      <c r="E8" s="234" t="s">
        <v>398</v>
      </c>
      <c r="F8" s="666" t="s">
        <v>229</v>
      </c>
      <c r="G8" s="667"/>
      <c r="H8" s="666" t="s">
        <v>229</v>
      </c>
      <c r="I8" s="95"/>
      <c r="J8" s="668">
        <v>0</v>
      </c>
      <c r="K8" s="230"/>
      <c r="L8" s="668">
        <v>0</v>
      </c>
      <c r="M8" s="230"/>
      <c r="N8" s="668">
        <v>0</v>
      </c>
      <c r="O8" s="230"/>
      <c r="P8" s="669">
        <v>0</v>
      </c>
    </row>
    <row r="9" spans="1:24">
      <c r="B9" s="188"/>
      <c r="C9" s="96"/>
      <c r="D9" s="652"/>
      <c r="E9" s="653" t="s">
        <v>230</v>
      </c>
      <c r="F9" s="654" t="s">
        <v>229</v>
      </c>
      <c r="G9" s="655"/>
      <c r="H9" s="657">
        <v>0.02</v>
      </c>
      <c r="I9" s="656"/>
      <c r="J9" s="657">
        <v>0.02</v>
      </c>
      <c r="K9" s="658"/>
      <c r="L9" s="657">
        <v>0.02</v>
      </c>
      <c r="M9" s="658"/>
      <c r="N9" s="657">
        <v>0.02</v>
      </c>
      <c r="O9" s="658"/>
      <c r="P9" s="659">
        <v>0.02</v>
      </c>
    </row>
    <row r="10" spans="1:24">
      <c r="B10" s="188"/>
      <c r="C10" s="96"/>
      <c r="D10" s="452"/>
      <c r="E10" s="234" t="s">
        <v>61</v>
      </c>
      <c r="F10" s="328">
        <f>LCFF!F16</f>
        <v>0</v>
      </c>
      <c r="G10" s="95"/>
      <c r="H10" s="328">
        <f>H11/'Revenue Inputs'!$D$6</f>
        <v>3246.8979591836737</v>
      </c>
      <c r="I10" s="95"/>
      <c r="J10" s="328">
        <f>J11/'Revenue Inputs'!$D$6</f>
        <v>3225.9999999999995</v>
      </c>
      <c r="K10" s="230"/>
      <c r="L10" s="328">
        <f>L11/'Revenue Inputs'!$D$6</f>
        <v>3225.9999999999995</v>
      </c>
      <c r="M10" s="230"/>
      <c r="N10" s="328">
        <f>N11/'Revenue Inputs'!$D$6</f>
        <v>3388</v>
      </c>
      <c r="O10" s="230"/>
      <c r="P10" s="453">
        <f>P11/'Revenue Inputs'!$D$6</f>
        <v>3558.9999999999995</v>
      </c>
    </row>
    <row r="11" spans="1:24">
      <c r="B11" s="188"/>
      <c r="C11" s="96"/>
      <c r="D11" s="660"/>
      <c r="E11" s="661" t="s">
        <v>334</v>
      </c>
      <c r="F11" s="662">
        <f>LCFF!F23</f>
        <v>0</v>
      </c>
      <c r="G11" s="663"/>
      <c r="H11" s="662">
        <f>LCFF!H23</f>
        <v>3181.96</v>
      </c>
      <c r="I11" s="663"/>
      <c r="J11" s="662">
        <f>LCFF!J23</f>
        <v>3161.4799999999996</v>
      </c>
      <c r="K11" s="664"/>
      <c r="L11" s="662">
        <f>LCFF!L23</f>
        <v>3161.4799999999996</v>
      </c>
      <c r="M11" s="664"/>
      <c r="N11" s="662">
        <f>LCFF!N23</f>
        <v>3320.24</v>
      </c>
      <c r="O11" s="664"/>
      <c r="P11" s="665">
        <f>LCFF!P23</f>
        <v>3487.8199999999997</v>
      </c>
    </row>
    <row r="12" spans="1:24" s="203" customFormat="1" ht="6.5" customHeight="1">
      <c r="B12" s="451"/>
      <c r="C12" s="447"/>
      <c r="D12" s="447"/>
      <c r="E12" s="448"/>
      <c r="F12" s="449"/>
      <c r="G12" s="450"/>
      <c r="H12" s="449"/>
      <c r="I12" s="450"/>
      <c r="J12" s="449"/>
      <c r="K12" s="450"/>
      <c r="L12" s="449"/>
      <c r="M12" s="450"/>
      <c r="N12" s="449"/>
      <c r="O12" s="450"/>
      <c r="P12" s="449"/>
    </row>
    <row r="13" spans="1:24">
      <c r="B13" s="246" t="s">
        <v>9</v>
      </c>
      <c r="C13" s="96"/>
      <c r="D13" s="22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</row>
    <row r="14" spans="1:24">
      <c r="B14" s="96"/>
      <c r="C14" s="96" t="s">
        <v>255</v>
      </c>
      <c r="D14" s="228"/>
      <c r="E14" s="229"/>
      <c r="F14" s="235"/>
      <c r="G14" s="95"/>
      <c r="H14" s="235"/>
      <c r="I14" s="95"/>
      <c r="J14" s="235"/>
      <c r="K14" s="94"/>
      <c r="L14" s="235"/>
      <c r="M14" s="95"/>
      <c r="N14" s="235"/>
      <c r="O14" s="95"/>
      <c r="P14" s="235"/>
      <c r="U14" s="219"/>
      <c r="V14" s="219"/>
      <c r="W14" s="219"/>
      <c r="X14" s="219"/>
    </row>
    <row r="15" spans="1:24">
      <c r="B15" s="120"/>
      <c r="C15" s="120" t="s">
        <v>186</v>
      </c>
      <c r="D15" s="231">
        <v>8011</v>
      </c>
      <c r="E15" s="223" t="s">
        <v>258</v>
      </c>
      <c r="F15" s="236">
        <f>'FY18-19'!S15</f>
        <v>0</v>
      </c>
      <c r="G15" s="95"/>
      <c r="H15" s="236">
        <f>'FY19-20'!S15</f>
        <v>27437557</v>
      </c>
      <c r="I15" s="95"/>
      <c r="J15" s="236">
        <f>LCFF!J46-'Multi-Year'!J16-'Multi-Year'!J18</f>
        <v>27917108.56782141</v>
      </c>
      <c r="K15" s="236"/>
      <c r="L15" s="236">
        <f>LCFF!L46-'Multi-Year'!L16-'Multi-Year'!L18</f>
        <v>28712906.867562208</v>
      </c>
      <c r="M15" s="236"/>
      <c r="N15" s="236">
        <f>LCFF!N46-'Multi-Year'!N16-'Multi-Year'!N18</f>
        <v>31049174.237003572</v>
      </c>
      <c r="O15" s="236"/>
      <c r="P15" s="236">
        <f>LCFF!P46-'Multi-Year'!P16-'Multi-Year'!P18</f>
        <v>32616429.954594731</v>
      </c>
      <c r="R15" s="219"/>
    </row>
    <row r="16" spans="1:24">
      <c r="B16" s="120"/>
      <c r="C16" s="120" t="s">
        <v>186</v>
      </c>
      <c r="D16" s="231">
        <v>8012</v>
      </c>
      <c r="E16" s="223" t="s">
        <v>257</v>
      </c>
      <c r="F16" s="236">
        <f>'FY18-19'!S16</f>
        <v>0</v>
      </c>
      <c r="G16" s="95"/>
      <c r="H16" s="236">
        <f>'FY19-20'!S16</f>
        <v>636364</v>
      </c>
      <c r="I16" s="95"/>
      <c r="J16" s="236">
        <f>J11*200</f>
        <v>632295.99999999988</v>
      </c>
      <c r="K16" s="236"/>
      <c r="L16" s="236">
        <f>L11*200</f>
        <v>632295.99999999988</v>
      </c>
      <c r="M16" s="236"/>
      <c r="N16" s="236">
        <f>N11*200</f>
        <v>664048</v>
      </c>
      <c r="O16" s="236"/>
      <c r="P16" s="236">
        <f>P11*200</f>
        <v>697564</v>
      </c>
      <c r="R16" s="219"/>
    </row>
    <row r="17" spans="2:18" hidden="1">
      <c r="B17" s="120"/>
      <c r="C17" s="120" t="s">
        <v>186</v>
      </c>
      <c r="D17" s="231">
        <v>8019</v>
      </c>
      <c r="E17" s="223" t="s">
        <v>256</v>
      </c>
      <c r="F17" s="236">
        <f>'FY18-19'!S17</f>
        <v>0</v>
      </c>
      <c r="G17" s="95"/>
      <c r="H17" s="236">
        <f>'FY19-20'!S17</f>
        <v>0</v>
      </c>
      <c r="I17" s="95"/>
      <c r="J17" s="236">
        <v>0</v>
      </c>
      <c r="K17" s="236"/>
      <c r="L17" s="236">
        <v>0</v>
      </c>
      <c r="M17" s="236"/>
      <c r="N17" s="236">
        <v>0</v>
      </c>
      <c r="O17" s="236"/>
      <c r="P17" s="236">
        <v>0</v>
      </c>
      <c r="R17" s="219"/>
    </row>
    <row r="18" spans="2:18">
      <c r="B18" s="120"/>
      <c r="C18" s="120" t="s">
        <v>186</v>
      </c>
      <c r="D18" s="231">
        <v>8096</v>
      </c>
      <c r="E18" s="105" t="s">
        <v>8</v>
      </c>
      <c r="F18" s="236">
        <f>'FY18-19'!S18</f>
        <v>0</v>
      </c>
      <c r="G18" s="95"/>
      <c r="H18" s="236">
        <f>'FY19-20'!S18</f>
        <v>841560</v>
      </c>
      <c r="I18" s="95"/>
      <c r="J18" s="236">
        <f>(H18/H$11*J$11)*(1+J$8)</f>
        <v>836143.48037058907</v>
      </c>
      <c r="K18" s="95"/>
      <c r="L18" s="236">
        <f>(J18/J$11*L$11)*(1+L$8)</f>
        <v>836143.48037058907</v>
      </c>
      <c r="M18" s="95"/>
      <c r="N18" s="236">
        <f>(L18/L$11*N$11)*(1+N$8)</f>
        <v>878132.08663842408</v>
      </c>
      <c r="O18" s="95"/>
      <c r="P18" s="236">
        <f>(N18/N$11*P$11)*(1+P$8)</f>
        <v>922453.39325447194</v>
      </c>
      <c r="R18" s="219"/>
    </row>
    <row r="19" spans="2:18">
      <c r="B19" s="96"/>
      <c r="C19" s="96" t="s">
        <v>186</v>
      </c>
      <c r="D19" s="231"/>
      <c r="E19" s="105"/>
      <c r="F19" s="215">
        <f>SUM(F15:F18)</f>
        <v>0</v>
      </c>
      <c r="G19" s="95"/>
      <c r="H19" s="215">
        <f>SUM(H15:H18)</f>
        <v>28915481</v>
      </c>
      <c r="I19" s="95"/>
      <c r="J19" s="215">
        <f>SUM(J15:J18)</f>
        <v>29385548.048191998</v>
      </c>
      <c r="K19" s="94"/>
      <c r="L19" s="215">
        <f>SUM(L15:L18)</f>
        <v>30181346.347932797</v>
      </c>
      <c r="M19" s="94"/>
      <c r="N19" s="215">
        <f>SUM(N15:N18)</f>
        <v>32591354.323641997</v>
      </c>
      <c r="O19" s="94"/>
      <c r="P19" s="215">
        <f>SUM(P15:P18)</f>
        <v>34236447.347849205</v>
      </c>
      <c r="R19" s="219"/>
    </row>
    <row r="20" spans="2:18">
      <c r="B20" s="91"/>
      <c r="C20" s="91" t="s">
        <v>282</v>
      </c>
      <c r="D20" s="91"/>
      <c r="E20" s="91"/>
      <c r="F20" s="94"/>
      <c r="G20" s="95"/>
      <c r="H20" s="94"/>
      <c r="I20" s="95"/>
      <c r="J20" s="94"/>
      <c r="K20" s="94"/>
      <c r="L20" s="94"/>
      <c r="M20" s="95"/>
      <c r="N20" s="94"/>
      <c r="O20" s="95"/>
      <c r="P20" s="94"/>
      <c r="R20" s="219"/>
    </row>
    <row r="21" spans="2:18">
      <c r="B21" s="91"/>
      <c r="C21" s="91" t="s">
        <v>186</v>
      </c>
      <c r="D21" s="231">
        <v>8181</v>
      </c>
      <c r="E21" s="105" t="s">
        <v>315</v>
      </c>
      <c r="F21" s="236">
        <f>'FY18-19'!S21</f>
        <v>0</v>
      </c>
      <c r="G21" s="214"/>
      <c r="H21" s="236">
        <f>'FY19-20'!S21</f>
        <v>0</v>
      </c>
      <c r="I21" s="214"/>
      <c r="J21" s="236">
        <f>('Revenue Inputs'!G7*J$11)*(1+J$8)</f>
        <v>328793.91999999993</v>
      </c>
      <c r="K21" s="95"/>
      <c r="L21" s="236">
        <f t="shared" ref="L21:L22" si="0">$J21/J$11*L$11</f>
        <v>328793.91999999993</v>
      </c>
      <c r="M21" s="236"/>
      <c r="N21" s="236">
        <f t="shared" ref="N21:N22" si="1">$L21/L$11*N$11</f>
        <v>345304.9599999999</v>
      </c>
      <c r="O21" s="236"/>
      <c r="P21" s="236">
        <f t="shared" ref="P21:P22" si="2">$N21/N$11*P$11</f>
        <v>362733.27999999985</v>
      </c>
      <c r="R21" s="219"/>
    </row>
    <row r="22" spans="2:18" hidden="1">
      <c r="B22" s="91"/>
      <c r="C22" s="91" t="s">
        <v>186</v>
      </c>
      <c r="D22" s="231">
        <v>8182</v>
      </c>
      <c r="E22" s="105" t="s">
        <v>270</v>
      </c>
      <c r="F22" s="236">
        <f>'FY18-19'!S22</f>
        <v>0</v>
      </c>
      <c r="G22" s="214"/>
      <c r="H22" s="236">
        <f>'FY19-20'!S22</f>
        <v>0</v>
      </c>
      <c r="I22" s="214"/>
      <c r="J22" s="236">
        <f t="shared" ref="J22" si="3">$H22/H$11*J$11</f>
        <v>0</v>
      </c>
      <c r="K22" s="95"/>
      <c r="L22" s="236">
        <f t="shared" si="0"/>
        <v>0</v>
      </c>
      <c r="M22" s="236"/>
      <c r="N22" s="236">
        <f t="shared" si="1"/>
        <v>0</v>
      </c>
      <c r="O22" s="236"/>
      <c r="P22" s="236">
        <f t="shared" si="2"/>
        <v>0</v>
      </c>
      <c r="R22" s="219"/>
    </row>
    <row r="23" spans="2:18" hidden="1">
      <c r="B23" s="91"/>
      <c r="C23" s="91" t="s">
        <v>186</v>
      </c>
      <c r="D23" s="231">
        <v>8220</v>
      </c>
      <c r="E23" s="105" t="s">
        <v>12</v>
      </c>
      <c r="F23" s="236">
        <f>'FY18-19'!S23</f>
        <v>0</v>
      </c>
      <c r="G23" s="95"/>
      <c r="H23" s="236">
        <f>'FY19-20'!S23</f>
        <v>0</v>
      </c>
      <c r="I23" s="95"/>
      <c r="J23" s="236">
        <f>$H23/H$11*J$11</f>
        <v>0</v>
      </c>
      <c r="K23" s="95"/>
      <c r="L23" s="236">
        <f>$J23/J$11*L$11</f>
        <v>0</v>
      </c>
      <c r="M23" s="236"/>
      <c r="N23" s="236">
        <f>$L23/L$11*N$11</f>
        <v>0</v>
      </c>
      <c r="O23" s="236"/>
      <c r="P23" s="236">
        <f>$N23/N$11*P$11</f>
        <v>0</v>
      </c>
      <c r="R23" s="219"/>
    </row>
    <row r="24" spans="2:18" hidden="1">
      <c r="B24" s="91"/>
      <c r="C24" s="91" t="s">
        <v>186</v>
      </c>
      <c r="D24" s="231">
        <v>8290</v>
      </c>
      <c r="E24" s="105" t="s">
        <v>116</v>
      </c>
      <c r="F24" s="236">
        <f>'FY18-19'!S24</f>
        <v>0</v>
      </c>
      <c r="G24" s="95"/>
      <c r="H24" s="236">
        <f>'FY19-20'!S24</f>
        <v>0</v>
      </c>
      <c r="I24" s="95"/>
      <c r="J24" s="236">
        <f t="shared" ref="J24:J25" si="4">$H24/H$11*J$11</f>
        <v>0</v>
      </c>
      <c r="K24" s="95"/>
      <c r="L24" s="236">
        <f>(J24/J$11*L$11)*(1+L$8)</f>
        <v>0</v>
      </c>
      <c r="M24" s="95"/>
      <c r="N24" s="236">
        <f>(L24/L$11*N$11)*(1+N$8)</f>
        <v>0</v>
      </c>
      <c r="O24" s="95"/>
      <c r="P24" s="236">
        <f>(N24/N$11*P$11)*(1+P$8)</f>
        <v>0</v>
      </c>
      <c r="R24" s="219"/>
    </row>
    <row r="25" spans="2:18" hidden="1">
      <c r="B25" s="91"/>
      <c r="C25" s="91" t="s">
        <v>186</v>
      </c>
      <c r="D25" s="231">
        <v>8291</v>
      </c>
      <c r="E25" s="105" t="s">
        <v>117</v>
      </c>
      <c r="F25" s="236">
        <f>'FY18-19'!S25</f>
        <v>0</v>
      </c>
      <c r="G25" s="95"/>
      <c r="H25" s="236">
        <f>'FY19-20'!S25</f>
        <v>0</v>
      </c>
      <c r="I25" s="95"/>
      <c r="J25" s="236">
        <f t="shared" si="4"/>
        <v>0</v>
      </c>
      <c r="K25" s="95"/>
      <c r="L25" s="236">
        <f>(J25/J$11*L$11)*(1+L$8)</f>
        <v>0</v>
      </c>
      <c r="M25" s="95"/>
      <c r="N25" s="236">
        <f>(L25/L$11*N$11)*(1+N$8)</f>
        <v>0</v>
      </c>
      <c r="O25" s="95"/>
      <c r="P25" s="236">
        <f>(N25/N$11*P$11)*(1+P$8)</f>
        <v>0</v>
      </c>
      <c r="R25" s="219"/>
    </row>
    <row r="26" spans="2:18" hidden="1">
      <c r="B26" s="91"/>
      <c r="C26" s="91" t="s">
        <v>186</v>
      </c>
      <c r="D26" s="231">
        <v>8293</v>
      </c>
      <c r="E26" s="105" t="s">
        <v>118</v>
      </c>
      <c r="F26" s="236">
        <f>'FY18-19'!S26</f>
        <v>0</v>
      </c>
      <c r="G26" s="95"/>
      <c r="H26" s="236">
        <f>'FY19-20'!S26</f>
        <v>0</v>
      </c>
      <c r="I26" s="95"/>
      <c r="J26" s="236">
        <f>(H26/H$11*J$11)*(1+J$8)</f>
        <v>0</v>
      </c>
      <c r="K26" s="95"/>
      <c r="L26" s="236">
        <f>(J26/J$11*L$11)*(1+L$8)</f>
        <v>0</v>
      </c>
      <c r="M26" s="95"/>
      <c r="N26" s="236">
        <f>(L26/L$11*N$11)*(1+N$8)</f>
        <v>0</v>
      </c>
      <c r="O26" s="95"/>
      <c r="P26" s="236">
        <f>(N26/N$11*P$11)*(1+P$8)</f>
        <v>0</v>
      </c>
      <c r="R26" s="219"/>
    </row>
    <row r="27" spans="2:18" hidden="1">
      <c r="B27" s="91"/>
      <c r="C27" s="91" t="s">
        <v>186</v>
      </c>
      <c r="D27" s="231">
        <v>8294</v>
      </c>
      <c r="E27" s="105" t="s">
        <v>263</v>
      </c>
      <c r="F27" s="236">
        <f>'FY18-19'!S27</f>
        <v>0</v>
      </c>
      <c r="G27" s="95"/>
      <c r="H27" s="236">
        <f>'FY19-20'!S27</f>
        <v>0</v>
      </c>
      <c r="I27" s="95"/>
      <c r="J27" s="236">
        <v>0</v>
      </c>
      <c r="K27" s="95"/>
      <c r="L27" s="236">
        <v>0</v>
      </c>
      <c r="M27" s="95"/>
      <c r="N27" s="236">
        <v>0</v>
      </c>
      <c r="O27" s="95"/>
      <c r="P27" s="236">
        <v>0</v>
      </c>
      <c r="R27" s="219"/>
    </row>
    <row r="28" spans="2:18" hidden="1">
      <c r="B28" s="91"/>
      <c r="C28" s="91" t="s">
        <v>186</v>
      </c>
      <c r="D28" s="231">
        <v>8295</v>
      </c>
      <c r="E28" s="105" t="s">
        <v>264</v>
      </c>
      <c r="F28" s="236">
        <f>'FY18-19'!S28</f>
        <v>0</v>
      </c>
      <c r="G28" s="95"/>
      <c r="H28" s="236">
        <f>'FY19-20'!S28</f>
        <v>0</v>
      </c>
      <c r="I28" s="95"/>
      <c r="J28" s="236">
        <f>(H28/H$11*J$11)*(1+J$8)</f>
        <v>0</v>
      </c>
      <c r="K28" s="95"/>
      <c r="L28" s="236">
        <f>(J28/J$11*L$11)*(1+L$8)</f>
        <v>0</v>
      </c>
      <c r="M28" s="95"/>
      <c r="N28" s="236">
        <f>(L28/L$11*N$11)*(1+N$8)</f>
        <v>0</v>
      </c>
      <c r="O28" s="95"/>
      <c r="P28" s="236">
        <f>(N28/N$11*P$11)*(1+P$8)</f>
        <v>0</v>
      </c>
      <c r="R28" s="219"/>
    </row>
    <row r="29" spans="2:18" hidden="1">
      <c r="B29" s="91"/>
      <c r="C29" s="91" t="s">
        <v>186</v>
      </c>
      <c r="D29" s="231">
        <v>8296</v>
      </c>
      <c r="E29" s="105" t="s">
        <v>133</v>
      </c>
      <c r="F29" s="236">
        <f>'FY18-19'!S29</f>
        <v>0</v>
      </c>
      <c r="G29" s="95"/>
      <c r="H29" s="236">
        <f>'FY19-20'!S29</f>
        <v>197783.36000000002</v>
      </c>
      <c r="I29" s="95"/>
      <c r="J29" s="236">
        <f>(H29/H$11*J$11)*(1+J$8)</f>
        <v>196510.37001495931</v>
      </c>
      <c r="K29" s="95"/>
      <c r="L29" s="236">
        <f>(J29/J$11*L$11)*(1+L$8)</f>
        <v>196510.37001495931</v>
      </c>
      <c r="M29" s="95"/>
      <c r="N29" s="236">
        <f>(L29/L$11*N$11)*(1+N$8)</f>
        <v>206378.52870758902</v>
      </c>
      <c r="O29" s="95"/>
      <c r="P29" s="236">
        <f>(N29/N$11*P$11)*(1+P$8)</f>
        <v>216794.91843869814</v>
      </c>
      <c r="R29" s="219"/>
    </row>
    <row r="30" spans="2:18" hidden="1">
      <c r="B30" s="91"/>
      <c r="C30" s="91"/>
      <c r="D30" s="102">
        <v>8299</v>
      </c>
      <c r="E30" s="103" t="s">
        <v>385</v>
      </c>
      <c r="F30" s="236">
        <f>'FY18-19'!S30</f>
        <v>0</v>
      </c>
      <c r="G30" s="95"/>
      <c r="H30" s="236">
        <f>'FY19-20'!S30</f>
        <v>0</v>
      </c>
      <c r="I30" s="95"/>
      <c r="J30" s="236">
        <f>(H30/H$11*J$11)*(1+J$8)</f>
        <v>0</v>
      </c>
      <c r="K30" s="95"/>
      <c r="L30" s="236">
        <f>(J30/J$11*L$11)*(1+L$8)</f>
        <v>0</v>
      </c>
      <c r="M30" s="95"/>
      <c r="N30" s="236">
        <f>(L30/L$11*N$11)*(1+N$8)</f>
        <v>0</v>
      </c>
      <c r="O30" s="95"/>
      <c r="P30" s="236">
        <f>(N30/N$11*P$11)*(1+P$8)</f>
        <v>0</v>
      </c>
      <c r="R30" s="219"/>
    </row>
    <row r="31" spans="2:18">
      <c r="B31" s="120"/>
      <c r="C31" s="120" t="s">
        <v>186</v>
      </c>
      <c r="D31" s="120"/>
      <c r="E31" s="232"/>
      <c r="F31" s="237">
        <f>SUM(F21:F30)</f>
        <v>0</v>
      </c>
      <c r="G31" s="236"/>
      <c r="H31" s="237">
        <f t="shared" ref="H31:P31" si="5">SUM(H21:H30)</f>
        <v>197783.36000000002</v>
      </c>
      <c r="I31" s="236"/>
      <c r="J31" s="237">
        <f t="shared" si="5"/>
        <v>525304.29001495917</v>
      </c>
      <c r="K31" s="236"/>
      <c r="L31" s="237">
        <f t="shared" si="5"/>
        <v>525304.29001495917</v>
      </c>
      <c r="M31" s="236"/>
      <c r="N31" s="237">
        <f t="shared" si="5"/>
        <v>551683.48870758899</v>
      </c>
      <c r="O31" s="236"/>
      <c r="P31" s="237">
        <f t="shared" si="5"/>
        <v>579528.19843869796</v>
      </c>
      <c r="R31" s="219"/>
    </row>
    <row r="32" spans="2:18">
      <c r="B32" s="91"/>
      <c r="C32" s="96" t="s">
        <v>168</v>
      </c>
      <c r="D32" s="91"/>
      <c r="E32" s="91"/>
      <c r="F32" s="235"/>
      <c r="G32" s="95"/>
      <c r="H32" s="235"/>
      <c r="I32" s="95"/>
      <c r="J32" s="235"/>
      <c r="K32" s="94"/>
      <c r="L32" s="235"/>
      <c r="M32" s="95"/>
      <c r="N32" s="235"/>
      <c r="O32" s="95"/>
      <c r="P32" s="235"/>
      <c r="R32" s="219"/>
    </row>
    <row r="33" spans="2:18">
      <c r="B33" s="91"/>
      <c r="C33" s="91" t="s">
        <v>186</v>
      </c>
      <c r="D33" s="231">
        <v>8311</v>
      </c>
      <c r="E33" s="105" t="s">
        <v>261</v>
      </c>
      <c r="F33" s="236">
        <f>'FY18-19'!S33</f>
        <v>0</v>
      </c>
      <c r="G33" s="119"/>
      <c r="H33" s="236">
        <f>'FY19-20'!S33</f>
        <v>1769831.28</v>
      </c>
      <c r="I33" s="119"/>
      <c r="J33" s="236">
        <f>('Revenue Inputs'!G18*J$11)*(1+J$8)</f>
        <v>1605210.8286200657</v>
      </c>
      <c r="K33" s="95"/>
      <c r="L33" s="236">
        <f>(J33/J$11*L$11)*(1+L$8)</f>
        <v>1605210.8286200657</v>
      </c>
      <c r="M33" s="95"/>
      <c r="N33" s="236">
        <f>(L33/L$11*N$11)*(1+N$8)</f>
        <v>1685819.6799022886</v>
      </c>
      <c r="O33" s="95"/>
      <c r="P33" s="236">
        <f>(N33/N$11*P$11)*(1+P$8)</f>
        <v>1770906.8007001905</v>
      </c>
      <c r="R33" s="219"/>
    </row>
    <row r="34" spans="2:18" hidden="1">
      <c r="B34" s="91"/>
      <c r="C34" s="91" t="s">
        <v>186</v>
      </c>
      <c r="D34" s="231">
        <v>8520</v>
      </c>
      <c r="E34" s="105" t="s">
        <v>121</v>
      </c>
      <c r="F34" s="236">
        <f>'FY18-19'!S34</f>
        <v>0</v>
      </c>
      <c r="G34" s="95"/>
      <c r="H34" s="236">
        <f>'FY19-20'!S34</f>
        <v>0</v>
      </c>
      <c r="I34" s="95"/>
      <c r="J34" s="236">
        <f>(H34/H$11*J$11)*(1+J$8)</f>
        <v>0</v>
      </c>
      <c r="K34" s="95"/>
      <c r="L34" s="236">
        <f>(J34/J$11*L$11)*(1+L$8)</f>
        <v>0</v>
      </c>
      <c r="M34" s="95"/>
      <c r="N34" s="236">
        <f>(L34/L$11*N$11)*(1+N$8)</f>
        <v>0</v>
      </c>
      <c r="O34" s="95"/>
      <c r="P34" s="236">
        <f>(N34/N$11*P$11)*(1+P$8)</f>
        <v>0</v>
      </c>
      <c r="R34" s="219"/>
    </row>
    <row r="35" spans="2:18" ht="14" hidden="1" customHeight="1">
      <c r="B35" s="91"/>
      <c r="C35" s="91" t="s">
        <v>186</v>
      </c>
      <c r="D35" s="231">
        <v>8545</v>
      </c>
      <c r="E35" s="105" t="s">
        <v>260</v>
      </c>
      <c r="F35" s="236">
        <f>'FY18-19'!S35</f>
        <v>0</v>
      </c>
      <c r="G35" s="95"/>
      <c r="H35" s="236">
        <f>'FY19-20'!S35</f>
        <v>0</v>
      </c>
      <c r="I35" s="95"/>
      <c r="J35" s="236">
        <f>IF(H35&gt;0,IF(J11*1145&lt;J112*0.75,J11*1145,J112*0.75),0)</f>
        <v>0</v>
      </c>
      <c r="K35" s="95"/>
      <c r="L35" s="236">
        <f>IF(J35&gt;0,IF(L11*1145&lt;L112*0.75,L11*1145,L112*0.75),0)</f>
        <v>0</v>
      </c>
      <c r="M35" s="95"/>
      <c r="N35" s="236">
        <f>IF(L35&gt;0,IF(N11*1145&lt;N112*0.75,N11*1145,N112*0.75),0)</f>
        <v>0</v>
      </c>
      <c r="O35" s="95"/>
      <c r="P35" s="236">
        <f>IF(N35&gt;0,IF(P11*1145&lt;P112*0.75,P11*1145,P112*0.75),0)</f>
        <v>0</v>
      </c>
      <c r="R35" s="219"/>
    </row>
    <row r="36" spans="2:18">
      <c r="B36" s="91"/>
      <c r="C36" s="91" t="s">
        <v>186</v>
      </c>
      <c r="D36" s="231">
        <v>8550</v>
      </c>
      <c r="E36" s="105" t="s">
        <v>262</v>
      </c>
      <c r="F36" s="236">
        <f>'FY18-19'!S36</f>
        <v>0</v>
      </c>
      <c r="G36" s="95"/>
      <c r="H36" s="236">
        <f>'FY19-20'!S36</f>
        <v>0</v>
      </c>
      <c r="I36" s="95"/>
      <c r="J36" s="236">
        <f>SUM('Revenue Inputs'!D34:D36)*'Revenue Inputs'!G20+'Revenue Inputs'!D37*'Revenue Inputs'!G21</f>
        <v>65775.486799999999</v>
      </c>
      <c r="K36" s="95"/>
      <c r="L36" s="236">
        <f>SUM(LCFF!J19:J21)*'Revenue Inputs'!$G$20+LCFF!J22*'Revenue Inputs'!$G$21</f>
        <v>65419.390399999989</v>
      </c>
      <c r="M36" s="95"/>
      <c r="N36" s="236">
        <f>SUM(LCFF!L19:L21)*'Revenue Inputs'!$G$20+LCFF!L22*'Revenue Inputs'!$G$21</f>
        <v>65419.390399999989</v>
      </c>
      <c r="O36" s="95"/>
      <c r="P36" s="236">
        <f>SUM(LCFF!N19:N21)*'Revenue Inputs'!$G$20+LCFF!N22*'Revenue Inputs'!$G$21</f>
        <v>68713.689799999993</v>
      </c>
      <c r="R36" s="219"/>
    </row>
    <row r="37" spans="2:18">
      <c r="B37" s="120"/>
      <c r="C37" s="120" t="s">
        <v>186</v>
      </c>
      <c r="D37" s="231">
        <v>8560</v>
      </c>
      <c r="E37" s="105" t="s">
        <v>120</v>
      </c>
      <c r="F37" s="236">
        <f>'FY18-19'!S37</f>
        <v>0</v>
      </c>
      <c r="G37" s="95"/>
      <c r="H37" s="236">
        <f>'FY19-20'!S37</f>
        <v>627423.09</v>
      </c>
      <c r="I37" s="95"/>
      <c r="J37" s="236">
        <f>(H37/H$11*J$11)*(1+J$8)</f>
        <v>623384.81645690068</v>
      </c>
      <c r="K37" s="95"/>
      <c r="L37" s="236">
        <f>(J37/J$11*L$11)*(1+L$8)</f>
        <v>623384.81645690068</v>
      </c>
      <c r="M37" s="95"/>
      <c r="N37" s="236">
        <f>(L37/L$11*N$11)*(1+N$8)</f>
        <v>654689.32366893359</v>
      </c>
      <c r="O37" s="95"/>
      <c r="P37" s="236">
        <f>(N37/N$11*P$11)*(1+P$8)</f>
        <v>687732.97017052374</v>
      </c>
      <c r="R37" s="219"/>
    </row>
    <row r="38" spans="2:18" hidden="1">
      <c r="B38" s="120"/>
      <c r="C38" s="120" t="s">
        <v>186</v>
      </c>
      <c r="D38" s="102">
        <v>8598</v>
      </c>
      <c r="E38" s="103" t="s">
        <v>242</v>
      </c>
      <c r="F38" s="236">
        <f>'FY18-19'!S38</f>
        <v>0</v>
      </c>
      <c r="G38" s="95"/>
      <c r="H38" s="236">
        <f>'FY19-20'!S38</f>
        <v>0</v>
      </c>
      <c r="I38" s="95"/>
      <c r="J38" s="236">
        <f>(H38/H$11*J$11)*(1+J$8)</f>
        <v>0</v>
      </c>
      <c r="K38" s="95"/>
      <c r="L38" s="236">
        <f>(J38/J$11*L$11)*(1+L$8)</f>
        <v>0</v>
      </c>
      <c r="M38" s="95"/>
      <c r="N38" s="236">
        <f>(L38/L$11*N$11)*(1+N$8)</f>
        <v>0</v>
      </c>
      <c r="O38" s="95"/>
      <c r="P38" s="236">
        <f>(N38/N$11*P$11)*(1+P$8)</f>
        <v>0</v>
      </c>
      <c r="R38" s="219"/>
    </row>
    <row r="39" spans="2:18" hidden="1">
      <c r="B39" s="91"/>
      <c r="C39" s="91" t="s">
        <v>186</v>
      </c>
      <c r="D39" s="231">
        <v>8599</v>
      </c>
      <c r="E39" s="105" t="s">
        <v>168</v>
      </c>
      <c r="F39" s="236">
        <f>'FY18-19'!S39</f>
        <v>0</v>
      </c>
      <c r="G39" s="95"/>
      <c r="H39" s="236">
        <f>'FY19-20'!S39</f>
        <v>0</v>
      </c>
      <c r="I39" s="95"/>
      <c r="J39" s="236">
        <f>H39</f>
        <v>0</v>
      </c>
      <c r="K39" s="95"/>
      <c r="L39" s="236">
        <f>J39</f>
        <v>0</v>
      </c>
      <c r="M39" s="95"/>
      <c r="N39" s="236">
        <f>L39</f>
        <v>0</v>
      </c>
      <c r="O39" s="95"/>
      <c r="P39" s="236">
        <f>N39</f>
        <v>0</v>
      </c>
      <c r="R39" s="219"/>
    </row>
    <row r="40" spans="2:18">
      <c r="B40" s="120"/>
      <c r="C40" s="120" t="s">
        <v>186</v>
      </c>
      <c r="D40" s="120"/>
      <c r="E40" s="232"/>
      <c r="F40" s="215">
        <f>SUM(F33:F39)</f>
        <v>0</v>
      </c>
      <c r="G40" s="95"/>
      <c r="H40" s="215">
        <f>SUM(H33:H39)</f>
        <v>2397254.37</v>
      </c>
      <c r="I40" s="95"/>
      <c r="J40" s="215">
        <f>SUM(J33:J39)</f>
        <v>2294371.1318769665</v>
      </c>
      <c r="K40" s="94"/>
      <c r="L40" s="215">
        <f>SUM(L33:L39)</f>
        <v>2294015.0354769663</v>
      </c>
      <c r="M40" s="94"/>
      <c r="N40" s="215">
        <f>SUM(N33:N39)</f>
        <v>2405928.393971222</v>
      </c>
      <c r="O40" s="94"/>
      <c r="P40" s="215">
        <f>SUM(P33:P39)</f>
        <v>2527353.4606707143</v>
      </c>
      <c r="R40" s="219"/>
    </row>
    <row r="41" spans="2:18" hidden="1">
      <c r="B41" s="120"/>
      <c r="C41" s="120" t="s">
        <v>283</v>
      </c>
      <c r="D41" s="231"/>
      <c r="E41" s="105"/>
      <c r="F41" s="236"/>
      <c r="G41" s="95"/>
      <c r="H41" s="236"/>
      <c r="I41" s="95"/>
      <c r="J41" s="236"/>
      <c r="K41" s="94"/>
      <c r="L41" s="236"/>
      <c r="M41" s="95"/>
      <c r="N41" s="236"/>
      <c r="O41" s="95"/>
      <c r="P41" s="236"/>
      <c r="R41" s="219"/>
    </row>
    <row r="42" spans="2:18" hidden="1">
      <c r="B42" s="91"/>
      <c r="C42" s="91" t="s">
        <v>186</v>
      </c>
      <c r="D42" s="231">
        <v>8634</v>
      </c>
      <c r="E42" s="223" t="s">
        <v>14</v>
      </c>
      <c r="F42" s="236">
        <f>'FY18-19'!S42</f>
        <v>0</v>
      </c>
      <c r="G42" s="95"/>
      <c r="H42" s="236">
        <f>'FY19-20'!S42</f>
        <v>0</v>
      </c>
      <c r="I42" s="95"/>
      <c r="J42" s="236">
        <f t="shared" ref="J42:J49" si="6">(H42/H$11*J$11)*(1+J$8)</f>
        <v>0</v>
      </c>
      <c r="K42" s="95"/>
      <c r="L42" s="236">
        <f t="shared" ref="L42:L49" si="7">(J42/J$11*L$11)*(1+L$8)</f>
        <v>0</v>
      </c>
      <c r="M42" s="95"/>
      <c r="N42" s="236">
        <f t="shared" ref="N42:N49" si="8">(L42/L$11*N$11)*(1+N$8)</f>
        <v>0</v>
      </c>
      <c r="O42" s="95"/>
      <c r="P42" s="236">
        <f t="shared" ref="P42:P49" si="9">(N42/N$11*P$11)*(1+P$8)</f>
        <v>0</v>
      </c>
      <c r="R42" s="219"/>
    </row>
    <row r="43" spans="2:18" hidden="1">
      <c r="B43" s="91"/>
      <c r="C43" s="91" t="s">
        <v>186</v>
      </c>
      <c r="D43" s="231">
        <v>8650</v>
      </c>
      <c r="E43" s="223" t="s">
        <v>15</v>
      </c>
      <c r="F43" s="236">
        <f>'FY18-19'!S43</f>
        <v>0</v>
      </c>
      <c r="G43" s="95"/>
      <c r="H43" s="236">
        <f>'FY19-20'!S43</f>
        <v>0</v>
      </c>
      <c r="I43" s="95"/>
      <c r="J43" s="236">
        <f t="shared" si="6"/>
        <v>0</v>
      </c>
      <c r="K43" s="95"/>
      <c r="L43" s="236">
        <f t="shared" si="7"/>
        <v>0</v>
      </c>
      <c r="M43" s="95"/>
      <c r="N43" s="236">
        <f t="shared" si="8"/>
        <v>0</v>
      </c>
      <c r="O43" s="95"/>
      <c r="P43" s="236">
        <f t="shared" si="9"/>
        <v>0</v>
      </c>
      <c r="R43" s="219"/>
    </row>
    <row r="44" spans="2:18" hidden="1">
      <c r="B44" s="91"/>
      <c r="C44" s="91" t="s">
        <v>186</v>
      </c>
      <c r="D44" s="231">
        <v>8660</v>
      </c>
      <c r="E44" s="223" t="s">
        <v>16</v>
      </c>
      <c r="F44" s="236">
        <f>'FY18-19'!S44</f>
        <v>0</v>
      </c>
      <c r="G44" s="95"/>
      <c r="H44" s="236">
        <f>'FY19-20'!S44</f>
        <v>0</v>
      </c>
      <c r="I44" s="95"/>
      <c r="J44" s="236">
        <f t="shared" si="6"/>
        <v>0</v>
      </c>
      <c r="K44" s="95"/>
      <c r="L44" s="236">
        <f t="shared" si="7"/>
        <v>0</v>
      </c>
      <c r="M44" s="95"/>
      <c r="N44" s="236">
        <f t="shared" si="8"/>
        <v>0</v>
      </c>
      <c r="O44" s="95"/>
      <c r="P44" s="236">
        <f t="shared" si="9"/>
        <v>0</v>
      </c>
      <c r="R44" s="219"/>
    </row>
    <row r="45" spans="2:18" hidden="1">
      <c r="B45" s="91"/>
      <c r="C45" s="91" t="s">
        <v>186</v>
      </c>
      <c r="D45" s="231">
        <v>8689</v>
      </c>
      <c r="E45" s="223" t="s">
        <v>105</v>
      </c>
      <c r="F45" s="236">
        <f>'FY18-19'!S45</f>
        <v>0</v>
      </c>
      <c r="G45" s="95"/>
      <c r="H45" s="236">
        <f>'FY19-20'!S45</f>
        <v>0</v>
      </c>
      <c r="I45" s="95"/>
      <c r="J45" s="236">
        <f t="shared" si="6"/>
        <v>0</v>
      </c>
      <c r="K45" s="95"/>
      <c r="L45" s="236">
        <f t="shared" si="7"/>
        <v>0</v>
      </c>
      <c r="M45" s="95"/>
      <c r="N45" s="236">
        <f t="shared" si="8"/>
        <v>0</v>
      </c>
      <c r="O45" s="95"/>
      <c r="P45" s="236">
        <f t="shared" si="9"/>
        <v>0</v>
      </c>
      <c r="R45" s="219"/>
    </row>
    <row r="46" spans="2:18" hidden="1">
      <c r="B46" s="91"/>
      <c r="C46" s="91" t="s">
        <v>186</v>
      </c>
      <c r="D46" s="231">
        <v>8698</v>
      </c>
      <c r="E46" s="223" t="s">
        <v>265</v>
      </c>
      <c r="F46" s="236">
        <f>'FY18-19'!S46</f>
        <v>0</v>
      </c>
      <c r="G46" s="95"/>
      <c r="H46" s="236">
        <f>'FY19-20'!S46</f>
        <v>0</v>
      </c>
      <c r="I46" s="95"/>
      <c r="J46" s="236">
        <f t="shared" si="6"/>
        <v>0</v>
      </c>
      <c r="K46" s="95"/>
      <c r="L46" s="236">
        <f t="shared" si="7"/>
        <v>0</v>
      </c>
      <c r="M46" s="95"/>
      <c r="N46" s="236">
        <f t="shared" si="8"/>
        <v>0</v>
      </c>
      <c r="O46" s="95"/>
      <c r="P46" s="236">
        <f t="shared" si="9"/>
        <v>0</v>
      </c>
      <c r="R46" s="219"/>
    </row>
    <row r="47" spans="2:18" hidden="1">
      <c r="B47" s="91"/>
      <c r="C47" s="91" t="s">
        <v>186</v>
      </c>
      <c r="D47" s="231">
        <v>8699</v>
      </c>
      <c r="E47" s="223" t="s">
        <v>106</v>
      </c>
      <c r="F47" s="236">
        <f>'FY18-19'!S47</f>
        <v>0</v>
      </c>
      <c r="G47" s="95"/>
      <c r="H47" s="236">
        <f>'FY19-20'!S47</f>
        <v>0</v>
      </c>
      <c r="I47" s="95"/>
      <c r="J47" s="236">
        <f t="shared" si="6"/>
        <v>0</v>
      </c>
      <c r="K47" s="95"/>
      <c r="L47" s="236">
        <f t="shared" si="7"/>
        <v>0</v>
      </c>
      <c r="M47" s="95"/>
      <c r="N47" s="236">
        <f t="shared" si="8"/>
        <v>0</v>
      </c>
      <c r="O47" s="95"/>
      <c r="P47" s="236">
        <f t="shared" si="9"/>
        <v>0</v>
      </c>
      <c r="R47" s="219"/>
    </row>
    <row r="48" spans="2:18" hidden="1">
      <c r="B48" s="96"/>
      <c r="C48" s="96" t="s">
        <v>186</v>
      </c>
      <c r="D48" s="231">
        <v>8980</v>
      </c>
      <c r="E48" s="105" t="s">
        <v>10</v>
      </c>
      <c r="F48" s="236">
        <f>'FY18-19'!S48</f>
        <v>0</v>
      </c>
      <c r="G48" s="95"/>
      <c r="H48" s="236">
        <f>'FY19-20'!S48</f>
        <v>0</v>
      </c>
      <c r="I48" s="95"/>
      <c r="J48" s="236">
        <f t="shared" si="6"/>
        <v>0</v>
      </c>
      <c r="K48" s="95"/>
      <c r="L48" s="236">
        <f t="shared" si="7"/>
        <v>0</v>
      </c>
      <c r="M48" s="95"/>
      <c r="N48" s="236">
        <f t="shared" si="8"/>
        <v>0</v>
      </c>
      <c r="O48" s="95"/>
      <c r="P48" s="236">
        <f t="shared" si="9"/>
        <v>0</v>
      </c>
      <c r="R48" s="219"/>
    </row>
    <row r="49" spans="2:21" hidden="1">
      <c r="B49" s="96"/>
      <c r="C49" s="96" t="s">
        <v>186</v>
      </c>
      <c r="D49" s="231">
        <v>8990</v>
      </c>
      <c r="E49" s="105" t="s">
        <v>11</v>
      </c>
      <c r="F49" s="236">
        <f>'FY18-19'!S49</f>
        <v>0</v>
      </c>
      <c r="G49" s="95"/>
      <c r="H49" s="236">
        <f>'FY19-20'!S49</f>
        <v>0</v>
      </c>
      <c r="I49" s="95"/>
      <c r="J49" s="236">
        <f t="shared" si="6"/>
        <v>0</v>
      </c>
      <c r="K49" s="95"/>
      <c r="L49" s="236">
        <f t="shared" si="7"/>
        <v>0</v>
      </c>
      <c r="M49" s="95"/>
      <c r="N49" s="236">
        <f t="shared" si="8"/>
        <v>0</v>
      </c>
      <c r="O49" s="95"/>
      <c r="P49" s="236">
        <f t="shared" si="9"/>
        <v>0</v>
      </c>
      <c r="R49" s="219"/>
    </row>
    <row r="50" spans="2:21" hidden="1">
      <c r="B50" s="96"/>
      <c r="C50" s="96" t="s">
        <v>186</v>
      </c>
      <c r="D50" s="231"/>
      <c r="E50" s="105"/>
      <c r="F50" s="215">
        <f>SUM(F42:F49)</f>
        <v>0</v>
      </c>
      <c r="G50" s="95"/>
      <c r="H50" s="215">
        <f>SUM(H42:H49)</f>
        <v>0</v>
      </c>
      <c r="I50" s="95"/>
      <c r="J50" s="215">
        <f>SUM(J42:J49)</f>
        <v>0</v>
      </c>
      <c r="K50" s="94"/>
      <c r="L50" s="215">
        <f>SUM(L42:L49)</f>
        <v>0</v>
      </c>
      <c r="M50" s="94"/>
      <c r="N50" s="215">
        <f>SUM(N42:N49)</f>
        <v>0</v>
      </c>
      <c r="O50" s="94"/>
      <c r="P50" s="215">
        <f>SUM(P42:P49)</f>
        <v>0</v>
      </c>
      <c r="R50" s="219"/>
    </row>
    <row r="51" spans="2:21">
      <c r="B51" s="91"/>
      <c r="C51" s="91" t="s">
        <v>186</v>
      </c>
      <c r="D51" s="91"/>
      <c r="E51" s="91"/>
      <c r="F51" s="94"/>
      <c r="G51" s="95"/>
      <c r="H51" s="94"/>
      <c r="I51" s="95"/>
      <c r="J51" s="94"/>
      <c r="K51" s="94"/>
      <c r="L51" s="94"/>
      <c r="M51" s="95"/>
      <c r="N51" s="94"/>
      <c r="O51" s="95"/>
      <c r="P51" s="94"/>
      <c r="R51" s="219"/>
    </row>
    <row r="52" spans="2:21" s="241" customFormat="1">
      <c r="B52" s="239" t="s">
        <v>1</v>
      </c>
      <c r="C52" s="239"/>
      <c r="D52" s="239"/>
      <c r="E52" s="240"/>
      <c r="F52" s="251">
        <f>F50+F40+F31+F19</f>
        <v>0</v>
      </c>
      <c r="G52" s="250"/>
      <c r="H52" s="251">
        <f>H50+H40+H31+H19</f>
        <v>31510518.73</v>
      </c>
      <c r="I52" s="250"/>
      <c r="J52" s="251">
        <f>J50+J40+J31+J19</f>
        <v>32205223.470083922</v>
      </c>
      <c r="K52" s="250"/>
      <c r="L52" s="251">
        <f>L50+L40+L31+L19</f>
        <v>33000665.673424721</v>
      </c>
      <c r="M52" s="250"/>
      <c r="N52" s="251">
        <f>N50+N40+N31+N19</f>
        <v>35548966.206320807</v>
      </c>
      <c r="O52" s="250"/>
      <c r="P52" s="251">
        <f>P50+P40+P31+P19</f>
        <v>37343329.006958619</v>
      </c>
      <c r="Q52" s="188"/>
      <c r="R52" s="219"/>
      <c r="S52" s="885" t="s">
        <v>229</v>
      </c>
      <c r="T52" s="885">
        <f>+H52/$H$52</f>
        <v>1</v>
      </c>
      <c r="U52" s="885">
        <f>+J52/$J$52</f>
        <v>1</v>
      </c>
    </row>
    <row r="53" spans="2:21">
      <c r="B53" s="112"/>
      <c r="C53" s="112"/>
      <c r="D53" s="95"/>
      <c r="E53" s="95"/>
      <c r="F53" s="382"/>
      <c r="G53" s="95"/>
      <c r="H53" s="382"/>
      <c r="I53" s="95"/>
      <c r="J53" s="238"/>
      <c r="K53" s="94"/>
      <c r="L53" s="238"/>
      <c r="M53" s="95"/>
      <c r="N53" s="238"/>
      <c r="O53" s="95"/>
      <c r="P53" s="238"/>
      <c r="R53" s="219"/>
    </row>
    <row r="54" spans="2:21">
      <c r="B54" s="240" t="s">
        <v>2</v>
      </c>
      <c r="C54" s="112"/>
      <c r="D54" s="95"/>
      <c r="E54" s="95"/>
      <c r="F54" s="94"/>
      <c r="G54" s="95"/>
      <c r="H54" s="94"/>
      <c r="I54" s="95"/>
      <c r="J54" s="94"/>
      <c r="K54" s="94"/>
      <c r="L54" s="94"/>
      <c r="M54" s="95"/>
      <c r="N54" s="94"/>
      <c r="O54" s="95"/>
      <c r="P54" s="94"/>
      <c r="R54" s="219"/>
    </row>
    <row r="55" spans="2:21">
      <c r="B55" s="112"/>
      <c r="C55" s="112" t="s">
        <v>244</v>
      </c>
      <c r="D55" s="95"/>
      <c r="E55" s="95"/>
      <c r="F55" s="94"/>
      <c r="G55" s="95"/>
      <c r="H55" s="94"/>
      <c r="I55" s="95"/>
      <c r="J55" s="436"/>
      <c r="K55" s="436"/>
      <c r="L55" s="436"/>
      <c r="M55" s="436"/>
      <c r="N55" s="436"/>
      <c r="O55" s="436"/>
      <c r="P55" s="436"/>
      <c r="R55" s="219"/>
    </row>
    <row r="56" spans="2:21">
      <c r="B56" s="96"/>
      <c r="C56" s="96" t="s">
        <v>186</v>
      </c>
      <c r="D56" s="231">
        <v>1100</v>
      </c>
      <c r="E56" s="105" t="s">
        <v>271</v>
      </c>
      <c r="F56" s="236">
        <f>'FY18-19'!S56</f>
        <v>0</v>
      </c>
      <c r="G56" s="95"/>
      <c r="H56" s="236">
        <f>'FY19-20'!S56</f>
        <v>7557727.4499999993</v>
      </c>
      <c r="I56" s="95"/>
      <c r="J56" s="236">
        <f>'Payroll 20-21'!$I$61</f>
        <v>8388237.3442000011</v>
      </c>
      <c r="K56" s="236"/>
      <c r="L56" s="236">
        <f>'Payroll 21-22'!$I$61</f>
        <v>8751759.6101159994</v>
      </c>
      <c r="M56" s="236"/>
      <c r="N56" s="236">
        <f>'Payroll 22-23'!$I$61</f>
        <v>9373134.5424342379</v>
      </c>
      <c r="O56" s="236"/>
      <c r="P56" s="236">
        <f>'Payroll 23-24'!$I$61</f>
        <v>10038627.094947062</v>
      </c>
      <c r="R56" s="219"/>
    </row>
    <row r="57" spans="2:21" hidden="1">
      <c r="B57" s="96"/>
      <c r="C57" s="96" t="s">
        <v>186</v>
      </c>
      <c r="D57" s="231">
        <v>1170</v>
      </c>
      <c r="E57" s="105" t="s">
        <v>272</v>
      </c>
      <c r="F57" s="236">
        <f>'FY18-19'!S57</f>
        <v>0</v>
      </c>
      <c r="G57" s="95"/>
      <c r="H57" s="236">
        <f>'FY19-20'!S57</f>
        <v>0</v>
      </c>
      <c r="I57" s="95"/>
      <c r="J57" s="236">
        <f>'Payroll 20-21'!$I$65</f>
        <v>0</v>
      </c>
      <c r="K57" s="236"/>
      <c r="L57" s="236">
        <f>'Payroll 21-22'!$I$65</f>
        <v>0</v>
      </c>
      <c r="M57" s="236"/>
      <c r="N57" s="236">
        <f>'Payroll 22-23'!$I$65</f>
        <v>0</v>
      </c>
      <c r="O57" s="236"/>
      <c r="P57" s="236">
        <f>'Payroll 23-24'!$I$65</f>
        <v>0</v>
      </c>
      <c r="R57" s="219"/>
    </row>
    <row r="58" spans="2:21">
      <c r="B58" s="96"/>
      <c r="C58" s="96" t="s">
        <v>186</v>
      </c>
      <c r="D58" s="231">
        <v>1175</v>
      </c>
      <c r="E58" s="105" t="s">
        <v>273</v>
      </c>
      <c r="F58" s="236">
        <f>'FY18-19'!S58</f>
        <v>0</v>
      </c>
      <c r="G58" s="95"/>
      <c r="H58" s="236">
        <f>'FY19-20'!S58</f>
        <v>1579108.85</v>
      </c>
      <c r="I58" s="95"/>
      <c r="J58" s="236">
        <f>'Payroll 20-21'!$I$76</f>
        <v>419411.86721000005</v>
      </c>
      <c r="K58" s="236"/>
      <c r="L58" s="236">
        <f>'Payroll 21-22'!$I$76</f>
        <v>437587.98050579999</v>
      </c>
      <c r="M58" s="236"/>
      <c r="N58" s="236">
        <f>'Payroll 22-23'!$I$76</f>
        <v>468656.72712171194</v>
      </c>
      <c r="O58" s="236"/>
      <c r="P58" s="236">
        <f>'Payroll 23-24'!$I$76</f>
        <v>501931.35474735312</v>
      </c>
      <c r="R58" s="219"/>
    </row>
    <row r="59" spans="2:21">
      <c r="B59" s="124"/>
      <c r="C59" s="124" t="s">
        <v>186</v>
      </c>
      <c r="D59" s="231">
        <v>1200</v>
      </c>
      <c r="E59" s="105" t="s">
        <v>274</v>
      </c>
      <c r="F59" s="236">
        <f>'FY18-19'!S59</f>
        <v>0</v>
      </c>
      <c r="G59" s="94"/>
      <c r="H59" s="236">
        <f>'FY19-20'!S59</f>
        <v>213390.11</v>
      </c>
      <c r="I59" s="94"/>
      <c r="J59" s="236">
        <f>'Payroll 20-21'!$I$100</f>
        <v>164819.06640000001</v>
      </c>
      <c r="K59" s="236"/>
      <c r="L59" s="236">
        <f>'Payroll 21-22'!$I$100</f>
        <v>168115.447728</v>
      </c>
      <c r="M59" s="236"/>
      <c r="N59" s="236">
        <f>'Payroll 22-23'!$I$100</f>
        <v>180051.64451668801</v>
      </c>
      <c r="O59" s="236"/>
      <c r="P59" s="236">
        <f>'Payroll 23-24'!$I$100</f>
        <v>192835.31127737288</v>
      </c>
      <c r="R59" s="219"/>
    </row>
    <row r="60" spans="2:21">
      <c r="B60" s="96"/>
      <c r="C60" s="96" t="s">
        <v>186</v>
      </c>
      <c r="D60" s="231">
        <v>1300</v>
      </c>
      <c r="E60" s="105" t="s">
        <v>275</v>
      </c>
      <c r="F60" s="236">
        <f>'FY18-19'!S60</f>
        <v>0</v>
      </c>
      <c r="G60" s="95"/>
      <c r="H60" s="236">
        <f>'FY19-20'!S60</f>
        <v>1262462.7400000002</v>
      </c>
      <c r="I60" s="95"/>
      <c r="J60" s="236">
        <f>'Payroll 20-21'!$I$122</f>
        <v>1375449.8432</v>
      </c>
      <c r="K60" s="236"/>
      <c r="L60" s="236">
        <f>'Payroll 21-22'!$I$122</f>
        <v>1408949.240064</v>
      </c>
      <c r="M60" s="236"/>
      <c r="N60" s="236">
        <f>'Payroll 22-23'!$I$122</f>
        <v>1508984.6361085442</v>
      </c>
      <c r="O60" s="236"/>
      <c r="P60" s="236">
        <f>'Payroll 23-24'!$I$122</f>
        <v>1616122.5452722507</v>
      </c>
      <c r="R60" s="219"/>
    </row>
    <row r="61" spans="2:21" hidden="1">
      <c r="B61" s="124"/>
      <c r="C61" s="124" t="s">
        <v>186</v>
      </c>
      <c r="D61" s="231">
        <v>1900</v>
      </c>
      <c r="E61" s="105" t="s">
        <v>19</v>
      </c>
      <c r="F61" s="236">
        <f>'FY18-19'!S61</f>
        <v>0</v>
      </c>
      <c r="G61" s="94"/>
      <c r="H61" s="236">
        <f>'FY19-20'!S61</f>
        <v>0</v>
      </c>
      <c r="I61" s="94"/>
      <c r="J61" s="236">
        <f>'Payroll 20-21'!$I$144</f>
        <v>0</v>
      </c>
      <c r="K61" s="236"/>
      <c r="L61" s="236">
        <f>'Payroll 21-22'!$I$144</f>
        <v>0</v>
      </c>
      <c r="M61" s="236"/>
      <c r="N61" s="236">
        <f>'Payroll 22-23'!$I$144</f>
        <v>0</v>
      </c>
      <c r="O61" s="236"/>
      <c r="P61" s="236">
        <f>'Payroll 23-24'!$I$144</f>
        <v>0</v>
      </c>
      <c r="R61" s="219"/>
    </row>
    <row r="62" spans="2:21">
      <c r="B62" s="124"/>
      <c r="C62" s="124" t="s">
        <v>186</v>
      </c>
      <c r="D62" s="231"/>
      <c r="E62" s="105"/>
      <c r="F62" s="215">
        <f>SUM(F56:F61)</f>
        <v>0</v>
      </c>
      <c r="G62" s="94"/>
      <c r="H62" s="215">
        <f>SUM(H56:H61)</f>
        <v>10612689.149999999</v>
      </c>
      <c r="I62" s="94"/>
      <c r="J62" s="215">
        <f>SUM(J56:J61)</f>
        <v>10347918.121010002</v>
      </c>
      <c r="K62" s="236"/>
      <c r="L62" s="215">
        <f>SUM(L56:L61)</f>
        <v>10766412.278413801</v>
      </c>
      <c r="M62" s="236"/>
      <c r="N62" s="215">
        <f>SUM(N56:N61)</f>
        <v>11530827.550181182</v>
      </c>
      <c r="O62" s="236"/>
      <c r="P62" s="215">
        <f>SUM(P56:P61)</f>
        <v>12349516.306244038</v>
      </c>
      <c r="R62" s="219"/>
      <c r="S62" s="885" t="s">
        <v>229</v>
      </c>
      <c r="T62" s="885">
        <f>+H62/$H$52</f>
        <v>0.33679830030522628</v>
      </c>
      <c r="U62" s="885">
        <f>+J62/$J$52</f>
        <v>0.32131179374123547</v>
      </c>
    </row>
    <row r="63" spans="2:21" hidden="1">
      <c r="B63" s="124"/>
      <c r="C63" s="112" t="s">
        <v>245</v>
      </c>
      <c r="D63" s="231"/>
      <c r="E63" s="105"/>
      <c r="F63" s="236"/>
      <c r="G63" s="94"/>
      <c r="H63" s="236"/>
      <c r="I63" s="94"/>
      <c r="J63" s="236"/>
      <c r="K63" s="236"/>
      <c r="L63" s="236"/>
      <c r="M63" s="236"/>
      <c r="N63" s="236"/>
      <c r="O63" s="236"/>
      <c r="P63" s="236"/>
      <c r="R63" s="219"/>
    </row>
    <row r="64" spans="2:21" hidden="1">
      <c r="B64" s="124"/>
      <c r="C64" s="124" t="s">
        <v>186</v>
      </c>
      <c r="D64" s="231">
        <v>2100</v>
      </c>
      <c r="E64" s="105" t="s">
        <v>276</v>
      </c>
      <c r="F64" s="236">
        <f>'FY18-19'!S64</f>
        <v>0</v>
      </c>
      <c r="G64" s="94"/>
      <c r="H64" s="236">
        <f>'FY19-20'!S64</f>
        <v>321710.92</v>
      </c>
      <c r="I64" s="94"/>
      <c r="J64" s="236">
        <f>'Payroll 20-21'!$I$166</f>
        <v>331304.11599999998</v>
      </c>
      <c r="K64" s="236"/>
      <c r="L64" s="236">
        <f>'Payroll 21-22'!$I$166</f>
        <v>349910.99832000001</v>
      </c>
      <c r="M64" s="236"/>
      <c r="N64" s="236">
        <f>'Payroll 22-23'!$I$166</f>
        <v>374754.6792007201</v>
      </c>
      <c r="O64" s="236"/>
      <c r="P64" s="236">
        <f>'Payroll 23-24'!$I$166</f>
        <v>401362.26142397115</v>
      </c>
      <c r="R64" s="219"/>
    </row>
    <row r="65" spans="2:21" hidden="1">
      <c r="B65" s="124"/>
      <c r="C65" s="124" t="s">
        <v>186</v>
      </c>
      <c r="D65" s="231">
        <v>2200</v>
      </c>
      <c r="E65" s="105" t="s">
        <v>277</v>
      </c>
      <c r="F65" s="236">
        <f>'FY18-19'!S65</f>
        <v>0</v>
      </c>
      <c r="G65" s="94"/>
      <c r="H65" s="236">
        <f>'FY19-20'!S65</f>
        <v>6242.88</v>
      </c>
      <c r="I65" s="94"/>
      <c r="J65" s="236">
        <f>'Payroll 20-21'!$I$188</f>
        <v>0</v>
      </c>
      <c r="K65" s="236"/>
      <c r="L65" s="236">
        <f>'Payroll 21-22'!$I$188</f>
        <v>0</v>
      </c>
      <c r="M65" s="236"/>
      <c r="N65" s="236">
        <f>'Payroll 22-23'!$I$188</f>
        <v>0</v>
      </c>
      <c r="O65" s="236"/>
      <c r="P65" s="236">
        <f>'Payroll 23-24'!$I$188</f>
        <v>0</v>
      </c>
      <c r="R65" s="219"/>
    </row>
    <row r="66" spans="2:21" hidden="1">
      <c r="B66" s="124"/>
      <c r="C66" s="124" t="s">
        <v>186</v>
      </c>
      <c r="D66" s="231">
        <v>2300</v>
      </c>
      <c r="E66" s="105" t="s">
        <v>22</v>
      </c>
      <c r="F66" s="236">
        <f>'FY18-19'!S66</f>
        <v>0</v>
      </c>
      <c r="G66" s="94"/>
      <c r="H66" s="236">
        <f>'FY19-20'!S66</f>
        <v>66025.260000000009</v>
      </c>
      <c r="I66" s="94"/>
      <c r="J66" s="236">
        <f>'Payroll 20-21'!$I$200</f>
        <v>0</v>
      </c>
      <c r="K66" s="236"/>
      <c r="L66" s="236">
        <f>'Payroll 21-22'!$I$200</f>
        <v>0</v>
      </c>
      <c r="M66" s="236"/>
      <c r="N66" s="236">
        <f>'Payroll 22-23'!$I$200</f>
        <v>0</v>
      </c>
      <c r="O66" s="236"/>
      <c r="P66" s="236">
        <f>'Payroll 23-24'!$I$200</f>
        <v>0</v>
      </c>
      <c r="R66" s="219"/>
    </row>
    <row r="67" spans="2:21" hidden="1">
      <c r="B67" s="124"/>
      <c r="C67" s="124" t="s">
        <v>186</v>
      </c>
      <c r="D67" s="231">
        <v>2400</v>
      </c>
      <c r="E67" s="105" t="s">
        <v>241</v>
      </c>
      <c r="F67" s="236">
        <f>'FY18-19'!S67</f>
        <v>0</v>
      </c>
      <c r="G67" s="94"/>
      <c r="H67" s="236">
        <f>'FY19-20'!S67</f>
        <v>24609.93</v>
      </c>
      <c r="I67" s="94"/>
      <c r="J67" s="236">
        <f>'Payroll 20-21'!$I$214</f>
        <v>102840.84719999999</v>
      </c>
      <c r="K67" s="236"/>
      <c r="L67" s="236">
        <f>'Payroll 21-22'!$I$214</f>
        <v>104897.66414400001</v>
      </c>
      <c r="M67" s="236"/>
      <c r="N67" s="236">
        <f>'Payroll 22-23'!$I$214</f>
        <v>112345.39829822401</v>
      </c>
      <c r="O67" s="236"/>
      <c r="P67" s="236">
        <f>'Payroll 23-24'!$I$214</f>
        <v>120321.92157739791</v>
      </c>
      <c r="R67" s="219"/>
    </row>
    <row r="68" spans="2:21" hidden="1">
      <c r="B68" s="124"/>
      <c r="C68" s="124" t="s">
        <v>186</v>
      </c>
      <c r="D68" s="231">
        <v>2900</v>
      </c>
      <c r="E68" s="105" t="s">
        <v>24</v>
      </c>
      <c r="F68" s="236">
        <f>'FY18-19'!S68</f>
        <v>0</v>
      </c>
      <c r="G68" s="94"/>
      <c r="H68" s="236">
        <f>'FY19-20'!S68</f>
        <v>25888.84</v>
      </c>
      <c r="I68" s="94"/>
      <c r="J68" s="236">
        <f>'Payroll 20-21'!$I$229</f>
        <v>42748.4856</v>
      </c>
      <c r="K68" s="236"/>
      <c r="L68" s="236">
        <f>'Payroll 21-22'!$I$229</f>
        <v>43603.455311999998</v>
      </c>
      <c r="M68" s="236"/>
      <c r="N68" s="236">
        <f>'Payroll 22-23'!$I$229</f>
        <v>44475.524418239998</v>
      </c>
      <c r="O68" s="236"/>
      <c r="P68" s="236">
        <f>'Payroll 23-24'!$I$229</f>
        <v>45365.0349066048</v>
      </c>
      <c r="R68" s="219"/>
    </row>
    <row r="69" spans="2:21" hidden="1">
      <c r="B69" s="124"/>
      <c r="C69" s="124" t="s">
        <v>186</v>
      </c>
      <c r="D69" s="126"/>
      <c r="E69" s="126"/>
      <c r="F69" s="215">
        <f>SUM(F64:F68)</f>
        <v>0</v>
      </c>
      <c r="G69" s="94"/>
      <c r="H69" s="215">
        <f>SUM(H64:H68)</f>
        <v>444477.83</v>
      </c>
      <c r="I69" s="94"/>
      <c r="J69" s="215">
        <f>SUM(J64:J68)</f>
        <v>476893.44880000001</v>
      </c>
      <c r="K69" s="236"/>
      <c r="L69" s="215">
        <f>SUM(L64:L68)</f>
        <v>498412.11777600006</v>
      </c>
      <c r="M69" s="236"/>
      <c r="N69" s="215">
        <f>SUM(N64:N68)</f>
        <v>531575.60191718407</v>
      </c>
      <c r="O69" s="236"/>
      <c r="P69" s="215">
        <f>SUM(P64:P68)</f>
        <v>567049.21790797391</v>
      </c>
      <c r="R69" s="219"/>
      <c r="S69" s="885" t="s">
        <v>229</v>
      </c>
      <c r="T69" s="885">
        <f>+H69/$H$52</f>
        <v>1.410569701528998E-2</v>
      </c>
      <c r="U69" s="885">
        <f>+J69/$J$52</f>
        <v>1.4807953412992023E-2</v>
      </c>
    </row>
    <row r="70" spans="2:21">
      <c r="B70" s="124"/>
      <c r="C70" s="124" t="s">
        <v>3</v>
      </c>
      <c r="D70" s="126"/>
      <c r="E70" s="126"/>
      <c r="F70" s="94"/>
      <c r="G70" s="94"/>
      <c r="H70" s="94"/>
      <c r="I70" s="94"/>
      <c r="J70" s="94"/>
      <c r="K70" s="236"/>
      <c r="L70" s="94"/>
      <c r="M70" s="236"/>
      <c r="N70" s="94"/>
      <c r="O70" s="236"/>
      <c r="P70" s="94"/>
      <c r="R70" s="219"/>
    </row>
    <row r="71" spans="2:21">
      <c r="B71" s="124"/>
      <c r="C71" s="124" t="s">
        <v>186</v>
      </c>
      <c r="D71" s="231">
        <v>3101</v>
      </c>
      <c r="E71" s="105" t="s">
        <v>69</v>
      </c>
      <c r="F71" s="236">
        <f>'FY18-19'!S71</f>
        <v>0</v>
      </c>
      <c r="G71" s="94"/>
      <c r="H71" s="236">
        <f>'FY19-20'!S71</f>
        <v>1762152.52</v>
      </c>
      <c r="I71" s="94"/>
      <c r="J71" s="329">
        <f>'Payroll 20-21'!$M$231</f>
        <v>1904016.9342658399</v>
      </c>
      <c r="K71" s="236"/>
      <c r="L71" s="329">
        <f>'Payroll 21-22'!$M$231</f>
        <v>1948720.6223928975</v>
      </c>
      <c r="M71" s="236"/>
      <c r="N71" s="329">
        <f>'Payroll 22-23'!$M$231</f>
        <v>2087079.7865827936</v>
      </c>
      <c r="O71" s="236"/>
      <c r="P71" s="329">
        <f>'Payroll 23-24'!$M$231</f>
        <v>2235262.4514301717</v>
      </c>
      <c r="R71" s="219"/>
    </row>
    <row r="72" spans="2:21" hidden="1">
      <c r="B72" s="124"/>
      <c r="C72" s="124" t="s">
        <v>186</v>
      </c>
      <c r="D72" s="231">
        <v>3202</v>
      </c>
      <c r="E72" s="105" t="s">
        <v>70</v>
      </c>
      <c r="F72" s="236">
        <f>'FY18-19'!S72</f>
        <v>0</v>
      </c>
      <c r="G72" s="94"/>
      <c r="H72" s="236">
        <f>'FY19-20'!S72</f>
        <v>0</v>
      </c>
      <c r="I72" s="94"/>
      <c r="J72" s="329">
        <f>'Payroll 20-21'!$N$231</f>
        <v>0</v>
      </c>
      <c r="K72" s="236"/>
      <c r="L72" s="329">
        <f>'Payroll 21-22'!$N$231</f>
        <v>0</v>
      </c>
      <c r="M72" s="236"/>
      <c r="N72" s="329">
        <f>'Payroll 22-23'!$N$231</f>
        <v>0</v>
      </c>
      <c r="O72" s="236"/>
      <c r="P72" s="329">
        <f>'Payroll 23-24'!$N$231</f>
        <v>0</v>
      </c>
      <c r="R72" s="219"/>
    </row>
    <row r="73" spans="2:21" hidden="1">
      <c r="B73" s="124"/>
      <c r="C73" s="124" t="s">
        <v>186</v>
      </c>
      <c r="D73" s="231">
        <v>3301</v>
      </c>
      <c r="E73" s="105" t="s">
        <v>239</v>
      </c>
      <c r="F73" s="236">
        <f>'FY18-19'!S73</f>
        <v>0</v>
      </c>
      <c r="G73" s="94"/>
      <c r="H73" s="236">
        <f>'FY19-20'!S73</f>
        <v>27753.780000000002</v>
      </c>
      <c r="I73" s="94"/>
      <c r="J73" s="329">
        <f>'Payroll 20-21'!$O$231</f>
        <v>29567.393825600004</v>
      </c>
      <c r="K73" s="236"/>
      <c r="L73" s="329">
        <f>'Payroll 21-22'!$O$231</f>
        <v>30901.551302111999</v>
      </c>
      <c r="M73" s="236"/>
      <c r="N73" s="329">
        <f>'Payroll 22-23'!$O$231</f>
        <v>32957.687318865414</v>
      </c>
      <c r="O73" s="236"/>
      <c r="P73" s="329">
        <f>'Payroll 23-24'!$O$231</f>
        <v>35157.051510294375</v>
      </c>
      <c r="R73" s="219"/>
    </row>
    <row r="74" spans="2:21">
      <c r="B74" s="124"/>
      <c r="C74" s="124" t="s">
        <v>186</v>
      </c>
      <c r="D74" s="231">
        <v>3311</v>
      </c>
      <c r="E74" s="105" t="s">
        <v>240</v>
      </c>
      <c r="F74" s="236">
        <f>'FY18-19'!S74</f>
        <v>0</v>
      </c>
      <c r="G74" s="94"/>
      <c r="H74" s="236">
        <f>'FY19-20'!S74</f>
        <v>155908.09</v>
      </c>
      <c r="I74" s="94"/>
      <c r="J74" s="329">
        <f>'Payroll 20-21'!$P$231</f>
        <v>156959.767762245</v>
      </c>
      <c r="K74" s="236"/>
      <c r="L74" s="329">
        <f>'Payroll 21-22'!$P$231</f>
        <v>163339.9537447521</v>
      </c>
      <c r="M74" s="236"/>
      <c r="N74" s="329">
        <f>'Payroll 22-23'!$P$231</f>
        <v>174904.84570542627</v>
      </c>
      <c r="O74" s="236"/>
      <c r="P74" s="329">
        <f>'Payroll 23-24'!$P$231</f>
        <v>187290.2001002043</v>
      </c>
      <c r="R74" s="219"/>
    </row>
    <row r="75" spans="2:21">
      <c r="B75" s="124"/>
      <c r="C75" s="124" t="s">
        <v>186</v>
      </c>
      <c r="D75" s="231">
        <v>3401</v>
      </c>
      <c r="E75" s="105" t="s">
        <v>235</v>
      </c>
      <c r="F75" s="236">
        <f>'FY18-19'!S75</f>
        <v>0</v>
      </c>
      <c r="G75" s="94"/>
      <c r="H75" s="236">
        <f>'FY19-20'!S75</f>
        <v>1081923.1100000001</v>
      </c>
      <c r="I75" s="94"/>
      <c r="J75" s="329">
        <f>'Payroll 20-21'!$Q$231</f>
        <v>1164240.0000000002</v>
      </c>
      <c r="K75" s="236"/>
      <c r="L75" s="329">
        <f>'Payroll 21-22'!$Q$231</f>
        <v>1257379.2000000002</v>
      </c>
      <c r="M75" s="236"/>
      <c r="N75" s="329">
        <f>'Payroll 22-23'!$Q$231</f>
        <v>1425868.0128000006</v>
      </c>
      <c r="O75" s="236"/>
      <c r="P75" s="329">
        <f>'Payroll 23-24'!$Q$231</f>
        <v>1616934.3265152005</v>
      </c>
      <c r="R75" s="219"/>
    </row>
    <row r="76" spans="2:21">
      <c r="B76" s="124"/>
      <c r="C76" s="124" t="s">
        <v>186</v>
      </c>
      <c r="D76" s="231">
        <v>3501</v>
      </c>
      <c r="E76" s="105" t="s">
        <v>236</v>
      </c>
      <c r="F76" s="236">
        <f>'FY18-19'!S76</f>
        <v>0</v>
      </c>
      <c r="G76" s="94"/>
      <c r="H76" s="236">
        <f>'FY19-20'!S76</f>
        <v>84314.909999999989</v>
      </c>
      <c r="I76" s="94"/>
      <c r="J76" s="329">
        <f>'Payroll 20-21'!$R$231</f>
        <v>82327.000000000015</v>
      </c>
      <c r="K76" s="236"/>
      <c r="L76" s="329">
        <f>'Payroll 21-22'!$R$231</f>
        <v>82405.540000000008</v>
      </c>
      <c r="M76" s="236"/>
      <c r="N76" s="329">
        <f>'Payroll 22-23'!$R$231</f>
        <v>86824.430007000017</v>
      </c>
      <c r="O76" s="236"/>
      <c r="P76" s="329">
        <f>'Payroll 23-24'!$R$231</f>
        <v>91501.45676437192</v>
      </c>
      <c r="R76" s="219"/>
    </row>
    <row r="77" spans="2:21">
      <c r="B77" s="124"/>
      <c r="C77" s="124" t="s">
        <v>186</v>
      </c>
      <c r="D77" s="231">
        <v>3601</v>
      </c>
      <c r="E77" s="105" t="s">
        <v>237</v>
      </c>
      <c r="F77" s="236">
        <f>'FY18-19'!S77</f>
        <v>0</v>
      </c>
      <c r="G77" s="94"/>
      <c r="H77" s="236">
        <f>'FY19-20'!S77</f>
        <v>68078.700000000012</v>
      </c>
      <c r="I77" s="94"/>
      <c r="J77" s="329">
        <f>'Payroll 20-21'!$S$231</f>
        <v>151547.36197734001</v>
      </c>
      <c r="K77" s="236"/>
      <c r="L77" s="329">
        <f>'Payroll 21-22'!$S$231</f>
        <v>157707.54154665724</v>
      </c>
      <c r="M77" s="236"/>
      <c r="N77" s="329">
        <f>'Payroll 22-23'!$S$231</f>
        <v>168873.64412937715</v>
      </c>
      <c r="O77" s="236"/>
      <c r="P77" s="329">
        <f>'Payroll 23-24'!$S$231</f>
        <v>180831.91733812829</v>
      </c>
      <c r="R77" s="219"/>
    </row>
    <row r="78" spans="2:21" hidden="1">
      <c r="B78" s="124"/>
      <c r="C78" s="124" t="s">
        <v>186</v>
      </c>
      <c r="D78" s="231">
        <v>3901</v>
      </c>
      <c r="E78" s="105" t="s">
        <v>238</v>
      </c>
      <c r="F78" s="236">
        <f>'FY18-19'!S78</f>
        <v>0</v>
      </c>
      <c r="G78" s="94"/>
      <c r="H78" s="236">
        <f>'FY19-20'!S78</f>
        <v>-114.54</v>
      </c>
      <c r="I78" s="94"/>
      <c r="J78" s="329">
        <f>H78/(H$62+H$69)*(J$62+J$69)</f>
        <v>-112.13305537021363</v>
      </c>
      <c r="K78" s="236"/>
      <c r="L78" s="329">
        <f>J78/(J$62+J$69)*(L$62+L$69)</f>
        <v>-116.69110077413157</v>
      </c>
      <c r="M78" s="236"/>
      <c r="N78" s="329">
        <f>L78/(L$62+L$69)*(N$62+N$69)</f>
        <v>-124.9531330711031</v>
      </c>
      <c r="O78" s="236"/>
      <c r="P78" s="329">
        <f>N78/(N$62+N$69)*(P$62+P$69)</f>
        <v>-133.80130894399966</v>
      </c>
      <c r="R78" s="219"/>
    </row>
    <row r="79" spans="2:21">
      <c r="B79" s="124"/>
      <c r="C79" s="124" t="s">
        <v>186</v>
      </c>
      <c r="D79" s="126"/>
      <c r="E79" s="126"/>
      <c r="F79" s="215">
        <f>SUM(F71:F78)</f>
        <v>0</v>
      </c>
      <c r="G79" s="94"/>
      <c r="H79" s="215">
        <f>SUM(H71:H78)</f>
        <v>3180016.5700000003</v>
      </c>
      <c r="I79" s="94"/>
      <c r="J79" s="215">
        <f>SUM(J71:J78)</f>
        <v>3488546.3247756548</v>
      </c>
      <c r="K79" s="236"/>
      <c r="L79" s="215">
        <f>SUM(L71:L78)</f>
        <v>3640337.7178856446</v>
      </c>
      <c r="M79" s="236"/>
      <c r="N79" s="215">
        <f>SUM(N71:N78)</f>
        <v>3976383.4534103917</v>
      </c>
      <c r="O79" s="236"/>
      <c r="P79" s="215">
        <f>SUM(P71:P78)</f>
        <v>4346843.6023494275</v>
      </c>
      <c r="R79" s="219"/>
      <c r="S79" s="885" t="s">
        <v>229</v>
      </c>
      <c r="T79" s="885">
        <f>+H79/$H$52</f>
        <v>0.10091920724149882</v>
      </c>
      <c r="U79" s="885">
        <f>+J79/$J$52</f>
        <v>0.10832237596538448</v>
      </c>
    </row>
    <row r="80" spans="2:21">
      <c r="B80" s="124"/>
      <c r="C80" s="124" t="s">
        <v>288</v>
      </c>
      <c r="D80" s="126"/>
      <c r="E80" s="126"/>
      <c r="F80" s="94"/>
      <c r="G80" s="94"/>
      <c r="H80" s="94"/>
      <c r="I80" s="94"/>
      <c r="J80" s="94"/>
      <c r="K80" s="236"/>
      <c r="L80" s="94"/>
      <c r="M80" s="236"/>
      <c r="N80" s="94"/>
      <c r="O80" s="236"/>
      <c r="P80" s="94"/>
      <c r="R80" s="219"/>
      <c r="S80" s="889">
        <f>SUM(S62:S79)</f>
        <v>0</v>
      </c>
      <c r="T80" s="889">
        <f>SUM(T62:T79)</f>
        <v>0.45182320456201508</v>
      </c>
      <c r="U80" s="889">
        <f>SUM(U62:U79)</f>
        <v>0.44444212311961195</v>
      </c>
    </row>
    <row r="81" spans="2:21" hidden="1">
      <c r="B81" s="124"/>
      <c r="C81" s="124" t="s">
        <v>186</v>
      </c>
      <c r="D81" s="231">
        <v>4100</v>
      </c>
      <c r="E81" s="127" t="s">
        <v>278</v>
      </c>
      <c r="F81" s="236">
        <f>'FY18-19'!S81</f>
        <v>0</v>
      </c>
      <c r="G81" s="94"/>
      <c r="H81" s="236">
        <f>'FY19-20'!S81</f>
        <v>0</v>
      </c>
      <c r="I81" s="94"/>
      <c r="J81" s="236">
        <f>(H81/H$11*J$11)*(1+J$9)</f>
        <v>0</v>
      </c>
      <c r="K81" s="236"/>
      <c r="L81" s="236">
        <f>(J81/J$11*L$11)*(1+L$9)</f>
        <v>0</v>
      </c>
      <c r="M81" s="236"/>
      <c r="N81" s="236">
        <f>(L81/L$11*N$11)*(1+N$9)</f>
        <v>0</v>
      </c>
      <c r="O81" s="236"/>
      <c r="P81" s="236">
        <f>(N81/N$11*P$11)*(1+P$9)</f>
        <v>0</v>
      </c>
      <c r="R81" s="219"/>
    </row>
    <row r="82" spans="2:21" hidden="1">
      <c r="B82" s="124"/>
      <c r="C82" s="124" t="s">
        <v>186</v>
      </c>
      <c r="D82" s="231">
        <v>4200</v>
      </c>
      <c r="E82" s="127" t="s">
        <v>279</v>
      </c>
      <c r="F82" s="236">
        <f>'FY18-19'!S82</f>
        <v>0</v>
      </c>
      <c r="G82" s="94"/>
      <c r="H82" s="236">
        <f>'FY19-20'!S82</f>
        <v>0</v>
      </c>
      <c r="I82" s="94"/>
      <c r="J82" s="236">
        <f t="shared" ref="J82:J84" si="10">(H82/H$11*J$11)*(1+J$9)</f>
        <v>0</v>
      </c>
      <c r="K82" s="236"/>
      <c r="L82" s="236">
        <f t="shared" ref="L82:L84" si="11">(J82/J$11*L$11)*(1+L$9)</f>
        <v>0</v>
      </c>
      <c r="M82" s="236"/>
      <c r="N82" s="236">
        <f t="shared" ref="N82:N84" si="12">(L82/L$11*N$11)*(1+N$9)</f>
        <v>0</v>
      </c>
      <c r="O82" s="236"/>
      <c r="P82" s="236">
        <f t="shared" ref="P82:P84" si="13">(N82/N$11*P$11)*(1+P$9)</f>
        <v>0</v>
      </c>
      <c r="R82" s="219"/>
    </row>
    <row r="83" spans="2:21">
      <c r="B83" s="124"/>
      <c r="C83" s="124" t="s">
        <v>186</v>
      </c>
      <c r="D83" s="231">
        <v>4302</v>
      </c>
      <c r="E83" s="127" t="s">
        <v>80</v>
      </c>
      <c r="F83" s="236">
        <f>'FY18-19'!S83</f>
        <v>0</v>
      </c>
      <c r="G83" s="94"/>
      <c r="H83" s="236">
        <f>'FY19-20'!S83</f>
        <v>2751237.1700000004</v>
      </c>
      <c r="I83" s="94"/>
      <c r="J83" s="236">
        <f t="shared" si="10"/>
        <v>2788200.0131918164</v>
      </c>
      <c r="K83" s="236"/>
      <c r="L83" s="236">
        <f t="shared" si="11"/>
        <v>2843964.0134556526</v>
      </c>
      <c r="M83" s="236"/>
      <c r="N83" s="236">
        <f t="shared" si="12"/>
        <v>3046514.9036390288</v>
      </c>
      <c r="O83" s="236"/>
      <c r="P83" s="236">
        <f t="shared" si="13"/>
        <v>3264284.9683861653</v>
      </c>
      <c r="R83" s="219"/>
    </row>
    <row r="84" spans="2:21">
      <c r="B84" s="124"/>
      <c r="C84" s="124" t="s">
        <v>186</v>
      </c>
      <c r="D84" s="231">
        <v>4305</v>
      </c>
      <c r="E84" s="127" t="s">
        <v>97</v>
      </c>
      <c r="F84" s="236">
        <f>'FY18-19'!S86</f>
        <v>0</v>
      </c>
      <c r="G84" s="94"/>
      <c r="H84" s="236">
        <f>'FY19-20'!S84</f>
        <v>469071.74</v>
      </c>
      <c r="I84" s="94"/>
      <c r="J84" s="236">
        <f t="shared" si="10"/>
        <v>475373.71402113914</v>
      </c>
      <c r="K84" s="236"/>
      <c r="L84" s="236">
        <f t="shared" si="11"/>
        <v>484881.18830156192</v>
      </c>
      <c r="M84" s="236"/>
      <c r="N84" s="236">
        <f t="shared" si="12"/>
        <v>519415.06983416178</v>
      </c>
      <c r="O84" s="236"/>
      <c r="P84" s="236">
        <f t="shared" si="13"/>
        <v>556543.7420928505</v>
      </c>
      <c r="R84" s="219"/>
    </row>
    <row r="85" spans="2:21">
      <c r="B85" s="124"/>
      <c r="C85" s="124"/>
      <c r="D85" s="231">
        <v>4310</v>
      </c>
      <c r="E85" s="127" t="s">
        <v>39</v>
      </c>
      <c r="F85" s="236">
        <f>'FY18-19'!S125</f>
        <v>0</v>
      </c>
      <c r="G85" s="95"/>
      <c r="H85" s="236">
        <f>'FY19-20'!S85</f>
        <v>99440.48</v>
      </c>
      <c r="I85" s="95"/>
      <c r="J85" s="236">
        <f>(H85/H$11*J$11)*(1+J$9)</f>
        <v>100776.46183000665</v>
      </c>
      <c r="K85" s="236"/>
      <c r="L85" s="236">
        <f>(J85/J$11*L$11)*(1+L$9)</f>
        <v>102791.99106660679</v>
      </c>
      <c r="M85" s="236"/>
      <c r="N85" s="236">
        <f>(L85/L$11*N$11)*(1+N$9)</f>
        <v>110112.97304660171</v>
      </c>
      <c r="O85" s="236"/>
      <c r="P85" s="236">
        <f>(N85/N$11*P$11)*(1+P$9)</f>
        <v>117984.03556502733</v>
      </c>
      <c r="R85" s="219"/>
    </row>
    <row r="86" spans="2:21">
      <c r="B86" s="124"/>
      <c r="C86" s="124"/>
      <c r="D86" s="231">
        <v>4311</v>
      </c>
      <c r="E86" s="127" t="s">
        <v>36</v>
      </c>
      <c r="F86" s="236">
        <f>'FY18-19'!S120</f>
        <v>0</v>
      </c>
      <c r="G86" s="95"/>
      <c r="H86" s="236">
        <f>'FY19-20'!S86</f>
        <v>5532.87</v>
      </c>
      <c r="I86" s="95"/>
      <c r="J86" s="236">
        <f>(H86/H$11*J$11)*(1+J$9)</f>
        <v>5607.2040517643209</v>
      </c>
      <c r="K86" s="236"/>
      <c r="L86" s="236">
        <f>(J86/J$11*L$11)*(1+L$9)</f>
        <v>5719.3481327996078</v>
      </c>
      <c r="M86" s="236"/>
      <c r="N86" s="236">
        <f>(L86/L$11*N$11)*(1+N$9)</f>
        <v>6126.6876947934206</v>
      </c>
      <c r="O86" s="236"/>
      <c r="P86" s="236">
        <f>(N86/N$11*P$11)*(1+P$9)</f>
        <v>6564.6337473096755</v>
      </c>
      <c r="R86" s="219"/>
    </row>
    <row r="87" spans="2:21" hidden="1">
      <c r="B87" s="124"/>
      <c r="C87" s="124"/>
      <c r="D87" s="231">
        <v>4312</v>
      </c>
      <c r="E87" s="127" t="s">
        <v>106</v>
      </c>
      <c r="F87" s="236">
        <f>'FY18-19'!S132</f>
        <v>0</v>
      </c>
      <c r="G87" s="95"/>
      <c r="H87" s="236">
        <f>'FY19-20'!S87</f>
        <v>0</v>
      </c>
      <c r="I87" s="95"/>
      <c r="J87" s="236">
        <f>H87*(1+J$9)</f>
        <v>0</v>
      </c>
      <c r="K87" s="236"/>
      <c r="L87" s="236">
        <f>J87*(1+L$9)</f>
        <v>0</v>
      </c>
      <c r="M87" s="236"/>
      <c r="N87" s="236">
        <f>L87*(1+N$9)</f>
        <v>0</v>
      </c>
      <c r="O87" s="236"/>
      <c r="P87" s="236">
        <f>N87*(1+P$9)</f>
        <v>0</v>
      </c>
      <c r="R87" s="219"/>
    </row>
    <row r="88" spans="2:21">
      <c r="B88" s="124"/>
      <c r="C88" s="124" t="s">
        <v>186</v>
      </c>
      <c r="D88" s="231">
        <v>4400</v>
      </c>
      <c r="E88" s="127" t="s">
        <v>83</v>
      </c>
      <c r="F88" s="236">
        <f>'FY18-19'!S87</f>
        <v>0</v>
      </c>
      <c r="G88" s="94"/>
      <c r="H88" s="236">
        <f>'FY19-20'!S88</f>
        <v>440142.93000000005</v>
      </c>
      <c r="I88" s="95"/>
      <c r="J88" s="236">
        <f>H88*(1+J$9)</f>
        <v>448945.78860000009</v>
      </c>
      <c r="K88" s="236"/>
      <c r="L88" s="236">
        <f>J88*(1+L$9)</f>
        <v>457924.70437200012</v>
      </c>
      <c r="M88" s="236"/>
      <c r="N88" s="236">
        <f>L88*(1+N$9)</f>
        <v>467083.19845944014</v>
      </c>
      <c r="O88" s="236"/>
      <c r="P88" s="236">
        <f>N88*(1+P$9)</f>
        <v>476424.86242862896</v>
      </c>
      <c r="R88" s="219"/>
    </row>
    <row r="89" spans="2:21" hidden="1">
      <c r="B89" s="124"/>
      <c r="C89" s="124" t="s">
        <v>186</v>
      </c>
      <c r="D89" s="231">
        <v>4700</v>
      </c>
      <c r="E89" s="127" t="s">
        <v>84</v>
      </c>
      <c r="F89" s="236">
        <f>'FY18-19'!S88</f>
        <v>0</v>
      </c>
      <c r="G89" s="94"/>
      <c r="H89" s="236">
        <f>'FY19-20'!S89</f>
        <v>124903.72</v>
      </c>
      <c r="I89" s="94"/>
      <c r="J89" s="236">
        <f t="shared" ref="J89" si="14">(H89/H$11*J$11)*(1+J$9)</f>
        <v>126581.80019852919</v>
      </c>
      <c r="K89" s="236"/>
      <c r="L89" s="236">
        <f t="shared" ref="L89" si="15">(J89/J$11*L$11)*(1+L$9)</f>
        <v>129113.43620249978</v>
      </c>
      <c r="M89" s="236"/>
      <c r="N89" s="236">
        <f t="shared" ref="N89" si="16">(L89/L$11*N$11)*(1+N$9)</f>
        <v>138309.06642627114</v>
      </c>
      <c r="O89" s="236"/>
      <c r="P89" s="236">
        <f t="shared" ref="P89" si="17">(N89/N$11*P$11)*(1+P$9)</f>
        <v>148195.6336361632</v>
      </c>
      <c r="R89" s="219"/>
    </row>
    <row r="90" spans="2:21">
      <c r="B90" s="124"/>
      <c r="C90" s="124" t="s">
        <v>186</v>
      </c>
      <c r="D90" s="126"/>
      <c r="E90" s="126"/>
      <c r="F90" s="215">
        <f>SUM(F81:F89)</f>
        <v>0</v>
      </c>
      <c r="G90" s="94"/>
      <c r="H90" s="215">
        <f>SUM(H81:H89)</f>
        <v>3890328.9100000006</v>
      </c>
      <c r="I90" s="94"/>
      <c r="J90" s="215">
        <f>SUM(J81:J89)</f>
        <v>3945484.9818932558</v>
      </c>
      <c r="K90" s="236"/>
      <c r="L90" s="215">
        <f>SUM(L81:L89)</f>
        <v>4024394.6815311201</v>
      </c>
      <c r="M90" s="236"/>
      <c r="N90" s="215">
        <f>SUM(N81:N89)</f>
        <v>4287561.8991002971</v>
      </c>
      <c r="O90" s="236"/>
      <c r="P90" s="215">
        <f>SUM(P81:P89)</f>
        <v>4569997.8758561453</v>
      </c>
      <c r="R90" s="219"/>
      <c r="S90" s="885" t="s">
        <v>229</v>
      </c>
      <c r="T90" s="885">
        <f>+H90/$H$52</f>
        <v>0.12346127790959412</v>
      </c>
      <c r="U90" s="885">
        <f>+J90/$J$52</f>
        <v>0.12251071586440926</v>
      </c>
    </row>
    <row r="91" spans="2:21">
      <c r="B91" s="124"/>
      <c r="C91" s="124" t="s">
        <v>284</v>
      </c>
      <c r="D91" s="126"/>
      <c r="E91" s="126"/>
      <c r="F91" s="94"/>
      <c r="G91" s="94"/>
      <c r="H91" s="94"/>
      <c r="I91" s="94"/>
      <c r="J91" s="94"/>
      <c r="K91" s="236"/>
      <c r="L91" s="94"/>
      <c r="M91" s="236"/>
      <c r="N91" s="94"/>
      <c r="O91" s="236"/>
      <c r="P91" s="94"/>
      <c r="R91" s="219"/>
    </row>
    <row r="92" spans="2:21" hidden="1">
      <c r="B92" s="124"/>
      <c r="C92" s="124" t="s">
        <v>186</v>
      </c>
      <c r="D92" s="231">
        <v>5101</v>
      </c>
      <c r="E92" s="127" t="s">
        <v>85</v>
      </c>
      <c r="F92" s="236">
        <f>'FY18-19'!S91</f>
        <v>0</v>
      </c>
      <c r="G92" s="94"/>
      <c r="H92" s="236">
        <f>'FY19-20'!S92</f>
        <v>0</v>
      </c>
      <c r="I92" s="94"/>
      <c r="J92" s="236">
        <f>(H92/H$11*J$11)*(1+J$9)</f>
        <v>0</v>
      </c>
      <c r="K92" s="236"/>
      <c r="L92" s="236">
        <f>(J92/J$11*L$11)*(1+L$9)</f>
        <v>0</v>
      </c>
      <c r="M92" s="236"/>
      <c r="N92" s="236">
        <f>(L92/L$11*N$11)*(1+N$9)</f>
        <v>0</v>
      </c>
      <c r="O92" s="236"/>
      <c r="P92" s="236">
        <f>(N92/N$11*P$11)*(1+P$9)</f>
        <v>0</v>
      </c>
      <c r="R92" s="219"/>
    </row>
    <row r="93" spans="2:21">
      <c r="B93" s="124"/>
      <c r="C93" s="124" t="s">
        <v>186</v>
      </c>
      <c r="D93" s="231">
        <v>5102</v>
      </c>
      <c r="E93" s="127" t="s">
        <v>86</v>
      </c>
      <c r="F93" s="236">
        <f>'FY18-19'!S92</f>
        <v>0</v>
      </c>
      <c r="G93" s="94"/>
      <c r="H93" s="236">
        <f>'FY19-20'!S93</f>
        <v>1240799.3899999999</v>
      </c>
      <c r="I93" s="94"/>
      <c r="J93" s="236">
        <f>(H93/H$11*J$11)*(1+J$9)</f>
        <v>1257469.5170923402</v>
      </c>
      <c r="K93" s="236"/>
      <c r="L93" s="236">
        <f>(J93/J$11*L$11)*(1+L$9)</f>
        <v>1282618.9074341869</v>
      </c>
      <c r="M93" s="236"/>
      <c r="N93" s="236">
        <f>(L93/L$11*N$11)*(1+N$9)</f>
        <v>1373968.7276983156</v>
      </c>
      <c r="O93" s="236"/>
      <c r="P93" s="236">
        <f>(N93/N$11*P$11)*(1+P$9)</f>
        <v>1472182.3482632441</v>
      </c>
      <c r="R93" s="219"/>
    </row>
    <row r="94" spans="2:21" hidden="1">
      <c r="B94" s="124"/>
      <c r="C94" s="124" t="s">
        <v>186</v>
      </c>
      <c r="D94" s="231">
        <v>5103</v>
      </c>
      <c r="E94" s="127" t="s">
        <v>87</v>
      </c>
      <c r="F94" s="236">
        <f>'FY18-19'!S93</f>
        <v>0</v>
      </c>
      <c r="G94" s="94"/>
      <c r="H94" s="236">
        <f>'FY19-20'!S94</f>
        <v>0</v>
      </c>
      <c r="I94" s="94"/>
      <c r="J94" s="236">
        <f>(H94/H$11*J$11)*(1+J$9)</f>
        <v>0</v>
      </c>
      <c r="K94" s="236"/>
      <c r="L94" s="236">
        <f>(J94/J$11*L$11)*(1+L$9)</f>
        <v>0</v>
      </c>
      <c r="M94" s="236"/>
      <c r="N94" s="236">
        <f>(L94/L$11*N$11)*(1+N$9)</f>
        <v>0</v>
      </c>
      <c r="O94" s="236"/>
      <c r="P94" s="236">
        <f>(N94/N$11*P$11)*(1+P$9)</f>
        <v>0</v>
      </c>
      <c r="R94" s="219"/>
    </row>
    <row r="95" spans="2:21" hidden="1">
      <c r="B95" s="124"/>
      <c r="C95" s="124" t="s">
        <v>186</v>
      </c>
      <c r="D95" s="231">
        <v>5104</v>
      </c>
      <c r="E95" s="127" t="s">
        <v>88</v>
      </c>
      <c r="F95" s="236">
        <f>'FY18-19'!S94</f>
        <v>0</v>
      </c>
      <c r="G95" s="94"/>
      <c r="H95" s="236">
        <f>'FY19-20'!S95</f>
        <v>0</v>
      </c>
      <c r="I95" s="94"/>
      <c r="J95" s="236">
        <f>(H95/H$11*J$11)*(1+J$9)</f>
        <v>0</v>
      </c>
      <c r="K95" s="236"/>
      <c r="L95" s="236">
        <f>(J95/J$11*L$11)*(1+L$9)</f>
        <v>0</v>
      </c>
      <c r="M95" s="236"/>
      <c r="N95" s="236">
        <f>(L95/L$11*N$11)*(1+N$9)</f>
        <v>0</v>
      </c>
      <c r="O95" s="236"/>
      <c r="P95" s="236">
        <f>(N95/N$11*P$11)*(1+P$9)</f>
        <v>0</v>
      </c>
      <c r="R95" s="219"/>
    </row>
    <row r="96" spans="2:21" hidden="1">
      <c r="B96" s="124"/>
      <c r="C96" s="124" t="s">
        <v>186</v>
      </c>
      <c r="D96" s="231">
        <v>5105</v>
      </c>
      <c r="E96" s="127" t="s">
        <v>89</v>
      </c>
      <c r="F96" s="236">
        <f>'FY18-19'!S95</f>
        <v>0</v>
      </c>
      <c r="G96" s="94"/>
      <c r="H96" s="236">
        <f>'FY19-20'!S96</f>
        <v>173.97</v>
      </c>
      <c r="I96" s="94"/>
      <c r="J96" s="236">
        <f>(H96/H$11*J$11)*(1+J$9)</f>
        <v>176.3072851676325</v>
      </c>
      <c r="K96" s="236"/>
      <c r="L96" s="236">
        <f>(J96/J$11*L$11)*(1+L$9)</f>
        <v>179.83343087098515</v>
      </c>
      <c r="M96" s="236"/>
      <c r="N96" s="236">
        <f>(L96/L$11*N$11)*(1+N$9)</f>
        <v>192.64140640629751</v>
      </c>
      <c r="O96" s="236"/>
      <c r="P96" s="236">
        <f>(N96/N$11*P$11)*(1+P$9)</f>
        <v>206.4117416493545</v>
      </c>
      <c r="R96" s="219"/>
    </row>
    <row r="97" spans="2:21">
      <c r="B97" s="124"/>
      <c r="C97" s="124" t="s">
        <v>186</v>
      </c>
      <c r="D97" s="231">
        <v>5106</v>
      </c>
      <c r="E97" s="127" t="s">
        <v>169</v>
      </c>
      <c r="F97" s="236">
        <f>'FY18-19'!S96</f>
        <v>0</v>
      </c>
      <c r="G97" s="94"/>
      <c r="H97" s="236">
        <f>'FY19-20'!S97</f>
        <v>3665769.97</v>
      </c>
      <c r="I97" s="94"/>
      <c r="J97" s="236">
        <f t="shared" ref="J97" si="18">(H97/H$11*J$11)*(1+J$9)</f>
        <v>3715019.5519901924</v>
      </c>
      <c r="K97" s="236"/>
      <c r="L97" s="236">
        <f t="shared" ref="L97" si="19">(J97/J$11*L$11)*(1+L$9)</f>
        <v>3789319.9430299969</v>
      </c>
      <c r="M97" s="236"/>
      <c r="N97" s="236">
        <f t="shared" ref="N97" si="20">(L97/L$11*N$11)*(1+N$9)</f>
        <v>4059200.3367406526</v>
      </c>
      <c r="O97" s="236"/>
      <c r="P97" s="236">
        <f t="shared" ref="P97" si="21">(N97/N$11*P$11)*(1+P$9)</f>
        <v>4349358.8779306915</v>
      </c>
      <c r="R97" s="219"/>
    </row>
    <row r="98" spans="2:21">
      <c r="B98" s="124"/>
      <c r="C98" s="124"/>
      <c r="D98" s="231">
        <v>5107</v>
      </c>
      <c r="E98" s="127" t="s">
        <v>549</v>
      </c>
      <c r="F98" s="236">
        <v>0</v>
      </c>
      <c r="G98" s="94"/>
      <c r="H98" s="236">
        <f>'FY19-20'!S98</f>
        <v>3325428.41</v>
      </c>
      <c r="I98" s="94"/>
      <c r="J98" s="236">
        <f>J19*'Expense Details'!$K$105</f>
        <v>3379338.0255420799</v>
      </c>
      <c r="K98" s="236"/>
      <c r="L98" s="236">
        <f>L19*'Expense Details'!$K$105</f>
        <v>3470854.8300122716</v>
      </c>
      <c r="M98" s="236"/>
      <c r="N98" s="236">
        <f>N19*'Expense Details'!$K$105</f>
        <v>3748005.7472188296</v>
      </c>
      <c r="O98" s="236"/>
      <c r="P98" s="236">
        <f>P19*'Expense Details'!$K$105</f>
        <v>3937191.4450026588</v>
      </c>
      <c r="R98" s="219"/>
    </row>
    <row r="99" spans="2:21">
      <c r="B99" s="124"/>
      <c r="C99" s="124" t="s">
        <v>186</v>
      </c>
      <c r="D99" s="126"/>
      <c r="E99" s="126"/>
      <c r="F99" s="215">
        <f>SUM(F92:F98)</f>
        <v>0</v>
      </c>
      <c r="G99" s="94"/>
      <c r="H99" s="215">
        <f>SUM(H92:H98)</f>
        <v>8232171.7400000002</v>
      </c>
      <c r="I99" s="94"/>
      <c r="J99" s="215">
        <f>SUM(J92:J98)</f>
        <v>8352003.4019097798</v>
      </c>
      <c r="K99" s="236"/>
      <c r="L99" s="215">
        <f>SUM(L92:L98)</f>
        <v>8542973.5139073264</v>
      </c>
      <c r="M99" s="236"/>
      <c r="N99" s="215">
        <f>SUM(N92:N98)</f>
        <v>9181367.4530642033</v>
      </c>
      <c r="O99" s="236"/>
      <c r="P99" s="215">
        <f>SUM(P92:P98)</f>
        <v>9758939.0829382427</v>
      </c>
      <c r="R99" s="219"/>
      <c r="S99" s="885" t="s">
        <v>229</v>
      </c>
      <c r="T99" s="885">
        <f>+H99/$H$52</f>
        <v>0.26125154620709096</v>
      </c>
      <c r="U99" s="885">
        <f>+J99/$J$52</f>
        <v>0.25933691811417248</v>
      </c>
    </row>
    <row r="100" spans="2:21">
      <c r="B100" s="124"/>
      <c r="C100" s="124" t="s">
        <v>286</v>
      </c>
      <c r="D100" s="126"/>
      <c r="E100" s="126"/>
      <c r="F100" s="94"/>
      <c r="G100" s="95"/>
      <c r="H100" s="94"/>
      <c r="I100" s="95"/>
      <c r="J100" s="94"/>
      <c r="K100" s="236"/>
      <c r="L100" s="94"/>
      <c r="M100" s="236"/>
      <c r="N100" s="94"/>
      <c r="O100" s="236"/>
      <c r="P100" s="94"/>
      <c r="R100" s="219"/>
    </row>
    <row r="101" spans="2:21">
      <c r="B101" s="124"/>
      <c r="C101" s="124"/>
      <c r="D101" s="231">
        <v>5201</v>
      </c>
      <c r="E101" s="127" t="s">
        <v>144</v>
      </c>
      <c r="F101" s="236">
        <f>'FY18-19'!S119</f>
        <v>0</v>
      </c>
      <c r="G101" s="95"/>
      <c r="H101" s="236">
        <f>'FY19-20'!S101</f>
        <v>19471.900000000001</v>
      </c>
      <c r="I101" s="95"/>
      <c r="J101" s="236">
        <f t="shared" ref="J101:J106" si="22">(H101/H$11*J$11)*(1+J$9)</f>
        <v>19733.504777005368</v>
      </c>
      <c r="K101" s="236"/>
      <c r="L101" s="236">
        <f t="shared" ref="L101:L106" si="23">(J101/J$11*L$11)*(1+L$9)</f>
        <v>20128.174872545474</v>
      </c>
      <c r="M101" s="236"/>
      <c r="N101" s="236">
        <f t="shared" ref="N101:N106" si="24">(L101/L$11*N$11)*(1+N$9)</f>
        <v>21561.73019142832</v>
      </c>
      <c r="O101" s="236"/>
      <c r="P101" s="236">
        <f t="shared" ref="P101:P106" si="25">(N101/N$11*P$11)*(1+P$9)</f>
        <v>23102.999322998599</v>
      </c>
      <c r="R101" s="219"/>
    </row>
    <row r="102" spans="2:21">
      <c r="B102" s="124"/>
      <c r="C102" s="124"/>
      <c r="D102" s="231">
        <v>5300</v>
      </c>
      <c r="E102" s="127" t="s">
        <v>37</v>
      </c>
      <c r="F102" s="236">
        <f>'FY18-19'!S121</f>
        <v>0</v>
      </c>
      <c r="G102" s="95"/>
      <c r="H102" s="236">
        <f>'FY19-20'!S102</f>
        <v>0</v>
      </c>
      <c r="I102" s="95"/>
      <c r="J102" s="236">
        <f t="shared" si="22"/>
        <v>0</v>
      </c>
      <c r="K102" s="236"/>
      <c r="L102" s="236">
        <f t="shared" si="23"/>
        <v>0</v>
      </c>
      <c r="M102" s="236"/>
      <c r="N102" s="236">
        <f t="shared" si="24"/>
        <v>0</v>
      </c>
      <c r="O102" s="236"/>
      <c r="P102" s="236">
        <f t="shared" si="25"/>
        <v>0</v>
      </c>
      <c r="R102" s="219"/>
    </row>
    <row r="103" spans="2:21">
      <c r="B103" s="124"/>
      <c r="C103" s="124"/>
      <c r="D103" s="231">
        <v>5400</v>
      </c>
      <c r="E103" s="127" t="s">
        <v>38</v>
      </c>
      <c r="F103" s="236">
        <f>'FY18-19'!S122</f>
        <v>0</v>
      </c>
      <c r="G103" s="95"/>
      <c r="H103" s="236">
        <f>'FY19-20'!S103</f>
        <v>133742.03</v>
      </c>
      <c r="I103" s="95"/>
      <c r="J103" s="236">
        <f t="shared" si="22"/>
        <v>135538.85280282842</v>
      </c>
      <c r="K103" s="236"/>
      <c r="L103" s="236">
        <f t="shared" si="23"/>
        <v>138249.62985888499</v>
      </c>
      <c r="M103" s="236"/>
      <c r="N103" s="236">
        <f t="shared" si="24"/>
        <v>148095.95191603858</v>
      </c>
      <c r="O103" s="236"/>
      <c r="P103" s="236">
        <f t="shared" si="25"/>
        <v>158682.10233960004</v>
      </c>
      <c r="R103" s="219"/>
    </row>
    <row r="104" spans="2:21">
      <c r="B104" s="124"/>
      <c r="C104" s="124"/>
      <c r="D104" s="231">
        <v>5501</v>
      </c>
      <c r="E104" s="127" t="s">
        <v>101</v>
      </c>
      <c r="F104" s="236">
        <f>'FY18-19'!S123</f>
        <v>0</v>
      </c>
      <c r="G104" s="95"/>
      <c r="H104" s="236">
        <f>'FY19-20'!S104</f>
        <v>154.99</v>
      </c>
      <c r="I104" s="95"/>
      <c r="J104" s="236">
        <f t="shared" si="22"/>
        <v>157.07228906208749</v>
      </c>
      <c r="K104" s="236"/>
      <c r="L104" s="236">
        <f t="shared" si="23"/>
        <v>160.21373484332923</v>
      </c>
      <c r="M104" s="236"/>
      <c r="N104" s="236">
        <f t="shared" si="24"/>
        <v>171.62436959770102</v>
      </c>
      <c r="O104" s="236"/>
      <c r="P104" s="236">
        <f t="shared" si="25"/>
        <v>183.8923713182356</v>
      </c>
      <c r="R104" s="219"/>
    </row>
    <row r="105" spans="2:21">
      <c r="B105" s="124"/>
      <c r="C105" s="124"/>
      <c r="D105" s="231">
        <v>5502</v>
      </c>
      <c r="E105" s="127" t="s">
        <v>514</v>
      </c>
      <c r="F105" s="236">
        <f>'FY18-19'!S124</f>
        <v>0</v>
      </c>
      <c r="G105" s="95"/>
      <c r="H105" s="236">
        <f>'FY19-20'!S105</f>
        <v>1995</v>
      </c>
      <c r="I105" s="95"/>
      <c r="J105" s="236">
        <f t="shared" si="22"/>
        <v>2021.8028045607107</v>
      </c>
      <c r="K105" s="236"/>
      <c r="L105" s="236">
        <f t="shared" si="23"/>
        <v>2062.2388606519248</v>
      </c>
      <c r="M105" s="236"/>
      <c r="N105" s="236">
        <f t="shared" si="24"/>
        <v>2209.1142483219146</v>
      </c>
      <c r="O105" s="236"/>
      <c r="P105" s="236">
        <f t="shared" si="25"/>
        <v>2367.0254905470033</v>
      </c>
      <c r="R105" s="219"/>
    </row>
    <row r="106" spans="2:21" hidden="1">
      <c r="B106" s="124"/>
      <c r="C106" s="124"/>
      <c r="D106" s="231">
        <v>5516</v>
      </c>
      <c r="E106" s="127" t="s">
        <v>103</v>
      </c>
      <c r="F106" s="236">
        <f>'FY18-19'!S131</f>
        <v>0</v>
      </c>
      <c r="G106" s="95"/>
      <c r="H106" s="236">
        <f>'FY19-20'!S106</f>
        <v>0</v>
      </c>
      <c r="I106" s="95"/>
      <c r="J106" s="236">
        <f t="shared" si="22"/>
        <v>0</v>
      </c>
      <c r="K106" s="236"/>
      <c r="L106" s="236">
        <f t="shared" si="23"/>
        <v>0</v>
      </c>
      <c r="M106" s="236"/>
      <c r="N106" s="236">
        <f t="shared" si="24"/>
        <v>0</v>
      </c>
      <c r="O106" s="236"/>
      <c r="P106" s="236">
        <f t="shared" si="25"/>
        <v>0</v>
      </c>
      <c r="R106" s="219"/>
    </row>
    <row r="107" spans="2:21" hidden="1">
      <c r="B107" s="124"/>
      <c r="C107" s="124"/>
      <c r="D107" s="231">
        <v>5531</v>
      </c>
      <c r="E107" s="127" t="s">
        <v>313</v>
      </c>
      <c r="F107" s="236">
        <f>'FY18-19'!S133</f>
        <v>0</v>
      </c>
      <c r="G107" s="95"/>
      <c r="H107" s="236">
        <f>'FY19-20'!S107</f>
        <v>0</v>
      </c>
      <c r="I107" s="95"/>
      <c r="J107" s="236">
        <f>H107*(1+J$9)</f>
        <v>0</v>
      </c>
      <c r="K107" s="236"/>
      <c r="L107" s="236">
        <f>J107*(1+L$9)</f>
        <v>0</v>
      </c>
      <c r="M107" s="236"/>
      <c r="N107" s="236">
        <f>L107*(1+N$9)</f>
        <v>0</v>
      </c>
      <c r="O107" s="236"/>
      <c r="P107" s="236">
        <f>N107*(1+P$9)</f>
        <v>0</v>
      </c>
      <c r="R107" s="219"/>
    </row>
    <row r="108" spans="2:21">
      <c r="B108" s="124"/>
      <c r="C108" s="124"/>
      <c r="D108" s="231">
        <v>5900</v>
      </c>
      <c r="E108" s="127" t="s">
        <v>104</v>
      </c>
      <c r="F108" s="236">
        <f>'FY18-19'!S134</f>
        <v>0</v>
      </c>
      <c r="G108" s="95"/>
      <c r="H108" s="236">
        <f>'FY19-20'!S108</f>
        <v>863.68000000000006</v>
      </c>
      <c r="I108" s="95"/>
      <c r="J108" s="236">
        <f>(H108/H$11*J$11)*(1+J$9)</f>
        <v>875.28353195137572</v>
      </c>
      <c r="K108" s="236"/>
      <c r="L108" s="236">
        <f>(J108/J$11*L$11)*(1+L$9)</f>
        <v>892.78920259040331</v>
      </c>
      <c r="M108" s="236"/>
      <c r="N108" s="236">
        <f>(L108/L$11*N$11)*(1+N$9)</f>
        <v>956.37483408053697</v>
      </c>
      <c r="O108" s="236"/>
      <c r="P108" s="236">
        <f>(N108/N$11*P$11)*(1+P$9)</f>
        <v>1024.738133170745</v>
      </c>
      <c r="R108" s="219"/>
    </row>
    <row r="109" spans="2:21">
      <c r="B109" s="124"/>
      <c r="C109" s="124"/>
      <c r="D109" s="231">
        <v>5901</v>
      </c>
      <c r="E109" s="127" t="s">
        <v>40</v>
      </c>
      <c r="F109" s="236">
        <f>'FY18-19'!S126</f>
        <v>0</v>
      </c>
      <c r="G109" s="95"/>
      <c r="H109" s="236">
        <f>'FY19-20'!S109</f>
        <v>1236.94</v>
      </c>
      <c r="I109" s="95"/>
      <c r="J109" s="236">
        <f>(H109/H$11*J$11)*(1+J$9)</f>
        <v>1253.5582762272311</v>
      </c>
      <c r="K109" s="236"/>
      <c r="L109" s="236">
        <f>(J109/J$11*L$11)*(1+L$9)</f>
        <v>1278.6294417517756</v>
      </c>
      <c r="M109" s="236"/>
      <c r="N109" s="236">
        <f>(L109/L$11*N$11)*(1+N$9)</f>
        <v>1369.6951269770975</v>
      </c>
      <c r="O109" s="236"/>
      <c r="P109" s="236">
        <f>(N109/N$11*P$11)*(1+P$9)</f>
        <v>1467.6032632968477</v>
      </c>
      <c r="R109" s="219"/>
    </row>
    <row r="110" spans="2:21">
      <c r="B110" s="124"/>
      <c r="C110" s="124"/>
      <c r="D110" s="231"/>
      <c r="E110" s="105"/>
      <c r="F110" s="215">
        <f>SUM(F101:F109)</f>
        <v>0</v>
      </c>
      <c r="G110" s="95"/>
      <c r="H110" s="215">
        <f>SUM(H101:H109)</f>
        <v>157464.53999999998</v>
      </c>
      <c r="I110" s="95"/>
      <c r="J110" s="215">
        <f>SUM(J101:J109)</f>
        <v>159580.07448163521</v>
      </c>
      <c r="K110" s="236"/>
      <c r="L110" s="215">
        <f>SUM(L101:L109)</f>
        <v>162771.67597126792</v>
      </c>
      <c r="M110" s="236"/>
      <c r="N110" s="215">
        <f>SUM(N101:N109)</f>
        <v>174364.49068644419</v>
      </c>
      <c r="O110" s="236"/>
      <c r="P110" s="215">
        <f>SUM(P101:P109)</f>
        <v>186828.3609209315</v>
      </c>
      <c r="R110" s="219"/>
      <c r="S110" s="885" t="s">
        <v>229</v>
      </c>
      <c r="T110" s="885">
        <f>+H110/$H$52</f>
        <v>4.9972055791669282E-3</v>
      </c>
      <c r="U110" s="885">
        <f>+J110/$J$52</f>
        <v>4.9550991201744755E-3</v>
      </c>
    </row>
    <row r="111" spans="2:21">
      <c r="B111" s="124"/>
      <c r="C111" s="124" t="s">
        <v>287</v>
      </c>
      <c r="D111" s="126"/>
      <c r="E111" s="126"/>
      <c r="F111" s="94"/>
      <c r="G111" s="95"/>
      <c r="H111" s="94"/>
      <c r="I111" s="95"/>
      <c r="J111" s="94"/>
      <c r="K111" s="236"/>
      <c r="L111" s="94"/>
      <c r="M111" s="236"/>
      <c r="N111" s="94"/>
      <c r="O111" s="236"/>
      <c r="P111" s="94"/>
      <c r="R111" s="219"/>
    </row>
    <row r="112" spans="2:21">
      <c r="B112" s="124"/>
      <c r="C112" s="124" t="s">
        <v>186</v>
      </c>
      <c r="D112" s="231">
        <v>5601</v>
      </c>
      <c r="E112" s="127" t="s">
        <v>29</v>
      </c>
      <c r="F112" s="236">
        <f>'FY18-19'!S111</f>
        <v>0</v>
      </c>
      <c r="G112" s="95"/>
      <c r="H112" s="236">
        <f>'FY19-20'!S112</f>
        <v>31663.5</v>
      </c>
      <c r="I112" s="95"/>
      <c r="J112" s="236">
        <f t="shared" ref="J112:J113" si="26">(H112/H$11*J$11)*(1+J$9)</f>
        <v>32088.898798099279</v>
      </c>
      <c r="K112" s="236"/>
      <c r="L112" s="236">
        <f t="shared" ref="L112:L113" si="27">(J112/J$11*L$11)*(1+L$9)</f>
        <v>32730.676774061263</v>
      </c>
      <c r="M112" s="236"/>
      <c r="N112" s="236">
        <f t="shared" ref="N112:N113" si="28">(L112/L$11*N$11)*(1+N$9)</f>
        <v>35061.798998366387</v>
      </c>
      <c r="O112" s="236"/>
      <c r="P112" s="236">
        <f t="shared" ref="P112:P113" si="29">(N112/N$11*P$11)*(1+P$9)</f>
        <v>37568.075999967441</v>
      </c>
      <c r="R112" s="219"/>
    </row>
    <row r="113" spans="2:21">
      <c r="B113" s="124"/>
      <c r="C113" s="124" t="s">
        <v>186</v>
      </c>
      <c r="D113" s="231">
        <v>5602</v>
      </c>
      <c r="E113" s="127" t="s">
        <v>30</v>
      </c>
      <c r="F113" s="236">
        <f>'FY18-19'!S112</f>
        <v>0</v>
      </c>
      <c r="G113" s="95"/>
      <c r="H113" s="236">
        <f>'FY19-20'!S113</f>
        <v>0</v>
      </c>
      <c r="I113" s="95"/>
      <c r="J113" s="236">
        <f t="shared" si="26"/>
        <v>0</v>
      </c>
      <c r="K113" s="236"/>
      <c r="L113" s="236">
        <f t="shared" si="27"/>
        <v>0</v>
      </c>
      <c r="M113" s="236"/>
      <c r="N113" s="236">
        <f t="shared" si="28"/>
        <v>0</v>
      </c>
      <c r="O113" s="236"/>
      <c r="P113" s="236">
        <f t="shared" si="29"/>
        <v>0</v>
      </c>
      <c r="R113" s="219"/>
    </row>
    <row r="114" spans="2:21" hidden="1">
      <c r="B114" s="124"/>
      <c r="C114" s="124" t="s">
        <v>186</v>
      </c>
      <c r="D114" s="231">
        <v>5603</v>
      </c>
      <c r="E114" s="127" t="s">
        <v>31</v>
      </c>
      <c r="F114" s="236">
        <f>'FY18-19'!S113</f>
        <v>0</v>
      </c>
      <c r="G114" s="95"/>
      <c r="H114" s="236">
        <f>'FY19-20'!S114</f>
        <v>0</v>
      </c>
      <c r="I114" s="95"/>
      <c r="J114" s="236">
        <f>(H114/H$11*J$11)*(1+J$9)</f>
        <v>0</v>
      </c>
      <c r="K114" s="236"/>
      <c r="L114" s="236">
        <f>(J114/J$11*L$11)*(1+L$9)</f>
        <v>0</v>
      </c>
      <c r="M114" s="236"/>
      <c r="N114" s="236">
        <f>(L114/L$11*N$11)*(1+N$9)</f>
        <v>0</v>
      </c>
      <c r="O114" s="236"/>
      <c r="P114" s="236">
        <f>(N114/N$11*P$11)*(1+P$9)</f>
        <v>0</v>
      </c>
      <c r="R114" s="219"/>
    </row>
    <row r="115" spans="2:21" hidden="1">
      <c r="B115" s="124"/>
      <c r="C115" s="124" t="s">
        <v>186</v>
      </c>
      <c r="D115" s="231">
        <v>5604</v>
      </c>
      <c r="E115" s="127" t="s">
        <v>32</v>
      </c>
      <c r="F115" s="236">
        <f>'FY18-19'!S114</f>
        <v>0</v>
      </c>
      <c r="G115" s="95"/>
      <c r="H115" s="236">
        <f>'FY19-20'!S115</f>
        <v>4215</v>
      </c>
      <c r="I115" s="95"/>
      <c r="J115" s="236">
        <f t="shared" ref="J115:J117" si="30">(H115/H$11*J$11)*(1+J$9)</f>
        <v>4271.6284818162394</v>
      </c>
      <c r="K115" s="236"/>
      <c r="L115" s="236">
        <f t="shared" ref="L115:L117" si="31">(J115/J$11*L$11)*(1+L$9)</f>
        <v>4357.0610514525642</v>
      </c>
      <c r="M115" s="236"/>
      <c r="N115" s="236">
        <f t="shared" ref="N115:N117" si="32">(L115/L$11*N$11)*(1+N$9)</f>
        <v>4667.3767201387836</v>
      </c>
      <c r="O115" s="236"/>
      <c r="P115" s="236">
        <f t="shared" ref="P115:P117" si="33">(N115/N$11*P$11)*(1+P$9)</f>
        <v>5001.0087431857764</v>
      </c>
      <c r="R115" s="219"/>
    </row>
    <row r="116" spans="2:21" hidden="1">
      <c r="B116" s="124"/>
      <c r="C116" s="124" t="s">
        <v>186</v>
      </c>
      <c r="D116" s="231">
        <v>5605</v>
      </c>
      <c r="E116" s="127" t="s">
        <v>99</v>
      </c>
      <c r="F116" s="236">
        <f>'FY18-19'!S115</f>
        <v>0</v>
      </c>
      <c r="G116" s="95"/>
      <c r="H116" s="236">
        <f>'FY19-20'!S116</f>
        <v>0</v>
      </c>
      <c r="I116" s="95"/>
      <c r="J116" s="236">
        <f t="shared" si="30"/>
        <v>0</v>
      </c>
      <c r="K116" s="236"/>
      <c r="L116" s="236">
        <f t="shared" si="31"/>
        <v>0</v>
      </c>
      <c r="M116" s="236"/>
      <c r="N116" s="236">
        <f t="shared" si="32"/>
        <v>0</v>
      </c>
      <c r="O116" s="236"/>
      <c r="P116" s="236">
        <f t="shared" si="33"/>
        <v>0</v>
      </c>
      <c r="R116" s="219"/>
    </row>
    <row r="117" spans="2:21">
      <c r="B117" s="124"/>
      <c r="C117" s="124" t="s">
        <v>186</v>
      </c>
      <c r="D117" s="231">
        <v>5610</v>
      </c>
      <c r="E117" s="127" t="s">
        <v>33</v>
      </c>
      <c r="F117" s="236">
        <f>'FY18-19'!S116</f>
        <v>0</v>
      </c>
      <c r="G117" s="95"/>
      <c r="H117" s="236">
        <f>'FY19-20'!S117</f>
        <v>20000</v>
      </c>
      <c r="I117" s="95"/>
      <c r="J117" s="236">
        <f t="shared" si="30"/>
        <v>20268.699795094846</v>
      </c>
      <c r="K117" s="236"/>
      <c r="L117" s="236">
        <f t="shared" si="31"/>
        <v>20674.073790996743</v>
      </c>
      <c r="M117" s="236"/>
      <c r="N117" s="236">
        <f t="shared" si="32"/>
        <v>22146.508755106915</v>
      </c>
      <c r="O117" s="236"/>
      <c r="P117" s="236">
        <f t="shared" si="33"/>
        <v>23729.578852601542</v>
      </c>
      <c r="R117" s="219"/>
    </row>
    <row r="118" spans="2:21">
      <c r="B118" s="124"/>
      <c r="C118" s="124" t="s">
        <v>186</v>
      </c>
      <c r="D118" s="126"/>
      <c r="E118" s="126"/>
      <c r="F118" s="215">
        <f>SUM(F112:F117)</f>
        <v>0</v>
      </c>
      <c r="G118" s="95"/>
      <c r="H118" s="215">
        <f>SUM(H112:H117)</f>
        <v>55878.5</v>
      </c>
      <c r="I118" s="95"/>
      <c r="J118" s="215">
        <f>SUM(J112:J117)</f>
        <v>56629.227075010363</v>
      </c>
      <c r="K118" s="236"/>
      <c r="L118" s="215">
        <f>SUM(L112:L117)</f>
        <v>57761.811616510568</v>
      </c>
      <c r="M118" s="236"/>
      <c r="N118" s="215">
        <f>SUM(N112:N117)</f>
        <v>61875.684473612084</v>
      </c>
      <c r="O118" s="236"/>
      <c r="P118" s="215">
        <f>SUM(P112:P117)</f>
        <v>66298.663595754755</v>
      </c>
      <c r="R118" s="219"/>
      <c r="S118" s="885" t="s">
        <v>229</v>
      </c>
      <c r="T118" s="885">
        <f>+H118/$H$52</f>
        <v>1.7733284710035619E-3</v>
      </c>
      <c r="U118" s="885">
        <f>+J118/$J$52</f>
        <v>1.7583864036097867E-3</v>
      </c>
    </row>
    <row r="119" spans="2:21">
      <c r="B119" s="124"/>
      <c r="C119" s="124" t="s">
        <v>285</v>
      </c>
      <c r="D119" s="126"/>
      <c r="E119" s="126"/>
      <c r="F119" s="94"/>
      <c r="G119" s="94"/>
      <c r="H119" s="94"/>
      <c r="I119" s="94"/>
      <c r="J119" s="94"/>
      <c r="K119" s="236"/>
      <c r="L119" s="94"/>
      <c r="M119" s="236"/>
      <c r="N119" s="94"/>
      <c r="O119" s="236"/>
      <c r="P119" s="94"/>
      <c r="R119" s="219"/>
    </row>
    <row r="120" spans="2:21" hidden="1">
      <c r="B120" s="124"/>
      <c r="C120" s="124" t="s">
        <v>186</v>
      </c>
      <c r="D120" s="231">
        <v>5801</v>
      </c>
      <c r="E120" s="127" t="s">
        <v>92</v>
      </c>
      <c r="F120" s="236">
        <f>'FY18-19'!S99</f>
        <v>0</v>
      </c>
      <c r="G120" s="94"/>
      <c r="H120" s="236">
        <f>'FY19-20'!S120</f>
        <v>28512.9</v>
      </c>
      <c r="I120" s="94"/>
      <c r="J120" s="236">
        <f>(H120/H$11*J$11)*(1+J$9)</f>
        <v>28895.970519377992</v>
      </c>
      <c r="K120" s="236"/>
      <c r="L120" s="236">
        <f>(J120/J$11*L$11)*(1+L$9)</f>
        <v>29473.889929765552</v>
      </c>
      <c r="M120" s="236"/>
      <c r="N120" s="236">
        <f>(L120/L$11*N$11)*(1+N$9)</f>
        <v>31573.059474174399</v>
      </c>
      <c r="O120" s="236"/>
      <c r="P120" s="236">
        <f>(N120/N$11*P$11)*(1+P$9)</f>
        <v>33829.955443317129</v>
      </c>
      <c r="R120" s="219"/>
    </row>
    <row r="121" spans="2:21">
      <c r="B121" s="124"/>
      <c r="C121" s="124" t="s">
        <v>186</v>
      </c>
      <c r="D121" s="231">
        <v>5802</v>
      </c>
      <c r="E121" s="127" t="s">
        <v>170</v>
      </c>
      <c r="F121" s="236">
        <f>'FY18-19'!S100</f>
        <v>0</v>
      </c>
      <c r="G121" s="94"/>
      <c r="H121" s="236">
        <f>'FY19-20'!S121</f>
        <v>0</v>
      </c>
      <c r="I121" s="94"/>
      <c r="J121" s="236">
        <f>H121*(1+J$9)</f>
        <v>0</v>
      </c>
      <c r="K121" s="236"/>
      <c r="L121" s="236">
        <f>J121*(1+L$9)</f>
        <v>0</v>
      </c>
      <c r="M121" s="236"/>
      <c r="N121" s="236">
        <f>L121*(1+N$9)</f>
        <v>0</v>
      </c>
      <c r="O121" s="236"/>
      <c r="P121" s="236">
        <f>N121*(1+P$9)</f>
        <v>0</v>
      </c>
      <c r="R121" s="219"/>
    </row>
    <row r="122" spans="2:21">
      <c r="B122" s="124"/>
      <c r="C122" s="124" t="s">
        <v>186</v>
      </c>
      <c r="D122" s="231">
        <v>5803</v>
      </c>
      <c r="E122" s="127" t="s">
        <v>93</v>
      </c>
      <c r="F122" s="236">
        <f>'FY18-19'!S101</f>
        <v>0</v>
      </c>
      <c r="G122" s="94"/>
      <c r="H122" s="236">
        <f>'FY19-20'!S122</f>
        <v>63025.520000000004</v>
      </c>
      <c r="I122" s="94"/>
      <c r="J122" s="236">
        <f>H122*(1+J$9)</f>
        <v>64286.030400000003</v>
      </c>
      <c r="K122" s="236"/>
      <c r="L122" s="236">
        <f>J122*(1+L$9)</f>
        <v>65571.751008000007</v>
      </c>
      <c r="M122" s="236"/>
      <c r="N122" s="236">
        <f>L122*(1+N$9)</f>
        <v>66883.186028160009</v>
      </c>
      <c r="O122" s="236"/>
      <c r="P122" s="236">
        <f>N122*(1+P$9)</f>
        <v>68220.849748723209</v>
      </c>
      <c r="R122" s="219"/>
    </row>
    <row r="123" spans="2:21">
      <c r="B123" s="124"/>
      <c r="C123" s="124" t="s">
        <v>186</v>
      </c>
      <c r="D123" s="231">
        <v>5804</v>
      </c>
      <c r="E123" s="127" t="s">
        <v>35</v>
      </c>
      <c r="F123" s="236">
        <f>'FY18-19'!S102</f>
        <v>0</v>
      </c>
      <c r="G123" s="94"/>
      <c r="H123" s="236">
        <f>'FY19-20'!S123</f>
        <v>33151.89</v>
      </c>
      <c r="I123" s="94"/>
      <c r="J123" s="236">
        <f t="shared" ref="J123:J129" si="34">(H123/H$11*J$11)*(1+J$9)</f>
        <v>33597.285302500342</v>
      </c>
      <c r="K123" s="236"/>
      <c r="L123" s="236">
        <f t="shared" ref="L123:L129" si="35">(J123/J$11*L$11)*(1+L$9)</f>
        <v>34269.231008550349</v>
      </c>
      <c r="M123" s="236"/>
      <c r="N123" s="236">
        <f t="shared" ref="N123:N129" si="36">(L123/L$11*N$11)*(1+N$9)</f>
        <v>36709.931106667071</v>
      </c>
      <c r="O123" s="236"/>
      <c r="P123" s="236">
        <f t="shared" ref="P123:P129" si="37">(N123/N$11*P$11)*(1+P$9)</f>
        <v>39334.019393388626</v>
      </c>
      <c r="R123" s="219"/>
    </row>
    <row r="124" spans="2:21">
      <c r="B124" s="124"/>
      <c r="C124" s="124" t="s">
        <v>186</v>
      </c>
      <c r="D124" s="231">
        <v>5805</v>
      </c>
      <c r="E124" s="127" t="s">
        <v>94</v>
      </c>
      <c r="F124" s="236">
        <f>'FY18-19'!S103</f>
        <v>0</v>
      </c>
      <c r="G124" s="94"/>
      <c r="H124" s="236">
        <f>'FY19-20'!S124</f>
        <v>19550</v>
      </c>
      <c r="I124" s="94"/>
      <c r="J124" s="236">
        <f t="shared" si="34"/>
        <v>19812.654049705212</v>
      </c>
      <c r="K124" s="236"/>
      <c r="L124" s="236">
        <f t="shared" si="35"/>
        <v>20208.907130699317</v>
      </c>
      <c r="M124" s="236"/>
      <c r="N124" s="236">
        <f t="shared" si="36"/>
        <v>21648.212308117014</v>
      </c>
      <c r="O124" s="236"/>
      <c r="P124" s="236">
        <f t="shared" si="37"/>
        <v>23195.66332841801</v>
      </c>
      <c r="R124" s="219"/>
    </row>
    <row r="125" spans="2:21">
      <c r="B125" s="124"/>
      <c r="C125" s="124" t="s">
        <v>186</v>
      </c>
      <c r="D125" s="231">
        <v>5806</v>
      </c>
      <c r="E125" s="127" t="s">
        <v>81</v>
      </c>
      <c r="F125" s="236">
        <f>'FY18-19'!S84</f>
        <v>0</v>
      </c>
      <c r="G125" s="94"/>
      <c r="H125" s="236">
        <f>'FY19-20'!S125</f>
        <v>228495.50000000003</v>
      </c>
      <c r="I125" s="94"/>
      <c r="J125" s="236">
        <f t="shared" si="34"/>
        <v>231565.3347015047</v>
      </c>
      <c r="K125" s="236"/>
      <c r="L125" s="236">
        <f t="shared" si="35"/>
        <v>236196.6413955348</v>
      </c>
      <c r="M125" s="236"/>
      <c r="N125" s="236">
        <f t="shared" si="36"/>
        <v>253018.87956262662</v>
      </c>
      <c r="O125" s="236"/>
      <c r="P125" s="236">
        <f t="shared" si="37"/>
        <v>271105.09923573077</v>
      </c>
      <c r="R125" s="219"/>
    </row>
    <row r="126" spans="2:21">
      <c r="B126" s="124"/>
      <c r="C126" s="124"/>
      <c r="D126" s="231">
        <v>5807</v>
      </c>
      <c r="E126" s="127" t="s">
        <v>41</v>
      </c>
      <c r="F126" s="236">
        <f>'FY18-19'!S129</f>
        <v>0</v>
      </c>
      <c r="G126" s="95"/>
      <c r="H126" s="236">
        <f>'FY19-20'!S126</f>
        <v>1501.7</v>
      </c>
      <c r="I126" s="95"/>
      <c r="J126" s="236">
        <f t="shared" si="34"/>
        <v>1521.8753241146965</v>
      </c>
      <c r="K126" s="236"/>
      <c r="L126" s="236">
        <f t="shared" si="35"/>
        <v>1552.3128305969904</v>
      </c>
      <c r="M126" s="236"/>
      <c r="N126" s="236">
        <f t="shared" si="36"/>
        <v>1662.8706098772027</v>
      </c>
      <c r="O126" s="236"/>
      <c r="P126" s="236">
        <f t="shared" si="37"/>
        <v>1781.7354281475868</v>
      </c>
      <c r="R126" s="219"/>
    </row>
    <row r="127" spans="2:21">
      <c r="B127" s="124"/>
      <c r="C127" s="124"/>
      <c r="D127" s="231">
        <v>5808</v>
      </c>
      <c r="E127" s="127" t="s">
        <v>42</v>
      </c>
      <c r="F127" s="236">
        <f>'FY18-19'!S127</f>
        <v>0</v>
      </c>
      <c r="G127" s="95"/>
      <c r="H127" s="236">
        <f>'FY19-20'!S127</f>
        <v>799.29000000000008</v>
      </c>
      <c r="I127" s="95"/>
      <c r="J127" s="236">
        <f t="shared" si="34"/>
        <v>810.02845296106807</v>
      </c>
      <c r="K127" s="236"/>
      <c r="L127" s="236">
        <f t="shared" si="35"/>
        <v>826.22902202028945</v>
      </c>
      <c r="M127" s="236"/>
      <c r="N127" s="236">
        <f t="shared" si="36"/>
        <v>885.07414914347044</v>
      </c>
      <c r="O127" s="236"/>
      <c r="P127" s="236">
        <f t="shared" si="37"/>
        <v>948.34075405479439</v>
      </c>
      <c r="R127" s="219"/>
    </row>
    <row r="128" spans="2:21">
      <c r="B128" s="124"/>
      <c r="C128" s="124"/>
      <c r="D128" s="231">
        <v>5809</v>
      </c>
      <c r="E128" s="127" t="s">
        <v>43</v>
      </c>
      <c r="F128" s="236">
        <f>'FY18-19'!S128</f>
        <v>0</v>
      </c>
      <c r="G128" s="95"/>
      <c r="H128" s="236">
        <f>'FY19-20'!S128</f>
        <v>34706.130000000005</v>
      </c>
      <c r="I128" s="95"/>
      <c r="J128" s="236">
        <f t="shared" si="34"/>
        <v>35172.406500976758</v>
      </c>
      <c r="K128" s="236"/>
      <c r="L128" s="236">
        <f t="shared" si="35"/>
        <v>35875.854630996291</v>
      </c>
      <c r="M128" s="236"/>
      <c r="N128" s="236">
        <f t="shared" si="36"/>
        <v>38430.98059504394</v>
      </c>
      <c r="O128" s="236"/>
      <c r="P128" s="236">
        <f t="shared" si="37"/>
        <v>41178.092425181996</v>
      </c>
      <c r="R128" s="219"/>
    </row>
    <row r="129" spans="2:21" hidden="1">
      <c r="B129" s="124"/>
      <c r="C129" s="124" t="s">
        <v>186</v>
      </c>
      <c r="D129" s="231">
        <v>5810</v>
      </c>
      <c r="E129" s="127" t="s">
        <v>26</v>
      </c>
      <c r="F129" s="236">
        <f>'FY18-19'!S104</f>
        <v>0</v>
      </c>
      <c r="G129" s="94"/>
      <c r="H129" s="236">
        <f>'FY19-20'!S129</f>
        <v>4551</v>
      </c>
      <c r="I129" s="94"/>
      <c r="J129" s="236">
        <f t="shared" si="34"/>
        <v>4612.1426383738317</v>
      </c>
      <c r="K129" s="236"/>
      <c r="L129" s="236">
        <f t="shared" si="35"/>
        <v>4704.3854911413082</v>
      </c>
      <c r="M129" s="236"/>
      <c r="N129" s="236">
        <f t="shared" si="36"/>
        <v>5039.4380672245779</v>
      </c>
      <c r="O129" s="236"/>
      <c r="P129" s="236">
        <f t="shared" si="37"/>
        <v>5399.6656679094795</v>
      </c>
      <c r="R129" s="219"/>
    </row>
    <row r="130" spans="2:21">
      <c r="B130" s="124"/>
      <c r="C130" s="124" t="s">
        <v>186</v>
      </c>
      <c r="D130" s="231">
        <v>5811</v>
      </c>
      <c r="E130" s="127" t="s">
        <v>27</v>
      </c>
      <c r="F130" s="236">
        <f>'FY18-19'!S105</f>
        <v>0</v>
      </c>
      <c r="G130" s="94"/>
      <c r="H130" s="236">
        <f>'FY19-20'!S130</f>
        <v>1054931.6600000001</v>
      </c>
      <c r="I130" s="94"/>
      <c r="J130" s="236">
        <f>(J19*'[3]Revenue DO'!$D$56)+(J52*0.0175)</f>
        <v>563591.41072646866</v>
      </c>
      <c r="K130" s="236"/>
      <c r="L130" s="236">
        <f>(L19*'[3]Revenue DO'!$D$56)+(L52*0.0175)</f>
        <v>577511.64928493265</v>
      </c>
      <c r="M130" s="236"/>
      <c r="N130" s="236">
        <f>(N19*'[3]Revenue DO'!$D$56)+(N52*0.0175)</f>
        <v>622106.90861061413</v>
      </c>
      <c r="O130" s="236"/>
      <c r="P130" s="236">
        <f>(P19*'[3]Revenue DO'!$D$56)+(P52*0.0175)</f>
        <v>653508.25762177585</v>
      </c>
      <c r="R130" s="219"/>
    </row>
    <row r="131" spans="2:21">
      <c r="B131" s="124"/>
      <c r="C131" s="124" t="s">
        <v>186</v>
      </c>
      <c r="D131" s="231">
        <v>5812</v>
      </c>
      <c r="E131" s="127" t="s">
        <v>95</v>
      </c>
      <c r="F131" s="236">
        <f>'FY18-19'!S106</f>
        <v>0</v>
      </c>
      <c r="G131" s="94"/>
      <c r="H131" s="236">
        <f>'FY19-20'!S131</f>
        <v>867464.43</v>
      </c>
      <c r="I131" s="94"/>
      <c r="J131" s="329">
        <f>J19*'Revenue Inputs'!$D$10</f>
        <v>881566.44144575996</v>
      </c>
      <c r="K131" s="236"/>
      <c r="L131" s="329">
        <f>L19*'Revenue Inputs'!$D$10</f>
        <v>905440.39043798391</v>
      </c>
      <c r="M131" s="236"/>
      <c r="N131" s="329">
        <f>N19*'Revenue Inputs'!$D$10</f>
        <v>977740.62970925984</v>
      </c>
      <c r="O131" s="236"/>
      <c r="P131" s="329">
        <f>P19*'Revenue Inputs'!$D$10</f>
        <v>1027093.4204354761</v>
      </c>
      <c r="R131" s="219"/>
    </row>
    <row r="132" spans="2:21" hidden="1">
      <c r="B132" s="124"/>
      <c r="C132" s="124" t="s">
        <v>186</v>
      </c>
      <c r="D132" s="231">
        <v>5813</v>
      </c>
      <c r="E132" s="127" t="s">
        <v>243</v>
      </c>
      <c r="F132" s="236">
        <f>'FY18-19'!S107</f>
        <v>0</v>
      </c>
      <c r="G132" s="95"/>
      <c r="H132" s="236">
        <f>'FY19-20'!S132</f>
        <v>0</v>
      </c>
      <c r="I132" s="95"/>
      <c r="J132" s="236">
        <f>(H132/H$11*J$11)*(1+J$9)</f>
        <v>0</v>
      </c>
      <c r="K132" s="236"/>
      <c r="L132" s="236">
        <f>(J132/J$11*L$11)*(1+L$9)</f>
        <v>0</v>
      </c>
      <c r="M132" s="236"/>
      <c r="N132" s="236">
        <f>(L132/L$11*N$11)*(1+N$9)</f>
        <v>0</v>
      </c>
      <c r="O132" s="236"/>
      <c r="P132" s="236">
        <f>(N132/N$11*P$11)*(1+P$9)</f>
        <v>0</v>
      </c>
      <c r="R132" s="219"/>
    </row>
    <row r="133" spans="2:21">
      <c r="B133" s="124"/>
      <c r="C133" s="124" t="s">
        <v>186</v>
      </c>
      <c r="D133" s="231">
        <v>5814</v>
      </c>
      <c r="E133" s="127" t="s">
        <v>336</v>
      </c>
      <c r="F133" s="236">
        <f>'FY18-19'!S108</f>
        <v>0</v>
      </c>
      <c r="G133" s="95"/>
      <c r="H133" s="236">
        <f>'FY19-20'!S133</f>
        <v>88491.56</v>
      </c>
      <c r="I133" s="95"/>
      <c r="J133" s="236">
        <f>IF('Revenue Inputs'!$D$11&lt;1,(J21+J33)*'Revenue Inputs'!$D$11,J11*'Revenue Inputs'!$D$11)</f>
        <v>0</v>
      </c>
      <c r="K133" s="236"/>
      <c r="L133" s="236">
        <f>IF('Revenue Inputs'!$D$11&lt;1,(L21+L33)*'Revenue Inputs'!$D$11,L11*'Revenue Inputs'!$D$11)</f>
        <v>0</v>
      </c>
      <c r="M133" s="236"/>
      <c r="N133" s="236">
        <f>IF('Revenue Inputs'!$D$11&lt;1,(N21+N33)*'Revenue Inputs'!$D$11,N11*'Revenue Inputs'!$D$11)</f>
        <v>0</v>
      </c>
      <c r="O133" s="236"/>
      <c r="P133" s="236">
        <f>IF('Revenue Inputs'!$D$11&lt;1,(P21+P33)*'Revenue Inputs'!$D$11,P11*'Revenue Inputs'!$D$11)</f>
        <v>0</v>
      </c>
      <c r="R133" s="219"/>
    </row>
    <row r="134" spans="2:21">
      <c r="B134" s="124"/>
      <c r="C134" s="124"/>
      <c r="D134" s="231">
        <v>5815</v>
      </c>
      <c r="E134" s="127" t="s">
        <v>316</v>
      </c>
      <c r="F134" s="236">
        <f>'FY18-19'!S130</f>
        <v>0</v>
      </c>
      <c r="G134" s="95"/>
      <c r="H134" s="236">
        <f>'FY19-20'!S134</f>
        <v>413.84</v>
      </c>
      <c r="I134" s="95"/>
      <c r="J134" s="236">
        <f>H134*(1+J$9)</f>
        <v>422.11679999999996</v>
      </c>
      <c r="K134" s="236"/>
      <c r="L134" s="236">
        <f>J134*(1+L$9)</f>
        <v>430.55913599999997</v>
      </c>
      <c r="M134" s="236"/>
      <c r="N134" s="236">
        <f>L134*(1+N$9)</f>
        <v>439.17031871999995</v>
      </c>
      <c r="O134" s="236"/>
      <c r="P134" s="236">
        <f>N134*(1+P$9)</f>
        <v>447.95372509439994</v>
      </c>
      <c r="R134" s="219"/>
    </row>
    <row r="135" spans="2:21" hidden="1">
      <c r="B135" s="124"/>
      <c r="C135" s="124"/>
      <c r="D135" s="231">
        <v>5820</v>
      </c>
      <c r="E135" s="127" t="s">
        <v>515</v>
      </c>
      <c r="F135" s="236">
        <v>0</v>
      </c>
      <c r="G135" s="95"/>
      <c r="H135" s="236">
        <f>'FY19-20'!S135</f>
        <v>0</v>
      </c>
      <c r="I135" s="95"/>
      <c r="J135" s="236">
        <f>(H135/H$11*J$11)*(1+J$9)</f>
        <v>0</v>
      </c>
      <c r="K135" s="236"/>
      <c r="L135" s="236">
        <f>(J135/J$11*L$11)*(1+L$9)</f>
        <v>0</v>
      </c>
      <c r="M135" s="236"/>
      <c r="N135" s="236">
        <f>(L135/L$11*N$11)*(1+N$9)</f>
        <v>0</v>
      </c>
      <c r="O135" s="236"/>
      <c r="P135" s="236">
        <f>(N135/N$11*P$11)*(1+P$9)</f>
        <v>0</v>
      </c>
      <c r="R135" s="219"/>
    </row>
    <row r="136" spans="2:21">
      <c r="B136" s="124"/>
      <c r="C136" s="124" t="s">
        <v>186</v>
      </c>
      <c r="D136" s="126"/>
      <c r="E136" s="126"/>
      <c r="F136" s="215">
        <f>SUM(F120:F135)</f>
        <v>0</v>
      </c>
      <c r="G136" s="95"/>
      <c r="H136" s="215">
        <f>SUM(H120:H135)</f>
        <v>2425595.4200000004</v>
      </c>
      <c r="I136" s="95"/>
      <c r="J136" s="215">
        <f>SUM(J120:J134)</f>
        <v>1865853.6968617432</v>
      </c>
      <c r="K136" s="236"/>
      <c r="L136" s="215">
        <f>SUM(L120:L135)</f>
        <v>1912061.8013062214</v>
      </c>
      <c r="M136" s="236"/>
      <c r="N136" s="215">
        <f>SUM(N120:N135)</f>
        <v>2056138.3405396282</v>
      </c>
      <c r="O136" s="236"/>
      <c r="P136" s="215">
        <f>SUM(P120:P135)</f>
        <v>2166043.0532072182</v>
      </c>
      <c r="R136" s="219"/>
      <c r="S136" s="885" t="s">
        <v>229</v>
      </c>
      <c r="T136" s="885">
        <f>+H136/$H$52</f>
        <v>7.6977324327278704E-2</v>
      </c>
      <c r="U136" s="885">
        <f>+J136/$J$52</f>
        <v>5.7936368570613156E-2</v>
      </c>
    </row>
    <row r="137" spans="2:21" hidden="1">
      <c r="B137" s="124"/>
      <c r="C137" s="124" t="s">
        <v>107</v>
      </c>
      <c r="D137" s="231"/>
      <c r="E137" s="105"/>
      <c r="F137" s="94"/>
      <c r="G137" s="95"/>
      <c r="H137" s="94"/>
      <c r="I137" s="95"/>
      <c r="J137" s="94"/>
      <c r="K137" s="236"/>
      <c r="L137" s="94"/>
      <c r="M137" s="236"/>
      <c r="N137" s="94"/>
      <c r="O137" s="236"/>
      <c r="P137" s="94"/>
      <c r="R137" s="219"/>
    </row>
    <row r="138" spans="2:21" hidden="1">
      <c r="B138" s="124"/>
      <c r="C138" s="124"/>
      <c r="D138" s="231">
        <v>6900</v>
      </c>
      <c r="E138" s="105" t="s">
        <v>44</v>
      </c>
      <c r="F138" s="236">
        <f>'FY18-19'!S137</f>
        <v>0</v>
      </c>
      <c r="G138" s="95"/>
      <c r="H138" s="236">
        <f>'FY19-20'!S138</f>
        <v>350</v>
      </c>
      <c r="I138" s="95"/>
      <c r="J138" s="236">
        <f t="shared" ref="J138" si="38">H138*(1+J$9)</f>
        <v>357</v>
      </c>
      <c r="K138" s="236"/>
      <c r="L138" s="236">
        <f t="shared" ref="L138" si="39">J138*(1+L$9)</f>
        <v>364.14</v>
      </c>
      <c r="M138" s="236"/>
      <c r="N138" s="236">
        <f t="shared" ref="N138" si="40">L138*(1+N$9)</f>
        <v>371.4228</v>
      </c>
      <c r="O138" s="236"/>
      <c r="P138" s="236">
        <f t="shared" ref="P138" si="41">N138*(1+P$9)</f>
        <v>378.85125599999998</v>
      </c>
      <c r="R138" s="219"/>
    </row>
    <row r="139" spans="2:21" hidden="1">
      <c r="B139" s="124"/>
      <c r="C139" s="124"/>
      <c r="D139" s="126"/>
      <c r="E139" s="126"/>
      <c r="F139" s="215">
        <f>F138</f>
        <v>0</v>
      </c>
      <c r="G139" s="95"/>
      <c r="H139" s="215">
        <f>H138</f>
        <v>350</v>
      </c>
      <c r="I139" s="95"/>
      <c r="J139" s="215">
        <f>J138</f>
        <v>357</v>
      </c>
      <c r="K139" s="236"/>
      <c r="L139" s="215">
        <f>L138</f>
        <v>364.14</v>
      </c>
      <c r="M139" s="236"/>
      <c r="N139" s="215">
        <f>N138</f>
        <v>371.4228</v>
      </c>
      <c r="O139" s="236"/>
      <c r="P139" s="215">
        <f>P138</f>
        <v>378.85125599999998</v>
      </c>
      <c r="R139" s="219"/>
    </row>
    <row r="140" spans="2:21">
      <c r="B140" s="124"/>
      <c r="C140" s="124" t="s">
        <v>5</v>
      </c>
      <c r="D140" s="231"/>
      <c r="E140" s="105"/>
      <c r="F140" s="94"/>
      <c r="G140" s="95"/>
      <c r="H140" s="94"/>
      <c r="I140" s="95"/>
      <c r="J140" s="94"/>
      <c r="K140" s="236"/>
      <c r="L140" s="94"/>
      <c r="M140" s="236"/>
      <c r="N140" s="94"/>
      <c r="O140" s="236"/>
      <c r="P140" s="94"/>
      <c r="R140" s="219"/>
    </row>
    <row r="141" spans="2:21">
      <c r="B141" s="124"/>
      <c r="C141" s="124"/>
      <c r="D141" s="231">
        <v>7438</v>
      </c>
      <c r="E141" s="105" t="s">
        <v>45</v>
      </c>
      <c r="F141" s="236">
        <f>'FY18-19'!S140</f>
        <v>0</v>
      </c>
      <c r="G141" s="95"/>
      <c r="H141" s="236">
        <f>'FY19-20'!S141</f>
        <v>813183</v>
      </c>
      <c r="I141" s="95"/>
      <c r="J141" s="236">
        <f>'FY20-21'!S141</f>
        <v>506254.33924251382</v>
      </c>
      <c r="K141" s="236"/>
      <c r="L141" s="236">
        <f>'FY21-22'!S141</f>
        <v>0</v>
      </c>
      <c r="M141" s="236"/>
      <c r="N141" s="236">
        <f>'FY22-23'!S141</f>
        <v>0</v>
      </c>
      <c r="O141" s="236"/>
      <c r="P141" s="236">
        <f>'FY23-24'!S141</f>
        <v>0</v>
      </c>
      <c r="R141" s="219"/>
      <c r="S141" s="885" t="s">
        <v>229</v>
      </c>
      <c r="T141" s="885">
        <f>+H141/$H$52</f>
        <v>2.580671574999489E-2</v>
      </c>
      <c r="U141" s="885">
        <f>+J141/$J$52</f>
        <v>1.5719634416223927E-2</v>
      </c>
    </row>
    <row r="142" spans="2:21">
      <c r="B142" s="124"/>
      <c r="C142" s="124"/>
      <c r="D142" s="126"/>
      <c r="E142" s="126"/>
      <c r="F142" s="215">
        <f>F141</f>
        <v>0</v>
      </c>
      <c r="G142" s="95"/>
      <c r="H142" s="215">
        <f>H141</f>
        <v>813183</v>
      </c>
      <c r="I142" s="95"/>
      <c r="J142" s="215">
        <f>J141</f>
        <v>506254.33924251382</v>
      </c>
      <c r="K142" s="94"/>
      <c r="L142" s="215">
        <f>L141</f>
        <v>0</v>
      </c>
      <c r="M142" s="94"/>
      <c r="N142" s="215">
        <f>N141</f>
        <v>0</v>
      </c>
      <c r="O142" s="94"/>
      <c r="P142" s="215">
        <f>P141</f>
        <v>0</v>
      </c>
      <c r="R142" s="219"/>
    </row>
    <row r="143" spans="2:21">
      <c r="B143" s="124"/>
      <c r="C143" s="124"/>
      <c r="D143" s="126"/>
      <c r="E143" s="126"/>
      <c r="F143" s="94"/>
      <c r="G143" s="95"/>
      <c r="H143" s="94"/>
      <c r="I143" s="95"/>
      <c r="J143" s="94"/>
      <c r="K143" s="94"/>
      <c r="L143" s="94"/>
      <c r="M143" s="95"/>
      <c r="N143" s="94"/>
      <c r="O143" s="95"/>
      <c r="P143" s="94"/>
      <c r="R143" s="219"/>
    </row>
    <row r="144" spans="2:21" s="241" customFormat="1">
      <c r="B144" s="239" t="s">
        <v>6</v>
      </c>
      <c r="C144" s="239"/>
      <c r="D144" s="239"/>
      <c r="E144" s="239"/>
      <c r="F144" s="251">
        <f>F142+F139+F110+F118+F136+F99+F90+F79+F69+F62</f>
        <v>0</v>
      </c>
      <c r="G144" s="250"/>
      <c r="H144" s="251">
        <f>H142+H139+H110+H118+H136+H99+H90+H79+H69+H62</f>
        <v>29812155.659999996</v>
      </c>
      <c r="I144" s="250"/>
      <c r="J144" s="251">
        <f>J142+J139+J110+J118+J136+J99+J90+J79+J69+J62</f>
        <v>29199520.616049595</v>
      </c>
      <c r="K144" s="250"/>
      <c r="L144" s="251">
        <f>L142+L139+L110+L118+L136+L99+L90+L79+L69+L62</f>
        <v>29605489.738407888</v>
      </c>
      <c r="M144" s="250"/>
      <c r="N144" s="251">
        <f>N142+N139+N110+N118+N136+N99+N90+N79+N69+N62</f>
        <v>31800465.896172941</v>
      </c>
      <c r="O144" s="250"/>
      <c r="P144" s="251">
        <f>P142+P139+P110+P118+P136+P99+P90+P79+P69+P62</f>
        <v>34011895.01427573</v>
      </c>
      <c r="R144" s="219"/>
      <c r="S144" s="885" t="s">
        <v>229</v>
      </c>
      <c r="T144" s="885">
        <f>+H144/$H$52</f>
        <v>0.94610171020818346</v>
      </c>
      <c r="U144" s="885">
        <f>+J144/$J$52</f>
        <v>0.90667033076710724</v>
      </c>
    </row>
    <row r="145" spans="2:21" s="244" customFormat="1">
      <c r="B145" s="242"/>
      <c r="C145" s="242"/>
      <c r="D145" s="242"/>
      <c r="E145" s="242"/>
      <c r="F145" s="243"/>
      <c r="G145" s="242"/>
      <c r="H145" s="243"/>
      <c r="I145" s="242"/>
      <c r="J145" s="243"/>
      <c r="K145" s="243"/>
      <c r="L145" s="243"/>
      <c r="M145" s="242"/>
      <c r="N145" s="243"/>
      <c r="O145" s="242"/>
      <c r="P145" s="243"/>
      <c r="R145" s="219"/>
      <c r="S145" s="885" t="s">
        <v>25</v>
      </c>
    </row>
    <row r="146" spans="2:21" s="244" customFormat="1" ht="16" thickBot="1">
      <c r="B146" s="245" t="s">
        <v>227</v>
      </c>
      <c r="C146" s="245"/>
      <c r="D146" s="245"/>
      <c r="E146" s="245"/>
      <c r="F146" s="249">
        <f>F52-F144</f>
        <v>0</v>
      </c>
      <c r="G146" s="250"/>
      <c r="H146" s="249">
        <f>H52-H144</f>
        <v>1698363.070000004</v>
      </c>
      <c r="I146" s="250"/>
      <c r="J146" s="249">
        <f>J52-J144</f>
        <v>3005702.854034327</v>
      </c>
      <c r="K146" s="250"/>
      <c r="L146" s="249">
        <f>L52-L144</f>
        <v>3395175.9350168332</v>
      </c>
      <c r="M146" s="250"/>
      <c r="N146" s="249">
        <f>N52-N144</f>
        <v>3748500.3101478666</v>
      </c>
      <c r="O146" s="250"/>
      <c r="P146" s="249">
        <f>P52-P144</f>
        <v>3331433.9926828891</v>
      </c>
      <c r="R146" s="219"/>
      <c r="S146" s="885" t="s">
        <v>229</v>
      </c>
      <c r="T146" s="885">
        <f>+H146/$H$52</f>
        <v>5.3898289791816573E-2</v>
      </c>
      <c r="U146" s="885">
        <f>+J146/$J$52</f>
        <v>9.3329669232892751E-2</v>
      </c>
    </row>
    <row r="147" spans="2:21" ht="16" thickTop="1">
      <c r="B147" s="95"/>
      <c r="C147" s="95"/>
      <c r="D147" s="95"/>
      <c r="E147" s="95"/>
      <c r="F147" s="94"/>
      <c r="G147" s="95"/>
      <c r="H147" s="94"/>
      <c r="I147" s="95"/>
      <c r="J147" s="94"/>
      <c r="K147" s="94"/>
      <c r="L147" s="94"/>
      <c r="M147" s="95"/>
      <c r="N147" s="94"/>
      <c r="O147" s="95"/>
      <c r="P147" s="94"/>
      <c r="R147" s="219"/>
    </row>
    <row r="148" spans="2:21" s="244" customFormat="1">
      <c r="B148" s="242"/>
      <c r="C148" s="242"/>
      <c r="D148" s="242"/>
      <c r="E148" s="455" t="s">
        <v>324</v>
      </c>
      <c r="F148" s="683">
        <v>0</v>
      </c>
      <c r="G148" s="457"/>
      <c r="H148" s="456">
        <v>0</v>
      </c>
      <c r="I148" s="457"/>
      <c r="J148" s="456">
        <f>H149</f>
        <v>1698363.070000004</v>
      </c>
      <c r="K148" s="458"/>
      <c r="L148" s="456">
        <f>J149</f>
        <v>4704065.924034331</v>
      </c>
      <c r="M148" s="457"/>
      <c r="N148" s="456">
        <f>L149</f>
        <v>8099241.8590511642</v>
      </c>
      <c r="O148" s="457"/>
      <c r="P148" s="459">
        <f>N149</f>
        <v>11847742.169199031</v>
      </c>
      <c r="R148" s="219"/>
    </row>
    <row r="149" spans="2:21" s="241" customFormat="1" ht="16" thickBot="1">
      <c r="B149" s="240"/>
      <c r="C149" s="240"/>
      <c r="D149" s="240"/>
      <c r="E149" s="460" t="s">
        <v>325</v>
      </c>
      <c r="F149" s="461">
        <f>F148+F146</f>
        <v>0</v>
      </c>
      <c r="G149" s="462"/>
      <c r="H149" s="461">
        <f>H148+H146</f>
        <v>1698363.070000004</v>
      </c>
      <c r="I149" s="462"/>
      <c r="J149" s="461">
        <f>J148+J146</f>
        <v>4704065.924034331</v>
      </c>
      <c r="K149" s="463"/>
      <c r="L149" s="461">
        <f>L148+L146</f>
        <v>8099241.8590511642</v>
      </c>
      <c r="M149" s="462"/>
      <c r="N149" s="461">
        <f>N148+N146</f>
        <v>11847742.169199031</v>
      </c>
      <c r="O149" s="462"/>
      <c r="P149" s="464">
        <f>P148+P146</f>
        <v>15179176.16188192</v>
      </c>
      <c r="R149" s="219"/>
    </row>
    <row r="150" spans="2:21" ht="16" thickTop="1">
      <c r="B150" s="95"/>
      <c r="C150" s="95"/>
      <c r="D150" s="95"/>
      <c r="E150" s="465"/>
      <c r="F150" s="466" t="e">
        <f>F149/F144</f>
        <v>#DIV/0!</v>
      </c>
      <c r="G150" s="454"/>
      <c r="H150" s="466">
        <f>H149/H144</f>
        <v>5.6968811291924007E-2</v>
      </c>
      <c r="I150" s="454"/>
      <c r="J150" s="466">
        <f>J149/J144</f>
        <v>0.16110079291674154</v>
      </c>
      <c r="K150" s="467"/>
      <c r="L150" s="466">
        <f>L149/L144</f>
        <v>0.2735722979290503</v>
      </c>
      <c r="M150" s="454"/>
      <c r="N150" s="466">
        <f>N149/N144</f>
        <v>0.37256505008075558</v>
      </c>
      <c r="O150" s="454"/>
      <c r="P150" s="468">
        <f>P149/P144</f>
        <v>0.44629022156838954</v>
      </c>
      <c r="R150" s="219"/>
    </row>
    <row r="151" spans="2:21">
      <c r="B151" s="95"/>
      <c r="C151" s="95"/>
      <c r="D151" s="95"/>
      <c r="E151" s="95"/>
      <c r="F151" s="440"/>
      <c r="G151" s="95"/>
      <c r="H151" s="440"/>
      <c r="I151" s="95"/>
      <c r="J151" s="440"/>
      <c r="K151" s="94"/>
      <c r="L151" s="440"/>
      <c r="M151" s="95"/>
      <c r="N151" s="440"/>
      <c r="O151" s="95"/>
      <c r="P151" s="440"/>
      <c r="R151" s="219"/>
    </row>
    <row r="152" spans="2:21">
      <c r="B152" s="112" t="s">
        <v>47</v>
      </c>
      <c r="C152" s="95"/>
      <c r="D152" s="95"/>
      <c r="E152" s="95"/>
      <c r="F152" s="94"/>
      <c r="G152" s="214"/>
      <c r="H152" s="94"/>
      <c r="I152" s="214"/>
      <c r="J152" s="94"/>
      <c r="K152" s="95"/>
      <c r="L152" s="94"/>
      <c r="M152" s="95"/>
      <c r="N152" s="94"/>
      <c r="O152" s="95"/>
      <c r="P152" s="94"/>
      <c r="R152" s="219"/>
    </row>
    <row r="153" spans="2:21">
      <c r="B153" s="95"/>
      <c r="C153" s="95"/>
      <c r="D153" s="95" t="s">
        <v>227</v>
      </c>
      <c r="E153" s="95"/>
      <c r="F153" s="94">
        <f>'FY18-19'!S148</f>
        <v>0</v>
      </c>
      <c r="G153" s="214"/>
      <c r="H153" s="94">
        <f>'FY19-20'!S149</f>
        <v>1698363.0700000012</v>
      </c>
      <c r="I153" s="214"/>
      <c r="J153" s="94">
        <f t="shared" ref="J153:P153" si="42">J146</f>
        <v>3005702.854034327</v>
      </c>
      <c r="K153" s="94"/>
      <c r="L153" s="94">
        <f t="shared" si="42"/>
        <v>3395175.9350168332</v>
      </c>
      <c r="M153" s="94"/>
      <c r="N153" s="94">
        <f t="shared" si="42"/>
        <v>3748500.3101478666</v>
      </c>
      <c r="O153" s="94"/>
      <c r="P153" s="94">
        <f t="shared" si="42"/>
        <v>3331433.9926828891</v>
      </c>
      <c r="R153" s="219"/>
    </row>
    <row r="154" spans="2:21">
      <c r="B154" s="95"/>
      <c r="C154" s="95"/>
      <c r="D154" s="95" t="s">
        <v>298</v>
      </c>
      <c r="E154" s="95"/>
      <c r="F154" s="94"/>
      <c r="G154" s="214"/>
      <c r="H154" s="94"/>
      <c r="I154" s="214"/>
      <c r="J154" s="94"/>
      <c r="K154" s="95"/>
      <c r="L154" s="94"/>
      <c r="M154" s="95"/>
      <c r="N154" s="94"/>
      <c r="O154" s="95"/>
      <c r="P154" s="94"/>
      <c r="R154" s="219"/>
    </row>
    <row r="155" spans="2:21" hidden="1">
      <c r="B155" s="95"/>
      <c r="C155" s="95"/>
      <c r="D155" s="95"/>
      <c r="E155" s="130" t="str">
        <f>'FY19-20'!D151</f>
        <v>Depreciation/Amortization</v>
      </c>
      <c r="F155" s="94">
        <f>'FY18-19'!S150</f>
        <v>0</v>
      </c>
      <c r="G155" s="214"/>
      <c r="H155" s="94">
        <f>'FY19-20'!S151</f>
        <v>350</v>
      </c>
      <c r="I155" s="214"/>
      <c r="J155" s="94">
        <f>'FY20-21'!S151</f>
        <v>357</v>
      </c>
      <c r="K155" s="95"/>
      <c r="L155" s="94">
        <f>'FY21-22'!S151</f>
        <v>364.13999999999993</v>
      </c>
      <c r="M155" s="94"/>
      <c r="N155" s="94">
        <f>'FY22-23'!S151</f>
        <v>371.42280000000005</v>
      </c>
      <c r="O155" s="94"/>
      <c r="P155" s="94">
        <f>'FY23-24'!S151</f>
        <v>378.85125599999992</v>
      </c>
      <c r="R155" s="219"/>
    </row>
    <row r="156" spans="2:21">
      <c r="B156" s="95"/>
      <c r="C156" s="95"/>
      <c r="D156" s="95"/>
      <c r="E156" s="130" t="str">
        <f>'FY19-20'!D152</f>
        <v>Public Funding Receivables</v>
      </c>
      <c r="F156" s="94">
        <f>'FY18-19'!S151</f>
        <v>0</v>
      </c>
      <c r="G156" s="214"/>
      <c r="H156" s="94">
        <f>'FY19-20'!S152</f>
        <v>-2330335.73</v>
      </c>
      <c r="I156" s="214"/>
      <c r="J156" s="94">
        <f>'FY20-21'!S152</f>
        <v>-3140055.6173666758</v>
      </c>
      <c r="K156" s="95"/>
      <c r="L156" s="94">
        <f>'FY21-22'!S152</f>
        <v>-92861.157697414514</v>
      </c>
      <c r="M156" s="94"/>
      <c r="N156" s="94">
        <f>'FY22-23'!S152</f>
        <v>-416588.88687824644</v>
      </c>
      <c r="O156" s="94"/>
      <c r="P156" s="94">
        <f>'FY23-24'!S152</f>
        <v>-188389.04102463182</v>
      </c>
      <c r="R156" s="219"/>
    </row>
    <row r="157" spans="2:21" hidden="1">
      <c r="B157" s="95"/>
      <c r="C157" s="95"/>
      <c r="D157" s="95"/>
      <c r="E157" s="130" t="str">
        <f>'FY19-20'!D153</f>
        <v>Grants and Contributions Rec.</v>
      </c>
      <c r="F157" s="94">
        <f>'FY18-19'!S152</f>
        <v>0</v>
      </c>
      <c r="G157" s="214"/>
      <c r="H157" s="94">
        <f>'FY19-20'!S153</f>
        <v>-4658963.0000000009</v>
      </c>
      <c r="I157" s="214"/>
      <c r="J157" s="94">
        <f>'FY20-21'!S153</f>
        <v>0</v>
      </c>
      <c r="K157" s="95"/>
      <c r="L157" s="94">
        <f>'FY21-22'!S153</f>
        <v>0</v>
      </c>
      <c r="M157" s="95"/>
      <c r="N157" s="94">
        <f>'FY22-23'!S153</f>
        <v>0</v>
      </c>
      <c r="O157" s="95"/>
      <c r="P157" s="94">
        <f>'FY23-24'!S153</f>
        <v>0</v>
      </c>
      <c r="R157" s="219"/>
    </row>
    <row r="158" spans="2:21">
      <c r="B158" s="95"/>
      <c r="C158" s="95"/>
      <c r="D158" s="95"/>
      <c r="E158" s="130" t="str">
        <f>'FY19-20'!D154</f>
        <v>Due To/From Related Parties</v>
      </c>
      <c r="F158" s="94">
        <f>'FY18-19'!S153</f>
        <v>0</v>
      </c>
      <c r="G158" s="214"/>
      <c r="H158" s="94">
        <f>'FY19-20'!S154</f>
        <v>-5265019.839999998</v>
      </c>
      <c r="I158" s="214"/>
      <c r="J158" s="94">
        <f>'FY20-21'!S154</f>
        <v>4625561.82</v>
      </c>
      <c r="K158" s="95"/>
      <c r="L158" s="94">
        <f>'FY21-22'!S154</f>
        <v>0</v>
      </c>
      <c r="M158" s="95"/>
      <c r="N158" s="94">
        <f>'FY22-23'!S154</f>
        <v>0</v>
      </c>
      <c r="O158" s="95"/>
      <c r="P158" s="94">
        <f>'FY23-24'!S154</f>
        <v>0</v>
      </c>
      <c r="R158" s="219"/>
    </row>
    <row r="159" spans="2:21" hidden="1">
      <c r="B159" s="95"/>
      <c r="C159" s="95"/>
      <c r="D159" s="95"/>
      <c r="E159" s="130" t="str">
        <f>'FY19-20'!D155</f>
        <v>Prepaid Expenses</v>
      </c>
      <c r="F159" s="94">
        <f>'FY18-19'!S154</f>
        <v>0</v>
      </c>
      <c r="G159" s="214"/>
      <c r="H159" s="94">
        <f>'FY19-20'!S155</f>
        <v>-8392.8699999999953</v>
      </c>
      <c r="I159" s="214"/>
      <c r="J159" s="94">
        <f>'FY20-21'!S155</f>
        <v>0</v>
      </c>
      <c r="K159" s="95"/>
      <c r="L159" s="94">
        <f>'FY21-22'!S155</f>
        <v>0</v>
      </c>
      <c r="M159" s="95"/>
      <c r="N159" s="94">
        <f>'FY22-23'!S155</f>
        <v>0</v>
      </c>
      <c r="O159" s="95"/>
      <c r="P159" s="94">
        <f>'FY23-24'!S155</f>
        <v>0</v>
      </c>
      <c r="R159" s="219"/>
    </row>
    <row r="160" spans="2:21" hidden="1">
      <c r="B160" s="95"/>
      <c r="C160" s="95"/>
      <c r="D160" s="95"/>
      <c r="E160" s="130" t="str">
        <f>'FY19-20'!D156</f>
        <v>Other Assets</v>
      </c>
      <c r="F160" s="94">
        <f>'FY18-19'!S155</f>
        <v>0</v>
      </c>
      <c r="G160" s="214"/>
      <c r="H160" s="94">
        <f>'FY19-20'!S156</f>
        <v>-79132.160000000003</v>
      </c>
      <c r="I160" s="214"/>
      <c r="J160" s="94">
        <f>'FY20-21'!S156</f>
        <v>0</v>
      </c>
      <c r="K160" s="95"/>
      <c r="L160" s="94">
        <f>'FY21-22'!S156</f>
        <v>0</v>
      </c>
      <c r="M160" s="95"/>
      <c r="N160" s="94">
        <f>'FY22-23'!S156</f>
        <v>0</v>
      </c>
      <c r="O160" s="95"/>
      <c r="P160" s="94">
        <f>'FY23-24'!S156</f>
        <v>0</v>
      </c>
      <c r="R160" s="219"/>
    </row>
    <row r="161" spans="2:18">
      <c r="B161" s="95"/>
      <c r="C161" s="95"/>
      <c r="D161" s="95"/>
      <c r="E161" s="130" t="str">
        <f>'FY19-20'!D157</f>
        <v>Accounts Payable</v>
      </c>
      <c r="F161" s="94">
        <f>'FY18-19'!S156</f>
        <v>0</v>
      </c>
      <c r="G161" s="214"/>
      <c r="H161" s="94">
        <f>'FY19-20'!S157</f>
        <v>331046.74</v>
      </c>
      <c r="I161" s="214"/>
      <c r="J161" s="94">
        <f>'FY20-21'!S157</f>
        <v>79670.427309841732</v>
      </c>
      <c r="K161" s="95"/>
      <c r="L161" s="94">
        <f>'FY21-22'!S157</f>
        <v>2744.4908739530947</v>
      </c>
      <c r="M161" s="95"/>
      <c r="N161" s="94">
        <f>'FY22-23'!S157</f>
        <v>11445.379650473827</v>
      </c>
      <c r="O161" s="95"/>
      <c r="P161" s="94">
        <f>'FY23-24'!S157</f>
        <v>4762.5905476589687</v>
      </c>
      <c r="R161" s="219"/>
    </row>
    <row r="162" spans="2:18" ht="13.5" hidden="1" customHeight="1">
      <c r="B162" s="95"/>
      <c r="C162" s="95"/>
      <c r="D162" s="95"/>
      <c r="E162" s="130" t="str">
        <f>'FY19-20'!D158</f>
        <v>Accrued Expenses</v>
      </c>
      <c r="F162" s="94">
        <f>'FY18-19'!S157</f>
        <v>0</v>
      </c>
      <c r="G162" s="214"/>
      <c r="H162" s="94">
        <f>'FY19-20'!S158</f>
        <v>2887103.41</v>
      </c>
      <c r="I162" s="214"/>
      <c r="J162" s="94">
        <f>'FY20-21'!S158</f>
        <v>0</v>
      </c>
      <c r="K162" s="95"/>
      <c r="L162" s="94">
        <f>'FY21-22'!S158</f>
        <v>0</v>
      </c>
      <c r="M162" s="95"/>
      <c r="N162" s="94">
        <f>'FY22-23'!S158</f>
        <v>0</v>
      </c>
      <c r="O162" s="95"/>
      <c r="P162" s="94">
        <f>'FY23-24'!S158</f>
        <v>0</v>
      </c>
      <c r="R162" s="219"/>
    </row>
    <row r="163" spans="2:18" ht="13.5" hidden="1" customHeight="1">
      <c r="B163" s="95"/>
      <c r="C163" s="95"/>
      <c r="D163" s="95"/>
      <c r="E163" s="130" t="str">
        <f>'FY19-20'!D159</f>
        <v>Other Liabilities</v>
      </c>
      <c r="F163" s="94">
        <f>'FY18-19'!S158</f>
        <v>0</v>
      </c>
      <c r="G163" s="214"/>
      <c r="H163" s="94">
        <f>'FY19-20'!S159</f>
        <v>4405000</v>
      </c>
      <c r="I163" s="214"/>
      <c r="J163" s="94">
        <f>'FY20-21'!S159</f>
        <v>0</v>
      </c>
      <c r="K163" s="95"/>
      <c r="L163" s="94">
        <f>'FY21-22'!S159</f>
        <v>0</v>
      </c>
      <c r="M163" s="95"/>
      <c r="N163" s="94">
        <f>'FY22-23'!S159</f>
        <v>0</v>
      </c>
      <c r="O163" s="95"/>
      <c r="P163" s="94">
        <f>'FY23-24'!S159</f>
        <v>0</v>
      </c>
      <c r="R163" s="219"/>
    </row>
    <row r="164" spans="2:18" ht="13.5" hidden="1" customHeight="1">
      <c r="B164" s="95"/>
      <c r="C164" s="95"/>
      <c r="D164" s="95" t="s">
        <v>299</v>
      </c>
      <c r="E164" s="130"/>
      <c r="F164" s="94"/>
      <c r="G164" s="214"/>
      <c r="H164" s="94"/>
      <c r="I164" s="214"/>
      <c r="J164" s="94"/>
      <c r="K164" s="95"/>
      <c r="L164" s="94"/>
      <c r="M164" s="95"/>
      <c r="N164" s="94">
        <f>'FY22-23'!S160</f>
        <v>0</v>
      </c>
      <c r="O164" s="95"/>
      <c r="P164" s="94">
        <f>'FY23-24'!S160</f>
        <v>0</v>
      </c>
      <c r="R164" s="219"/>
    </row>
    <row r="165" spans="2:18" ht="13.5" hidden="1" customHeight="1">
      <c r="B165" s="95"/>
      <c r="C165" s="95"/>
      <c r="D165" s="95"/>
      <c r="E165" s="130" t="str">
        <f>'FY19-20'!D161</f>
        <v>Purchases of Prop. And Equip.</v>
      </c>
      <c r="F165" s="94">
        <f>'FY18-19'!S160</f>
        <v>0</v>
      </c>
      <c r="G165" s="214"/>
      <c r="H165" s="94">
        <f>'FY19-20'!S161</f>
        <v>-15000</v>
      </c>
      <c r="I165" s="214"/>
      <c r="J165" s="94">
        <f>'FY20-21'!S161</f>
        <v>0</v>
      </c>
      <c r="K165" s="95"/>
      <c r="L165" s="94">
        <f>'FY21-22'!S161</f>
        <v>0</v>
      </c>
      <c r="M165" s="95"/>
      <c r="N165" s="94">
        <f>'FY22-23'!S161</f>
        <v>0</v>
      </c>
      <c r="O165" s="95"/>
      <c r="P165" s="94">
        <f>'FY23-24'!S161</f>
        <v>0</v>
      </c>
      <c r="R165" s="219"/>
    </row>
    <row r="166" spans="2:18" ht="13.5" hidden="1" customHeight="1">
      <c r="B166" s="95"/>
      <c r="C166" s="95"/>
      <c r="D166" s="95"/>
      <c r="E166" s="130" t="str">
        <f>'FY19-20'!D162</f>
        <v>Notes Receivable</v>
      </c>
      <c r="F166" s="94">
        <f>'FY18-19'!S161</f>
        <v>0</v>
      </c>
      <c r="G166" s="214"/>
      <c r="H166" s="94">
        <f>'FY19-20'!S162</f>
        <v>0</v>
      </c>
      <c r="I166" s="214"/>
      <c r="J166" s="94">
        <f>'FY20-21'!S162</f>
        <v>0</v>
      </c>
      <c r="K166" s="95"/>
      <c r="L166" s="94">
        <f>'FY21-22'!S162</f>
        <v>0</v>
      </c>
      <c r="M166" s="95"/>
      <c r="N166" s="94">
        <f>'FY22-23'!S162</f>
        <v>0</v>
      </c>
      <c r="O166" s="95"/>
      <c r="P166" s="94">
        <f>'FY23-24'!S162</f>
        <v>0</v>
      </c>
      <c r="R166" s="219"/>
    </row>
    <row r="167" spans="2:18">
      <c r="B167" s="95"/>
      <c r="C167" s="95"/>
      <c r="D167" s="95" t="s">
        <v>300</v>
      </c>
      <c r="E167" s="95"/>
      <c r="F167" s="94"/>
      <c r="G167" s="214"/>
      <c r="H167" s="94"/>
      <c r="I167" s="214"/>
      <c r="J167" s="94"/>
      <c r="K167" s="95"/>
      <c r="L167" s="94"/>
      <c r="M167" s="95"/>
      <c r="N167" s="94">
        <f>'FY22-23'!S163</f>
        <v>0</v>
      </c>
      <c r="O167" s="95"/>
      <c r="P167" s="94">
        <f>'FY23-24'!S163</f>
        <v>0</v>
      </c>
      <c r="R167" s="219"/>
    </row>
    <row r="168" spans="2:18">
      <c r="B168" s="95"/>
      <c r="C168" s="95"/>
      <c r="D168" s="95"/>
      <c r="E168" s="130" t="str">
        <f>'FY19-20'!D164</f>
        <v>Proceeds from Factoring</v>
      </c>
      <c r="F168" s="94">
        <f>'FY18-19'!S163</f>
        <v>0</v>
      </c>
      <c r="G168" s="214"/>
      <c r="H168" s="94">
        <f>'FY19-20'!S164</f>
        <v>27572363</v>
      </c>
      <c r="I168" s="214"/>
      <c r="J168" s="94">
        <f>'FY20-21'!S164</f>
        <v>18080512.115804065</v>
      </c>
      <c r="K168" s="95"/>
      <c r="L168" s="94">
        <f>'FY21-22'!S164</f>
        <v>0</v>
      </c>
      <c r="M168" s="95"/>
      <c r="N168" s="94">
        <f>'FY22-23'!S164</f>
        <v>0</v>
      </c>
      <c r="O168" s="95"/>
      <c r="P168" s="94">
        <f>'FY23-24'!S164</f>
        <v>0</v>
      </c>
      <c r="R168" s="219"/>
    </row>
    <row r="169" spans="2:18">
      <c r="B169" s="95"/>
      <c r="C169" s="95"/>
      <c r="D169" s="95"/>
      <c r="E169" s="130" t="str">
        <f>'FY19-20'!D165</f>
        <v>Payments on Factoring</v>
      </c>
      <c r="F169" s="94">
        <f>'FY18-19'!S164</f>
        <v>0</v>
      </c>
      <c r="G169" s="214"/>
      <c r="H169" s="914">
        <f>'FY19-20'!S165</f>
        <v>-22913500</v>
      </c>
      <c r="I169" s="214"/>
      <c r="J169" s="914">
        <f>'FY20-21'!S165</f>
        <v>-22877551.491744023</v>
      </c>
      <c r="K169" s="95"/>
      <c r="L169" s="914">
        <f>'FY21-22'!S165</f>
        <v>0</v>
      </c>
      <c r="M169" s="95"/>
      <c r="N169" s="914">
        <f>'FY22-23'!S165</f>
        <v>0</v>
      </c>
      <c r="O169" s="95"/>
      <c r="P169" s="914">
        <f>'FY23-24'!S165</f>
        <v>0</v>
      </c>
      <c r="R169" s="219"/>
    </row>
    <row r="170" spans="2:18" hidden="1">
      <c r="B170" s="95"/>
      <c r="C170" s="95"/>
      <c r="D170" s="95"/>
      <c r="E170" s="95" t="s">
        <v>552</v>
      </c>
      <c r="F170" s="94">
        <f>'FY18-19'!S165</f>
        <v>0</v>
      </c>
      <c r="G170" s="214"/>
      <c r="H170" s="94">
        <f>'FY19-20'!S166</f>
        <v>2052725</v>
      </c>
      <c r="I170" s="214"/>
      <c r="J170" s="94">
        <f>'FY20-21'!S166</f>
        <v>0</v>
      </c>
      <c r="K170" s="95"/>
      <c r="L170" s="94">
        <f>'FY21-22'!S166</f>
        <v>0</v>
      </c>
      <c r="M170" s="95"/>
      <c r="N170" s="94">
        <f>'FY22-23'!S166</f>
        <v>0</v>
      </c>
      <c r="O170" s="95"/>
      <c r="P170" s="94">
        <f>'FY23-24'!S166</f>
        <v>0</v>
      </c>
      <c r="R170" s="219"/>
    </row>
    <row r="171" spans="2:18" hidden="1">
      <c r="B171" s="95"/>
      <c r="C171" s="95"/>
      <c r="D171" s="95"/>
      <c r="E171" s="95" t="s">
        <v>553</v>
      </c>
      <c r="F171" s="875">
        <v>0</v>
      </c>
      <c r="G171" s="214"/>
      <c r="H171" s="875">
        <f>'FY19-20'!S167</f>
        <v>0</v>
      </c>
      <c r="I171" s="214"/>
      <c r="J171" s="875">
        <f>'FY20-21'!S167</f>
        <v>0</v>
      </c>
      <c r="K171" s="95"/>
      <c r="L171" s="875">
        <f>'FY21-22'!S167</f>
        <v>0</v>
      </c>
      <c r="M171" s="95"/>
      <c r="N171" s="875">
        <f>'FY22-23'!S167</f>
        <v>0</v>
      </c>
      <c r="O171" s="95"/>
      <c r="P171" s="875">
        <f>'FY23-24'!S167</f>
        <v>0</v>
      </c>
      <c r="R171" s="219"/>
    </row>
    <row r="172" spans="2:18">
      <c r="B172" s="95"/>
      <c r="C172" s="95"/>
      <c r="D172" s="95"/>
      <c r="E172" s="95"/>
      <c r="F172" s="133"/>
      <c r="G172" s="214"/>
      <c r="H172" s="133"/>
      <c r="I172" s="214"/>
      <c r="J172" s="133"/>
      <c r="K172" s="95"/>
      <c r="L172" s="133"/>
      <c r="M172" s="95"/>
      <c r="N172" s="133"/>
      <c r="O172" s="95"/>
      <c r="P172" s="133"/>
      <c r="R172" s="219"/>
    </row>
    <row r="173" spans="2:18">
      <c r="B173" s="95"/>
      <c r="C173" s="95" t="s">
        <v>51</v>
      </c>
      <c r="D173" s="95"/>
      <c r="E173" s="95"/>
      <c r="F173" s="94">
        <f>SUM(F153:F172)</f>
        <v>0</v>
      </c>
      <c r="G173" s="94"/>
      <c r="H173" s="94">
        <f>SUM(H153:H172)</f>
        <v>3676607.6200000048</v>
      </c>
      <c r="I173" s="94"/>
      <c r="J173" s="94">
        <f>SUM(J153:J172)</f>
        <v>-225802.8919624649</v>
      </c>
      <c r="K173" s="94"/>
      <c r="L173" s="94">
        <f>SUM(L153:L172)</f>
        <v>3305423.4081933722</v>
      </c>
      <c r="M173" s="95"/>
      <c r="N173" s="94">
        <f>SUM(N153:N172)</f>
        <v>3343728.2257200936</v>
      </c>
      <c r="O173" s="95"/>
      <c r="P173" s="94">
        <f>SUM(P153:P172)</f>
        <v>3148186.3934619161</v>
      </c>
      <c r="R173" s="219"/>
    </row>
    <row r="174" spans="2:18">
      <c r="B174" s="95"/>
      <c r="C174" s="95"/>
      <c r="D174" s="95"/>
      <c r="E174" s="95"/>
      <c r="F174" s="94"/>
      <c r="G174" s="94"/>
      <c r="H174" s="94"/>
      <c r="I174" s="94"/>
      <c r="J174" s="94"/>
      <c r="K174" s="94"/>
      <c r="L174" s="94"/>
      <c r="M174" s="95"/>
      <c r="N174" s="94"/>
      <c r="O174" s="95"/>
      <c r="P174" s="94"/>
      <c r="R174" s="219"/>
    </row>
    <row r="175" spans="2:18">
      <c r="B175" s="95"/>
      <c r="C175" s="95" t="s">
        <v>174</v>
      </c>
      <c r="D175" s="95"/>
      <c r="E175" s="95"/>
      <c r="F175" s="132">
        <f>'FY18-19'!E169</f>
        <v>0</v>
      </c>
      <c r="G175" s="94"/>
      <c r="H175" s="132">
        <f>'FY19-20'!E171</f>
        <v>0</v>
      </c>
      <c r="I175" s="94"/>
      <c r="J175" s="132">
        <f>H177</f>
        <v>3676607.6200000048</v>
      </c>
      <c r="K175" s="94"/>
      <c r="L175" s="132">
        <f>J177</f>
        <v>3450804.7280375399</v>
      </c>
      <c r="M175" s="95"/>
      <c r="N175" s="132">
        <f>L177</f>
        <v>6756228.1362309121</v>
      </c>
      <c r="O175" s="95"/>
      <c r="P175" s="132">
        <f>N177</f>
        <v>10099956.361951005</v>
      </c>
      <c r="R175" s="219"/>
    </row>
    <row r="176" spans="2:18">
      <c r="B176" s="95"/>
      <c r="C176" s="95"/>
      <c r="D176" s="95"/>
      <c r="E176" s="95"/>
      <c r="F176" s="94"/>
      <c r="G176" s="94"/>
      <c r="H176" s="94"/>
      <c r="I176" s="94"/>
      <c r="J176" s="94"/>
      <c r="K176" s="94"/>
      <c r="L176" s="94"/>
      <c r="M176" s="95"/>
      <c r="N176" s="94"/>
      <c r="O176" s="95"/>
      <c r="P176" s="94"/>
      <c r="R176" s="219"/>
    </row>
    <row r="177" spans="2:19" s="241" customFormat="1" ht="16" thickBot="1">
      <c r="B177" s="240"/>
      <c r="C177" s="240" t="s">
        <v>173</v>
      </c>
      <c r="D177" s="240"/>
      <c r="E177" s="240"/>
      <c r="F177" s="249">
        <f>F173+F175</f>
        <v>0</v>
      </c>
      <c r="G177" s="250"/>
      <c r="H177" s="249">
        <f>H173+H175</f>
        <v>3676607.6200000048</v>
      </c>
      <c r="I177" s="250"/>
      <c r="J177" s="249">
        <f>J173+J175</f>
        <v>3450804.7280375399</v>
      </c>
      <c r="K177" s="250"/>
      <c r="L177" s="249">
        <f>L173+L175</f>
        <v>6756228.1362309121</v>
      </c>
      <c r="M177" s="250"/>
      <c r="N177" s="249">
        <f>N173+N175</f>
        <v>10099956.361951005</v>
      </c>
      <c r="O177" s="250"/>
      <c r="P177" s="249">
        <f>P173+P175</f>
        <v>13248142.755412921</v>
      </c>
      <c r="R177" s="219"/>
    </row>
    <row r="178" spans="2:19" ht="16" thickTop="1">
      <c r="B178" s="134"/>
      <c r="C178" s="134"/>
      <c r="D178" s="135"/>
      <c r="E178" s="136"/>
      <c r="F178" s="434"/>
      <c r="G178" s="434"/>
      <c r="H178" s="434"/>
      <c r="I178" s="434"/>
      <c r="J178" s="434"/>
      <c r="K178" s="434"/>
      <c r="L178" s="434"/>
      <c r="M178" s="135"/>
      <c r="N178" s="133"/>
      <c r="O178" s="135"/>
      <c r="P178" s="133"/>
    </row>
    <row r="179" spans="2:19">
      <c r="B179" s="112"/>
      <c r="C179" s="112"/>
      <c r="D179" s="95"/>
      <c r="E179" s="384"/>
      <c r="F179" s="435"/>
      <c r="G179" s="435"/>
      <c r="H179" s="435"/>
      <c r="I179" s="435"/>
      <c r="J179" s="435"/>
      <c r="K179" s="435"/>
      <c r="L179" s="435"/>
      <c r="M179" s="435"/>
      <c r="N179" s="357"/>
      <c r="O179" s="95"/>
      <c r="P179" s="94"/>
    </row>
    <row r="180" spans="2:19">
      <c r="B180" s="112"/>
      <c r="C180" s="112"/>
      <c r="D180" s="95"/>
      <c r="E180" s="384" t="s">
        <v>231</v>
      </c>
      <c r="F180" s="357">
        <f>ROUND(F146-'FY18-19'!S148,0)</f>
        <v>0</v>
      </c>
      <c r="G180" s="357"/>
      <c r="H180" s="357">
        <f>ROUND(H146-'FY19-20'!S149,0)</f>
        <v>0</v>
      </c>
      <c r="I180" s="357"/>
      <c r="J180" s="357">
        <f>ROUND(J146-'FY20-21'!S149,0)</f>
        <v>0</v>
      </c>
      <c r="K180" s="357"/>
      <c r="L180" s="357">
        <f>ROUND(L146-'FY21-22'!S149,0)</f>
        <v>0</v>
      </c>
      <c r="M180" s="357"/>
      <c r="N180" s="357">
        <f>ROUND(N146-'FY22-23'!S146,0)</f>
        <v>0</v>
      </c>
      <c r="O180" s="94"/>
      <c r="P180" s="357">
        <f>ROUND(P146-'FY23-24'!S146,0)</f>
        <v>0</v>
      </c>
    </row>
    <row r="181" spans="2:19">
      <c r="B181" s="112"/>
      <c r="C181" s="112"/>
      <c r="D181" s="95"/>
      <c r="E181" s="384" t="s">
        <v>232</v>
      </c>
      <c r="F181" s="357">
        <f>ROUND(F177-'FY18-19'!P171,0)</f>
        <v>0</v>
      </c>
      <c r="G181" s="357"/>
      <c r="H181" s="357">
        <f>ROUND(H177-'FY19-20'!P173,0)</f>
        <v>0</v>
      </c>
      <c r="I181" s="357"/>
      <c r="J181" s="357">
        <f>ROUND(J177-'FY20-21'!P173,0)</f>
        <v>0</v>
      </c>
      <c r="K181" s="357"/>
      <c r="L181" s="357">
        <f>ROUND(L177-'FY21-22'!P173,0)</f>
        <v>0</v>
      </c>
      <c r="M181" s="357"/>
      <c r="N181" s="357">
        <f>ROUND(N177-'FY22-23'!P173,0)</f>
        <v>0</v>
      </c>
      <c r="O181" s="94"/>
      <c r="P181" s="357">
        <f>ROUND(P177-'FY23-24'!P173,0)</f>
        <v>0</v>
      </c>
    </row>
    <row r="182" spans="2:19">
      <c r="B182" s="112"/>
      <c r="C182" s="112"/>
      <c r="D182" s="95"/>
      <c r="E182" s="384"/>
      <c r="F182" s="357"/>
      <c r="G182" s="357"/>
      <c r="H182" s="357"/>
      <c r="I182" s="357"/>
      <c r="J182" s="357"/>
      <c r="K182" s="357"/>
      <c r="L182" s="357"/>
      <c r="M182" s="384"/>
      <c r="N182" s="357"/>
      <c r="O182" s="95"/>
      <c r="P182" s="133"/>
    </row>
    <row r="183" spans="2:19">
      <c r="B183" s="112"/>
      <c r="C183" s="112"/>
      <c r="D183" s="95"/>
      <c r="E183" s="95"/>
      <c r="F183" s="133"/>
      <c r="G183" s="94"/>
      <c r="H183" s="133"/>
      <c r="I183" s="94"/>
      <c r="J183" s="133"/>
      <c r="K183" s="94"/>
      <c r="L183" s="133"/>
      <c r="M183" s="95"/>
      <c r="N183" s="133"/>
      <c r="O183" s="95"/>
      <c r="P183" s="133"/>
    </row>
    <row r="184" spans="2:19">
      <c r="B184" s="62"/>
      <c r="C184" s="62"/>
      <c r="F184" s="63"/>
      <c r="H184" s="63"/>
      <c r="J184" s="63"/>
      <c r="K184" s="62"/>
      <c r="L184" s="63"/>
      <c r="N184" s="63"/>
      <c r="P184" s="63"/>
      <c r="Q184" s="446"/>
      <c r="R184" s="446"/>
      <c r="S184" s="446"/>
    </row>
    <row r="185" spans="2:19">
      <c r="B185" s="62"/>
      <c r="C185" s="62"/>
      <c r="F185" s="63"/>
      <c r="H185" s="63"/>
      <c r="J185" s="63"/>
      <c r="K185" s="62"/>
      <c r="L185" s="63"/>
      <c r="N185" s="63"/>
      <c r="P185" s="63"/>
      <c r="Q185" s="446"/>
      <c r="R185" s="446"/>
      <c r="S185" s="446"/>
    </row>
    <row r="186" spans="2:19">
      <c r="B186" s="62"/>
      <c r="C186" s="62"/>
      <c r="K186" s="62"/>
    </row>
  </sheetData>
  <printOptions horizontalCentered="1"/>
  <pageMargins left="0.2" right="0.2" top="0.5" bottom="0.35" header="0.3" footer="0.3"/>
  <pageSetup scale="95" orientation="portrait" r:id="rId1"/>
  <rowBreaks count="2" manualBreakCount="2">
    <brk id="90" max="16" man="1"/>
    <brk id="150" max="16" man="1"/>
  </rowBreaks>
  <customProperties>
    <customPr name="DrillPoint.FROID" r:id="rId2"/>
    <customPr name="DrillPoint.Mode" r:id="rId3"/>
    <customPr name="DrillPoint.Subsheet" r:id="rId4"/>
  </customProperties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C186"/>
  <sheetViews>
    <sheetView zoomScale="85" zoomScaleNormal="85" zoomScaleSheetLayoutView="175" workbookViewId="0">
      <pane xSplit="4" ySplit="4" topLeftCell="E5" activePane="bottomRight" state="frozen"/>
      <selection activeCell="J148" sqref="J148"/>
      <selection pane="topRight" activeCell="J148" sqref="J148"/>
      <selection pane="bottomLeft" activeCell="J148" sqref="J148"/>
      <selection pane="bottomRight" activeCell="M46" sqref="M46"/>
    </sheetView>
  </sheetViews>
  <sheetFormatPr baseColWidth="10" defaultColWidth="8.83203125" defaultRowHeight="12"/>
  <cols>
    <col min="1" max="1" width="2.5" style="54" customWidth="1"/>
    <col min="2" max="2" width="1.6640625" style="54" customWidth="1"/>
    <col min="3" max="3" width="5.33203125" style="62" customWidth="1"/>
    <col min="4" max="4" width="22.6640625" style="62" customWidth="1"/>
    <col min="5" max="17" width="8.6640625" style="63" customWidth="1"/>
    <col min="18" max="18" width="1.6640625" style="63" customWidth="1"/>
    <col min="19" max="19" width="9.6640625" style="59" customWidth="1"/>
    <col min="20" max="20" width="1.83203125" style="63" customWidth="1"/>
    <col min="21" max="16384" width="8.83203125" style="62"/>
  </cols>
  <sheetData>
    <row r="1" spans="1:22" s="54" customFormat="1" ht="21">
      <c r="A1" s="678" t="str">
        <f>'Revenue Inputs'!$C$3</f>
        <v>Granite Mountain Charter School</v>
      </c>
      <c r="E1" s="55"/>
      <c r="F1" s="55"/>
      <c r="G1" s="55"/>
      <c r="H1" s="55"/>
      <c r="I1" s="55"/>
      <c r="J1" s="55"/>
      <c r="K1" s="55"/>
      <c r="L1" s="55"/>
      <c r="M1" s="221"/>
      <c r="N1" s="221"/>
      <c r="O1" s="221"/>
      <c r="P1" s="221"/>
      <c r="Q1" s="221"/>
      <c r="R1" s="221"/>
      <c r="S1" s="222"/>
      <c r="T1" s="221"/>
    </row>
    <row r="2" spans="1:22" s="54" customFormat="1" ht="15">
      <c r="A2" s="56" t="s">
        <v>561</v>
      </c>
      <c r="B2" s="57"/>
      <c r="C2" s="57"/>
      <c r="D2" s="57"/>
      <c r="E2" s="58"/>
      <c r="F2" s="55"/>
      <c r="G2" s="55"/>
      <c r="H2" s="55"/>
      <c r="I2" s="55"/>
      <c r="J2" s="55"/>
      <c r="M2" s="59"/>
      <c r="N2" s="55"/>
      <c r="O2" s="55"/>
      <c r="R2" s="59"/>
      <c r="S2" s="59"/>
    </row>
    <row r="3" spans="1:22" ht="13.5" customHeight="1">
      <c r="A3" s="61" t="str">
        <f>'FY19-20'!A3</f>
        <v>Revised 08/06/20</v>
      </c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674"/>
      <c r="P3" s="674"/>
      <c r="Q3" s="674"/>
      <c r="R3" s="59"/>
      <c r="S3" s="674"/>
      <c r="U3" s="54"/>
      <c r="V3" s="54"/>
    </row>
    <row r="4" spans="1:22" s="67" customFormat="1" ht="29.5" customHeight="1">
      <c r="C4" s="373" t="s">
        <v>280</v>
      </c>
      <c r="D4" s="372">
        <v>0</v>
      </c>
      <c r="E4" s="679">
        <v>43282</v>
      </c>
      <c r="F4" s="679">
        <f t="shared" ref="F4:P4" si="0">E4+31</f>
        <v>43313</v>
      </c>
      <c r="G4" s="679">
        <f t="shared" si="0"/>
        <v>43344</v>
      </c>
      <c r="H4" s="679">
        <f t="shared" si="0"/>
        <v>43375</v>
      </c>
      <c r="I4" s="679">
        <f t="shared" si="0"/>
        <v>43406</v>
      </c>
      <c r="J4" s="679">
        <f t="shared" si="0"/>
        <v>43437</v>
      </c>
      <c r="K4" s="679">
        <f t="shared" si="0"/>
        <v>43468</v>
      </c>
      <c r="L4" s="679">
        <f t="shared" si="0"/>
        <v>43499</v>
      </c>
      <c r="M4" s="679">
        <f t="shared" si="0"/>
        <v>43530</v>
      </c>
      <c r="N4" s="679">
        <f t="shared" si="0"/>
        <v>43561</v>
      </c>
      <c r="O4" s="679">
        <f t="shared" si="0"/>
        <v>43592</v>
      </c>
      <c r="P4" s="679">
        <f t="shared" si="0"/>
        <v>43623</v>
      </c>
      <c r="Q4" s="680" t="s">
        <v>345</v>
      </c>
      <c r="R4" s="65"/>
      <c r="S4" s="675" t="s">
        <v>396</v>
      </c>
      <c r="T4" s="66"/>
      <c r="U4" s="54"/>
      <c r="V4" s="54"/>
    </row>
    <row r="5" spans="1:22" s="75" customFormat="1" ht="12" customHeight="1">
      <c r="A5" s="68" t="s">
        <v>258</v>
      </c>
      <c r="B5" s="68"/>
      <c r="C5" s="69"/>
      <c r="D5" s="69"/>
      <c r="E5" s="353">
        <v>0.05</v>
      </c>
      <c r="F5" s="70">
        <v>0.05</v>
      </c>
      <c r="G5" s="70">
        <v>0.09</v>
      </c>
      <c r="H5" s="70">
        <v>0.09</v>
      </c>
      <c r="I5" s="70">
        <v>0.09</v>
      </c>
      <c r="J5" s="70">
        <v>0.09</v>
      </c>
      <c r="K5" s="71">
        <v>0.09</v>
      </c>
      <c r="L5" s="72">
        <v>0.2</v>
      </c>
      <c r="M5" s="73">
        <v>0.19999999999999998</v>
      </c>
      <c r="N5" s="73">
        <v>0.19999999999999998</v>
      </c>
      <c r="O5" s="71">
        <v>0.19999999999999998</v>
      </c>
      <c r="P5" s="72">
        <v>0.19999999999999998</v>
      </c>
      <c r="Q5" s="593">
        <v>0</v>
      </c>
      <c r="R5" s="74"/>
      <c r="S5" s="634"/>
      <c r="T5" s="55"/>
      <c r="U5" s="54"/>
      <c r="V5" s="54"/>
    </row>
    <row r="6" spans="1:22" s="75" customFormat="1" ht="12" customHeight="1">
      <c r="A6" s="68" t="s">
        <v>7</v>
      </c>
      <c r="B6" s="68"/>
      <c r="C6" s="69"/>
      <c r="D6" s="69"/>
      <c r="E6" s="353">
        <v>0</v>
      </c>
      <c r="F6" s="70">
        <v>0</v>
      </c>
      <c r="G6" s="70">
        <v>0.37</v>
      </c>
      <c r="H6" s="70">
        <v>0</v>
      </c>
      <c r="I6" s="70">
        <v>0</v>
      </c>
      <c r="J6" s="70">
        <v>0.18</v>
      </c>
      <c r="K6" s="77">
        <v>0</v>
      </c>
      <c r="L6" s="78" t="s">
        <v>229</v>
      </c>
      <c r="M6" s="79" t="s">
        <v>229</v>
      </c>
      <c r="N6" s="79" t="s">
        <v>229</v>
      </c>
      <c r="O6" s="79" t="s">
        <v>229</v>
      </c>
      <c r="P6" s="72" t="s">
        <v>229</v>
      </c>
      <c r="Q6" s="593" t="s">
        <v>229</v>
      </c>
      <c r="R6" s="74"/>
      <c r="S6" s="634"/>
      <c r="T6" s="76"/>
      <c r="U6" s="54"/>
      <c r="V6" s="54"/>
    </row>
    <row r="7" spans="1:22" s="85" customFormat="1" ht="12" customHeight="1">
      <c r="A7" s="68" t="s">
        <v>8</v>
      </c>
      <c r="B7" s="81"/>
      <c r="C7" s="82"/>
      <c r="D7" s="82"/>
      <c r="E7" s="354">
        <v>0.06</v>
      </c>
      <c r="F7" s="83">
        <v>0.12</v>
      </c>
      <c r="G7" s="83">
        <v>0.08</v>
      </c>
      <c r="H7" s="83">
        <v>0.08</v>
      </c>
      <c r="I7" s="83">
        <v>0.08</v>
      </c>
      <c r="J7" s="83">
        <v>0.08</v>
      </c>
      <c r="K7" s="71">
        <v>0.08</v>
      </c>
      <c r="L7" s="78">
        <v>0.33333333333333331</v>
      </c>
      <c r="M7" s="79">
        <v>0.16666666666666666</v>
      </c>
      <c r="N7" s="79">
        <v>0.16666666666666666</v>
      </c>
      <c r="O7" s="80">
        <v>0.16666666666666666</v>
      </c>
      <c r="P7" s="78">
        <v>0.16666666666666666</v>
      </c>
      <c r="Q7" s="594">
        <v>0</v>
      </c>
      <c r="R7" s="84"/>
      <c r="S7" s="634"/>
      <c r="U7" s="54"/>
      <c r="V7" s="54"/>
    </row>
    <row r="8" spans="1:22" s="85" customFormat="1" ht="12" customHeight="1">
      <c r="A8" s="68" t="s">
        <v>281</v>
      </c>
      <c r="B8" s="81"/>
      <c r="C8" s="82"/>
      <c r="D8" s="82"/>
      <c r="E8" s="354">
        <v>0</v>
      </c>
      <c r="F8" s="83">
        <v>0</v>
      </c>
      <c r="G8" s="83">
        <v>0.26</v>
      </c>
      <c r="H8" s="83">
        <v>0.08</v>
      </c>
      <c r="I8" s="83">
        <v>0.08</v>
      </c>
      <c r="J8" s="83">
        <v>0.08</v>
      </c>
      <c r="K8" s="71">
        <v>0.08</v>
      </c>
      <c r="L8" s="78" t="s">
        <v>229</v>
      </c>
      <c r="M8" s="79" t="s">
        <v>229</v>
      </c>
      <c r="N8" s="79" t="s">
        <v>229</v>
      </c>
      <c r="O8" s="79" t="s">
        <v>229</v>
      </c>
      <c r="P8" s="72" t="s">
        <v>229</v>
      </c>
      <c r="Q8" s="593" t="s">
        <v>229</v>
      </c>
      <c r="R8" s="84"/>
      <c r="S8" s="634"/>
      <c r="U8" s="54"/>
      <c r="V8" s="54"/>
    </row>
    <row r="9" spans="1:22" s="85" customFormat="1" ht="12" customHeight="1">
      <c r="A9" s="68" t="s">
        <v>142</v>
      </c>
      <c r="B9" s="68"/>
      <c r="C9" s="82"/>
      <c r="D9" s="82"/>
      <c r="E9" s="355">
        <v>0.06</v>
      </c>
      <c r="F9" s="86">
        <v>0.12</v>
      </c>
      <c r="G9" s="86">
        <v>0.08</v>
      </c>
      <c r="H9" s="86">
        <v>0.08</v>
      </c>
      <c r="I9" s="86">
        <v>0.08</v>
      </c>
      <c r="J9" s="86">
        <v>0.08</v>
      </c>
      <c r="K9" s="87">
        <v>0.08</v>
      </c>
      <c r="L9" s="88">
        <v>0.33333333333333331</v>
      </c>
      <c r="M9" s="89">
        <v>0.16666666666666666</v>
      </c>
      <c r="N9" s="89">
        <v>0.16666666666666666</v>
      </c>
      <c r="O9" s="90">
        <v>0.16666666666666666</v>
      </c>
      <c r="P9" s="88">
        <v>0.16666666666666666</v>
      </c>
      <c r="Q9" s="595">
        <f>1-SUM(L9:P9)</f>
        <v>0</v>
      </c>
      <c r="R9" s="74"/>
      <c r="S9" s="634"/>
      <c r="U9" s="54"/>
      <c r="V9" s="54"/>
    </row>
    <row r="10" spans="1:22" s="95" customFormat="1" ht="12" customHeight="1">
      <c r="A10" s="91"/>
      <c r="B10" s="91"/>
      <c r="C10" s="91"/>
      <c r="D10" s="91"/>
      <c r="E10" s="92"/>
      <c r="F10" s="92"/>
      <c r="G10" s="92"/>
      <c r="H10" s="92"/>
      <c r="I10" s="92"/>
      <c r="J10" s="92"/>
      <c r="K10" s="92"/>
      <c r="L10" s="93"/>
      <c r="M10" s="93"/>
      <c r="N10" s="93"/>
      <c r="O10" s="93"/>
      <c r="P10" s="93"/>
      <c r="Q10" s="596"/>
      <c r="R10" s="93"/>
      <c r="S10" s="635"/>
      <c r="T10" s="93"/>
      <c r="U10" s="54"/>
      <c r="V10" s="54"/>
    </row>
    <row r="11" spans="1:22" s="95" customFormat="1" ht="12" customHeight="1">
      <c r="A11" s="96" t="s">
        <v>9</v>
      </c>
      <c r="B11" s="96"/>
      <c r="C11" s="97"/>
      <c r="D11" s="98"/>
      <c r="E11" s="99"/>
      <c r="F11" s="99"/>
      <c r="G11" s="99"/>
      <c r="H11" s="99"/>
      <c r="I11" s="99"/>
      <c r="J11" s="99"/>
      <c r="K11" s="99"/>
      <c r="L11" s="100"/>
      <c r="M11" s="100"/>
      <c r="N11" s="100"/>
      <c r="O11" s="100"/>
      <c r="P11" s="100"/>
      <c r="Q11" s="597"/>
      <c r="R11" s="100"/>
      <c r="S11" s="636"/>
      <c r="T11" s="100"/>
      <c r="U11" s="54"/>
      <c r="V11" s="54"/>
    </row>
    <row r="12" spans="1:22" s="95" customFormat="1" ht="12" customHeight="1">
      <c r="A12" s="96"/>
      <c r="B12" s="96" t="s">
        <v>255</v>
      </c>
      <c r="C12" s="97"/>
      <c r="D12" s="98"/>
      <c r="E12" s="99"/>
      <c r="F12" s="99"/>
      <c r="G12" s="99"/>
      <c r="H12" s="99"/>
      <c r="I12" s="99"/>
      <c r="J12" s="99"/>
      <c r="K12" s="99"/>
      <c r="L12" s="101"/>
      <c r="M12" s="101"/>
      <c r="N12" s="101"/>
      <c r="O12" s="101"/>
      <c r="P12" s="101"/>
      <c r="Q12" s="598"/>
      <c r="R12" s="101"/>
      <c r="S12" s="637"/>
      <c r="T12" s="101"/>
      <c r="U12" s="54"/>
      <c r="V12" s="54"/>
    </row>
    <row r="13" spans="1:22" s="95" customFormat="1" ht="12" customHeight="1">
      <c r="A13" s="114"/>
      <c r="B13" s="114" t="s">
        <v>186</v>
      </c>
      <c r="C13" s="115"/>
      <c r="D13" s="116" t="s">
        <v>176</v>
      </c>
      <c r="E13" s="117">
        <v>0</v>
      </c>
      <c r="F13" s="117">
        <v>0</v>
      </c>
      <c r="G13" s="117">
        <v>0</v>
      </c>
      <c r="H13" s="117">
        <v>0</v>
      </c>
      <c r="I13" s="117">
        <v>0</v>
      </c>
      <c r="J13" s="117">
        <v>0</v>
      </c>
      <c r="K13" s="117">
        <v>0</v>
      </c>
      <c r="L13" s="117">
        <v>0</v>
      </c>
      <c r="M13" s="117">
        <v>0</v>
      </c>
      <c r="N13" s="117">
        <v>0</v>
      </c>
      <c r="O13" s="117">
        <v>0</v>
      </c>
      <c r="P13" s="117">
        <v>0</v>
      </c>
      <c r="Q13" s="599"/>
      <c r="R13" s="339"/>
      <c r="S13" s="213">
        <f>SUM(E13:Q13)</f>
        <v>0</v>
      </c>
      <c r="T13" s="117"/>
      <c r="U13" s="54"/>
      <c r="V13" s="54"/>
    </row>
    <row r="14" spans="1:22" s="112" customFormat="1" ht="12" customHeight="1">
      <c r="A14" s="114"/>
      <c r="B14" s="114" t="s">
        <v>186</v>
      </c>
      <c r="C14" s="115"/>
      <c r="D14" s="116" t="s">
        <v>177</v>
      </c>
      <c r="E14" s="118">
        <v>0</v>
      </c>
      <c r="F14" s="118">
        <v>0</v>
      </c>
      <c r="G14" s="118"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599">
        <v>0</v>
      </c>
      <c r="R14" s="340"/>
      <c r="S14" s="213">
        <f>SUM(E14:Q14)</f>
        <v>0</v>
      </c>
      <c r="T14" s="118"/>
      <c r="U14" s="54"/>
      <c r="V14" s="54"/>
    </row>
    <row r="15" spans="1:22" s="112" customFormat="1" ht="12" customHeight="1">
      <c r="A15" s="109"/>
      <c r="B15" s="109" t="s">
        <v>186</v>
      </c>
      <c r="C15" s="102">
        <v>8011</v>
      </c>
      <c r="D15" s="104" t="s">
        <v>258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0</v>
      </c>
      <c r="N15" s="99">
        <v>0</v>
      </c>
      <c r="O15" s="99">
        <v>0</v>
      </c>
      <c r="P15" s="99">
        <v>0</v>
      </c>
      <c r="Q15" s="600">
        <v>0</v>
      </c>
      <c r="R15" s="99"/>
      <c r="S15" s="638">
        <f>SUM(E15:Q15)</f>
        <v>0</v>
      </c>
      <c r="T15" s="99"/>
      <c r="U15" s="54"/>
      <c r="V15" s="54"/>
    </row>
    <row r="16" spans="1:22" s="112" customFormat="1" ht="12" customHeight="1">
      <c r="A16" s="109"/>
      <c r="B16" s="109" t="s">
        <v>186</v>
      </c>
      <c r="C16" s="102">
        <v>8012</v>
      </c>
      <c r="D16" s="223" t="s">
        <v>257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601">
        <v>0</v>
      </c>
      <c r="R16" s="99"/>
      <c r="S16" s="638">
        <f t="shared" ref="S16:S18" si="1">SUM(E16:Q16)</f>
        <v>0</v>
      </c>
      <c r="T16" s="99"/>
      <c r="U16" s="54"/>
      <c r="V16" s="54"/>
    </row>
    <row r="17" spans="1:22" s="112" customFormat="1" ht="12" customHeight="1">
      <c r="A17" s="109"/>
      <c r="B17" s="109" t="s">
        <v>186</v>
      </c>
      <c r="C17" s="102">
        <v>8019</v>
      </c>
      <c r="D17" s="104" t="s">
        <v>256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>
        <v>0</v>
      </c>
      <c r="L17" s="99">
        <v>0</v>
      </c>
      <c r="M17" s="99">
        <v>0</v>
      </c>
      <c r="N17" s="99">
        <v>0</v>
      </c>
      <c r="O17" s="99">
        <v>0</v>
      </c>
      <c r="P17" s="99">
        <v>0</v>
      </c>
      <c r="Q17" s="601">
        <v>0</v>
      </c>
      <c r="R17" s="99"/>
      <c r="S17" s="638">
        <f t="shared" si="1"/>
        <v>0</v>
      </c>
      <c r="T17" s="99"/>
      <c r="U17" s="54"/>
      <c r="V17" s="54"/>
    </row>
    <row r="18" spans="1:22" s="112" customFormat="1" ht="12" customHeight="1">
      <c r="A18" s="109"/>
      <c r="B18" s="109" t="s">
        <v>186</v>
      </c>
      <c r="C18" s="102">
        <v>8096</v>
      </c>
      <c r="D18" s="103" t="s">
        <v>8</v>
      </c>
      <c r="E18" s="376">
        <v>0</v>
      </c>
      <c r="F18" s="376">
        <v>0</v>
      </c>
      <c r="G18" s="376">
        <v>0</v>
      </c>
      <c r="H18" s="376">
        <v>0</v>
      </c>
      <c r="I18" s="376">
        <v>0</v>
      </c>
      <c r="J18" s="376">
        <v>0</v>
      </c>
      <c r="K18" s="376">
        <v>0</v>
      </c>
      <c r="L18" s="376">
        <v>0</v>
      </c>
      <c r="M18" s="376">
        <v>0</v>
      </c>
      <c r="N18" s="376">
        <v>0</v>
      </c>
      <c r="O18" s="376">
        <v>0</v>
      </c>
      <c r="P18" s="376">
        <v>0</v>
      </c>
      <c r="Q18" s="602">
        <v>0</v>
      </c>
      <c r="R18" s="99"/>
      <c r="S18" s="638">
        <f t="shared" si="1"/>
        <v>0</v>
      </c>
      <c r="T18" s="99"/>
      <c r="U18" s="54"/>
      <c r="V18" s="54"/>
    </row>
    <row r="19" spans="1:22" s="95" customFormat="1" ht="12" customHeight="1">
      <c r="A19" s="96"/>
      <c r="B19" s="96" t="s">
        <v>186</v>
      </c>
      <c r="C19" s="102"/>
      <c r="D19" s="103"/>
      <c r="E19" s="215">
        <f>SUM(E15:E18)</f>
        <v>0</v>
      </c>
      <c r="F19" s="215">
        <f t="shared" ref="F19:Q19" si="2">SUM(F15:F18)</f>
        <v>0</v>
      </c>
      <c r="G19" s="215">
        <f t="shared" si="2"/>
        <v>0</v>
      </c>
      <c r="H19" s="215">
        <f t="shared" si="2"/>
        <v>0</v>
      </c>
      <c r="I19" s="215">
        <f t="shared" si="2"/>
        <v>0</v>
      </c>
      <c r="J19" s="215">
        <f t="shared" si="2"/>
        <v>0</v>
      </c>
      <c r="K19" s="215">
        <f t="shared" si="2"/>
        <v>0</v>
      </c>
      <c r="L19" s="215">
        <f t="shared" si="2"/>
        <v>0</v>
      </c>
      <c r="M19" s="215">
        <f t="shared" si="2"/>
        <v>0</v>
      </c>
      <c r="N19" s="215">
        <f t="shared" si="2"/>
        <v>0</v>
      </c>
      <c r="O19" s="215">
        <f t="shared" si="2"/>
        <v>0</v>
      </c>
      <c r="P19" s="215">
        <f t="shared" si="2"/>
        <v>0</v>
      </c>
      <c r="Q19" s="603">
        <f t="shared" si="2"/>
        <v>0</v>
      </c>
      <c r="R19" s="101"/>
      <c r="S19" s="626">
        <f>SUM(S15:S18)</f>
        <v>0</v>
      </c>
      <c r="T19" s="101"/>
      <c r="U19" s="54"/>
      <c r="V19" s="54"/>
    </row>
    <row r="20" spans="1:22" s="95" customFormat="1" ht="12.5" customHeight="1">
      <c r="A20" s="91"/>
      <c r="B20" s="91" t="s">
        <v>282</v>
      </c>
      <c r="C20" s="91"/>
      <c r="D20" s="91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602"/>
      <c r="R20" s="92"/>
      <c r="S20" s="627"/>
      <c r="T20" s="92"/>
      <c r="U20" s="54"/>
      <c r="V20" s="54"/>
    </row>
    <row r="21" spans="1:22" s="95" customFormat="1" ht="12" customHeight="1">
      <c r="A21" s="91"/>
      <c r="B21" s="91" t="s">
        <v>186</v>
      </c>
      <c r="C21" s="102">
        <v>8181</v>
      </c>
      <c r="D21" s="105" t="s">
        <v>315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99">
        <v>0</v>
      </c>
      <c r="Q21" s="601">
        <v>0</v>
      </c>
      <c r="R21" s="99"/>
      <c r="S21" s="638">
        <f t="shared" ref="S21:S30" si="3">SUM(E21:Q21)</f>
        <v>0</v>
      </c>
      <c r="T21" s="99"/>
      <c r="U21" s="54"/>
      <c r="V21" s="54"/>
    </row>
    <row r="22" spans="1:22" s="95" customFormat="1" ht="12" customHeight="1">
      <c r="A22" s="91"/>
      <c r="B22" s="91" t="s">
        <v>186</v>
      </c>
      <c r="C22" s="102">
        <v>8182</v>
      </c>
      <c r="D22" s="105" t="s">
        <v>270</v>
      </c>
      <c r="E22" s="99">
        <v>0</v>
      </c>
      <c r="F22" s="99">
        <v>0</v>
      </c>
      <c r="G22" s="99">
        <v>0</v>
      </c>
      <c r="H22" s="99">
        <v>0</v>
      </c>
      <c r="I22" s="99">
        <v>0</v>
      </c>
      <c r="J22" s="99">
        <v>0</v>
      </c>
      <c r="K22" s="99">
        <v>0</v>
      </c>
      <c r="L22" s="99">
        <v>0</v>
      </c>
      <c r="M22" s="99">
        <v>0</v>
      </c>
      <c r="N22" s="99">
        <v>0</v>
      </c>
      <c r="O22" s="99">
        <v>0</v>
      </c>
      <c r="P22" s="99">
        <v>0</v>
      </c>
      <c r="Q22" s="601">
        <v>0</v>
      </c>
      <c r="R22" s="99"/>
      <c r="S22" s="638">
        <f t="shared" si="3"/>
        <v>0</v>
      </c>
      <c r="T22" s="99"/>
      <c r="U22" s="54"/>
      <c r="V22" s="54"/>
    </row>
    <row r="23" spans="1:22" s="95" customFormat="1" ht="12" customHeight="1">
      <c r="A23" s="91"/>
      <c r="B23" s="91" t="s">
        <v>186</v>
      </c>
      <c r="C23" s="102">
        <v>8220</v>
      </c>
      <c r="D23" s="103" t="s">
        <v>12</v>
      </c>
      <c r="E23" s="99">
        <v>0</v>
      </c>
      <c r="F23" s="99">
        <v>0</v>
      </c>
      <c r="G23" s="99">
        <v>0</v>
      </c>
      <c r="H23" s="99">
        <v>0</v>
      </c>
      <c r="I23" s="99">
        <v>0</v>
      </c>
      <c r="J23" s="99">
        <v>0</v>
      </c>
      <c r="K23" s="99">
        <v>0</v>
      </c>
      <c r="L23" s="99">
        <v>0</v>
      </c>
      <c r="M23" s="99">
        <v>0</v>
      </c>
      <c r="N23" s="99">
        <v>0</v>
      </c>
      <c r="O23" s="99">
        <v>0</v>
      </c>
      <c r="P23" s="99">
        <v>0</v>
      </c>
      <c r="Q23" s="601">
        <v>0</v>
      </c>
      <c r="R23" s="99"/>
      <c r="S23" s="638">
        <f t="shared" si="3"/>
        <v>0</v>
      </c>
      <c r="T23" s="92"/>
      <c r="U23" s="54"/>
      <c r="V23" s="54"/>
    </row>
    <row r="24" spans="1:22" s="95" customFormat="1" ht="12" customHeight="1">
      <c r="A24" s="91"/>
      <c r="B24" s="91" t="s">
        <v>186</v>
      </c>
      <c r="C24" s="102">
        <v>8290</v>
      </c>
      <c r="D24" s="103" t="s">
        <v>116</v>
      </c>
      <c r="E24" s="99">
        <v>0</v>
      </c>
      <c r="F24" s="99">
        <v>0</v>
      </c>
      <c r="G24" s="99">
        <v>0</v>
      </c>
      <c r="H24" s="99">
        <v>0</v>
      </c>
      <c r="I24" s="99">
        <v>0</v>
      </c>
      <c r="J24" s="99">
        <v>0</v>
      </c>
      <c r="K24" s="99">
        <v>0</v>
      </c>
      <c r="L24" s="99">
        <v>0</v>
      </c>
      <c r="M24" s="99">
        <v>0</v>
      </c>
      <c r="N24" s="99">
        <v>0</v>
      </c>
      <c r="O24" s="99">
        <v>0</v>
      </c>
      <c r="P24" s="99">
        <v>0</v>
      </c>
      <c r="Q24" s="601">
        <v>0</v>
      </c>
      <c r="R24" s="99"/>
      <c r="S24" s="638">
        <f t="shared" si="3"/>
        <v>0</v>
      </c>
      <c r="T24" s="107"/>
      <c r="U24" s="54"/>
      <c r="V24" s="54"/>
    </row>
    <row r="25" spans="1:22" s="95" customFormat="1" ht="12" customHeight="1">
      <c r="A25" s="91"/>
      <c r="B25" s="91" t="s">
        <v>186</v>
      </c>
      <c r="C25" s="102">
        <v>8291</v>
      </c>
      <c r="D25" s="103" t="s">
        <v>117</v>
      </c>
      <c r="E25" s="99">
        <v>0</v>
      </c>
      <c r="F25" s="99">
        <v>0</v>
      </c>
      <c r="G25" s="99">
        <v>0</v>
      </c>
      <c r="H25" s="99">
        <v>0</v>
      </c>
      <c r="I25" s="99">
        <v>0</v>
      </c>
      <c r="J25" s="99">
        <v>0</v>
      </c>
      <c r="K25" s="99">
        <v>0</v>
      </c>
      <c r="L25" s="99">
        <v>0</v>
      </c>
      <c r="M25" s="99">
        <v>0</v>
      </c>
      <c r="N25" s="99">
        <v>0</v>
      </c>
      <c r="O25" s="99">
        <v>0</v>
      </c>
      <c r="P25" s="99">
        <v>0</v>
      </c>
      <c r="Q25" s="601">
        <v>0</v>
      </c>
      <c r="R25" s="99"/>
      <c r="S25" s="638">
        <f t="shared" si="3"/>
        <v>0</v>
      </c>
      <c r="T25" s="92"/>
      <c r="U25" s="54"/>
      <c r="V25" s="54"/>
    </row>
    <row r="26" spans="1:22" s="95" customFormat="1" ht="12" customHeight="1">
      <c r="A26" s="91"/>
      <c r="B26" s="91" t="s">
        <v>186</v>
      </c>
      <c r="C26" s="102">
        <v>8293</v>
      </c>
      <c r="D26" s="103" t="s">
        <v>118</v>
      </c>
      <c r="E26" s="99">
        <v>0</v>
      </c>
      <c r="F26" s="99">
        <v>0</v>
      </c>
      <c r="G26" s="99">
        <v>0</v>
      </c>
      <c r="H26" s="99">
        <v>0</v>
      </c>
      <c r="I26" s="99">
        <v>0</v>
      </c>
      <c r="J26" s="99">
        <v>0</v>
      </c>
      <c r="K26" s="99">
        <v>0</v>
      </c>
      <c r="L26" s="99">
        <v>0</v>
      </c>
      <c r="M26" s="99">
        <v>0</v>
      </c>
      <c r="N26" s="99">
        <v>0</v>
      </c>
      <c r="O26" s="99">
        <v>0</v>
      </c>
      <c r="P26" s="99">
        <v>0</v>
      </c>
      <c r="Q26" s="601">
        <v>0</v>
      </c>
      <c r="R26" s="99"/>
      <c r="S26" s="638">
        <f t="shared" si="3"/>
        <v>0</v>
      </c>
      <c r="T26" s="92"/>
      <c r="U26" s="54"/>
      <c r="V26" s="54"/>
    </row>
    <row r="27" spans="1:22" s="95" customFormat="1" ht="12" customHeight="1">
      <c r="A27" s="91"/>
      <c r="B27" s="91" t="s">
        <v>186</v>
      </c>
      <c r="C27" s="102">
        <v>8294</v>
      </c>
      <c r="D27" s="103" t="s">
        <v>263</v>
      </c>
      <c r="E27" s="99">
        <v>0</v>
      </c>
      <c r="F27" s="99">
        <v>0</v>
      </c>
      <c r="G27" s="99">
        <v>0</v>
      </c>
      <c r="H27" s="99">
        <v>0</v>
      </c>
      <c r="I27" s="99">
        <v>0</v>
      </c>
      <c r="J27" s="99">
        <v>0</v>
      </c>
      <c r="K27" s="99">
        <v>0</v>
      </c>
      <c r="L27" s="99">
        <v>0</v>
      </c>
      <c r="M27" s="99">
        <v>0</v>
      </c>
      <c r="N27" s="99">
        <v>0</v>
      </c>
      <c r="O27" s="99">
        <v>0</v>
      </c>
      <c r="P27" s="99">
        <v>0</v>
      </c>
      <c r="Q27" s="601">
        <v>0</v>
      </c>
      <c r="R27" s="99"/>
      <c r="S27" s="638">
        <f t="shared" si="3"/>
        <v>0</v>
      </c>
      <c r="T27" s="92"/>
      <c r="U27" s="54"/>
      <c r="V27" s="54"/>
    </row>
    <row r="28" spans="1:22" s="95" customFormat="1" ht="12" customHeight="1">
      <c r="A28" s="91"/>
      <c r="B28" s="91" t="s">
        <v>186</v>
      </c>
      <c r="C28" s="102">
        <v>8295</v>
      </c>
      <c r="D28" s="103" t="s">
        <v>264</v>
      </c>
      <c r="E28" s="99">
        <v>0</v>
      </c>
      <c r="F28" s="99">
        <v>0</v>
      </c>
      <c r="G28" s="99">
        <v>0</v>
      </c>
      <c r="H28" s="99">
        <v>0</v>
      </c>
      <c r="I28" s="99">
        <v>0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601">
        <v>0</v>
      </c>
      <c r="R28" s="99"/>
      <c r="S28" s="638">
        <f t="shared" si="3"/>
        <v>0</v>
      </c>
      <c r="T28" s="92"/>
      <c r="U28" s="54"/>
      <c r="V28" s="54"/>
    </row>
    <row r="29" spans="1:22" s="95" customFormat="1" ht="12" customHeight="1">
      <c r="A29" s="91"/>
      <c r="B29" s="91" t="s">
        <v>186</v>
      </c>
      <c r="C29" s="102">
        <v>8296</v>
      </c>
      <c r="D29" s="103" t="s">
        <v>133</v>
      </c>
      <c r="E29" s="99">
        <v>0</v>
      </c>
      <c r="F29" s="99">
        <v>0</v>
      </c>
      <c r="G29" s="99">
        <v>0</v>
      </c>
      <c r="H29" s="99">
        <v>0</v>
      </c>
      <c r="I29" s="99">
        <v>0</v>
      </c>
      <c r="J29" s="99">
        <v>0</v>
      </c>
      <c r="K29" s="99">
        <v>0</v>
      </c>
      <c r="L29" s="99">
        <v>0</v>
      </c>
      <c r="M29" s="99">
        <v>0</v>
      </c>
      <c r="N29" s="99">
        <v>0</v>
      </c>
      <c r="O29" s="99">
        <v>0</v>
      </c>
      <c r="P29" s="99">
        <v>0</v>
      </c>
      <c r="Q29" s="601">
        <v>0</v>
      </c>
      <c r="R29" s="99"/>
      <c r="S29" s="638">
        <f t="shared" si="3"/>
        <v>0</v>
      </c>
      <c r="T29" s="92"/>
      <c r="U29" s="54"/>
      <c r="V29" s="54"/>
    </row>
    <row r="30" spans="1:22" s="95" customFormat="1" ht="12" customHeight="1">
      <c r="A30" s="91"/>
      <c r="B30" s="91"/>
      <c r="C30" s="102">
        <v>8299</v>
      </c>
      <c r="D30" s="103" t="s">
        <v>385</v>
      </c>
      <c r="E30" s="99">
        <v>0</v>
      </c>
      <c r="F30" s="99">
        <v>0</v>
      </c>
      <c r="G30" s="99">
        <v>0</v>
      </c>
      <c r="H30" s="99">
        <v>0</v>
      </c>
      <c r="I30" s="99">
        <v>0</v>
      </c>
      <c r="J30" s="99">
        <v>0</v>
      </c>
      <c r="K30" s="99">
        <v>0</v>
      </c>
      <c r="L30" s="99">
        <v>0</v>
      </c>
      <c r="M30" s="99">
        <v>0</v>
      </c>
      <c r="N30" s="99">
        <v>0</v>
      </c>
      <c r="O30" s="99">
        <v>0</v>
      </c>
      <c r="P30" s="99">
        <v>0</v>
      </c>
      <c r="Q30" s="601">
        <v>0</v>
      </c>
      <c r="R30" s="99"/>
      <c r="S30" s="638">
        <f t="shared" si="3"/>
        <v>0</v>
      </c>
      <c r="T30" s="92"/>
      <c r="U30" s="54"/>
      <c r="V30" s="54"/>
    </row>
    <row r="31" spans="1:22" s="112" customFormat="1" ht="12" customHeight="1">
      <c r="A31" s="109"/>
      <c r="B31" s="109" t="s">
        <v>186</v>
      </c>
      <c r="C31" s="109"/>
      <c r="D31" s="110"/>
      <c r="E31" s="111">
        <f>SUM(E21:E30)</f>
        <v>0</v>
      </c>
      <c r="F31" s="111">
        <f t="shared" ref="F31:P31" si="4">SUM(F21:F30)</f>
        <v>0</v>
      </c>
      <c r="G31" s="111">
        <f t="shared" si="4"/>
        <v>0</v>
      </c>
      <c r="H31" s="111">
        <f t="shared" si="4"/>
        <v>0</v>
      </c>
      <c r="I31" s="111">
        <f t="shared" si="4"/>
        <v>0</v>
      </c>
      <c r="J31" s="111">
        <f t="shared" si="4"/>
        <v>0</v>
      </c>
      <c r="K31" s="111">
        <f t="shared" si="4"/>
        <v>0</v>
      </c>
      <c r="L31" s="111">
        <f t="shared" si="4"/>
        <v>0</v>
      </c>
      <c r="M31" s="111">
        <f t="shared" si="4"/>
        <v>0</v>
      </c>
      <c r="N31" s="111">
        <f t="shared" si="4"/>
        <v>0</v>
      </c>
      <c r="O31" s="111">
        <f t="shared" si="4"/>
        <v>0</v>
      </c>
      <c r="P31" s="111">
        <f t="shared" si="4"/>
        <v>0</v>
      </c>
      <c r="Q31" s="604">
        <f>SUM(Q21:Q30)</f>
        <v>0</v>
      </c>
      <c r="R31" s="99"/>
      <c r="S31" s="639">
        <f>SUM(S21:S30)</f>
        <v>0</v>
      </c>
      <c r="T31" s="99"/>
      <c r="U31" s="54"/>
      <c r="V31" s="54"/>
    </row>
    <row r="32" spans="1:22" s="95" customFormat="1" ht="12" customHeight="1">
      <c r="A32" s="91"/>
      <c r="B32" s="96" t="s">
        <v>168</v>
      </c>
      <c r="C32" s="91"/>
      <c r="D32" s="91"/>
      <c r="E32" s="99"/>
      <c r="F32" s="99"/>
      <c r="G32" s="99"/>
      <c r="H32" s="99"/>
      <c r="I32" s="99"/>
      <c r="J32" s="99"/>
      <c r="K32" s="99"/>
      <c r="L32" s="101"/>
      <c r="M32" s="101"/>
      <c r="N32" s="101"/>
      <c r="O32" s="101"/>
      <c r="P32" s="101"/>
      <c r="Q32" s="598"/>
      <c r="R32" s="101"/>
      <c r="S32" s="637"/>
      <c r="T32" s="101"/>
      <c r="U32" s="54"/>
      <c r="V32" s="54"/>
    </row>
    <row r="33" spans="1:22" s="95" customFormat="1" ht="12" customHeight="1">
      <c r="A33" s="91"/>
      <c r="B33" s="91" t="s">
        <v>186</v>
      </c>
      <c r="C33" s="102">
        <v>8311</v>
      </c>
      <c r="D33" s="105" t="s">
        <v>261</v>
      </c>
      <c r="E33" s="99">
        <v>0</v>
      </c>
      <c r="F33" s="99">
        <v>0</v>
      </c>
      <c r="G33" s="99">
        <v>0</v>
      </c>
      <c r="H33" s="99">
        <v>0</v>
      </c>
      <c r="I33" s="99">
        <v>0</v>
      </c>
      <c r="J33" s="99">
        <v>0</v>
      </c>
      <c r="K33" s="99">
        <v>0</v>
      </c>
      <c r="L33" s="99">
        <v>0</v>
      </c>
      <c r="M33" s="99">
        <v>0</v>
      </c>
      <c r="N33" s="99">
        <v>0</v>
      </c>
      <c r="O33" s="99">
        <v>0</v>
      </c>
      <c r="P33" s="99">
        <v>0</v>
      </c>
      <c r="Q33" s="601">
        <v>0</v>
      </c>
      <c r="R33" s="99"/>
      <c r="S33" s="638">
        <f t="shared" ref="S33:S39" si="5">SUM(E33:Q33)</f>
        <v>0</v>
      </c>
      <c r="T33" s="99"/>
      <c r="U33" s="54"/>
      <c r="V33" s="54"/>
    </row>
    <row r="34" spans="1:22" s="95" customFormat="1" ht="12" customHeight="1">
      <c r="A34" s="91"/>
      <c r="B34" s="91" t="s">
        <v>186</v>
      </c>
      <c r="C34" s="102">
        <v>8520</v>
      </c>
      <c r="D34" s="103" t="s">
        <v>121</v>
      </c>
      <c r="E34" s="99">
        <v>0</v>
      </c>
      <c r="F34" s="99">
        <v>0</v>
      </c>
      <c r="G34" s="99">
        <v>0</v>
      </c>
      <c r="H34" s="99">
        <v>0</v>
      </c>
      <c r="I34" s="99">
        <v>0</v>
      </c>
      <c r="J34" s="99">
        <v>0</v>
      </c>
      <c r="K34" s="99">
        <v>0</v>
      </c>
      <c r="L34" s="99">
        <v>0</v>
      </c>
      <c r="M34" s="99">
        <v>0</v>
      </c>
      <c r="N34" s="99">
        <v>0</v>
      </c>
      <c r="O34" s="99">
        <v>0</v>
      </c>
      <c r="P34" s="99">
        <v>0</v>
      </c>
      <c r="Q34" s="601">
        <v>0</v>
      </c>
      <c r="R34" s="99"/>
      <c r="S34" s="638">
        <f t="shared" si="5"/>
        <v>0</v>
      </c>
      <c r="T34" s="92"/>
      <c r="U34" s="54"/>
      <c r="V34" s="54"/>
    </row>
    <row r="35" spans="1:22" s="95" customFormat="1" ht="12" customHeight="1">
      <c r="A35" s="91"/>
      <c r="B35" s="91" t="s">
        <v>186</v>
      </c>
      <c r="C35" s="102">
        <v>8545</v>
      </c>
      <c r="D35" s="103" t="s">
        <v>260</v>
      </c>
      <c r="E35" s="99">
        <v>0</v>
      </c>
      <c r="F35" s="99">
        <v>0</v>
      </c>
      <c r="G35" s="99">
        <v>0</v>
      </c>
      <c r="H35" s="99">
        <v>0</v>
      </c>
      <c r="I35" s="99">
        <v>0</v>
      </c>
      <c r="J35" s="99">
        <v>0</v>
      </c>
      <c r="K35" s="99">
        <v>0</v>
      </c>
      <c r="L35" s="99">
        <v>0</v>
      </c>
      <c r="M35" s="99">
        <v>0</v>
      </c>
      <c r="N35" s="99">
        <v>0</v>
      </c>
      <c r="O35" s="99">
        <v>0</v>
      </c>
      <c r="P35" s="99">
        <v>0</v>
      </c>
      <c r="Q35" s="601">
        <v>0</v>
      </c>
      <c r="R35" s="99"/>
      <c r="S35" s="638">
        <f t="shared" si="5"/>
        <v>0</v>
      </c>
      <c r="T35" s="92"/>
      <c r="U35" s="54"/>
      <c r="V35" s="54"/>
    </row>
    <row r="36" spans="1:22" s="95" customFormat="1" ht="12" customHeight="1">
      <c r="A36" s="91"/>
      <c r="B36" s="91" t="s">
        <v>186</v>
      </c>
      <c r="C36" s="102">
        <v>8550</v>
      </c>
      <c r="D36" s="103" t="s">
        <v>262</v>
      </c>
      <c r="E36" s="99">
        <v>0</v>
      </c>
      <c r="F36" s="99">
        <v>0</v>
      </c>
      <c r="G36" s="99">
        <v>0</v>
      </c>
      <c r="H36" s="99">
        <v>0</v>
      </c>
      <c r="I36" s="99">
        <v>0</v>
      </c>
      <c r="J36" s="99">
        <v>0</v>
      </c>
      <c r="K36" s="99">
        <v>0</v>
      </c>
      <c r="L36" s="99">
        <v>0</v>
      </c>
      <c r="M36" s="99">
        <v>0</v>
      </c>
      <c r="N36" s="99">
        <v>0</v>
      </c>
      <c r="O36" s="99">
        <v>0</v>
      </c>
      <c r="P36" s="99">
        <v>0</v>
      </c>
      <c r="Q36" s="601">
        <v>0</v>
      </c>
      <c r="R36" s="99"/>
      <c r="S36" s="638">
        <f t="shared" si="5"/>
        <v>0</v>
      </c>
      <c r="T36" s="92"/>
      <c r="U36" s="54"/>
      <c r="V36" s="54"/>
    </row>
    <row r="37" spans="1:22" s="95" customFormat="1" ht="12" customHeight="1">
      <c r="A37" s="109"/>
      <c r="B37" s="109" t="s">
        <v>186</v>
      </c>
      <c r="C37" s="102">
        <v>8560</v>
      </c>
      <c r="D37" s="103" t="s">
        <v>120</v>
      </c>
      <c r="E37" s="99">
        <v>0</v>
      </c>
      <c r="F37" s="99">
        <v>0</v>
      </c>
      <c r="G37" s="99">
        <v>0</v>
      </c>
      <c r="H37" s="99">
        <v>0</v>
      </c>
      <c r="I37" s="99">
        <v>0</v>
      </c>
      <c r="J37" s="99">
        <v>0</v>
      </c>
      <c r="K37" s="99">
        <v>0</v>
      </c>
      <c r="L37" s="99">
        <v>0</v>
      </c>
      <c r="M37" s="99">
        <v>0</v>
      </c>
      <c r="N37" s="99">
        <v>0</v>
      </c>
      <c r="O37" s="99">
        <v>0</v>
      </c>
      <c r="P37" s="99">
        <v>0</v>
      </c>
      <c r="Q37" s="601">
        <v>0</v>
      </c>
      <c r="R37" s="99"/>
      <c r="S37" s="638">
        <f t="shared" si="5"/>
        <v>0</v>
      </c>
      <c r="T37" s="92"/>
      <c r="U37" s="54"/>
      <c r="V37" s="54"/>
    </row>
    <row r="38" spans="1:22" s="95" customFormat="1" ht="12" customHeight="1">
      <c r="A38" s="109"/>
      <c r="B38" s="109" t="s">
        <v>186</v>
      </c>
      <c r="C38" s="102">
        <v>8598</v>
      </c>
      <c r="D38" s="103" t="s">
        <v>242</v>
      </c>
      <c r="E38" s="99">
        <v>0</v>
      </c>
      <c r="F38" s="99">
        <v>0</v>
      </c>
      <c r="G38" s="99">
        <v>0</v>
      </c>
      <c r="H38" s="99">
        <v>0</v>
      </c>
      <c r="I38" s="99">
        <v>0</v>
      </c>
      <c r="J38" s="99">
        <v>0</v>
      </c>
      <c r="K38" s="99">
        <v>0</v>
      </c>
      <c r="L38" s="99">
        <v>0</v>
      </c>
      <c r="M38" s="99">
        <v>0</v>
      </c>
      <c r="N38" s="99">
        <v>0</v>
      </c>
      <c r="O38" s="99">
        <v>0</v>
      </c>
      <c r="P38" s="99">
        <v>0</v>
      </c>
      <c r="Q38" s="601">
        <v>0</v>
      </c>
      <c r="R38" s="99"/>
      <c r="S38" s="638">
        <f t="shared" si="5"/>
        <v>0</v>
      </c>
      <c r="T38" s="92"/>
      <c r="U38" s="54"/>
      <c r="V38" s="54"/>
    </row>
    <row r="39" spans="1:22" s="95" customFormat="1" ht="12" customHeight="1">
      <c r="A39" s="91"/>
      <c r="B39" s="91" t="s">
        <v>186</v>
      </c>
      <c r="C39" s="102">
        <v>8599</v>
      </c>
      <c r="D39" s="103" t="s">
        <v>168</v>
      </c>
      <c r="E39" s="99">
        <v>0</v>
      </c>
      <c r="F39" s="99">
        <v>0</v>
      </c>
      <c r="G39" s="99">
        <v>0</v>
      </c>
      <c r="H39" s="99">
        <v>0</v>
      </c>
      <c r="I39" s="99">
        <v>0</v>
      </c>
      <c r="J39" s="99">
        <v>0</v>
      </c>
      <c r="K39" s="99">
        <v>0</v>
      </c>
      <c r="L39" s="99">
        <v>0</v>
      </c>
      <c r="M39" s="99">
        <v>0</v>
      </c>
      <c r="N39" s="99">
        <v>0</v>
      </c>
      <c r="O39" s="99">
        <v>0</v>
      </c>
      <c r="P39" s="99">
        <v>0</v>
      </c>
      <c r="Q39" s="601">
        <v>0</v>
      </c>
      <c r="R39" s="99"/>
      <c r="S39" s="638">
        <f t="shared" si="5"/>
        <v>0</v>
      </c>
      <c r="T39" s="92"/>
      <c r="U39" s="54"/>
      <c r="V39" s="54"/>
    </row>
    <row r="40" spans="1:22" s="112" customFormat="1" ht="12" customHeight="1">
      <c r="A40" s="109"/>
      <c r="B40" s="109" t="s">
        <v>186</v>
      </c>
      <c r="C40" s="109"/>
      <c r="D40" s="110"/>
      <c r="E40" s="111">
        <f>SUM(E33:E39)</f>
        <v>0</v>
      </c>
      <c r="F40" s="111">
        <f t="shared" ref="F40:Q40" si="6">SUM(F33:F39)</f>
        <v>0</v>
      </c>
      <c r="G40" s="111">
        <f t="shared" si="6"/>
        <v>0</v>
      </c>
      <c r="H40" s="111">
        <f t="shared" si="6"/>
        <v>0</v>
      </c>
      <c r="I40" s="111">
        <f t="shared" si="6"/>
        <v>0</v>
      </c>
      <c r="J40" s="111">
        <f t="shared" si="6"/>
        <v>0</v>
      </c>
      <c r="K40" s="111">
        <f t="shared" si="6"/>
        <v>0</v>
      </c>
      <c r="L40" s="111">
        <f t="shared" si="6"/>
        <v>0</v>
      </c>
      <c r="M40" s="111">
        <f t="shared" si="6"/>
        <v>0</v>
      </c>
      <c r="N40" s="111">
        <f t="shared" si="6"/>
        <v>0</v>
      </c>
      <c r="O40" s="111">
        <f t="shared" si="6"/>
        <v>0</v>
      </c>
      <c r="P40" s="111">
        <f t="shared" si="6"/>
        <v>0</v>
      </c>
      <c r="Q40" s="604">
        <f t="shared" si="6"/>
        <v>0</v>
      </c>
      <c r="R40" s="99"/>
      <c r="S40" s="626">
        <f>SUM(S33:S39)</f>
        <v>0</v>
      </c>
      <c r="T40" s="99"/>
      <c r="U40" s="54"/>
      <c r="V40" s="54"/>
    </row>
    <row r="41" spans="1:22" s="112" customFormat="1" ht="12" customHeight="1">
      <c r="A41" s="109"/>
      <c r="B41" s="120" t="s">
        <v>283</v>
      </c>
      <c r="C41" s="102"/>
      <c r="D41" s="103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600"/>
      <c r="R41" s="99"/>
      <c r="S41" s="638"/>
      <c r="T41" s="99"/>
      <c r="U41" s="54"/>
      <c r="V41" s="54"/>
    </row>
    <row r="42" spans="1:22" s="95" customFormat="1" ht="12" customHeight="1">
      <c r="A42" s="91"/>
      <c r="B42" s="91" t="s">
        <v>186</v>
      </c>
      <c r="C42" s="102">
        <v>8634</v>
      </c>
      <c r="D42" s="104" t="s">
        <v>14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0</v>
      </c>
      <c r="K42" s="99">
        <v>0</v>
      </c>
      <c r="L42" s="99">
        <v>0</v>
      </c>
      <c r="M42" s="99">
        <v>0</v>
      </c>
      <c r="N42" s="99">
        <v>0</v>
      </c>
      <c r="O42" s="99">
        <v>0</v>
      </c>
      <c r="P42" s="99">
        <v>0</v>
      </c>
      <c r="Q42" s="601">
        <v>0</v>
      </c>
      <c r="R42" s="99"/>
      <c r="S42" s="638">
        <f t="shared" ref="S42:S49" si="7">SUM(E42:Q42)</f>
        <v>0</v>
      </c>
      <c r="T42" s="92"/>
      <c r="U42" s="54"/>
      <c r="V42" s="54"/>
    </row>
    <row r="43" spans="1:22" s="95" customFormat="1" ht="12" customHeight="1">
      <c r="A43" s="91"/>
      <c r="B43" s="91" t="s">
        <v>186</v>
      </c>
      <c r="C43" s="102">
        <v>8650</v>
      </c>
      <c r="D43" s="104" t="s">
        <v>15</v>
      </c>
      <c r="E43" s="99">
        <v>0</v>
      </c>
      <c r="F43" s="99">
        <v>0</v>
      </c>
      <c r="G43" s="99">
        <v>0</v>
      </c>
      <c r="H43" s="99">
        <v>0</v>
      </c>
      <c r="I43" s="99">
        <v>0</v>
      </c>
      <c r="J43" s="99">
        <v>0</v>
      </c>
      <c r="K43" s="99">
        <v>0</v>
      </c>
      <c r="L43" s="99">
        <v>0</v>
      </c>
      <c r="M43" s="99">
        <v>0</v>
      </c>
      <c r="N43" s="99">
        <v>0</v>
      </c>
      <c r="O43" s="99">
        <v>0</v>
      </c>
      <c r="P43" s="99">
        <v>0</v>
      </c>
      <c r="Q43" s="601">
        <v>0</v>
      </c>
      <c r="R43" s="99"/>
      <c r="S43" s="638">
        <f t="shared" si="7"/>
        <v>0</v>
      </c>
      <c r="T43" s="92"/>
      <c r="U43" s="54"/>
      <c r="V43" s="54"/>
    </row>
    <row r="44" spans="1:22" s="95" customFormat="1" ht="12" customHeight="1">
      <c r="A44" s="91"/>
      <c r="B44" s="91" t="s">
        <v>186</v>
      </c>
      <c r="C44" s="102">
        <v>8660</v>
      </c>
      <c r="D44" s="104" t="s">
        <v>16</v>
      </c>
      <c r="E44" s="99">
        <v>0</v>
      </c>
      <c r="F44" s="99">
        <v>0</v>
      </c>
      <c r="G44" s="99">
        <v>0</v>
      </c>
      <c r="H44" s="99">
        <v>0</v>
      </c>
      <c r="I44" s="99">
        <v>0</v>
      </c>
      <c r="J44" s="99">
        <v>0</v>
      </c>
      <c r="K44" s="99">
        <v>0</v>
      </c>
      <c r="L44" s="99">
        <v>0</v>
      </c>
      <c r="M44" s="99">
        <v>0</v>
      </c>
      <c r="N44" s="99">
        <v>0</v>
      </c>
      <c r="O44" s="99">
        <v>0</v>
      </c>
      <c r="P44" s="99">
        <v>0</v>
      </c>
      <c r="Q44" s="601">
        <v>0</v>
      </c>
      <c r="R44" s="99"/>
      <c r="S44" s="638">
        <f t="shared" si="7"/>
        <v>0</v>
      </c>
      <c r="T44" s="92"/>
      <c r="U44" s="54"/>
      <c r="V44" s="54"/>
    </row>
    <row r="45" spans="1:22" s="95" customFormat="1" ht="12" customHeight="1">
      <c r="A45" s="91"/>
      <c r="B45" s="91" t="s">
        <v>186</v>
      </c>
      <c r="C45" s="102">
        <v>8689</v>
      </c>
      <c r="D45" s="104" t="s">
        <v>105</v>
      </c>
      <c r="E45" s="99">
        <v>0</v>
      </c>
      <c r="F45" s="99">
        <v>0</v>
      </c>
      <c r="G45" s="99">
        <v>0</v>
      </c>
      <c r="H45" s="99">
        <v>0</v>
      </c>
      <c r="I45" s="99">
        <v>0</v>
      </c>
      <c r="J45" s="99">
        <v>0</v>
      </c>
      <c r="K45" s="99">
        <v>0</v>
      </c>
      <c r="L45" s="99">
        <v>0</v>
      </c>
      <c r="M45" s="99">
        <v>0</v>
      </c>
      <c r="N45" s="99">
        <v>0</v>
      </c>
      <c r="O45" s="99">
        <v>0</v>
      </c>
      <c r="P45" s="99">
        <v>0</v>
      </c>
      <c r="Q45" s="601">
        <v>0</v>
      </c>
      <c r="R45" s="99"/>
      <c r="S45" s="638">
        <f t="shared" si="7"/>
        <v>0</v>
      </c>
      <c r="T45" s="92"/>
      <c r="U45" s="54"/>
      <c r="V45" s="54"/>
    </row>
    <row r="46" spans="1:22" s="95" customFormat="1" ht="12" customHeight="1">
      <c r="A46" s="91"/>
      <c r="B46" s="91" t="s">
        <v>186</v>
      </c>
      <c r="C46" s="102">
        <v>8698</v>
      </c>
      <c r="D46" s="104" t="s">
        <v>265</v>
      </c>
      <c r="E46" s="99">
        <v>0</v>
      </c>
      <c r="F46" s="99">
        <v>0</v>
      </c>
      <c r="G46" s="99">
        <v>0</v>
      </c>
      <c r="H46" s="99">
        <v>0</v>
      </c>
      <c r="I46" s="99">
        <v>0</v>
      </c>
      <c r="J46" s="99">
        <v>0</v>
      </c>
      <c r="K46" s="99">
        <v>0</v>
      </c>
      <c r="L46" s="99">
        <v>0</v>
      </c>
      <c r="M46" s="99">
        <v>0</v>
      </c>
      <c r="N46" s="99">
        <v>0</v>
      </c>
      <c r="O46" s="99">
        <v>0</v>
      </c>
      <c r="P46" s="99">
        <v>0</v>
      </c>
      <c r="Q46" s="601">
        <v>0</v>
      </c>
      <c r="R46" s="99"/>
      <c r="S46" s="638">
        <f t="shared" si="7"/>
        <v>0</v>
      </c>
      <c r="T46" s="92"/>
      <c r="U46" s="54"/>
      <c r="V46" s="54"/>
    </row>
    <row r="47" spans="1:22" s="95" customFormat="1" ht="12" customHeight="1">
      <c r="A47" s="91"/>
      <c r="B47" s="91" t="s">
        <v>186</v>
      </c>
      <c r="C47" s="102">
        <v>8699</v>
      </c>
      <c r="D47" s="104" t="s">
        <v>106</v>
      </c>
      <c r="E47" s="99">
        <v>0</v>
      </c>
      <c r="F47" s="99">
        <v>0</v>
      </c>
      <c r="G47" s="99">
        <v>0</v>
      </c>
      <c r="H47" s="99">
        <v>0</v>
      </c>
      <c r="I47" s="99">
        <v>0</v>
      </c>
      <c r="J47" s="99">
        <v>0</v>
      </c>
      <c r="K47" s="99">
        <v>0</v>
      </c>
      <c r="L47" s="99">
        <v>0</v>
      </c>
      <c r="M47" s="99">
        <v>0</v>
      </c>
      <c r="N47" s="99">
        <v>0</v>
      </c>
      <c r="O47" s="99">
        <v>0</v>
      </c>
      <c r="P47" s="99">
        <v>0</v>
      </c>
      <c r="Q47" s="601">
        <v>0</v>
      </c>
      <c r="R47" s="99"/>
      <c r="S47" s="638">
        <f t="shared" si="7"/>
        <v>0</v>
      </c>
      <c r="T47" s="92"/>
      <c r="U47" s="54"/>
      <c r="V47" s="54"/>
    </row>
    <row r="48" spans="1:22" s="95" customFormat="1" ht="12" customHeight="1">
      <c r="A48" s="96"/>
      <c r="B48" s="96" t="s">
        <v>186</v>
      </c>
      <c r="C48" s="102">
        <v>8980</v>
      </c>
      <c r="D48" s="103" t="s">
        <v>10</v>
      </c>
      <c r="E48" s="99">
        <v>0</v>
      </c>
      <c r="F48" s="99">
        <v>0</v>
      </c>
      <c r="G48" s="99">
        <v>0</v>
      </c>
      <c r="H48" s="99">
        <v>0</v>
      </c>
      <c r="I48" s="99">
        <v>0</v>
      </c>
      <c r="J48" s="99">
        <v>0</v>
      </c>
      <c r="K48" s="99">
        <v>0</v>
      </c>
      <c r="L48" s="99">
        <v>0</v>
      </c>
      <c r="M48" s="99">
        <v>0</v>
      </c>
      <c r="N48" s="99">
        <v>0</v>
      </c>
      <c r="O48" s="99">
        <v>0</v>
      </c>
      <c r="P48" s="99">
        <v>0</v>
      </c>
      <c r="Q48" s="601">
        <v>0</v>
      </c>
      <c r="R48" s="99"/>
      <c r="S48" s="638">
        <f t="shared" si="7"/>
        <v>0</v>
      </c>
      <c r="T48" s="101"/>
      <c r="U48" s="54"/>
      <c r="V48" s="54"/>
    </row>
    <row r="49" spans="1:22" s="95" customFormat="1" ht="12" customHeight="1">
      <c r="A49" s="96"/>
      <c r="B49" s="96" t="s">
        <v>186</v>
      </c>
      <c r="C49" s="102">
        <v>8990</v>
      </c>
      <c r="D49" s="103" t="s">
        <v>11</v>
      </c>
      <c r="E49" s="99">
        <v>0</v>
      </c>
      <c r="F49" s="99">
        <v>0</v>
      </c>
      <c r="G49" s="99">
        <v>0</v>
      </c>
      <c r="H49" s="99">
        <v>0</v>
      </c>
      <c r="I49" s="99">
        <v>0</v>
      </c>
      <c r="J49" s="99">
        <v>0</v>
      </c>
      <c r="K49" s="99">
        <v>0</v>
      </c>
      <c r="L49" s="99">
        <v>0</v>
      </c>
      <c r="M49" s="99">
        <v>0</v>
      </c>
      <c r="N49" s="99">
        <v>0</v>
      </c>
      <c r="O49" s="99">
        <v>0</v>
      </c>
      <c r="P49" s="99">
        <v>0</v>
      </c>
      <c r="Q49" s="601">
        <v>0</v>
      </c>
      <c r="R49" s="99"/>
      <c r="S49" s="638">
        <f t="shared" si="7"/>
        <v>0</v>
      </c>
      <c r="T49" s="101"/>
      <c r="U49" s="54"/>
      <c r="V49" s="54"/>
    </row>
    <row r="50" spans="1:22" s="95" customFormat="1" ht="12" customHeight="1">
      <c r="A50" s="96"/>
      <c r="B50" s="96" t="s">
        <v>186</v>
      </c>
      <c r="C50" s="102"/>
      <c r="D50" s="103"/>
      <c r="E50" s="215">
        <f>SUM(E42:E49)</f>
        <v>0</v>
      </c>
      <c r="F50" s="215">
        <f t="shared" ref="F50:P50" si="8">SUM(F42:F49)</f>
        <v>0</v>
      </c>
      <c r="G50" s="215">
        <f t="shared" si="8"/>
        <v>0</v>
      </c>
      <c r="H50" s="215">
        <f t="shared" si="8"/>
        <v>0</v>
      </c>
      <c r="I50" s="215">
        <f t="shared" si="8"/>
        <v>0</v>
      </c>
      <c r="J50" s="215">
        <f t="shared" si="8"/>
        <v>0</v>
      </c>
      <c r="K50" s="215">
        <f t="shared" si="8"/>
        <v>0</v>
      </c>
      <c r="L50" s="215">
        <f t="shared" si="8"/>
        <v>0</v>
      </c>
      <c r="M50" s="215">
        <f t="shared" si="8"/>
        <v>0</v>
      </c>
      <c r="N50" s="215">
        <f t="shared" si="8"/>
        <v>0</v>
      </c>
      <c r="O50" s="215">
        <f t="shared" si="8"/>
        <v>0</v>
      </c>
      <c r="P50" s="215">
        <f t="shared" si="8"/>
        <v>0</v>
      </c>
      <c r="Q50" s="603">
        <f>SUM(Q42:Q49)</f>
        <v>0</v>
      </c>
      <c r="R50" s="101"/>
      <c r="S50" s="626">
        <f>SUM(S42:S49)</f>
        <v>0</v>
      </c>
      <c r="T50" s="101"/>
      <c r="U50" s="54"/>
      <c r="V50" s="54"/>
    </row>
    <row r="51" spans="1:22" s="95" customFormat="1" ht="12" customHeight="1">
      <c r="A51" s="91"/>
      <c r="B51" s="91" t="s">
        <v>186</v>
      </c>
      <c r="C51" s="91"/>
      <c r="D51" s="91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602"/>
      <c r="R51" s="92"/>
      <c r="S51" s="627"/>
      <c r="T51" s="92"/>
      <c r="U51" s="54"/>
      <c r="V51" s="54"/>
    </row>
    <row r="52" spans="1:22" s="112" customFormat="1" ht="12" customHeight="1">
      <c r="A52" s="91" t="s">
        <v>1</v>
      </c>
      <c r="B52" s="91"/>
      <c r="C52" s="91"/>
      <c r="E52" s="121">
        <f t="shared" ref="E52:Q52" si="9">E50+E40+E31+E19</f>
        <v>0</v>
      </c>
      <c r="F52" s="121">
        <f t="shared" si="9"/>
        <v>0</v>
      </c>
      <c r="G52" s="121">
        <f t="shared" si="9"/>
        <v>0</v>
      </c>
      <c r="H52" s="121">
        <f t="shared" si="9"/>
        <v>0</v>
      </c>
      <c r="I52" s="121">
        <f t="shared" si="9"/>
        <v>0</v>
      </c>
      <c r="J52" s="121">
        <f t="shared" si="9"/>
        <v>0</v>
      </c>
      <c r="K52" s="121">
        <f t="shared" si="9"/>
        <v>0</v>
      </c>
      <c r="L52" s="121">
        <f t="shared" si="9"/>
        <v>0</v>
      </c>
      <c r="M52" s="121">
        <f t="shared" si="9"/>
        <v>0</v>
      </c>
      <c r="N52" s="121">
        <f t="shared" si="9"/>
        <v>0</v>
      </c>
      <c r="O52" s="121">
        <f t="shared" si="9"/>
        <v>0</v>
      </c>
      <c r="P52" s="121">
        <f t="shared" si="9"/>
        <v>0</v>
      </c>
      <c r="Q52" s="605">
        <f t="shared" si="9"/>
        <v>0</v>
      </c>
      <c r="R52" s="122"/>
      <c r="S52" s="640">
        <f>S50+S40+S31+S19</f>
        <v>0</v>
      </c>
      <c r="T52" s="113"/>
      <c r="U52" s="54"/>
      <c r="V52" s="54"/>
    </row>
    <row r="53" spans="1:22" s="95" customFormat="1" ht="12" customHeight="1">
      <c r="A53" s="112"/>
      <c r="B53" s="112" t="s">
        <v>186</v>
      </c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606"/>
      <c r="R53" s="94"/>
      <c r="S53" s="627"/>
      <c r="T53" s="94"/>
      <c r="U53" s="54"/>
      <c r="V53" s="54"/>
    </row>
    <row r="54" spans="1:22" s="95" customFormat="1" ht="12" customHeight="1">
      <c r="A54" s="112" t="s">
        <v>2</v>
      </c>
      <c r="B54" s="112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606"/>
      <c r="R54" s="94"/>
      <c r="S54" s="627"/>
      <c r="T54" s="94"/>
      <c r="U54" s="54"/>
      <c r="V54" s="54"/>
    </row>
    <row r="55" spans="1:22" s="95" customFormat="1" ht="12" customHeight="1">
      <c r="A55" s="112"/>
      <c r="B55" s="112" t="s">
        <v>244</v>
      </c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606"/>
      <c r="R55" s="94"/>
      <c r="S55" s="627"/>
      <c r="T55" s="94"/>
      <c r="U55" s="54"/>
      <c r="V55" s="54"/>
    </row>
    <row r="56" spans="1:22" s="95" customFormat="1" ht="12" customHeight="1">
      <c r="A56" s="123"/>
      <c r="B56" s="123" t="s">
        <v>186</v>
      </c>
      <c r="C56" s="102">
        <v>1100</v>
      </c>
      <c r="D56" s="103" t="s">
        <v>271</v>
      </c>
      <c r="E56" s="99">
        <v>0</v>
      </c>
      <c r="F56" s="99">
        <v>0</v>
      </c>
      <c r="G56" s="99">
        <v>0</v>
      </c>
      <c r="H56" s="99">
        <v>0</v>
      </c>
      <c r="I56" s="99">
        <v>0</v>
      </c>
      <c r="J56" s="99">
        <v>0</v>
      </c>
      <c r="K56" s="99">
        <v>0</v>
      </c>
      <c r="L56" s="99">
        <v>0</v>
      </c>
      <c r="M56" s="99">
        <v>0</v>
      </c>
      <c r="N56" s="99">
        <v>0</v>
      </c>
      <c r="O56" s="99">
        <v>0</v>
      </c>
      <c r="P56" s="99">
        <v>0</v>
      </c>
      <c r="Q56" s="601">
        <v>0</v>
      </c>
      <c r="R56" s="99"/>
      <c r="S56" s="638">
        <f t="shared" ref="S56:S61" si="10">SUM(E56:Q56)</f>
        <v>0</v>
      </c>
      <c r="T56" s="94"/>
      <c r="U56" s="54"/>
      <c r="V56" s="54"/>
    </row>
    <row r="57" spans="1:22" s="95" customFormat="1" ht="12" customHeight="1">
      <c r="A57" s="123"/>
      <c r="B57" s="123" t="s">
        <v>186</v>
      </c>
      <c r="C57" s="102">
        <v>1170</v>
      </c>
      <c r="D57" s="103" t="s">
        <v>272</v>
      </c>
      <c r="E57" s="99">
        <v>0</v>
      </c>
      <c r="F57" s="99">
        <v>0</v>
      </c>
      <c r="G57" s="99">
        <v>0</v>
      </c>
      <c r="H57" s="99">
        <v>0</v>
      </c>
      <c r="I57" s="99">
        <v>0</v>
      </c>
      <c r="J57" s="99">
        <v>0</v>
      </c>
      <c r="K57" s="99">
        <v>0</v>
      </c>
      <c r="L57" s="99">
        <v>0</v>
      </c>
      <c r="M57" s="99">
        <v>0</v>
      </c>
      <c r="N57" s="99">
        <v>0</v>
      </c>
      <c r="O57" s="99">
        <v>0</v>
      </c>
      <c r="P57" s="99">
        <v>0</v>
      </c>
      <c r="Q57" s="601">
        <v>0</v>
      </c>
      <c r="R57" s="99"/>
      <c r="S57" s="638">
        <f t="shared" si="10"/>
        <v>0</v>
      </c>
      <c r="T57" s="94"/>
      <c r="U57" s="54"/>
      <c r="V57" s="54"/>
    </row>
    <row r="58" spans="1:22" s="95" customFormat="1" ht="12" customHeight="1">
      <c r="A58" s="123"/>
      <c r="B58" s="123" t="s">
        <v>186</v>
      </c>
      <c r="C58" s="102">
        <v>1175</v>
      </c>
      <c r="D58" s="103" t="s">
        <v>273</v>
      </c>
      <c r="E58" s="99">
        <v>0</v>
      </c>
      <c r="F58" s="99">
        <v>0</v>
      </c>
      <c r="G58" s="99">
        <v>0</v>
      </c>
      <c r="H58" s="99">
        <v>0</v>
      </c>
      <c r="I58" s="99">
        <v>0</v>
      </c>
      <c r="J58" s="99">
        <v>0</v>
      </c>
      <c r="K58" s="99">
        <v>0</v>
      </c>
      <c r="L58" s="99">
        <v>0</v>
      </c>
      <c r="M58" s="99">
        <v>0</v>
      </c>
      <c r="N58" s="99">
        <v>0</v>
      </c>
      <c r="O58" s="99">
        <v>0</v>
      </c>
      <c r="P58" s="99">
        <v>0</v>
      </c>
      <c r="Q58" s="601">
        <v>0</v>
      </c>
      <c r="R58" s="99"/>
      <c r="S58" s="638">
        <f t="shared" si="10"/>
        <v>0</v>
      </c>
      <c r="T58" s="94"/>
      <c r="U58" s="54"/>
      <c r="V58" s="54"/>
    </row>
    <row r="59" spans="1:22" s="95" customFormat="1" ht="12" customHeight="1">
      <c r="A59" s="124"/>
      <c r="B59" s="124" t="s">
        <v>186</v>
      </c>
      <c r="C59" s="102">
        <v>1200</v>
      </c>
      <c r="D59" s="103" t="s">
        <v>274</v>
      </c>
      <c r="E59" s="99">
        <v>0</v>
      </c>
      <c r="F59" s="99">
        <v>0</v>
      </c>
      <c r="G59" s="99">
        <v>0</v>
      </c>
      <c r="H59" s="99">
        <v>0</v>
      </c>
      <c r="I59" s="99">
        <v>0</v>
      </c>
      <c r="J59" s="99">
        <v>0</v>
      </c>
      <c r="K59" s="99">
        <v>0</v>
      </c>
      <c r="L59" s="99">
        <v>0</v>
      </c>
      <c r="M59" s="99">
        <v>0</v>
      </c>
      <c r="N59" s="99">
        <v>0</v>
      </c>
      <c r="O59" s="99">
        <v>0</v>
      </c>
      <c r="P59" s="99">
        <v>0</v>
      </c>
      <c r="Q59" s="601">
        <v>0</v>
      </c>
      <c r="R59" s="99"/>
      <c r="S59" s="638">
        <f t="shared" si="10"/>
        <v>0</v>
      </c>
      <c r="T59" s="94"/>
      <c r="U59" s="54"/>
      <c r="V59" s="54"/>
    </row>
    <row r="60" spans="1:22" s="95" customFormat="1" ht="12" customHeight="1">
      <c r="A60" s="123"/>
      <c r="B60" s="123" t="s">
        <v>186</v>
      </c>
      <c r="C60" s="102">
        <v>1300</v>
      </c>
      <c r="D60" s="103" t="s">
        <v>275</v>
      </c>
      <c r="E60" s="99">
        <v>0</v>
      </c>
      <c r="F60" s="99">
        <v>0</v>
      </c>
      <c r="G60" s="99">
        <v>0</v>
      </c>
      <c r="H60" s="99">
        <v>0</v>
      </c>
      <c r="I60" s="99">
        <v>0</v>
      </c>
      <c r="J60" s="99">
        <v>0</v>
      </c>
      <c r="K60" s="99">
        <v>0</v>
      </c>
      <c r="L60" s="99">
        <v>0</v>
      </c>
      <c r="M60" s="99">
        <v>0</v>
      </c>
      <c r="N60" s="99">
        <v>0</v>
      </c>
      <c r="O60" s="99">
        <v>0</v>
      </c>
      <c r="P60" s="99">
        <v>0</v>
      </c>
      <c r="Q60" s="601">
        <v>0</v>
      </c>
      <c r="R60" s="99"/>
      <c r="S60" s="638">
        <f t="shared" si="10"/>
        <v>0</v>
      </c>
      <c r="T60" s="94"/>
      <c r="U60" s="54"/>
      <c r="V60" s="54"/>
    </row>
    <row r="61" spans="1:22" s="95" customFormat="1" ht="12" customHeight="1">
      <c r="A61" s="124"/>
      <c r="B61" s="124" t="s">
        <v>186</v>
      </c>
      <c r="C61" s="102">
        <v>1900</v>
      </c>
      <c r="D61" s="103" t="s">
        <v>19</v>
      </c>
      <c r="E61" s="99">
        <v>0</v>
      </c>
      <c r="F61" s="99">
        <v>0</v>
      </c>
      <c r="G61" s="99">
        <v>0</v>
      </c>
      <c r="H61" s="99">
        <v>0</v>
      </c>
      <c r="I61" s="99">
        <v>0</v>
      </c>
      <c r="J61" s="99">
        <v>0</v>
      </c>
      <c r="K61" s="99">
        <v>0</v>
      </c>
      <c r="L61" s="99">
        <v>0</v>
      </c>
      <c r="M61" s="99">
        <v>0</v>
      </c>
      <c r="N61" s="99">
        <v>0</v>
      </c>
      <c r="O61" s="99">
        <v>0</v>
      </c>
      <c r="P61" s="99">
        <v>0</v>
      </c>
      <c r="Q61" s="601">
        <v>0</v>
      </c>
      <c r="R61" s="99"/>
      <c r="S61" s="638">
        <f t="shared" si="10"/>
        <v>0</v>
      </c>
      <c r="T61" s="94"/>
      <c r="U61" s="54"/>
      <c r="V61" s="54"/>
    </row>
    <row r="62" spans="1:22" s="95" customFormat="1" ht="12" customHeight="1">
      <c r="A62" s="124"/>
      <c r="B62" s="124" t="s">
        <v>186</v>
      </c>
      <c r="C62" s="102"/>
      <c r="D62" s="103"/>
      <c r="E62" s="215">
        <f>SUM(E56:E61)</f>
        <v>0</v>
      </c>
      <c r="F62" s="215">
        <f t="shared" ref="F62:S62" si="11">SUM(F56:F61)</f>
        <v>0</v>
      </c>
      <c r="G62" s="215">
        <f t="shared" si="11"/>
        <v>0</v>
      </c>
      <c r="H62" s="215">
        <f t="shared" si="11"/>
        <v>0</v>
      </c>
      <c r="I62" s="215">
        <f t="shared" si="11"/>
        <v>0</v>
      </c>
      <c r="J62" s="215">
        <f t="shared" ref="J62:P62" si="12">SUM(J56:J61)</f>
        <v>0</v>
      </c>
      <c r="K62" s="215">
        <f t="shared" si="12"/>
        <v>0</v>
      </c>
      <c r="L62" s="215">
        <f t="shared" si="12"/>
        <v>0</v>
      </c>
      <c r="M62" s="215">
        <f t="shared" si="12"/>
        <v>0</v>
      </c>
      <c r="N62" s="215">
        <f t="shared" si="12"/>
        <v>0</v>
      </c>
      <c r="O62" s="215">
        <f t="shared" si="12"/>
        <v>0</v>
      </c>
      <c r="P62" s="215">
        <f t="shared" si="12"/>
        <v>0</v>
      </c>
      <c r="Q62" s="603">
        <f t="shared" si="11"/>
        <v>0</v>
      </c>
      <c r="R62" s="94">
        <f t="shared" si="11"/>
        <v>0</v>
      </c>
      <c r="S62" s="626">
        <f t="shared" si="11"/>
        <v>0</v>
      </c>
      <c r="T62" s="94"/>
      <c r="U62" s="54"/>
      <c r="V62" s="54"/>
    </row>
    <row r="63" spans="1:22" s="95" customFormat="1" ht="12" customHeight="1">
      <c r="A63" s="124"/>
      <c r="B63" s="124" t="s">
        <v>245</v>
      </c>
      <c r="C63" s="102"/>
      <c r="D63" s="103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606"/>
      <c r="R63" s="94"/>
      <c r="S63" s="638"/>
      <c r="T63" s="94"/>
      <c r="U63" s="54"/>
      <c r="V63" s="54"/>
    </row>
    <row r="64" spans="1:22" s="95" customFormat="1" ht="12" customHeight="1">
      <c r="A64" s="124"/>
      <c r="B64" s="124" t="s">
        <v>186</v>
      </c>
      <c r="C64" s="102">
        <v>2100</v>
      </c>
      <c r="D64" s="103" t="s">
        <v>276</v>
      </c>
      <c r="E64" s="99">
        <v>0</v>
      </c>
      <c r="F64" s="99">
        <v>0</v>
      </c>
      <c r="G64" s="99">
        <v>0</v>
      </c>
      <c r="H64" s="99">
        <v>0</v>
      </c>
      <c r="I64" s="99">
        <v>0</v>
      </c>
      <c r="J64" s="99">
        <v>0</v>
      </c>
      <c r="K64" s="99">
        <v>0</v>
      </c>
      <c r="L64" s="99">
        <v>0</v>
      </c>
      <c r="M64" s="99">
        <v>0</v>
      </c>
      <c r="N64" s="99">
        <v>0</v>
      </c>
      <c r="O64" s="99">
        <v>0</v>
      </c>
      <c r="P64" s="99">
        <v>0</v>
      </c>
      <c r="Q64" s="601">
        <v>0</v>
      </c>
      <c r="R64" s="99"/>
      <c r="S64" s="638">
        <f t="shared" ref="S64:S68" si="13">SUM(E64:Q64)</f>
        <v>0</v>
      </c>
      <c r="T64" s="94"/>
      <c r="U64" s="54"/>
      <c r="V64" s="54"/>
    </row>
    <row r="65" spans="1:22" s="95" customFormat="1" ht="12" customHeight="1">
      <c r="A65" s="124"/>
      <c r="B65" s="124" t="s">
        <v>186</v>
      </c>
      <c r="C65" s="102">
        <v>2200</v>
      </c>
      <c r="D65" s="103" t="s">
        <v>277</v>
      </c>
      <c r="E65" s="99">
        <v>0</v>
      </c>
      <c r="F65" s="99">
        <v>0</v>
      </c>
      <c r="G65" s="99">
        <v>0</v>
      </c>
      <c r="H65" s="99">
        <v>0</v>
      </c>
      <c r="I65" s="99">
        <v>0</v>
      </c>
      <c r="J65" s="99">
        <v>0</v>
      </c>
      <c r="K65" s="99">
        <v>0</v>
      </c>
      <c r="L65" s="99">
        <v>0</v>
      </c>
      <c r="M65" s="99">
        <v>0</v>
      </c>
      <c r="N65" s="99">
        <v>0</v>
      </c>
      <c r="O65" s="99">
        <v>0</v>
      </c>
      <c r="P65" s="99">
        <v>0</v>
      </c>
      <c r="Q65" s="601">
        <v>0</v>
      </c>
      <c r="R65" s="99"/>
      <c r="S65" s="638">
        <f t="shared" si="13"/>
        <v>0</v>
      </c>
      <c r="T65" s="94"/>
      <c r="U65" s="54"/>
      <c r="V65" s="54"/>
    </row>
    <row r="66" spans="1:22" s="95" customFormat="1" ht="12" customHeight="1">
      <c r="A66" s="124"/>
      <c r="B66" s="124" t="s">
        <v>186</v>
      </c>
      <c r="C66" s="102">
        <v>2300</v>
      </c>
      <c r="D66" s="103" t="s">
        <v>22</v>
      </c>
      <c r="E66" s="99">
        <v>0</v>
      </c>
      <c r="F66" s="99">
        <v>0</v>
      </c>
      <c r="G66" s="99">
        <v>0</v>
      </c>
      <c r="H66" s="99">
        <v>0</v>
      </c>
      <c r="I66" s="99">
        <v>0</v>
      </c>
      <c r="J66" s="99">
        <v>0</v>
      </c>
      <c r="K66" s="99">
        <v>0</v>
      </c>
      <c r="L66" s="99">
        <v>0</v>
      </c>
      <c r="M66" s="99">
        <v>0</v>
      </c>
      <c r="N66" s="99">
        <v>0</v>
      </c>
      <c r="O66" s="99">
        <v>0</v>
      </c>
      <c r="P66" s="99">
        <v>0</v>
      </c>
      <c r="Q66" s="601">
        <v>0</v>
      </c>
      <c r="R66" s="99"/>
      <c r="S66" s="638">
        <f t="shared" si="13"/>
        <v>0</v>
      </c>
      <c r="T66" s="94"/>
      <c r="U66" s="54"/>
      <c r="V66" s="54"/>
    </row>
    <row r="67" spans="1:22" s="95" customFormat="1" ht="12" customHeight="1">
      <c r="A67" s="124"/>
      <c r="B67" s="124" t="s">
        <v>186</v>
      </c>
      <c r="C67" s="102">
        <v>2400</v>
      </c>
      <c r="D67" s="105" t="s">
        <v>241</v>
      </c>
      <c r="E67" s="99">
        <v>0</v>
      </c>
      <c r="F67" s="99">
        <v>0</v>
      </c>
      <c r="G67" s="99">
        <v>0</v>
      </c>
      <c r="H67" s="99">
        <v>0</v>
      </c>
      <c r="I67" s="99">
        <v>0</v>
      </c>
      <c r="J67" s="99">
        <v>0</v>
      </c>
      <c r="K67" s="99">
        <v>0</v>
      </c>
      <c r="L67" s="99">
        <v>0</v>
      </c>
      <c r="M67" s="99">
        <v>0</v>
      </c>
      <c r="N67" s="99">
        <v>0</v>
      </c>
      <c r="O67" s="99">
        <v>0</v>
      </c>
      <c r="P67" s="99">
        <v>0</v>
      </c>
      <c r="Q67" s="601">
        <v>0</v>
      </c>
      <c r="R67" s="99"/>
      <c r="S67" s="638">
        <f t="shared" si="13"/>
        <v>0</v>
      </c>
      <c r="T67" s="94"/>
      <c r="U67" s="54"/>
      <c r="V67" s="54"/>
    </row>
    <row r="68" spans="1:22" s="95" customFormat="1" ht="12" customHeight="1">
      <c r="A68" s="124"/>
      <c r="B68" s="124" t="s">
        <v>186</v>
      </c>
      <c r="C68" s="102">
        <v>2900</v>
      </c>
      <c r="D68" s="103" t="s">
        <v>24</v>
      </c>
      <c r="E68" s="99">
        <v>0</v>
      </c>
      <c r="F68" s="99">
        <v>0</v>
      </c>
      <c r="G68" s="99">
        <v>0</v>
      </c>
      <c r="H68" s="99">
        <v>0</v>
      </c>
      <c r="I68" s="99">
        <v>0</v>
      </c>
      <c r="J68" s="99">
        <v>0</v>
      </c>
      <c r="K68" s="99">
        <v>0</v>
      </c>
      <c r="L68" s="99">
        <v>0</v>
      </c>
      <c r="M68" s="99">
        <v>0</v>
      </c>
      <c r="N68" s="99">
        <v>0</v>
      </c>
      <c r="O68" s="99">
        <v>0</v>
      </c>
      <c r="P68" s="99">
        <v>0</v>
      </c>
      <c r="Q68" s="601">
        <v>0</v>
      </c>
      <c r="R68" s="99"/>
      <c r="S68" s="638">
        <f t="shared" si="13"/>
        <v>0</v>
      </c>
      <c r="T68" s="94"/>
      <c r="U68" s="54"/>
      <c r="V68" s="54"/>
    </row>
    <row r="69" spans="1:22" s="95" customFormat="1" ht="12" customHeight="1">
      <c r="A69" s="124"/>
      <c r="B69" s="124" t="s">
        <v>186</v>
      </c>
      <c r="C69" s="126"/>
      <c r="D69" s="126"/>
      <c r="E69" s="215">
        <f>SUM(E64:E68)</f>
        <v>0</v>
      </c>
      <c r="F69" s="215">
        <f t="shared" ref="F69:R69" si="14">SUM(F64:F68)</f>
        <v>0</v>
      </c>
      <c r="G69" s="215">
        <f t="shared" si="14"/>
        <v>0</v>
      </c>
      <c r="H69" s="215">
        <f t="shared" si="14"/>
        <v>0</v>
      </c>
      <c r="I69" s="215">
        <f t="shared" si="14"/>
        <v>0</v>
      </c>
      <c r="J69" s="215">
        <f t="shared" ref="J69:P69" si="15">SUM(J64:J68)</f>
        <v>0</v>
      </c>
      <c r="K69" s="215">
        <f t="shared" si="15"/>
        <v>0</v>
      </c>
      <c r="L69" s="215">
        <f t="shared" si="15"/>
        <v>0</v>
      </c>
      <c r="M69" s="215">
        <f t="shared" si="15"/>
        <v>0</v>
      </c>
      <c r="N69" s="215">
        <f t="shared" si="15"/>
        <v>0</v>
      </c>
      <c r="O69" s="215">
        <f t="shared" si="15"/>
        <v>0</v>
      </c>
      <c r="P69" s="215">
        <f t="shared" si="15"/>
        <v>0</v>
      </c>
      <c r="Q69" s="603">
        <f t="shared" si="14"/>
        <v>0</v>
      </c>
      <c r="R69" s="94">
        <f t="shared" si="14"/>
        <v>0</v>
      </c>
      <c r="S69" s="626">
        <f>SUM(S64:S68)</f>
        <v>0</v>
      </c>
      <c r="T69" s="94"/>
      <c r="U69" s="54"/>
      <c r="V69" s="54"/>
    </row>
    <row r="70" spans="1:22" s="95" customFormat="1" ht="12" customHeight="1">
      <c r="A70" s="124"/>
      <c r="B70" s="124" t="s">
        <v>3</v>
      </c>
      <c r="C70" s="126"/>
      <c r="D70" s="126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606"/>
      <c r="R70" s="94"/>
      <c r="S70" s="627"/>
      <c r="T70" s="94"/>
      <c r="U70" s="54"/>
      <c r="V70" s="54"/>
    </row>
    <row r="71" spans="1:22" s="95" customFormat="1" ht="12" customHeight="1">
      <c r="A71" s="124"/>
      <c r="B71" s="124" t="s">
        <v>186</v>
      </c>
      <c r="C71" s="102">
        <v>3101</v>
      </c>
      <c r="D71" s="105" t="s">
        <v>69</v>
      </c>
      <c r="E71" s="99">
        <v>0</v>
      </c>
      <c r="F71" s="99">
        <v>0</v>
      </c>
      <c r="G71" s="99">
        <v>0</v>
      </c>
      <c r="H71" s="99">
        <v>0</v>
      </c>
      <c r="I71" s="99">
        <v>0</v>
      </c>
      <c r="J71" s="99">
        <v>0</v>
      </c>
      <c r="K71" s="99">
        <v>0</v>
      </c>
      <c r="L71" s="99">
        <v>0</v>
      </c>
      <c r="M71" s="99">
        <v>0</v>
      </c>
      <c r="N71" s="99">
        <v>0</v>
      </c>
      <c r="O71" s="99">
        <v>0</v>
      </c>
      <c r="P71" s="99">
        <v>0</v>
      </c>
      <c r="Q71" s="601">
        <v>0</v>
      </c>
      <c r="R71" s="99"/>
      <c r="S71" s="638">
        <f t="shared" ref="S71:S78" si="16">SUM(E71:Q71)</f>
        <v>0</v>
      </c>
      <c r="T71" s="94"/>
      <c r="U71" s="54"/>
      <c r="V71" s="54"/>
    </row>
    <row r="72" spans="1:22" s="95" customFormat="1" ht="12" customHeight="1">
      <c r="A72" s="124"/>
      <c r="B72" s="124" t="s">
        <v>186</v>
      </c>
      <c r="C72" s="102">
        <v>3202</v>
      </c>
      <c r="D72" s="105" t="s">
        <v>70</v>
      </c>
      <c r="E72" s="99">
        <v>0</v>
      </c>
      <c r="F72" s="99">
        <v>0</v>
      </c>
      <c r="G72" s="99">
        <v>0</v>
      </c>
      <c r="H72" s="99">
        <v>0</v>
      </c>
      <c r="I72" s="99">
        <v>0</v>
      </c>
      <c r="J72" s="99">
        <v>0</v>
      </c>
      <c r="K72" s="99">
        <v>0</v>
      </c>
      <c r="L72" s="99">
        <v>0</v>
      </c>
      <c r="M72" s="99">
        <v>0</v>
      </c>
      <c r="N72" s="99">
        <v>0</v>
      </c>
      <c r="O72" s="99">
        <v>0</v>
      </c>
      <c r="P72" s="99">
        <v>0</v>
      </c>
      <c r="Q72" s="601">
        <v>0</v>
      </c>
      <c r="R72" s="99"/>
      <c r="S72" s="638">
        <f t="shared" si="16"/>
        <v>0</v>
      </c>
      <c r="T72" s="94"/>
      <c r="U72" s="54"/>
      <c r="V72" s="54"/>
    </row>
    <row r="73" spans="1:22" s="95" customFormat="1" ht="12" customHeight="1">
      <c r="A73" s="124"/>
      <c r="B73" s="124" t="s">
        <v>186</v>
      </c>
      <c r="C73" s="102">
        <v>3301</v>
      </c>
      <c r="D73" s="105" t="s">
        <v>239</v>
      </c>
      <c r="E73" s="99">
        <v>0</v>
      </c>
      <c r="F73" s="99">
        <v>0</v>
      </c>
      <c r="G73" s="99">
        <v>0</v>
      </c>
      <c r="H73" s="99">
        <v>0</v>
      </c>
      <c r="I73" s="99">
        <v>0</v>
      </c>
      <c r="J73" s="99">
        <v>0</v>
      </c>
      <c r="K73" s="99">
        <v>0</v>
      </c>
      <c r="L73" s="99">
        <v>0</v>
      </c>
      <c r="M73" s="99">
        <v>0</v>
      </c>
      <c r="N73" s="99">
        <v>0</v>
      </c>
      <c r="O73" s="99">
        <v>0</v>
      </c>
      <c r="P73" s="99">
        <v>0</v>
      </c>
      <c r="Q73" s="601">
        <v>0</v>
      </c>
      <c r="R73" s="99"/>
      <c r="S73" s="638">
        <f t="shared" si="16"/>
        <v>0</v>
      </c>
      <c r="T73" s="94"/>
      <c r="U73" s="54"/>
      <c r="V73" s="54"/>
    </row>
    <row r="74" spans="1:22" s="95" customFormat="1" ht="12" customHeight="1">
      <c r="A74" s="124"/>
      <c r="B74" s="124" t="s">
        <v>186</v>
      </c>
      <c r="C74" s="102">
        <v>3311</v>
      </c>
      <c r="D74" s="105" t="s">
        <v>240</v>
      </c>
      <c r="E74" s="99">
        <v>0</v>
      </c>
      <c r="F74" s="99">
        <v>0</v>
      </c>
      <c r="G74" s="99">
        <v>0</v>
      </c>
      <c r="H74" s="99">
        <v>0</v>
      </c>
      <c r="I74" s="99">
        <v>0</v>
      </c>
      <c r="J74" s="99">
        <v>0</v>
      </c>
      <c r="K74" s="99">
        <v>0</v>
      </c>
      <c r="L74" s="99">
        <v>0</v>
      </c>
      <c r="M74" s="99">
        <v>0</v>
      </c>
      <c r="N74" s="99">
        <v>0</v>
      </c>
      <c r="O74" s="99">
        <v>0</v>
      </c>
      <c r="P74" s="99">
        <v>0</v>
      </c>
      <c r="Q74" s="601">
        <v>0</v>
      </c>
      <c r="R74" s="99"/>
      <c r="S74" s="638">
        <f t="shared" si="16"/>
        <v>0</v>
      </c>
      <c r="T74" s="94"/>
      <c r="U74" s="54"/>
      <c r="V74" s="54"/>
    </row>
    <row r="75" spans="1:22" s="95" customFormat="1" ht="12" customHeight="1">
      <c r="A75" s="124"/>
      <c r="B75" s="124" t="s">
        <v>186</v>
      </c>
      <c r="C75" s="102">
        <v>3401</v>
      </c>
      <c r="D75" s="105" t="s">
        <v>235</v>
      </c>
      <c r="E75" s="99">
        <v>0</v>
      </c>
      <c r="F75" s="99">
        <v>0</v>
      </c>
      <c r="G75" s="99">
        <v>0</v>
      </c>
      <c r="H75" s="99">
        <v>0</v>
      </c>
      <c r="I75" s="99">
        <v>0</v>
      </c>
      <c r="J75" s="99">
        <v>0</v>
      </c>
      <c r="K75" s="99">
        <v>0</v>
      </c>
      <c r="L75" s="99">
        <v>0</v>
      </c>
      <c r="M75" s="99">
        <v>0</v>
      </c>
      <c r="N75" s="99">
        <v>0</v>
      </c>
      <c r="O75" s="99">
        <v>0</v>
      </c>
      <c r="P75" s="99">
        <v>0</v>
      </c>
      <c r="Q75" s="601">
        <v>0</v>
      </c>
      <c r="R75" s="99"/>
      <c r="S75" s="638">
        <f t="shared" si="16"/>
        <v>0</v>
      </c>
      <c r="T75" s="94"/>
      <c r="U75" s="54"/>
      <c r="V75" s="54"/>
    </row>
    <row r="76" spans="1:22" s="95" customFormat="1" ht="12" customHeight="1">
      <c r="A76" s="124"/>
      <c r="B76" s="124" t="s">
        <v>186</v>
      </c>
      <c r="C76" s="102">
        <v>3501</v>
      </c>
      <c r="D76" s="105" t="s">
        <v>236</v>
      </c>
      <c r="E76" s="99">
        <v>0</v>
      </c>
      <c r="F76" s="99">
        <v>0</v>
      </c>
      <c r="G76" s="99">
        <v>0</v>
      </c>
      <c r="H76" s="99">
        <v>0</v>
      </c>
      <c r="I76" s="99">
        <v>0</v>
      </c>
      <c r="J76" s="99">
        <v>0</v>
      </c>
      <c r="K76" s="99">
        <v>0</v>
      </c>
      <c r="L76" s="99">
        <v>0</v>
      </c>
      <c r="M76" s="99">
        <v>0</v>
      </c>
      <c r="N76" s="99">
        <v>0</v>
      </c>
      <c r="O76" s="99">
        <v>0</v>
      </c>
      <c r="P76" s="99">
        <v>0</v>
      </c>
      <c r="Q76" s="601">
        <v>0</v>
      </c>
      <c r="R76" s="99"/>
      <c r="S76" s="638">
        <f t="shared" si="16"/>
        <v>0</v>
      </c>
      <c r="T76" s="94"/>
      <c r="U76" s="54"/>
      <c r="V76" s="54"/>
    </row>
    <row r="77" spans="1:22" s="95" customFormat="1" ht="12" customHeight="1">
      <c r="A77" s="124"/>
      <c r="B77" s="124" t="s">
        <v>186</v>
      </c>
      <c r="C77" s="102">
        <v>3601</v>
      </c>
      <c r="D77" s="105" t="s">
        <v>237</v>
      </c>
      <c r="E77" s="99">
        <v>0</v>
      </c>
      <c r="F77" s="99">
        <v>0</v>
      </c>
      <c r="G77" s="99">
        <v>0</v>
      </c>
      <c r="H77" s="99">
        <v>0</v>
      </c>
      <c r="I77" s="99">
        <v>0</v>
      </c>
      <c r="J77" s="99">
        <v>0</v>
      </c>
      <c r="K77" s="99">
        <v>0</v>
      </c>
      <c r="L77" s="99">
        <v>0</v>
      </c>
      <c r="M77" s="99">
        <v>0</v>
      </c>
      <c r="N77" s="99">
        <v>0</v>
      </c>
      <c r="O77" s="99">
        <v>0</v>
      </c>
      <c r="P77" s="99">
        <v>0</v>
      </c>
      <c r="Q77" s="601">
        <v>0</v>
      </c>
      <c r="R77" s="99"/>
      <c r="S77" s="638">
        <f t="shared" si="16"/>
        <v>0</v>
      </c>
      <c r="T77" s="94"/>
      <c r="U77" s="54"/>
      <c r="V77" s="54"/>
    </row>
    <row r="78" spans="1:22" s="95" customFormat="1" ht="12" customHeight="1">
      <c r="A78" s="124"/>
      <c r="B78" s="124" t="s">
        <v>186</v>
      </c>
      <c r="C78" s="102">
        <v>3901</v>
      </c>
      <c r="D78" s="105" t="s">
        <v>238</v>
      </c>
      <c r="E78" s="99">
        <v>0</v>
      </c>
      <c r="F78" s="99">
        <v>0</v>
      </c>
      <c r="G78" s="99">
        <v>0</v>
      </c>
      <c r="H78" s="99">
        <v>0</v>
      </c>
      <c r="I78" s="99">
        <v>0</v>
      </c>
      <c r="J78" s="99">
        <v>0</v>
      </c>
      <c r="K78" s="99">
        <v>0</v>
      </c>
      <c r="L78" s="99">
        <v>0</v>
      </c>
      <c r="M78" s="99">
        <v>0</v>
      </c>
      <c r="N78" s="99">
        <v>0</v>
      </c>
      <c r="O78" s="99">
        <v>0</v>
      </c>
      <c r="P78" s="99">
        <v>0</v>
      </c>
      <c r="Q78" s="601">
        <v>0</v>
      </c>
      <c r="R78" s="99"/>
      <c r="S78" s="638">
        <f t="shared" si="16"/>
        <v>0</v>
      </c>
      <c r="T78" s="94"/>
      <c r="U78" s="54"/>
      <c r="V78" s="54"/>
    </row>
    <row r="79" spans="1:22" s="95" customFormat="1" ht="12" customHeight="1">
      <c r="A79" s="124"/>
      <c r="B79" s="124" t="s">
        <v>186</v>
      </c>
      <c r="C79" s="126"/>
      <c r="D79" s="126"/>
      <c r="E79" s="215">
        <f t="shared" ref="E79:Q79" si="17">SUM(E71:E78)</f>
        <v>0</v>
      </c>
      <c r="F79" s="215">
        <f t="shared" si="17"/>
        <v>0</v>
      </c>
      <c r="G79" s="215">
        <f t="shared" si="17"/>
        <v>0</v>
      </c>
      <c r="H79" s="215">
        <f t="shared" si="17"/>
        <v>0</v>
      </c>
      <c r="I79" s="215">
        <f t="shared" si="17"/>
        <v>0</v>
      </c>
      <c r="J79" s="215">
        <f t="shared" ref="J79:P79" si="18">SUM(J71:J78)</f>
        <v>0</v>
      </c>
      <c r="K79" s="215">
        <f t="shared" si="18"/>
        <v>0</v>
      </c>
      <c r="L79" s="215">
        <f t="shared" si="18"/>
        <v>0</v>
      </c>
      <c r="M79" s="215">
        <f t="shared" si="18"/>
        <v>0</v>
      </c>
      <c r="N79" s="215">
        <f t="shared" si="18"/>
        <v>0</v>
      </c>
      <c r="O79" s="215">
        <f t="shared" si="18"/>
        <v>0</v>
      </c>
      <c r="P79" s="215">
        <f t="shared" si="18"/>
        <v>0</v>
      </c>
      <c r="Q79" s="603">
        <f t="shared" si="17"/>
        <v>0</v>
      </c>
      <c r="R79" s="94"/>
      <c r="S79" s="626">
        <f>SUM(E79:R79)</f>
        <v>0</v>
      </c>
      <c r="T79" s="94"/>
      <c r="U79" s="54"/>
      <c r="V79" s="54"/>
    </row>
    <row r="80" spans="1:22" s="95" customFormat="1" ht="12" customHeight="1">
      <c r="A80" s="124"/>
      <c r="B80" s="124" t="s">
        <v>288</v>
      </c>
      <c r="C80" s="126"/>
      <c r="D80" s="12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606"/>
      <c r="R80" s="94"/>
      <c r="S80" s="627"/>
      <c r="T80" s="94"/>
      <c r="U80" s="54"/>
      <c r="V80" s="54"/>
    </row>
    <row r="81" spans="1:22" s="95" customFormat="1" ht="12" customHeight="1">
      <c r="A81" s="124"/>
      <c r="B81" s="124" t="s">
        <v>186</v>
      </c>
      <c r="C81" s="102">
        <v>4100</v>
      </c>
      <c r="D81" s="127" t="s">
        <v>251</v>
      </c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601"/>
      <c r="R81" s="99"/>
      <c r="S81" s="638">
        <f t="shared" ref="S81:S88" si="19">SUM(E81:Q81)</f>
        <v>0</v>
      </c>
      <c r="T81" s="94"/>
      <c r="U81" s="54"/>
      <c r="V81" s="54"/>
    </row>
    <row r="82" spans="1:22" s="95" customFormat="1" ht="12" customHeight="1">
      <c r="A82" s="124"/>
      <c r="B82" s="124" t="s">
        <v>186</v>
      </c>
      <c r="C82" s="102">
        <v>4200</v>
      </c>
      <c r="D82" s="127" t="s">
        <v>252</v>
      </c>
      <c r="E82" s="99">
        <v>0</v>
      </c>
      <c r="F82" s="99">
        <v>0</v>
      </c>
      <c r="G82" s="99">
        <v>0</v>
      </c>
      <c r="H82" s="99">
        <v>0</v>
      </c>
      <c r="I82" s="99">
        <v>0</v>
      </c>
      <c r="J82" s="99">
        <v>0</v>
      </c>
      <c r="K82" s="99">
        <v>0</v>
      </c>
      <c r="L82" s="99">
        <v>0</v>
      </c>
      <c r="M82" s="99">
        <v>0</v>
      </c>
      <c r="N82" s="99">
        <v>0</v>
      </c>
      <c r="O82" s="99">
        <v>0</v>
      </c>
      <c r="P82" s="99">
        <v>0</v>
      </c>
      <c r="Q82" s="601">
        <v>0</v>
      </c>
      <c r="R82" s="99"/>
      <c r="S82" s="638">
        <f t="shared" si="19"/>
        <v>0</v>
      </c>
      <c r="T82" s="94"/>
      <c r="U82" s="54"/>
      <c r="V82" s="54"/>
    </row>
    <row r="83" spans="1:22" s="95" customFormat="1" ht="12" customHeight="1">
      <c r="A83" s="124"/>
      <c r="B83" s="124" t="s">
        <v>186</v>
      </c>
      <c r="C83" s="102">
        <v>4302</v>
      </c>
      <c r="D83" s="127" t="s">
        <v>80</v>
      </c>
      <c r="E83" s="99">
        <v>0</v>
      </c>
      <c r="F83" s="99">
        <v>0</v>
      </c>
      <c r="G83" s="99">
        <v>0</v>
      </c>
      <c r="H83" s="99">
        <v>0</v>
      </c>
      <c r="I83" s="99">
        <v>0</v>
      </c>
      <c r="J83" s="99">
        <v>0</v>
      </c>
      <c r="K83" s="99">
        <v>0</v>
      </c>
      <c r="L83" s="99">
        <v>0</v>
      </c>
      <c r="M83" s="99">
        <v>0</v>
      </c>
      <c r="N83" s="99">
        <v>0</v>
      </c>
      <c r="O83" s="99">
        <v>0</v>
      </c>
      <c r="P83" s="99">
        <v>0</v>
      </c>
      <c r="Q83" s="601">
        <v>0</v>
      </c>
      <c r="R83" s="99"/>
      <c r="S83" s="638">
        <f t="shared" si="19"/>
        <v>0</v>
      </c>
      <c r="T83" s="94"/>
      <c r="U83" s="54"/>
      <c r="V83" s="54"/>
    </row>
    <row r="84" spans="1:22" s="95" customFormat="1" ht="12" customHeight="1">
      <c r="A84" s="124"/>
      <c r="B84" s="124" t="s">
        <v>186</v>
      </c>
      <c r="C84" s="102">
        <v>4303</v>
      </c>
      <c r="D84" s="127" t="s">
        <v>81</v>
      </c>
      <c r="E84" s="99">
        <v>0</v>
      </c>
      <c r="F84" s="99">
        <v>0</v>
      </c>
      <c r="G84" s="99">
        <v>0</v>
      </c>
      <c r="H84" s="99">
        <v>0</v>
      </c>
      <c r="I84" s="99">
        <v>0</v>
      </c>
      <c r="J84" s="99">
        <v>0</v>
      </c>
      <c r="K84" s="99">
        <v>0</v>
      </c>
      <c r="L84" s="99">
        <v>0</v>
      </c>
      <c r="M84" s="99">
        <v>0</v>
      </c>
      <c r="N84" s="99">
        <v>0</v>
      </c>
      <c r="O84" s="99">
        <v>0</v>
      </c>
      <c r="P84" s="99">
        <v>0</v>
      </c>
      <c r="Q84" s="601">
        <v>0</v>
      </c>
      <c r="R84" s="99"/>
      <c r="S84" s="638">
        <f t="shared" si="19"/>
        <v>0</v>
      </c>
      <c r="T84" s="94"/>
      <c r="U84" s="54"/>
      <c r="V84" s="54"/>
    </row>
    <row r="85" spans="1:22" s="95" customFormat="1" ht="12" customHeight="1">
      <c r="A85" s="124"/>
      <c r="B85" s="124" t="s">
        <v>186</v>
      </c>
      <c r="C85" s="102">
        <v>4304</v>
      </c>
      <c r="D85" s="127" t="s">
        <v>82</v>
      </c>
      <c r="E85" s="99">
        <v>0</v>
      </c>
      <c r="F85" s="99">
        <v>0</v>
      </c>
      <c r="G85" s="99">
        <v>0</v>
      </c>
      <c r="H85" s="99">
        <v>0</v>
      </c>
      <c r="I85" s="99">
        <v>0</v>
      </c>
      <c r="J85" s="99">
        <v>0</v>
      </c>
      <c r="K85" s="99">
        <v>0</v>
      </c>
      <c r="L85" s="99">
        <v>0</v>
      </c>
      <c r="M85" s="99">
        <v>0</v>
      </c>
      <c r="N85" s="99">
        <v>0</v>
      </c>
      <c r="O85" s="99">
        <v>0</v>
      </c>
      <c r="P85" s="99">
        <v>0</v>
      </c>
      <c r="Q85" s="601">
        <v>0</v>
      </c>
      <c r="R85" s="99"/>
      <c r="S85" s="638">
        <f t="shared" si="19"/>
        <v>0</v>
      </c>
      <c r="T85" s="94"/>
      <c r="U85" s="54"/>
      <c r="V85" s="54"/>
    </row>
    <row r="86" spans="1:22" s="95" customFormat="1" ht="12" customHeight="1">
      <c r="A86" s="124"/>
      <c r="B86" s="124" t="s">
        <v>186</v>
      </c>
      <c r="C86" s="102">
        <v>4305</v>
      </c>
      <c r="D86" s="127" t="s">
        <v>97</v>
      </c>
      <c r="E86" s="99">
        <v>0</v>
      </c>
      <c r="F86" s="99">
        <v>0</v>
      </c>
      <c r="G86" s="99">
        <v>0</v>
      </c>
      <c r="H86" s="99">
        <v>0</v>
      </c>
      <c r="I86" s="99">
        <v>0</v>
      </c>
      <c r="J86" s="99">
        <v>0</v>
      </c>
      <c r="K86" s="99">
        <v>0</v>
      </c>
      <c r="L86" s="99">
        <v>0</v>
      </c>
      <c r="M86" s="99">
        <v>0</v>
      </c>
      <c r="N86" s="99">
        <v>0</v>
      </c>
      <c r="O86" s="99">
        <v>0</v>
      </c>
      <c r="P86" s="99">
        <v>0</v>
      </c>
      <c r="Q86" s="601">
        <v>0</v>
      </c>
      <c r="R86" s="99"/>
      <c r="S86" s="638">
        <f t="shared" si="19"/>
        <v>0</v>
      </c>
      <c r="T86" s="94"/>
      <c r="U86" s="54"/>
      <c r="V86" s="54"/>
    </row>
    <row r="87" spans="1:22" s="95" customFormat="1" ht="12" customHeight="1">
      <c r="A87" s="124"/>
      <c r="B87" s="124" t="s">
        <v>186</v>
      </c>
      <c r="C87" s="102">
        <v>4400</v>
      </c>
      <c r="D87" s="127" t="s">
        <v>83</v>
      </c>
      <c r="E87" s="99">
        <v>0</v>
      </c>
      <c r="F87" s="99">
        <v>0</v>
      </c>
      <c r="G87" s="99">
        <v>0</v>
      </c>
      <c r="H87" s="99">
        <v>0</v>
      </c>
      <c r="I87" s="99">
        <v>0</v>
      </c>
      <c r="J87" s="99">
        <v>0</v>
      </c>
      <c r="K87" s="99">
        <v>0</v>
      </c>
      <c r="L87" s="99">
        <v>0</v>
      </c>
      <c r="M87" s="99">
        <v>0</v>
      </c>
      <c r="N87" s="99">
        <v>0</v>
      </c>
      <c r="O87" s="99">
        <v>0</v>
      </c>
      <c r="P87" s="99">
        <v>0</v>
      </c>
      <c r="Q87" s="601">
        <v>0</v>
      </c>
      <c r="R87" s="99"/>
      <c r="S87" s="638">
        <f t="shared" si="19"/>
        <v>0</v>
      </c>
      <c r="T87" s="94"/>
      <c r="U87" s="54"/>
      <c r="V87" s="54"/>
    </row>
    <row r="88" spans="1:22" s="95" customFormat="1" ht="12" customHeight="1">
      <c r="A88" s="124"/>
      <c r="B88" s="124" t="s">
        <v>186</v>
      </c>
      <c r="C88" s="102">
        <v>4700</v>
      </c>
      <c r="D88" s="127" t="s">
        <v>84</v>
      </c>
      <c r="E88" s="99">
        <v>0</v>
      </c>
      <c r="F88" s="99">
        <v>0</v>
      </c>
      <c r="G88" s="99">
        <v>0</v>
      </c>
      <c r="H88" s="99">
        <v>0</v>
      </c>
      <c r="I88" s="99">
        <v>0</v>
      </c>
      <c r="J88" s="99">
        <v>0</v>
      </c>
      <c r="K88" s="99">
        <v>0</v>
      </c>
      <c r="L88" s="99">
        <v>0</v>
      </c>
      <c r="M88" s="99">
        <v>0</v>
      </c>
      <c r="N88" s="99">
        <v>0</v>
      </c>
      <c r="O88" s="99">
        <v>0</v>
      </c>
      <c r="P88" s="99">
        <v>0</v>
      </c>
      <c r="Q88" s="601">
        <v>0</v>
      </c>
      <c r="R88" s="99"/>
      <c r="S88" s="638">
        <f t="shared" si="19"/>
        <v>0</v>
      </c>
      <c r="T88" s="94"/>
      <c r="U88" s="54"/>
      <c r="V88" s="54"/>
    </row>
    <row r="89" spans="1:22" s="95" customFormat="1" ht="12" customHeight="1">
      <c r="A89" s="124"/>
      <c r="B89" s="124" t="s">
        <v>186</v>
      </c>
      <c r="C89" s="126"/>
      <c r="D89" s="126"/>
      <c r="E89" s="215">
        <f t="shared" ref="E89:Q89" si="20">SUM(E81:E88)</f>
        <v>0</v>
      </c>
      <c r="F89" s="215">
        <f t="shared" si="20"/>
        <v>0</v>
      </c>
      <c r="G89" s="215">
        <f t="shared" si="20"/>
        <v>0</v>
      </c>
      <c r="H89" s="215">
        <f t="shared" si="20"/>
        <v>0</v>
      </c>
      <c r="I89" s="215">
        <f t="shared" si="20"/>
        <v>0</v>
      </c>
      <c r="J89" s="215">
        <f t="shared" ref="J89:P89" si="21">SUM(J81:J88)</f>
        <v>0</v>
      </c>
      <c r="K89" s="215">
        <f t="shared" si="21"/>
        <v>0</v>
      </c>
      <c r="L89" s="215">
        <f t="shared" si="21"/>
        <v>0</v>
      </c>
      <c r="M89" s="215">
        <f t="shared" si="21"/>
        <v>0</v>
      </c>
      <c r="N89" s="215">
        <f t="shared" si="21"/>
        <v>0</v>
      </c>
      <c r="O89" s="215">
        <f t="shared" si="21"/>
        <v>0</v>
      </c>
      <c r="P89" s="215">
        <f t="shared" si="21"/>
        <v>0</v>
      </c>
      <c r="Q89" s="603">
        <f t="shared" si="20"/>
        <v>0</v>
      </c>
      <c r="R89" s="94"/>
      <c r="S89" s="626">
        <f>SUM(E89:R89)</f>
        <v>0</v>
      </c>
      <c r="T89" s="94"/>
      <c r="U89" s="54"/>
      <c r="V89" s="54"/>
    </row>
    <row r="90" spans="1:22" s="95" customFormat="1" ht="11.5" customHeight="1">
      <c r="A90" s="124"/>
      <c r="B90" s="124" t="s">
        <v>284</v>
      </c>
      <c r="C90" s="126"/>
      <c r="D90" s="126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606"/>
      <c r="R90" s="94"/>
      <c r="S90" s="627"/>
      <c r="T90" s="94"/>
      <c r="U90" s="54"/>
      <c r="V90" s="54"/>
    </row>
    <row r="91" spans="1:22" s="95" customFormat="1" ht="12" customHeight="1">
      <c r="A91" s="124"/>
      <c r="B91" s="124" t="s">
        <v>186</v>
      </c>
      <c r="C91" s="102">
        <v>5101</v>
      </c>
      <c r="D91" s="127" t="s">
        <v>85</v>
      </c>
      <c r="E91" s="99">
        <v>0</v>
      </c>
      <c r="F91" s="99">
        <v>0</v>
      </c>
      <c r="G91" s="99">
        <v>0</v>
      </c>
      <c r="H91" s="99">
        <v>0</v>
      </c>
      <c r="I91" s="99">
        <v>0</v>
      </c>
      <c r="J91" s="99">
        <v>0</v>
      </c>
      <c r="K91" s="99">
        <v>0</v>
      </c>
      <c r="L91" s="99">
        <v>0</v>
      </c>
      <c r="M91" s="99">
        <v>0</v>
      </c>
      <c r="N91" s="99">
        <v>0</v>
      </c>
      <c r="O91" s="99">
        <v>0</v>
      </c>
      <c r="P91" s="99">
        <v>0</v>
      </c>
      <c r="Q91" s="601">
        <v>0</v>
      </c>
      <c r="R91" s="99"/>
      <c r="S91" s="638">
        <f t="shared" ref="S91:S96" si="22">SUM(E91:Q91)</f>
        <v>0</v>
      </c>
      <c r="T91" s="94"/>
      <c r="U91" s="54"/>
      <c r="V91" s="54"/>
    </row>
    <row r="92" spans="1:22" s="95" customFormat="1" ht="12" customHeight="1">
      <c r="A92" s="124"/>
      <c r="B92" s="124" t="s">
        <v>186</v>
      </c>
      <c r="C92" s="102">
        <v>5102</v>
      </c>
      <c r="D92" s="127" t="s">
        <v>86</v>
      </c>
      <c r="E92" s="99">
        <v>0</v>
      </c>
      <c r="F92" s="99">
        <v>0</v>
      </c>
      <c r="G92" s="99">
        <v>0</v>
      </c>
      <c r="H92" s="99">
        <v>0</v>
      </c>
      <c r="I92" s="99">
        <v>0</v>
      </c>
      <c r="J92" s="99">
        <v>0</v>
      </c>
      <c r="K92" s="99">
        <v>0</v>
      </c>
      <c r="L92" s="99">
        <v>0</v>
      </c>
      <c r="M92" s="99">
        <v>0</v>
      </c>
      <c r="N92" s="99">
        <v>0</v>
      </c>
      <c r="O92" s="99">
        <v>0</v>
      </c>
      <c r="P92" s="99">
        <v>0</v>
      </c>
      <c r="Q92" s="601">
        <v>0</v>
      </c>
      <c r="R92" s="99"/>
      <c r="S92" s="638">
        <f t="shared" si="22"/>
        <v>0</v>
      </c>
      <c r="T92" s="94"/>
      <c r="U92" s="54"/>
      <c r="V92" s="54"/>
    </row>
    <row r="93" spans="1:22" s="95" customFormat="1" ht="12" customHeight="1">
      <c r="A93" s="124"/>
      <c r="B93" s="124" t="s">
        <v>186</v>
      </c>
      <c r="C93" s="102">
        <v>5103</v>
      </c>
      <c r="D93" s="127" t="s">
        <v>87</v>
      </c>
      <c r="E93" s="99">
        <v>0</v>
      </c>
      <c r="F93" s="99">
        <v>0</v>
      </c>
      <c r="G93" s="99">
        <v>0</v>
      </c>
      <c r="H93" s="99">
        <v>0</v>
      </c>
      <c r="I93" s="99">
        <v>0</v>
      </c>
      <c r="J93" s="99">
        <v>0</v>
      </c>
      <c r="K93" s="99">
        <v>0</v>
      </c>
      <c r="L93" s="99">
        <v>0</v>
      </c>
      <c r="M93" s="99">
        <v>0</v>
      </c>
      <c r="N93" s="99">
        <v>0</v>
      </c>
      <c r="O93" s="99">
        <v>0</v>
      </c>
      <c r="P93" s="99">
        <v>0</v>
      </c>
      <c r="Q93" s="601">
        <v>0</v>
      </c>
      <c r="R93" s="99"/>
      <c r="S93" s="638">
        <f t="shared" si="22"/>
        <v>0</v>
      </c>
      <c r="T93" s="94"/>
      <c r="U93" s="54"/>
      <c r="V93" s="54"/>
    </row>
    <row r="94" spans="1:22" s="95" customFormat="1" ht="12" customHeight="1">
      <c r="A94" s="124"/>
      <c r="B94" s="124" t="s">
        <v>186</v>
      </c>
      <c r="C94" s="102">
        <v>5104</v>
      </c>
      <c r="D94" s="127" t="s">
        <v>88</v>
      </c>
      <c r="E94" s="99">
        <v>0</v>
      </c>
      <c r="F94" s="99">
        <v>0</v>
      </c>
      <c r="G94" s="99">
        <v>0</v>
      </c>
      <c r="H94" s="99">
        <v>0</v>
      </c>
      <c r="I94" s="99">
        <v>0</v>
      </c>
      <c r="J94" s="99">
        <v>0</v>
      </c>
      <c r="K94" s="99">
        <v>0</v>
      </c>
      <c r="L94" s="99">
        <v>0</v>
      </c>
      <c r="M94" s="99">
        <v>0</v>
      </c>
      <c r="N94" s="99">
        <v>0</v>
      </c>
      <c r="O94" s="99">
        <v>0</v>
      </c>
      <c r="P94" s="99">
        <v>0</v>
      </c>
      <c r="Q94" s="601">
        <v>0</v>
      </c>
      <c r="R94" s="99"/>
      <c r="S94" s="638">
        <f t="shared" si="22"/>
        <v>0</v>
      </c>
      <c r="T94" s="94"/>
      <c r="U94" s="54"/>
      <c r="V94" s="54"/>
    </row>
    <row r="95" spans="1:22" s="95" customFormat="1" ht="12" customHeight="1">
      <c r="A95" s="124"/>
      <c r="B95" s="124" t="s">
        <v>186</v>
      </c>
      <c r="C95" s="102">
        <v>5105</v>
      </c>
      <c r="D95" s="127" t="s">
        <v>89</v>
      </c>
      <c r="E95" s="99">
        <v>0</v>
      </c>
      <c r="F95" s="99">
        <v>0</v>
      </c>
      <c r="G95" s="99">
        <v>0</v>
      </c>
      <c r="H95" s="99">
        <v>0</v>
      </c>
      <c r="I95" s="99">
        <v>0</v>
      </c>
      <c r="J95" s="99">
        <v>0</v>
      </c>
      <c r="K95" s="99">
        <v>0</v>
      </c>
      <c r="L95" s="99">
        <v>0</v>
      </c>
      <c r="M95" s="99">
        <v>0</v>
      </c>
      <c r="N95" s="99">
        <v>0</v>
      </c>
      <c r="O95" s="99">
        <v>0</v>
      </c>
      <c r="P95" s="99">
        <v>0</v>
      </c>
      <c r="Q95" s="601">
        <v>0</v>
      </c>
      <c r="R95" s="99"/>
      <c r="S95" s="638">
        <f t="shared" si="22"/>
        <v>0</v>
      </c>
      <c r="T95" s="94"/>
      <c r="U95" s="54"/>
      <c r="V95" s="54"/>
    </row>
    <row r="96" spans="1:22" s="95" customFormat="1" ht="12" customHeight="1">
      <c r="A96" s="124"/>
      <c r="B96" s="124" t="s">
        <v>186</v>
      </c>
      <c r="C96" s="102">
        <v>5106</v>
      </c>
      <c r="D96" s="127" t="s">
        <v>169</v>
      </c>
      <c r="E96" s="99">
        <v>0</v>
      </c>
      <c r="F96" s="99">
        <v>0</v>
      </c>
      <c r="G96" s="99">
        <v>0</v>
      </c>
      <c r="H96" s="99">
        <v>0</v>
      </c>
      <c r="I96" s="99">
        <v>0</v>
      </c>
      <c r="J96" s="99">
        <v>0</v>
      </c>
      <c r="K96" s="99">
        <v>0</v>
      </c>
      <c r="L96" s="99">
        <v>0</v>
      </c>
      <c r="M96" s="99">
        <v>0</v>
      </c>
      <c r="N96" s="99">
        <v>0</v>
      </c>
      <c r="O96" s="99">
        <v>0</v>
      </c>
      <c r="P96" s="99">
        <v>0</v>
      </c>
      <c r="Q96" s="601">
        <v>0</v>
      </c>
      <c r="R96" s="99"/>
      <c r="S96" s="638">
        <f t="shared" si="22"/>
        <v>0</v>
      </c>
      <c r="T96" s="94"/>
      <c r="U96" s="54"/>
      <c r="V96" s="54"/>
    </row>
    <row r="97" spans="1:22" s="95" customFormat="1" ht="12" customHeight="1">
      <c r="A97" s="124"/>
      <c r="B97" s="124" t="s">
        <v>186</v>
      </c>
      <c r="C97" s="126"/>
      <c r="D97" s="126"/>
      <c r="E97" s="215">
        <f t="shared" ref="E97:Q97" si="23">SUM(E91:E96)</f>
        <v>0</v>
      </c>
      <c r="F97" s="215">
        <f t="shared" si="23"/>
        <v>0</v>
      </c>
      <c r="G97" s="215">
        <f t="shared" si="23"/>
        <v>0</v>
      </c>
      <c r="H97" s="215">
        <f t="shared" si="23"/>
        <v>0</v>
      </c>
      <c r="I97" s="215">
        <f t="shared" si="23"/>
        <v>0</v>
      </c>
      <c r="J97" s="215">
        <f t="shared" ref="J97:P97" si="24">SUM(J91:J96)</f>
        <v>0</v>
      </c>
      <c r="K97" s="215">
        <f t="shared" si="24"/>
        <v>0</v>
      </c>
      <c r="L97" s="215">
        <f t="shared" si="24"/>
        <v>0</v>
      </c>
      <c r="M97" s="215">
        <f t="shared" si="24"/>
        <v>0</v>
      </c>
      <c r="N97" s="215">
        <f t="shared" si="24"/>
        <v>0</v>
      </c>
      <c r="O97" s="215">
        <f t="shared" si="24"/>
        <v>0</v>
      </c>
      <c r="P97" s="215">
        <f t="shared" si="24"/>
        <v>0</v>
      </c>
      <c r="Q97" s="603">
        <f t="shared" si="23"/>
        <v>0</v>
      </c>
      <c r="R97" s="94"/>
      <c r="S97" s="626">
        <f>SUM(E97:R97)</f>
        <v>0</v>
      </c>
      <c r="T97" s="113">
        <f t="shared" ref="T97" si="25">SUM(T91:T96)</f>
        <v>0</v>
      </c>
      <c r="U97" s="54"/>
      <c r="V97" s="54"/>
    </row>
    <row r="98" spans="1:22" s="95" customFormat="1" ht="12" customHeight="1">
      <c r="A98" s="124"/>
      <c r="B98" s="124" t="s">
        <v>285</v>
      </c>
      <c r="C98" s="126"/>
      <c r="D98" s="126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606"/>
      <c r="R98" s="94"/>
      <c r="S98" s="627"/>
      <c r="T98" s="94"/>
      <c r="U98" s="54"/>
      <c r="V98" s="54"/>
    </row>
    <row r="99" spans="1:22" s="95" customFormat="1" ht="12" customHeight="1">
      <c r="A99" s="124"/>
      <c r="B99" s="124" t="s">
        <v>186</v>
      </c>
      <c r="C99" s="102">
        <v>5801</v>
      </c>
      <c r="D99" s="127" t="s">
        <v>92</v>
      </c>
      <c r="E99" s="99">
        <v>0</v>
      </c>
      <c r="F99" s="99">
        <v>0</v>
      </c>
      <c r="G99" s="99">
        <v>0</v>
      </c>
      <c r="H99" s="99">
        <v>0</v>
      </c>
      <c r="I99" s="99">
        <v>0</v>
      </c>
      <c r="J99" s="99">
        <v>0</v>
      </c>
      <c r="K99" s="99">
        <v>0</v>
      </c>
      <c r="L99" s="99">
        <v>0</v>
      </c>
      <c r="M99" s="99">
        <v>0</v>
      </c>
      <c r="N99" s="99">
        <v>0</v>
      </c>
      <c r="O99" s="99">
        <v>0</v>
      </c>
      <c r="P99" s="99">
        <v>0</v>
      </c>
      <c r="Q99" s="601">
        <v>0</v>
      </c>
      <c r="R99" s="99"/>
      <c r="S99" s="638">
        <f t="shared" ref="S99:S108" si="26">SUM(E99:Q99)</f>
        <v>0</v>
      </c>
      <c r="T99" s="94"/>
      <c r="U99" s="54"/>
      <c r="V99" s="54"/>
    </row>
    <row r="100" spans="1:22" s="95" customFormat="1" ht="12" customHeight="1">
      <c r="A100" s="124"/>
      <c r="B100" s="124" t="s">
        <v>186</v>
      </c>
      <c r="C100" s="102">
        <v>5802</v>
      </c>
      <c r="D100" s="127" t="s">
        <v>170</v>
      </c>
      <c r="E100" s="99">
        <v>0</v>
      </c>
      <c r="F100" s="99">
        <v>0</v>
      </c>
      <c r="G100" s="99">
        <v>0</v>
      </c>
      <c r="H100" s="99">
        <v>0</v>
      </c>
      <c r="I100" s="99">
        <v>0</v>
      </c>
      <c r="J100" s="99">
        <v>0</v>
      </c>
      <c r="K100" s="99">
        <v>0</v>
      </c>
      <c r="L100" s="99">
        <v>0</v>
      </c>
      <c r="M100" s="99">
        <v>0</v>
      </c>
      <c r="N100" s="99">
        <v>0</v>
      </c>
      <c r="O100" s="99">
        <v>0</v>
      </c>
      <c r="P100" s="99">
        <v>0</v>
      </c>
      <c r="Q100" s="601">
        <v>0</v>
      </c>
      <c r="R100" s="99"/>
      <c r="S100" s="638">
        <f t="shared" si="26"/>
        <v>0</v>
      </c>
      <c r="T100" s="94"/>
      <c r="U100" s="54"/>
      <c r="V100" s="54"/>
    </row>
    <row r="101" spans="1:22" s="95" customFormat="1" ht="12" customHeight="1">
      <c r="A101" s="124"/>
      <c r="B101" s="124" t="s">
        <v>186</v>
      </c>
      <c r="C101" s="102">
        <v>5803</v>
      </c>
      <c r="D101" s="127" t="s">
        <v>93</v>
      </c>
      <c r="E101" s="99">
        <v>0</v>
      </c>
      <c r="F101" s="99">
        <v>0</v>
      </c>
      <c r="G101" s="99">
        <v>0</v>
      </c>
      <c r="H101" s="99">
        <v>0</v>
      </c>
      <c r="I101" s="99">
        <v>0</v>
      </c>
      <c r="J101" s="99">
        <v>0</v>
      </c>
      <c r="K101" s="99">
        <v>0</v>
      </c>
      <c r="L101" s="99">
        <v>0</v>
      </c>
      <c r="M101" s="99">
        <v>0</v>
      </c>
      <c r="N101" s="99">
        <v>0</v>
      </c>
      <c r="O101" s="99">
        <v>0</v>
      </c>
      <c r="P101" s="99">
        <v>0</v>
      </c>
      <c r="Q101" s="601">
        <v>0</v>
      </c>
      <c r="R101" s="99"/>
      <c r="S101" s="638">
        <f t="shared" si="26"/>
        <v>0</v>
      </c>
      <c r="T101" s="94"/>
      <c r="U101" s="54"/>
      <c r="V101" s="54"/>
    </row>
    <row r="102" spans="1:22" s="95" customFormat="1" ht="12" customHeight="1">
      <c r="A102" s="124"/>
      <c r="B102" s="124" t="s">
        <v>186</v>
      </c>
      <c r="C102" s="102">
        <v>5804</v>
      </c>
      <c r="D102" s="127" t="s">
        <v>35</v>
      </c>
      <c r="E102" s="99">
        <v>0</v>
      </c>
      <c r="F102" s="99">
        <v>0</v>
      </c>
      <c r="G102" s="99">
        <v>0</v>
      </c>
      <c r="H102" s="99">
        <v>0</v>
      </c>
      <c r="I102" s="99">
        <v>0</v>
      </c>
      <c r="J102" s="99">
        <v>0</v>
      </c>
      <c r="K102" s="99">
        <v>0</v>
      </c>
      <c r="L102" s="99">
        <v>0</v>
      </c>
      <c r="M102" s="99">
        <v>0</v>
      </c>
      <c r="N102" s="99">
        <v>0</v>
      </c>
      <c r="O102" s="99">
        <v>0</v>
      </c>
      <c r="P102" s="99">
        <v>0</v>
      </c>
      <c r="Q102" s="601">
        <v>0</v>
      </c>
      <c r="R102" s="99"/>
      <c r="S102" s="638">
        <f t="shared" si="26"/>
        <v>0</v>
      </c>
      <c r="T102" s="94"/>
      <c r="U102" s="54"/>
      <c r="V102" s="54"/>
    </row>
    <row r="103" spans="1:22" s="95" customFormat="1" ht="12" customHeight="1">
      <c r="A103" s="124"/>
      <c r="B103" s="124" t="s">
        <v>186</v>
      </c>
      <c r="C103" s="102">
        <v>5805</v>
      </c>
      <c r="D103" s="127" t="s">
        <v>94</v>
      </c>
      <c r="E103" s="99">
        <v>0</v>
      </c>
      <c r="F103" s="99">
        <v>0</v>
      </c>
      <c r="G103" s="99">
        <v>0</v>
      </c>
      <c r="H103" s="99">
        <v>0</v>
      </c>
      <c r="I103" s="99">
        <v>0</v>
      </c>
      <c r="J103" s="99">
        <v>0</v>
      </c>
      <c r="K103" s="99">
        <v>0</v>
      </c>
      <c r="L103" s="99">
        <v>0</v>
      </c>
      <c r="M103" s="99">
        <v>0</v>
      </c>
      <c r="N103" s="99">
        <v>0</v>
      </c>
      <c r="O103" s="99">
        <v>0</v>
      </c>
      <c r="P103" s="99">
        <v>0</v>
      </c>
      <c r="Q103" s="601">
        <v>0</v>
      </c>
      <c r="R103" s="99"/>
      <c r="S103" s="638">
        <f t="shared" si="26"/>
        <v>0</v>
      </c>
      <c r="T103" s="94"/>
      <c r="U103" s="54"/>
      <c r="V103" s="54"/>
    </row>
    <row r="104" spans="1:22" s="95" customFormat="1" ht="12" customHeight="1">
      <c r="A104" s="124"/>
      <c r="B104" s="124" t="s">
        <v>186</v>
      </c>
      <c r="C104" s="102">
        <v>5810</v>
      </c>
      <c r="D104" s="127" t="s">
        <v>26</v>
      </c>
      <c r="E104" s="99">
        <v>0</v>
      </c>
      <c r="F104" s="99">
        <v>0</v>
      </c>
      <c r="G104" s="99">
        <v>0</v>
      </c>
      <c r="H104" s="99">
        <v>0</v>
      </c>
      <c r="I104" s="99">
        <v>0</v>
      </c>
      <c r="J104" s="99">
        <v>0</v>
      </c>
      <c r="K104" s="99">
        <v>0</v>
      </c>
      <c r="L104" s="99">
        <v>0</v>
      </c>
      <c r="M104" s="99">
        <v>0</v>
      </c>
      <c r="N104" s="99">
        <v>0</v>
      </c>
      <c r="O104" s="99">
        <v>0</v>
      </c>
      <c r="P104" s="99">
        <v>0</v>
      </c>
      <c r="Q104" s="601">
        <v>0</v>
      </c>
      <c r="R104" s="99"/>
      <c r="S104" s="638">
        <f t="shared" si="26"/>
        <v>0</v>
      </c>
      <c r="T104" s="94"/>
      <c r="U104" s="54"/>
      <c r="V104" s="54"/>
    </row>
    <row r="105" spans="1:22" s="95" customFormat="1" ht="12" customHeight="1">
      <c r="A105" s="124"/>
      <c r="B105" s="124" t="s">
        <v>186</v>
      </c>
      <c r="C105" s="102">
        <v>5811</v>
      </c>
      <c r="D105" s="127" t="s">
        <v>27</v>
      </c>
      <c r="E105" s="99">
        <v>0</v>
      </c>
      <c r="F105" s="99">
        <v>0</v>
      </c>
      <c r="G105" s="99">
        <v>0</v>
      </c>
      <c r="H105" s="99">
        <v>0</v>
      </c>
      <c r="I105" s="99">
        <v>0</v>
      </c>
      <c r="J105" s="99">
        <v>0</v>
      </c>
      <c r="K105" s="99">
        <v>0</v>
      </c>
      <c r="L105" s="99">
        <v>0</v>
      </c>
      <c r="M105" s="99">
        <v>0</v>
      </c>
      <c r="N105" s="99">
        <v>0</v>
      </c>
      <c r="O105" s="99">
        <v>0</v>
      </c>
      <c r="P105" s="99">
        <v>0</v>
      </c>
      <c r="Q105" s="601">
        <v>0</v>
      </c>
      <c r="R105" s="99"/>
      <c r="S105" s="638">
        <f t="shared" si="26"/>
        <v>0</v>
      </c>
      <c r="T105" s="94"/>
      <c r="U105" s="54"/>
      <c r="V105" s="54"/>
    </row>
    <row r="106" spans="1:22" s="95" customFormat="1" ht="12" customHeight="1">
      <c r="A106" s="124"/>
      <c r="B106" s="124" t="s">
        <v>186</v>
      </c>
      <c r="C106" s="102">
        <v>5812</v>
      </c>
      <c r="D106" s="127" t="s">
        <v>95</v>
      </c>
      <c r="E106" s="99">
        <v>0</v>
      </c>
      <c r="F106" s="99">
        <v>0</v>
      </c>
      <c r="G106" s="99">
        <v>0</v>
      </c>
      <c r="H106" s="99">
        <v>0</v>
      </c>
      <c r="I106" s="99">
        <v>0</v>
      </c>
      <c r="J106" s="99">
        <v>0</v>
      </c>
      <c r="K106" s="99">
        <v>0</v>
      </c>
      <c r="L106" s="99">
        <v>0</v>
      </c>
      <c r="M106" s="99">
        <v>0</v>
      </c>
      <c r="N106" s="99">
        <v>0</v>
      </c>
      <c r="O106" s="99">
        <v>0</v>
      </c>
      <c r="P106" s="99">
        <v>0</v>
      </c>
      <c r="Q106" s="601">
        <v>0</v>
      </c>
      <c r="R106" s="99"/>
      <c r="S106" s="638">
        <f t="shared" si="26"/>
        <v>0</v>
      </c>
      <c r="T106" s="94"/>
      <c r="U106" s="54"/>
      <c r="V106" s="54"/>
    </row>
    <row r="107" spans="1:22" s="95" customFormat="1" ht="12" customHeight="1">
      <c r="A107" s="124"/>
      <c r="B107" s="124" t="s">
        <v>186</v>
      </c>
      <c r="C107" s="102">
        <v>5813</v>
      </c>
      <c r="D107" s="127" t="s">
        <v>243</v>
      </c>
      <c r="E107" s="99">
        <v>0</v>
      </c>
      <c r="F107" s="99">
        <v>0</v>
      </c>
      <c r="G107" s="99">
        <v>0</v>
      </c>
      <c r="H107" s="99">
        <v>0</v>
      </c>
      <c r="I107" s="99">
        <v>0</v>
      </c>
      <c r="J107" s="99">
        <v>0</v>
      </c>
      <c r="K107" s="99">
        <v>0</v>
      </c>
      <c r="L107" s="99">
        <v>0</v>
      </c>
      <c r="M107" s="99">
        <v>0</v>
      </c>
      <c r="N107" s="99">
        <v>0</v>
      </c>
      <c r="O107" s="99">
        <v>0</v>
      </c>
      <c r="P107" s="99">
        <v>0</v>
      </c>
      <c r="Q107" s="601">
        <v>0</v>
      </c>
      <c r="R107" s="99"/>
      <c r="S107" s="638">
        <f t="shared" si="26"/>
        <v>0</v>
      </c>
      <c r="T107" s="94"/>
      <c r="U107" s="54"/>
      <c r="V107" s="54"/>
    </row>
    <row r="108" spans="1:22" s="95" customFormat="1" ht="12" customHeight="1">
      <c r="A108" s="124"/>
      <c r="B108" s="124" t="s">
        <v>186</v>
      </c>
      <c r="C108" s="102">
        <v>5814</v>
      </c>
      <c r="D108" s="127" t="s">
        <v>96</v>
      </c>
      <c r="E108" s="99">
        <v>0</v>
      </c>
      <c r="F108" s="99">
        <v>0</v>
      </c>
      <c r="G108" s="99">
        <v>0</v>
      </c>
      <c r="H108" s="99">
        <v>0</v>
      </c>
      <c r="I108" s="99">
        <v>0</v>
      </c>
      <c r="J108" s="99">
        <v>0</v>
      </c>
      <c r="K108" s="99">
        <v>0</v>
      </c>
      <c r="L108" s="99">
        <v>0</v>
      </c>
      <c r="M108" s="99">
        <v>0</v>
      </c>
      <c r="N108" s="99">
        <v>0</v>
      </c>
      <c r="O108" s="99">
        <v>0</v>
      </c>
      <c r="P108" s="99">
        <v>0</v>
      </c>
      <c r="Q108" s="601">
        <v>0</v>
      </c>
      <c r="R108" s="99"/>
      <c r="S108" s="638">
        <f t="shared" si="26"/>
        <v>0</v>
      </c>
      <c r="T108" s="94"/>
      <c r="U108" s="54"/>
      <c r="V108" s="54"/>
    </row>
    <row r="109" spans="1:22" s="95" customFormat="1" ht="12" customHeight="1">
      <c r="A109" s="124"/>
      <c r="B109" s="124" t="s">
        <v>186</v>
      </c>
      <c r="C109" s="126"/>
      <c r="D109" s="126"/>
      <c r="E109" s="215">
        <f t="shared" ref="E109:I109" si="27">SUM(E99:E108)</f>
        <v>0</v>
      </c>
      <c r="F109" s="215">
        <f t="shared" si="27"/>
        <v>0</v>
      </c>
      <c r="G109" s="215">
        <f t="shared" si="27"/>
        <v>0</v>
      </c>
      <c r="H109" s="215">
        <f t="shared" si="27"/>
        <v>0</v>
      </c>
      <c r="I109" s="215">
        <f t="shared" si="27"/>
        <v>0</v>
      </c>
      <c r="J109" s="215">
        <f t="shared" ref="J109:P109" si="28">SUM(J99:J108)</f>
        <v>0</v>
      </c>
      <c r="K109" s="215">
        <f t="shared" si="28"/>
        <v>0</v>
      </c>
      <c r="L109" s="215">
        <f t="shared" si="28"/>
        <v>0</v>
      </c>
      <c r="M109" s="215">
        <f t="shared" si="28"/>
        <v>0</v>
      </c>
      <c r="N109" s="215">
        <f t="shared" si="28"/>
        <v>0</v>
      </c>
      <c r="O109" s="215">
        <f t="shared" si="28"/>
        <v>0</v>
      </c>
      <c r="P109" s="215">
        <f t="shared" si="28"/>
        <v>0</v>
      </c>
      <c r="Q109" s="603">
        <f>SUM(Q99:Q108)</f>
        <v>0</v>
      </c>
      <c r="R109" s="94"/>
      <c r="S109" s="626">
        <f>SUM(E109:R109)</f>
        <v>0</v>
      </c>
      <c r="T109" s="94"/>
      <c r="U109" s="54"/>
      <c r="V109" s="54"/>
    </row>
    <row r="110" spans="1:22" s="95" customFormat="1" ht="12" customHeight="1">
      <c r="A110" s="124"/>
      <c r="B110" s="124" t="s">
        <v>287</v>
      </c>
      <c r="C110" s="126"/>
      <c r="D110" s="126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606"/>
      <c r="R110" s="94"/>
      <c r="S110" s="627"/>
      <c r="T110" s="94"/>
      <c r="U110" s="54"/>
      <c r="V110" s="54"/>
    </row>
    <row r="111" spans="1:22" s="95" customFormat="1" ht="12" customHeight="1">
      <c r="A111" s="124"/>
      <c r="B111" s="124" t="s">
        <v>186</v>
      </c>
      <c r="C111" s="102">
        <v>5601</v>
      </c>
      <c r="D111" s="127" t="s">
        <v>29</v>
      </c>
      <c r="E111" s="99">
        <v>0</v>
      </c>
      <c r="F111" s="99">
        <v>0</v>
      </c>
      <c r="G111" s="99">
        <v>0</v>
      </c>
      <c r="H111" s="99">
        <v>0</v>
      </c>
      <c r="I111" s="99">
        <v>0</v>
      </c>
      <c r="J111" s="99">
        <v>0</v>
      </c>
      <c r="K111" s="99">
        <v>0</v>
      </c>
      <c r="L111" s="99">
        <v>0</v>
      </c>
      <c r="M111" s="99">
        <v>0</v>
      </c>
      <c r="N111" s="99">
        <v>0</v>
      </c>
      <c r="O111" s="99">
        <v>0</v>
      </c>
      <c r="P111" s="99">
        <v>0</v>
      </c>
      <c r="Q111" s="601">
        <v>0</v>
      </c>
      <c r="R111" s="99"/>
      <c r="S111" s="638">
        <f t="shared" ref="S111:S116" si="29">SUM(E111:Q111)</f>
        <v>0</v>
      </c>
      <c r="T111" s="94"/>
      <c r="U111" s="54"/>
      <c r="V111" s="54"/>
    </row>
    <row r="112" spans="1:22" s="95" customFormat="1" ht="12" customHeight="1">
      <c r="A112" s="124"/>
      <c r="B112" s="124" t="s">
        <v>186</v>
      </c>
      <c r="C112" s="102">
        <v>5602</v>
      </c>
      <c r="D112" s="127" t="s">
        <v>30</v>
      </c>
      <c r="E112" s="99">
        <v>0</v>
      </c>
      <c r="F112" s="99">
        <v>0</v>
      </c>
      <c r="G112" s="99">
        <v>0</v>
      </c>
      <c r="H112" s="99">
        <v>0</v>
      </c>
      <c r="I112" s="99">
        <v>0</v>
      </c>
      <c r="J112" s="99">
        <v>0</v>
      </c>
      <c r="K112" s="99">
        <v>0</v>
      </c>
      <c r="L112" s="99">
        <v>0</v>
      </c>
      <c r="M112" s="99">
        <v>0</v>
      </c>
      <c r="N112" s="99">
        <v>0</v>
      </c>
      <c r="O112" s="99">
        <v>0</v>
      </c>
      <c r="P112" s="99">
        <v>0</v>
      </c>
      <c r="Q112" s="601">
        <v>0</v>
      </c>
      <c r="R112" s="99"/>
      <c r="S112" s="638">
        <f t="shared" si="29"/>
        <v>0</v>
      </c>
      <c r="T112" s="94"/>
      <c r="U112" s="54"/>
      <c r="V112" s="54"/>
    </row>
    <row r="113" spans="1:29" s="95" customFormat="1" ht="12" customHeight="1">
      <c r="A113" s="124"/>
      <c r="B113" s="124" t="s">
        <v>186</v>
      </c>
      <c r="C113" s="102">
        <v>5603</v>
      </c>
      <c r="D113" s="127" t="s">
        <v>31</v>
      </c>
      <c r="E113" s="99">
        <v>0</v>
      </c>
      <c r="F113" s="99">
        <v>0</v>
      </c>
      <c r="G113" s="99">
        <v>0</v>
      </c>
      <c r="H113" s="99">
        <v>0</v>
      </c>
      <c r="I113" s="99">
        <v>0</v>
      </c>
      <c r="J113" s="99">
        <v>0</v>
      </c>
      <c r="K113" s="99">
        <v>0</v>
      </c>
      <c r="L113" s="99">
        <v>0</v>
      </c>
      <c r="M113" s="99">
        <v>0</v>
      </c>
      <c r="N113" s="99">
        <v>0</v>
      </c>
      <c r="O113" s="99">
        <v>0</v>
      </c>
      <c r="P113" s="99">
        <v>0</v>
      </c>
      <c r="Q113" s="601">
        <v>0</v>
      </c>
      <c r="R113" s="99"/>
      <c r="S113" s="638">
        <f t="shared" si="29"/>
        <v>0</v>
      </c>
      <c r="T113" s="94"/>
      <c r="U113" s="54"/>
      <c r="V113" s="54"/>
    </row>
    <row r="114" spans="1:29" s="95" customFormat="1" ht="12" customHeight="1">
      <c r="A114" s="124"/>
      <c r="B114" s="124" t="s">
        <v>186</v>
      </c>
      <c r="C114" s="102">
        <v>5604</v>
      </c>
      <c r="D114" s="127" t="s">
        <v>32</v>
      </c>
      <c r="E114" s="99">
        <v>0</v>
      </c>
      <c r="F114" s="99">
        <v>0</v>
      </c>
      <c r="G114" s="99">
        <v>0</v>
      </c>
      <c r="H114" s="99">
        <v>0</v>
      </c>
      <c r="I114" s="99">
        <v>0</v>
      </c>
      <c r="J114" s="99">
        <v>0</v>
      </c>
      <c r="K114" s="99">
        <v>0</v>
      </c>
      <c r="L114" s="99">
        <v>0</v>
      </c>
      <c r="M114" s="99">
        <v>0</v>
      </c>
      <c r="N114" s="99">
        <v>0</v>
      </c>
      <c r="O114" s="99">
        <v>0</v>
      </c>
      <c r="P114" s="99">
        <v>0</v>
      </c>
      <c r="Q114" s="601">
        <v>0</v>
      </c>
      <c r="R114" s="99"/>
      <c r="S114" s="638">
        <f t="shared" si="29"/>
        <v>0</v>
      </c>
      <c r="T114" s="94"/>
      <c r="U114" s="54"/>
      <c r="V114" s="54"/>
    </row>
    <row r="115" spans="1:29" s="95" customFormat="1" ht="12" customHeight="1">
      <c r="A115" s="124"/>
      <c r="B115" s="124" t="s">
        <v>186</v>
      </c>
      <c r="C115" s="102">
        <v>5605</v>
      </c>
      <c r="D115" s="127" t="s">
        <v>99</v>
      </c>
      <c r="E115" s="99">
        <v>0</v>
      </c>
      <c r="F115" s="99">
        <v>0</v>
      </c>
      <c r="G115" s="99">
        <v>0</v>
      </c>
      <c r="H115" s="99">
        <v>0</v>
      </c>
      <c r="I115" s="99">
        <v>0</v>
      </c>
      <c r="J115" s="99">
        <v>0</v>
      </c>
      <c r="K115" s="99">
        <v>0</v>
      </c>
      <c r="L115" s="99">
        <v>0</v>
      </c>
      <c r="M115" s="99">
        <v>0</v>
      </c>
      <c r="N115" s="99">
        <v>0</v>
      </c>
      <c r="O115" s="99">
        <v>0</v>
      </c>
      <c r="P115" s="99">
        <v>0</v>
      </c>
      <c r="Q115" s="601">
        <v>0</v>
      </c>
      <c r="R115" s="99"/>
      <c r="S115" s="638">
        <f t="shared" si="29"/>
        <v>0</v>
      </c>
      <c r="T115" s="94"/>
      <c r="U115" s="54"/>
      <c r="V115" s="54"/>
    </row>
    <row r="116" spans="1:29" s="95" customFormat="1" ht="12" customHeight="1">
      <c r="A116" s="124"/>
      <c r="B116" s="124" t="s">
        <v>186</v>
      </c>
      <c r="C116" s="102">
        <v>5610</v>
      </c>
      <c r="D116" s="127" t="s">
        <v>33</v>
      </c>
      <c r="E116" s="99">
        <v>0</v>
      </c>
      <c r="F116" s="99">
        <v>0</v>
      </c>
      <c r="G116" s="99">
        <v>0</v>
      </c>
      <c r="H116" s="99">
        <v>0</v>
      </c>
      <c r="I116" s="99">
        <v>0</v>
      </c>
      <c r="J116" s="99">
        <v>0</v>
      </c>
      <c r="K116" s="99">
        <v>0</v>
      </c>
      <c r="L116" s="99">
        <v>0</v>
      </c>
      <c r="M116" s="99">
        <v>0</v>
      </c>
      <c r="N116" s="99">
        <v>0</v>
      </c>
      <c r="O116" s="99">
        <v>0</v>
      </c>
      <c r="P116" s="99">
        <v>0</v>
      </c>
      <c r="Q116" s="601">
        <v>0</v>
      </c>
      <c r="R116" s="99"/>
      <c r="S116" s="638">
        <f t="shared" si="29"/>
        <v>0</v>
      </c>
      <c r="T116" s="94"/>
      <c r="U116" s="54"/>
      <c r="V116" s="54"/>
    </row>
    <row r="117" spans="1:29" s="95" customFormat="1" ht="12" customHeight="1">
      <c r="A117" s="124"/>
      <c r="B117" s="124" t="s">
        <v>186</v>
      </c>
      <c r="C117" s="126"/>
      <c r="D117" s="126"/>
      <c r="E117" s="215">
        <f t="shared" ref="E117:Q117" si="30">SUM(E111:E116)</f>
        <v>0</v>
      </c>
      <c r="F117" s="215">
        <f t="shared" si="30"/>
        <v>0</v>
      </c>
      <c r="G117" s="215">
        <f t="shared" si="30"/>
        <v>0</v>
      </c>
      <c r="H117" s="215">
        <f t="shared" si="30"/>
        <v>0</v>
      </c>
      <c r="I117" s="215">
        <f t="shared" si="30"/>
        <v>0</v>
      </c>
      <c r="J117" s="215">
        <f t="shared" ref="J117:P117" si="31">SUM(J111:J116)</f>
        <v>0</v>
      </c>
      <c r="K117" s="215">
        <f t="shared" si="31"/>
        <v>0</v>
      </c>
      <c r="L117" s="215">
        <f t="shared" si="31"/>
        <v>0</v>
      </c>
      <c r="M117" s="215">
        <f t="shared" si="31"/>
        <v>0</v>
      </c>
      <c r="N117" s="215">
        <f t="shared" si="31"/>
        <v>0</v>
      </c>
      <c r="O117" s="215">
        <f t="shared" si="31"/>
        <v>0</v>
      </c>
      <c r="P117" s="215">
        <f t="shared" si="31"/>
        <v>0</v>
      </c>
      <c r="Q117" s="603">
        <f t="shared" si="30"/>
        <v>0</v>
      </c>
      <c r="R117" s="94"/>
      <c r="S117" s="626">
        <f>SUM(E117:R117)</f>
        <v>0</v>
      </c>
      <c r="T117" s="94"/>
      <c r="U117" s="54"/>
      <c r="V117" s="54"/>
    </row>
    <row r="118" spans="1:29" s="95" customFormat="1" ht="12" customHeight="1">
      <c r="A118" s="124"/>
      <c r="B118" s="124" t="s">
        <v>286</v>
      </c>
      <c r="C118" s="126"/>
      <c r="D118" s="126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606"/>
      <c r="R118" s="94"/>
      <c r="S118" s="627"/>
      <c r="T118" s="94"/>
      <c r="U118" s="54"/>
      <c r="V118" s="54"/>
    </row>
    <row r="119" spans="1:29" s="95" customFormat="1" ht="12" customHeight="1">
      <c r="A119" s="124"/>
      <c r="B119" s="124" t="s">
        <v>186</v>
      </c>
      <c r="C119" s="102">
        <v>5201</v>
      </c>
      <c r="D119" s="127" t="s">
        <v>144</v>
      </c>
      <c r="E119" s="99">
        <v>0</v>
      </c>
      <c r="F119" s="99">
        <v>0</v>
      </c>
      <c r="G119" s="99">
        <v>0</v>
      </c>
      <c r="H119" s="99">
        <v>0</v>
      </c>
      <c r="I119" s="99">
        <v>0</v>
      </c>
      <c r="J119" s="99">
        <v>0</v>
      </c>
      <c r="K119" s="99">
        <v>0</v>
      </c>
      <c r="L119" s="99">
        <v>0</v>
      </c>
      <c r="M119" s="99">
        <v>0</v>
      </c>
      <c r="N119" s="99">
        <v>0</v>
      </c>
      <c r="O119" s="99">
        <v>0</v>
      </c>
      <c r="P119" s="99">
        <v>0</v>
      </c>
      <c r="Q119" s="601">
        <v>0</v>
      </c>
      <c r="R119" s="99"/>
      <c r="S119" s="638">
        <f t="shared" ref="S119:S134" si="32">SUM(E119:Q119)</f>
        <v>0</v>
      </c>
      <c r="T119" s="94"/>
      <c r="U119" s="54"/>
      <c r="V119" s="54"/>
      <c r="W119" s="421"/>
      <c r="X119" s="421"/>
      <c r="Y119" s="421"/>
      <c r="Z119" s="421"/>
      <c r="AA119" s="421"/>
      <c r="AB119" s="421"/>
      <c r="AC119" s="421"/>
    </row>
    <row r="120" spans="1:29" s="95" customFormat="1" ht="12" customHeight="1">
      <c r="A120" s="124"/>
      <c r="B120" s="124" t="s">
        <v>186</v>
      </c>
      <c r="C120" s="102">
        <v>5203</v>
      </c>
      <c r="D120" s="127" t="s">
        <v>36</v>
      </c>
      <c r="E120" s="99">
        <v>0</v>
      </c>
      <c r="F120" s="99">
        <v>0</v>
      </c>
      <c r="G120" s="99">
        <v>0</v>
      </c>
      <c r="H120" s="99">
        <v>0</v>
      </c>
      <c r="I120" s="99">
        <v>0</v>
      </c>
      <c r="J120" s="99">
        <v>0</v>
      </c>
      <c r="K120" s="99">
        <v>0</v>
      </c>
      <c r="L120" s="99">
        <v>0</v>
      </c>
      <c r="M120" s="99">
        <v>0</v>
      </c>
      <c r="N120" s="99">
        <v>0</v>
      </c>
      <c r="O120" s="99">
        <v>0</v>
      </c>
      <c r="P120" s="99">
        <v>0</v>
      </c>
      <c r="Q120" s="601">
        <v>0</v>
      </c>
      <c r="R120" s="99"/>
      <c r="S120" s="638">
        <f t="shared" si="32"/>
        <v>0</v>
      </c>
      <c r="T120" s="94"/>
      <c r="U120" s="54"/>
      <c r="V120" s="54"/>
    </row>
    <row r="121" spans="1:29" s="95" customFormat="1" ht="12" customHeight="1">
      <c r="A121" s="124"/>
      <c r="B121" s="124" t="s">
        <v>186</v>
      </c>
      <c r="C121" s="102">
        <v>5300</v>
      </c>
      <c r="D121" s="127" t="s">
        <v>37</v>
      </c>
      <c r="E121" s="99">
        <v>0</v>
      </c>
      <c r="F121" s="99">
        <v>0</v>
      </c>
      <c r="G121" s="99">
        <v>0</v>
      </c>
      <c r="H121" s="99">
        <v>0</v>
      </c>
      <c r="I121" s="99">
        <v>0</v>
      </c>
      <c r="J121" s="99">
        <v>0</v>
      </c>
      <c r="K121" s="99">
        <v>0</v>
      </c>
      <c r="L121" s="99">
        <v>0</v>
      </c>
      <c r="M121" s="99">
        <v>0</v>
      </c>
      <c r="N121" s="99">
        <v>0</v>
      </c>
      <c r="O121" s="99">
        <v>0</v>
      </c>
      <c r="P121" s="99">
        <v>0</v>
      </c>
      <c r="Q121" s="601">
        <v>0</v>
      </c>
      <c r="R121" s="99"/>
      <c r="S121" s="638">
        <f t="shared" si="32"/>
        <v>0</v>
      </c>
      <c r="T121" s="94"/>
      <c r="U121" s="54"/>
      <c r="V121" s="54"/>
    </row>
    <row r="122" spans="1:29" s="95" customFormat="1" ht="12" customHeight="1">
      <c r="A122" s="124"/>
      <c r="B122" s="124" t="s">
        <v>186</v>
      </c>
      <c r="C122" s="102">
        <v>5400</v>
      </c>
      <c r="D122" s="127" t="s">
        <v>38</v>
      </c>
      <c r="E122" s="99">
        <v>0</v>
      </c>
      <c r="F122" s="99">
        <v>0</v>
      </c>
      <c r="G122" s="99">
        <v>0</v>
      </c>
      <c r="H122" s="99">
        <v>0</v>
      </c>
      <c r="I122" s="99">
        <v>0</v>
      </c>
      <c r="J122" s="99">
        <v>0</v>
      </c>
      <c r="K122" s="99">
        <v>0</v>
      </c>
      <c r="L122" s="99">
        <v>0</v>
      </c>
      <c r="M122" s="99">
        <v>0</v>
      </c>
      <c r="N122" s="99">
        <v>0</v>
      </c>
      <c r="O122" s="99">
        <v>0</v>
      </c>
      <c r="P122" s="99">
        <v>0</v>
      </c>
      <c r="Q122" s="601">
        <v>0</v>
      </c>
      <c r="R122" s="99"/>
      <c r="S122" s="638">
        <f t="shared" si="32"/>
        <v>0</v>
      </c>
      <c r="T122" s="94"/>
      <c r="U122" s="54"/>
      <c r="V122" s="54"/>
    </row>
    <row r="123" spans="1:29" s="95" customFormat="1" ht="12" customHeight="1">
      <c r="A123" s="124"/>
      <c r="B123" s="124" t="s">
        <v>186</v>
      </c>
      <c r="C123" s="102">
        <v>5501</v>
      </c>
      <c r="D123" s="127" t="s">
        <v>101</v>
      </c>
      <c r="E123" s="99">
        <v>0</v>
      </c>
      <c r="F123" s="99">
        <v>0</v>
      </c>
      <c r="G123" s="99">
        <v>0</v>
      </c>
      <c r="H123" s="99">
        <v>0</v>
      </c>
      <c r="I123" s="99">
        <v>0</v>
      </c>
      <c r="J123" s="99">
        <v>0</v>
      </c>
      <c r="K123" s="99">
        <v>0</v>
      </c>
      <c r="L123" s="99">
        <v>0</v>
      </c>
      <c r="M123" s="99">
        <v>0</v>
      </c>
      <c r="N123" s="99">
        <v>0</v>
      </c>
      <c r="O123" s="99">
        <v>0</v>
      </c>
      <c r="P123" s="99">
        <v>0</v>
      </c>
      <c r="Q123" s="601">
        <v>0</v>
      </c>
      <c r="R123" s="99"/>
      <c r="S123" s="638">
        <f t="shared" si="32"/>
        <v>0</v>
      </c>
      <c r="T123" s="94"/>
      <c r="U123" s="54"/>
      <c r="V123" s="54"/>
    </row>
    <row r="124" spans="1:29" s="95" customFormat="1" ht="12" customHeight="1">
      <c r="A124" s="124"/>
      <c r="B124" s="124" t="s">
        <v>186</v>
      </c>
      <c r="C124" s="102">
        <v>5502</v>
      </c>
      <c r="D124" s="127" t="s">
        <v>28</v>
      </c>
      <c r="E124" s="99">
        <v>0</v>
      </c>
      <c r="F124" s="99">
        <v>0</v>
      </c>
      <c r="G124" s="99">
        <v>0</v>
      </c>
      <c r="H124" s="99">
        <v>0</v>
      </c>
      <c r="I124" s="99">
        <v>0</v>
      </c>
      <c r="J124" s="99">
        <v>0</v>
      </c>
      <c r="K124" s="99">
        <v>0</v>
      </c>
      <c r="L124" s="99">
        <v>0</v>
      </c>
      <c r="M124" s="99">
        <v>0</v>
      </c>
      <c r="N124" s="99">
        <v>0</v>
      </c>
      <c r="O124" s="99">
        <v>0</v>
      </c>
      <c r="P124" s="99">
        <v>0</v>
      </c>
      <c r="Q124" s="601">
        <v>0</v>
      </c>
      <c r="R124" s="99"/>
      <c r="S124" s="638">
        <f t="shared" si="32"/>
        <v>0</v>
      </c>
      <c r="T124" s="94"/>
      <c r="U124" s="54"/>
      <c r="V124" s="54"/>
    </row>
    <row r="125" spans="1:29" s="95" customFormat="1" ht="12" customHeight="1">
      <c r="A125" s="124"/>
      <c r="B125" s="124" t="s">
        <v>186</v>
      </c>
      <c r="C125" s="102">
        <v>5510</v>
      </c>
      <c r="D125" s="127" t="s">
        <v>39</v>
      </c>
      <c r="E125" s="99">
        <v>0</v>
      </c>
      <c r="F125" s="99">
        <v>0</v>
      </c>
      <c r="G125" s="99">
        <v>0</v>
      </c>
      <c r="H125" s="99">
        <v>0</v>
      </c>
      <c r="I125" s="99">
        <v>0</v>
      </c>
      <c r="J125" s="99">
        <v>0</v>
      </c>
      <c r="K125" s="99">
        <v>0</v>
      </c>
      <c r="L125" s="99">
        <v>0</v>
      </c>
      <c r="M125" s="99">
        <v>0</v>
      </c>
      <c r="N125" s="99">
        <v>0</v>
      </c>
      <c r="O125" s="99">
        <v>0</v>
      </c>
      <c r="P125" s="99">
        <v>0</v>
      </c>
      <c r="Q125" s="601">
        <v>0</v>
      </c>
      <c r="R125" s="99"/>
      <c r="S125" s="638">
        <f t="shared" si="32"/>
        <v>0</v>
      </c>
      <c r="T125" s="94"/>
      <c r="U125" s="54"/>
      <c r="V125" s="54"/>
    </row>
    <row r="126" spans="1:29" s="95" customFormat="1" ht="12" customHeight="1">
      <c r="A126" s="124"/>
      <c r="B126" s="124" t="s">
        <v>186</v>
      </c>
      <c r="C126" s="102">
        <v>5511</v>
      </c>
      <c r="D126" s="127" t="s">
        <v>40</v>
      </c>
      <c r="E126" s="99">
        <v>0</v>
      </c>
      <c r="F126" s="99">
        <v>0</v>
      </c>
      <c r="G126" s="99">
        <v>0</v>
      </c>
      <c r="H126" s="99">
        <v>0</v>
      </c>
      <c r="I126" s="99">
        <v>0</v>
      </c>
      <c r="J126" s="99">
        <v>0</v>
      </c>
      <c r="K126" s="99">
        <v>0</v>
      </c>
      <c r="L126" s="99">
        <v>0</v>
      </c>
      <c r="M126" s="99">
        <v>0</v>
      </c>
      <c r="N126" s="99">
        <v>0</v>
      </c>
      <c r="O126" s="99">
        <v>0</v>
      </c>
      <c r="P126" s="99">
        <v>0</v>
      </c>
      <c r="Q126" s="601">
        <v>0</v>
      </c>
      <c r="R126" s="99"/>
      <c r="S126" s="638">
        <f t="shared" si="32"/>
        <v>0</v>
      </c>
      <c r="T126" s="94"/>
      <c r="U126" s="54"/>
      <c r="V126" s="54"/>
    </row>
    <row r="127" spans="1:29" s="95" customFormat="1" ht="12" customHeight="1">
      <c r="A127" s="124"/>
      <c r="B127" s="124" t="s">
        <v>186</v>
      </c>
      <c r="C127" s="102">
        <v>5512</v>
      </c>
      <c r="D127" s="127" t="s">
        <v>42</v>
      </c>
      <c r="E127" s="99">
        <v>0</v>
      </c>
      <c r="F127" s="99">
        <v>0</v>
      </c>
      <c r="G127" s="99">
        <v>0</v>
      </c>
      <c r="H127" s="99">
        <v>0</v>
      </c>
      <c r="I127" s="99">
        <v>0</v>
      </c>
      <c r="J127" s="99">
        <v>0</v>
      </c>
      <c r="K127" s="99">
        <v>0</v>
      </c>
      <c r="L127" s="99">
        <v>0</v>
      </c>
      <c r="M127" s="99">
        <v>0</v>
      </c>
      <c r="N127" s="99">
        <v>0</v>
      </c>
      <c r="O127" s="99">
        <v>0</v>
      </c>
      <c r="P127" s="99">
        <v>0</v>
      </c>
      <c r="Q127" s="601">
        <v>0</v>
      </c>
      <c r="R127" s="99"/>
      <c r="S127" s="638">
        <f t="shared" si="32"/>
        <v>0</v>
      </c>
      <c r="T127" s="94"/>
    </row>
    <row r="128" spans="1:29" s="95" customFormat="1" ht="12" customHeight="1">
      <c r="A128" s="124"/>
      <c r="B128" s="124" t="s">
        <v>186</v>
      </c>
      <c r="C128" s="102">
        <v>5513</v>
      </c>
      <c r="D128" s="127" t="s">
        <v>43</v>
      </c>
      <c r="E128" s="99">
        <v>0</v>
      </c>
      <c r="F128" s="99">
        <v>0</v>
      </c>
      <c r="G128" s="99">
        <v>0</v>
      </c>
      <c r="H128" s="99">
        <v>0</v>
      </c>
      <c r="I128" s="99">
        <v>0</v>
      </c>
      <c r="J128" s="99">
        <v>0</v>
      </c>
      <c r="K128" s="99">
        <v>0</v>
      </c>
      <c r="L128" s="99">
        <v>0</v>
      </c>
      <c r="M128" s="99">
        <v>0</v>
      </c>
      <c r="N128" s="99">
        <v>0</v>
      </c>
      <c r="O128" s="99">
        <v>0</v>
      </c>
      <c r="P128" s="99">
        <v>0</v>
      </c>
      <c r="Q128" s="601">
        <v>0</v>
      </c>
      <c r="R128" s="99"/>
      <c r="S128" s="638">
        <f t="shared" si="32"/>
        <v>0</v>
      </c>
      <c r="T128" s="94"/>
    </row>
    <row r="129" spans="1:21" s="95" customFormat="1" ht="12" customHeight="1">
      <c r="A129" s="124"/>
      <c r="B129" s="124" t="s">
        <v>186</v>
      </c>
      <c r="C129" s="102">
        <v>5514</v>
      </c>
      <c r="D129" s="127" t="s">
        <v>41</v>
      </c>
      <c r="E129" s="99">
        <v>0</v>
      </c>
      <c r="F129" s="99">
        <v>0</v>
      </c>
      <c r="G129" s="99">
        <v>0</v>
      </c>
      <c r="H129" s="99">
        <v>0</v>
      </c>
      <c r="I129" s="99">
        <v>0</v>
      </c>
      <c r="J129" s="99">
        <v>0</v>
      </c>
      <c r="K129" s="99">
        <v>0</v>
      </c>
      <c r="L129" s="99">
        <v>0</v>
      </c>
      <c r="M129" s="99">
        <v>0</v>
      </c>
      <c r="N129" s="99">
        <v>0</v>
      </c>
      <c r="O129" s="99">
        <v>0</v>
      </c>
      <c r="P129" s="99">
        <v>0</v>
      </c>
      <c r="Q129" s="601">
        <v>0</v>
      </c>
      <c r="R129" s="99"/>
      <c r="S129" s="638">
        <f t="shared" si="32"/>
        <v>0</v>
      </c>
      <c r="T129" s="94"/>
    </row>
    <row r="130" spans="1:21" s="95" customFormat="1" ht="12" customHeight="1">
      <c r="A130" s="124"/>
      <c r="B130" s="124" t="s">
        <v>186</v>
      </c>
      <c r="C130" s="102">
        <v>5515</v>
      </c>
      <c r="D130" s="127" t="s">
        <v>316</v>
      </c>
      <c r="E130" s="99">
        <v>0</v>
      </c>
      <c r="F130" s="99">
        <v>0</v>
      </c>
      <c r="G130" s="99">
        <v>0</v>
      </c>
      <c r="H130" s="99">
        <v>0</v>
      </c>
      <c r="I130" s="99">
        <v>0</v>
      </c>
      <c r="J130" s="99">
        <v>0</v>
      </c>
      <c r="K130" s="99">
        <v>0</v>
      </c>
      <c r="L130" s="99">
        <v>0</v>
      </c>
      <c r="M130" s="99">
        <v>0</v>
      </c>
      <c r="N130" s="99">
        <v>0</v>
      </c>
      <c r="O130" s="99">
        <v>0</v>
      </c>
      <c r="P130" s="99">
        <v>0</v>
      </c>
      <c r="Q130" s="601">
        <v>0</v>
      </c>
      <c r="R130" s="99"/>
      <c r="S130" s="638">
        <f t="shared" si="32"/>
        <v>0</v>
      </c>
      <c r="T130" s="94"/>
    </row>
    <row r="131" spans="1:21" s="95" customFormat="1" ht="12" customHeight="1">
      <c r="A131" s="124"/>
      <c r="B131" s="124" t="s">
        <v>186</v>
      </c>
      <c r="C131" s="102">
        <v>5516</v>
      </c>
      <c r="D131" s="127" t="s">
        <v>103</v>
      </c>
      <c r="E131" s="99">
        <v>0</v>
      </c>
      <c r="F131" s="99">
        <v>0</v>
      </c>
      <c r="G131" s="99">
        <v>0</v>
      </c>
      <c r="H131" s="99">
        <v>0</v>
      </c>
      <c r="I131" s="99">
        <v>0</v>
      </c>
      <c r="J131" s="99">
        <v>0</v>
      </c>
      <c r="K131" s="99">
        <v>0</v>
      </c>
      <c r="L131" s="99">
        <v>0</v>
      </c>
      <c r="M131" s="99">
        <v>0</v>
      </c>
      <c r="N131" s="99">
        <v>0</v>
      </c>
      <c r="O131" s="99">
        <v>0</v>
      </c>
      <c r="P131" s="99">
        <v>0</v>
      </c>
      <c r="Q131" s="601">
        <v>0</v>
      </c>
      <c r="R131" s="99"/>
      <c r="S131" s="638">
        <f t="shared" si="32"/>
        <v>0</v>
      </c>
      <c r="T131" s="94"/>
    </row>
    <row r="132" spans="1:21" s="95" customFormat="1" ht="12" customHeight="1">
      <c r="A132" s="124"/>
      <c r="B132" s="124" t="s">
        <v>186</v>
      </c>
      <c r="C132" s="102">
        <v>5530</v>
      </c>
      <c r="D132" s="127" t="s">
        <v>34</v>
      </c>
      <c r="E132" s="99">
        <v>0</v>
      </c>
      <c r="F132" s="99">
        <v>0</v>
      </c>
      <c r="G132" s="99">
        <v>0</v>
      </c>
      <c r="H132" s="99">
        <v>0</v>
      </c>
      <c r="I132" s="99">
        <v>0</v>
      </c>
      <c r="J132" s="99">
        <v>0</v>
      </c>
      <c r="K132" s="99">
        <v>0</v>
      </c>
      <c r="L132" s="99">
        <v>0</v>
      </c>
      <c r="M132" s="99">
        <v>0</v>
      </c>
      <c r="N132" s="99">
        <v>0</v>
      </c>
      <c r="O132" s="99">
        <v>0</v>
      </c>
      <c r="P132" s="99">
        <v>0</v>
      </c>
      <c r="Q132" s="601">
        <v>0</v>
      </c>
      <c r="R132" s="99"/>
      <c r="S132" s="638">
        <f t="shared" si="32"/>
        <v>0</v>
      </c>
      <c r="T132" s="94"/>
    </row>
    <row r="133" spans="1:21" s="95" customFormat="1" ht="12" customHeight="1">
      <c r="A133" s="124"/>
      <c r="B133" s="124"/>
      <c r="C133" s="102">
        <v>5531</v>
      </c>
      <c r="D133" s="127" t="s">
        <v>313</v>
      </c>
      <c r="E133" s="99">
        <v>0</v>
      </c>
      <c r="F133" s="99">
        <v>0</v>
      </c>
      <c r="G133" s="99">
        <v>0</v>
      </c>
      <c r="H133" s="99">
        <v>0</v>
      </c>
      <c r="I133" s="99">
        <v>0</v>
      </c>
      <c r="J133" s="99">
        <v>0</v>
      </c>
      <c r="K133" s="99">
        <v>0</v>
      </c>
      <c r="L133" s="99">
        <v>0</v>
      </c>
      <c r="M133" s="99">
        <v>0</v>
      </c>
      <c r="N133" s="99">
        <v>0</v>
      </c>
      <c r="O133" s="99">
        <v>0</v>
      </c>
      <c r="P133" s="99">
        <v>0</v>
      </c>
      <c r="Q133" s="601">
        <v>0</v>
      </c>
      <c r="R133" s="99"/>
      <c r="S133" s="638">
        <f t="shared" si="32"/>
        <v>0</v>
      </c>
      <c r="T133" s="94"/>
    </row>
    <row r="134" spans="1:21" s="95" customFormat="1" ht="12" customHeight="1">
      <c r="A134" s="124"/>
      <c r="B134" s="124" t="s">
        <v>186</v>
      </c>
      <c r="C134" s="102">
        <v>5900</v>
      </c>
      <c r="D134" s="127" t="s">
        <v>104</v>
      </c>
      <c r="E134" s="99">
        <v>0</v>
      </c>
      <c r="F134" s="99">
        <v>0</v>
      </c>
      <c r="G134" s="99">
        <v>0</v>
      </c>
      <c r="H134" s="99">
        <v>0</v>
      </c>
      <c r="I134" s="99">
        <v>0</v>
      </c>
      <c r="J134" s="99">
        <v>0</v>
      </c>
      <c r="K134" s="99">
        <v>0</v>
      </c>
      <c r="L134" s="99">
        <v>0</v>
      </c>
      <c r="M134" s="99">
        <v>0</v>
      </c>
      <c r="N134" s="99">
        <v>0</v>
      </c>
      <c r="O134" s="99">
        <v>0</v>
      </c>
      <c r="P134" s="99">
        <v>0</v>
      </c>
      <c r="Q134" s="601">
        <v>0</v>
      </c>
      <c r="R134" s="99"/>
      <c r="S134" s="638">
        <f t="shared" si="32"/>
        <v>0</v>
      </c>
      <c r="T134" s="94"/>
    </row>
    <row r="135" spans="1:21" s="95" customFormat="1" ht="12" customHeight="1">
      <c r="A135" s="124"/>
      <c r="B135" s="124" t="s">
        <v>186</v>
      </c>
      <c r="C135" s="102"/>
      <c r="D135" s="103"/>
      <c r="E135" s="215">
        <f t="shared" ref="E135:Q135" si="33">SUM(E119:E134)</f>
        <v>0</v>
      </c>
      <c r="F135" s="215">
        <f t="shared" si="33"/>
        <v>0</v>
      </c>
      <c r="G135" s="215">
        <f t="shared" si="33"/>
        <v>0</v>
      </c>
      <c r="H135" s="215">
        <f t="shared" si="33"/>
        <v>0</v>
      </c>
      <c r="I135" s="215">
        <f t="shared" si="33"/>
        <v>0</v>
      </c>
      <c r="J135" s="215">
        <f t="shared" ref="J135:P135" si="34">SUM(J119:J134)</f>
        <v>0</v>
      </c>
      <c r="K135" s="215">
        <f t="shared" si="34"/>
        <v>0</v>
      </c>
      <c r="L135" s="215">
        <f t="shared" si="34"/>
        <v>0</v>
      </c>
      <c r="M135" s="215">
        <f t="shared" si="34"/>
        <v>0</v>
      </c>
      <c r="N135" s="215">
        <f t="shared" si="34"/>
        <v>0</v>
      </c>
      <c r="O135" s="215">
        <f t="shared" si="34"/>
        <v>0</v>
      </c>
      <c r="P135" s="215">
        <f t="shared" si="34"/>
        <v>0</v>
      </c>
      <c r="Q135" s="603">
        <f t="shared" si="33"/>
        <v>0</v>
      </c>
      <c r="R135" s="94"/>
      <c r="S135" s="626">
        <f>SUM(E135:R135)</f>
        <v>0</v>
      </c>
      <c r="T135" s="113"/>
    </row>
    <row r="136" spans="1:21" s="95" customFormat="1" ht="12" customHeight="1">
      <c r="A136" s="124"/>
      <c r="B136" s="124" t="s">
        <v>107</v>
      </c>
      <c r="C136" s="102"/>
      <c r="D136" s="103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606"/>
      <c r="R136" s="94"/>
      <c r="S136" s="627"/>
      <c r="T136" s="94"/>
    </row>
    <row r="137" spans="1:21" s="95" customFormat="1" ht="12" customHeight="1">
      <c r="A137" s="124"/>
      <c r="B137" s="124" t="s">
        <v>186</v>
      </c>
      <c r="C137" s="102">
        <v>6900</v>
      </c>
      <c r="D137" s="103" t="s">
        <v>44</v>
      </c>
      <c r="E137" s="99">
        <v>0</v>
      </c>
      <c r="F137" s="99">
        <v>0</v>
      </c>
      <c r="G137" s="99">
        <v>0</v>
      </c>
      <c r="H137" s="99">
        <v>0</v>
      </c>
      <c r="I137" s="99">
        <v>0</v>
      </c>
      <c r="J137" s="99">
        <v>0</v>
      </c>
      <c r="K137" s="99">
        <v>0</v>
      </c>
      <c r="L137" s="99">
        <v>0</v>
      </c>
      <c r="M137" s="99">
        <v>0</v>
      </c>
      <c r="N137" s="99">
        <v>0</v>
      </c>
      <c r="O137" s="99">
        <v>0</v>
      </c>
      <c r="P137" s="99">
        <v>0</v>
      </c>
      <c r="Q137" s="601">
        <v>0</v>
      </c>
      <c r="R137" s="99"/>
      <c r="S137" s="638">
        <f t="shared" ref="S137" si="35">SUM(E137:Q137)</f>
        <v>0</v>
      </c>
      <c r="T137" s="94"/>
    </row>
    <row r="138" spans="1:21" s="95" customFormat="1" ht="12" customHeight="1">
      <c r="A138" s="124"/>
      <c r="B138" s="124" t="s">
        <v>186</v>
      </c>
      <c r="C138" s="126"/>
      <c r="D138" s="126"/>
      <c r="E138" s="215">
        <f t="shared" ref="E138:Q138" si="36">SUM(E137:E137)</f>
        <v>0</v>
      </c>
      <c r="F138" s="215">
        <f t="shared" si="36"/>
        <v>0</v>
      </c>
      <c r="G138" s="215">
        <f t="shared" si="36"/>
        <v>0</v>
      </c>
      <c r="H138" s="215">
        <f t="shared" si="36"/>
        <v>0</v>
      </c>
      <c r="I138" s="215">
        <f t="shared" si="36"/>
        <v>0</v>
      </c>
      <c r="J138" s="215">
        <f t="shared" si="36"/>
        <v>0</v>
      </c>
      <c r="K138" s="215">
        <f t="shared" si="36"/>
        <v>0</v>
      </c>
      <c r="L138" s="215">
        <f t="shared" si="36"/>
        <v>0</v>
      </c>
      <c r="M138" s="215">
        <f t="shared" si="36"/>
        <v>0</v>
      </c>
      <c r="N138" s="215">
        <f t="shared" si="36"/>
        <v>0</v>
      </c>
      <c r="O138" s="215">
        <f t="shared" si="36"/>
        <v>0</v>
      </c>
      <c r="P138" s="215">
        <f t="shared" si="36"/>
        <v>0</v>
      </c>
      <c r="Q138" s="603">
        <f t="shared" si="36"/>
        <v>0</v>
      </c>
      <c r="R138" s="94"/>
      <c r="S138" s="626">
        <f>SUM(E138:R138)</f>
        <v>0</v>
      </c>
      <c r="T138" s="113"/>
    </row>
    <row r="139" spans="1:21" s="95" customFormat="1" ht="12" customHeight="1">
      <c r="A139" s="124"/>
      <c r="B139" s="124" t="s">
        <v>5</v>
      </c>
      <c r="C139" s="102"/>
      <c r="D139" s="103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606"/>
      <c r="R139" s="94"/>
      <c r="S139" s="627"/>
      <c r="T139" s="94"/>
    </row>
    <row r="140" spans="1:21" s="95" customFormat="1" ht="12" customHeight="1">
      <c r="A140" s="124"/>
      <c r="B140" s="124" t="s">
        <v>186</v>
      </c>
      <c r="C140" s="102">
        <v>7438</v>
      </c>
      <c r="D140" s="103" t="s">
        <v>45</v>
      </c>
      <c r="E140" s="94">
        <f t="shared" ref="E140:O140" si="37">E163*0.04</f>
        <v>0</v>
      </c>
      <c r="F140" s="94">
        <f t="shared" si="37"/>
        <v>0</v>
      </c>
      <c r="G140" s="94">
        <f t="shared" si="37"/>
        <v>0</v>
      </c>
      <c r="H140" s="94">
        <f t="shared" si="37"/>
        <v>0</v>
      </c>
      <c r="I140" s="94">
        <f t="shared" si="37"/>
        <v>0</v>
      </c>
      <c r="J140" s="94">
        <f t="shared" si="37"/>
        <v>0</v>
      </c>
      <c r="K140" s="94">
        <f t="shared" si="37"/>
        <v>0</v>
      </c>
      <c r="L140" s="94">
        <f t="shared" si="37"/>
        <v>0</v>
      </c>
      <c r="M140" s="94">
        <f t="shared" si="37"/>
        <v>0</v>
      </c>
      <c r="N140" s="94">
        <f t="shared" si="37"/>
        <v>0</v>
      </c>
      <c r="O140" s="94">
        <f t="shared" si="37"/>
        <v>0</v>
      </c>
      <c r="P140" s="94">
        <f>P163*0.04</f>
        <v>0</v>
      </c>
      <c r="Q140" s="606">
        <v>0</v>
      </c>
      <c r="R140" s="94"/>
      <c r="S140" s="638">
        <f t="shared" ref="S140" si="38">SUM(E140:Q140)</f>
        <v>0</v>
      </c>
      <c r="T140" s="94"/>
    </row>
    <row r="141" spans="1:21" s="95" customFormat="1" ht="12" customHeight="1">
      <c r="A141" s="124"/>
      <c r="B141" s="124"/>
      <c r="C141" s="126"/>
      <c r="D141" s="126"/>
      <c r="E141" s="215">
        <f t="shared" ref="E141:Q141" si="39">SUM(E140:E140)</f>
        <v>0</v>
      </c>
      <c r="F141" s="215">
        <f t="shared" si="39"/>
        <v>0</v>
      </c>
      <c r="G141" s="215">
        <f t="shared" si="39"/>
        <v>0</v>
      </c>
      <c r="H141" s="215">
        <f t="shared" si="39"/>
        <v>0</v>
      </c>
      <c r="I141" s="215">
        <f t="shared" si="39"/>
        <v>0</v>
      </c>
      <c r="J141" s="215">
        <f t="shared" si="39"/>
        <v>0</v>
      </c>
      <c r="K141" s="215">
        <f t="shared" si="39"/>
        <v>0</v>
      </c>
      <c r="L141" s="215">
        <f t="shared" si="39"/>
        <v>0</v>
      </c>
      <c r="M141" s="215">
        <f t="shared" si="39"/>
        <v>0</v>
      </c>
      <c r="N141" s="215">
        <f t="shared" si="39"/>
        <v>0</v>
      </c>
      <c r="O141" s="215">
        <f t="shared" si="39"/>
        <v>0</v>
      </c>
      <c r="P141" s="215">
        <f t="shared" si="39"/>
        <v>0</v>
      </c>
      <c r="Q141" s="603">
        <f t="shared" si="39"/>
        <v>0</v>
      </c>
      <c r="R141" s="94"/>
      <c r="S141" s="626">
        <f>SUM(E141:R141)</f>
        <v>0</v>
      </c>
      <c r="T141" s="113"/>
    </row>
    <row r="142" spans="1:21" s="95" customFormat="1" ht="12" customHeight="1">
      <c r="A142" s="124"/>
      <c r="B142" s="124"/>
      <c r="C142" s="126"/>
      <c r="D142" s="126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606"/>
      <c r="R142" s="94"/>
      <c r="S142" s="627"/>
      <c r="T142" s="94"/>
    </row>
    <row r="143" spans="1:21" s="112" customFormat="1" ht="12" customHeight="1">
      <c r="A143" s="91" t="s">
        <v>6</v>
      </c>
      <c r="B143" s="91"/>
      <c r="C143" s="91"/>
      <c r="D143" s="91"/>
      <c r="E143" s="216">
        <f t="shared" ref="E143:Q143" si="40">E141+E138+E135+E117+E109+E97+E89+E79+E69+E62</f>
        <v>0</v>
      </c>
      <c r="F143" s="216">
        <f t="shared" si="40"/>
        <v>0</v>
      </c>
      <c r="G143" s="216">
        <f t="shared" si="40"/>
        <v>0</v>
      </c>
      <c r="H143" s="216">
        <f t="shared" si="40"/>
        <v>0</v>
      </c>
      <c r="I143" s="216">
        <f t="shared" si="40"/>
        <v>0</v>
      </c>
      <c r="J143" s="216">
        <f t="shared" si="40"/>
        <v>0</v>
      </c>
      <c r="K143" s="216">
        <f t="shared" si="40"/>
        <v>0</v>
      </c>
      <c r="L143" s="216">
        <f t="shared" si="40"/>
        <v>0</v>
      </c>
      <c r="M143" s="216">
        <f t="shared" si="40"/>
        <v>0</v>
      </c>
      <c r="N143" s="216">
        <f t="shared" si="40"/>
        <v>0</v>
      </c>
      <c r="O143" s="216">
        <f t="shared" si="40"/>
        <v>0</v>
      </c>
      <c r="P143" s="216">
        <f t="shared" si="40"/>
        <v>0</v>
      </c>
      <c r="Q143" s="607">
        <f t="shared" si="40"/>
        <v>0</v>
      </c>
      <c r="R143" s="113"/>
      <c r="S143" s="626">
        <f>S141+S138+S135+S117+S109+S97+S89+S79+S69+S62</f>
        <v>0</v>
      </c>
      <c r="T143" s="113"/>
      <c r="U143" s="95"/>
    </row>
    <row r="144" spans="1:21" s="95" customFormat="1" ht="12" customHeight="1"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606"/>
      <c r="R144" s="94"/>
      <c r="S144" s="627"/>
      <c r="T144" s="113"/>
    </row>
    <row r="145" spans="1:21" s="128" customFormat="1" ht="12" customHeight="1" thickBot="1">
      <c r="A145" s="128" t="s">
        <v>46</v>
      </c>
      <c r="E145" s="129">
        <f t="shared" ref="E145:T145" si="41">E52-E143</f>
        <v>0</v>
      </c>
      <c r="F145" s="129">
        <f t="shared" si="41"/>
        <v>0</v>
      </c>
      <c r="G145" s="129">
        <f t="shared" si="41"/>
        <v>0</v>
      </c>
      <c r="H145" s="129">
        <f t="shared" si="41"/>
        <v>0</v>
      </c>
      <c r="I145" s="129">
        <f t="shared" si="41"/>
        <v>0</v>
      </c>
      <c r="J145" s="129">
        <f t="shared" si="41"/>
        <v>0</v>
      </c>
      <c r="K145" s="129">
        <f t="shared" si="41"/>
        <v>0</v>
      </c>
      <c r="L145" s="129">
        <f t="shared" si="41"/>
        <v>0</v>
      </c>
      <c r="M145" s="129">
        <f t="shared" si="41"/>
        <v>0</v>
      </c>
      <c r="N145" s="129">
        <f t="shared" si="41"/>
        <v>0</v>
      </c>
      <c r="O145" s="129">
        <f t="shared" si="41"/>
        <v>0</v>
      </c>
      <c r="P145" s="129">
        <f t="shared" si="41"/>
        <v>0</v>
      </c>
      <c r="Q145" s="608">
        <f t="shared" si="41"/>
        <v>0</v>
      </c>
      <c r="R145" s="113">
        <f t="shared" si="41"/>
        <v>0</v>
      </c>
      <c r="S145" s="631">
        <f t="shared" si="41"/>
        <v>0</v>
      </c>
      <c r="T145" s="113">
        <f t="shared" si="41"/>
        <v>0</v>
      </c>
      <c r="U145" s="95"/>
    </row>
    <row r="146" spans="1:21" s="95" customFormat="1" ht="12" customHeight="1" thickTop="1"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606"/>
      <c r="R146" s="94"/>
      <c r="S146" s="632"/>
      <c r="T146" s="94"/>
    </row>
    <row r="147" spans="1:21" s="95" customFormat="1" ht="12" customHeight="1">
      <c r="A147" s="112" t="s">
        <v>47</v>
      </c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606"/>
      <c r="R147" s="94"/>
      <c r="S147" s="633"/>
      <c r="T147" s="94"/>
    </row>
    <row r="148" spans="1:21" s="112" customFormat="1" ht="12" customHeight="1">
      <c r="C148" s="95" t="s">
        <v>46</v>
      </c>
      <c r="D148" s="95"/>
      <c r="E148" s="94">
        <f t="shared" ref="E148:Q148" si="42">E145</f>
        <v>0</v>
      </c>
      <c r="F148" s="94">
        <f t="shared" si="42"/>
        <v>0</v>
      </c>
      <c r="G148" s="94">
        <f t="shared" si="42"/>
        <v>0</v>
      </c>
      <c r="H148" s="94">
        <f t="shared" si="42"/>
        <v>0</v>
      </c>
      <c r="I148" s="94">
        <f t="shared" si="42"/>
        <v>0</v>
      </c>
      <c r="J148" s="94">
        <f t="shared" si="42"/>
        <v>0</v>
      </c>
      <c r="K148" s="94">
        <f t="shared" si="42"/>
        <v>0</v>
      </c>
      <c r="L148" s="94">
        <f t="shared" si="42"/>
        <v>0</v>
      </c>
      <c r="M148" s="94">
        <f t="shared" si="42"/>
        <v>0</v>
      </c>
      <c r="N148" s="94">
        <f t="shared" si="42"/>
        <v>0</v>
      </c>
      <c r="O148" s="94">
        <f t="shared" si="42"/>
        <v>0</v>
      </c>
      <c r="P148" s="94">
        <f t="shared" si="42"/>
        <v>0</v>
      </c>
      <c r="Q148" s="606">
        <f t="shared" si="42"/>
        <v>0</v>
      </c>
      <c r="R148" s="94"/>
      <c r="S148" s="627">
        <f>SUM(E148:R148)</f>
        <v>0</v>
      </c>
      <c r="T148" s="113"/>
      <c r="U148" s="95"/>
    </row>
    <row r="149" spans="1:21" s="95" customFormat="1" ht="12" customHeight="1">
      <c r="B149" s="95" t="s">
        <v>186</v>
      </c>
      <c r="C149" s="95" t="s">
        <v>48</v>
      </c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606"/>
      <c r="R149" s="94"/>
      <c r="S149" s="627"/>
      <c r="T149" s="94"/>
    </row>
    <row r="150" spans="1:21" s="95" customFormat="1" ht="12" customHeight="1">
      <c r="B150" s="95" t="s">
        <v>186</v>
      </c>
      <c r="D150" s="130" t="s">
        <v>289</v>
      </c>
      <c r="E150" s="94">
        <f t="shared" ref="E150:Q150" si="43">+E137</f>
        <v>0</v>
      </c>
      <c r="F150" s="94">
        <f t="shared" si="43"/>
        <v>0</v>
      </c>
      <c r="G150" s="94">
        <f t="shared" si="43"/>
        <v>0</v>
      </c>
      <c r="H150" s="94">
        <f t="shared" si="43"/>
        <v>0</v>
      </c>
      <c r="I150" s="94">
        <f t="shared" si="43"/>
        <v>0</v>
      </c>
      <c r="J150" s="94">
        <f t="shared" si="43"/>
        <v>0</v>
      </c>
      <c r="K150" s="94">
        <f t="shared" si="43"/>
        <v>0</v>
      </c>
      <c r="L150" s="94">
        <f t="shared" si="43"/>
        <v>0</v>
      </c>
      <c r="M150" s="94">
        <f t="shared" si="43"/>
        <v>0</v>
      </c>
      <c r="N150" s="94">
        <f t="shared" si="43"/>
        <v>0</v>
      </c>
      <c r="O150" s="94">
        <f t="shared" si="43"/>
        <v>0</v>
      </c>
      <c r="P150" s="94">
        <f t="shared" si="43"/>
        <v>0</v>
      </c>
      <c r="Q150" s="606">
        <f t="shared" si="43"/>
        <v>0</v>
      </c>
      <c r="R150" s="94"/>
      <c r="S150" s="627">
        <f>SUM(E150:R150)</f>
        <v>0</v>
      </c>
      <c r="T150" s="94"/>
    </row>
    <row r="151" spans="1:21" s="95" customFormat="1" ht="12" customHeight="1">
      <c r="B151" s="95" t="s">
        <v>186</v>
      </c>
      <c r="D151" s="130" t="s">
        <v>290</v>
      </c>
      <c r="E151" s="94">
        <v>0</v>
      </c>
      <c r="F151" s="94">
        <v>0</v>
      </c>
      <c r="G151" s="94">
        <v>0</v>
      </c>
      <c r="H151" s="94">
        <v>0</v>
      </c>
      <c r="I151" s="94">
        <v>0</v>
      </c>
      <c r="J151" s="94">
        <v>0</v>
      </c>
      <c r="K151" s="94">
        <v>0</v>
      </c>
      <c r="L151" s="94">
        <v>0</v>
      </c>
      <c r="M151" s="94">
        <v>0</v>
      </c>
      <c r="N151" s="94">
        <v>0</v>
      </c>
      <c r="O151" s="94">
        <v>0</v>
      </c>
      <c r="P151" s="94">
        <v>0</v>
      </c>
      <c r="Q151" s="606">
        <f>-Q52</f>
        <v>0</v>
      </c>
      <c r="R151" s="94"/>
      <c r="S151" s="627">
        <f t="shared" ref="S151:S164" si="44">SUM(E151:R151)</f>
        <v>0</v>
      </c>
      <c r="T151" s="94"/>
    </row>
    <row r="152" spans="1:21" s="95" customFormat="1" ht="12" customHeight="1">
      <c r="B152" s="95" t="s">
        <v>186</v>
      </c>
      <c r="D152" s="130" t="s">
        <v>297</v>
      </c>
      <c r="E152" s="94">
        <v>0</v>
      </c>
      <c r="F152" s="94">
        <v>0</v>
      </c>
      <c r="G152" s="94">
        <v>0</v>
      </c>
      <c r="H152" s="94">
        <v>0</v>
      </c>
      <c r="I152" s="94">
        <v>0</v>
      </c>
      <c r="J152" s="94">
        <v>0</v>
      </c>
      <c r="K152" s="94">
        <v>0</v>
      </c>
      <c r="L152" s="94">
        <v>0</v>
      </c>
      <c r="M152" s="94">
        <v>0</v>
      </c>
      <c r="N152" s="94">
        <v>0</v>
      </c>
      <c r="O152" s="94">
        <v>0</v>
      </c>
      <c r="P152" s="94">
        <v>0</v>
      </c>
      <c r="Q152" s="606">
        <v>0</v>
      </c>
      <c r="R152" s="94"/>
      <c r="S152" s="627">
        <f t="shared" si="44"/>
        <v>0</v>
      </c>
      <c r="T152" s="94"/>
    </row>
    <row r="153" spans="1:21" s="95" customFormat="1" ht="12" customHeight="1">
      <c r="B153" s="95" t="s">
        <v>186</v>
      </c>
      <c r="D153" s="130" t="s">
        <v>233</v>
      </c>
      <c r="E153" s="94">
        <v>0</v>
      </c>
      <c r="F153" s="94">
        <v>0</v>
      </c>
      <c r="G153" s="94">
        <v>0</v>
      </c>
      <c r="H153" s="94">
        <v>0</v>
      </c>
      <c r="I153" s="94">
        <v>0</v>
      </c>
      <c r="J153" s="94">
        <v>0</v>
      </c>
      <c r="K153" s="94">
        <v>0</v>
      </c>
      <c r="L153" s="94">
        <v>0</v>
      </c>
      <c r="M153" s="94">
        <v>0</v>
      </c>
      <c r="N153" s="94">
        <v>0</v>
      </c>
      <c r="O153" s="94">
        <v>0</v>
      </c>
      <c r="P153" s="94">
        <v>0</v>
      </c>
      <c r="Q153" s="606">
        <v>0</v>
      </c>
      <c r="R153" s="94"/>
      <c r="S153" s="627">
        <f t="shared" si="44"/>
        <v>0</v>
      </c>
      <c r="T153" s="94"/>
    </row>
    <row r="154" spans="1:21" s="95" customFormat="1" ht="12" customHeight="1">
      <c r="B154" s="95" t="s">
        <v>186</v>
      </c>
      <c r="D154" s="130" t="s">
        <v>291</v>
      </c>
      <c r="E154" s="94">
        <v>0</v>
      </c>
      <c r="F154" s="94">
        <v>0</v>
      </c>
      <c r="G154" s="94">
        <v>0</v>
      </c>
      <c r="H154" s="94">
        <v>0</v>
      </c>
      <c r="I154" s="94">
        <v>0</v>
      </c>
      <c r="J154" s="94">
        <v>0</v>
      </c>
      <c r="K154" s="94">
        <v>0</v>
      </c>
      <c r="L154" s="94">
        <v>0</v>
      </c>
      <c r="M154" s="94">
        <v>0</v>
      </c>
      <c r="N154" s="94">
        <v>0</v>
      </c>
      <c r="O154" s="94">
        <v>0</v>
      </c>
      <c r="P154" s="94">
        <v>0</v>
      </c>
      <c r="Q154" s="606">
        <v>0</v>
      </c>
      <c r="R154" s="94"/>
      <c r="S154" s="627">
        <f t="shared" si="44"/>
        <v>0</v>
      </c>
      <c r="T154" s="94"/>
    </row>
    <row r="155" spans="1:21" s="95" customFormat="1" ht="12" customHeight="1">
      <c r="B155" s="95" t="s">
        <v>186</v>
      </c>
      <c r="D155" s="130" t="s">
        <v>292</v>
      </c>
      <c r="E155" s="94">
        <v>0</v>
      </c>
      <c r="F155" s="94">
        <v>0</v>
      </c>
      <c r="G155" s="94">
        <v>0</v>
      </c>
      <c r="H155" s="94">
        <v>0</v>
      </c>
      <c r="I155" s="94">
        <v>0</v>
      </c>
      <c r="J155" s="94">
        <v>0</v>
      </c>
      <c r="K155" s="94">
        <v>0</v>
      </c>
      <c r="L155" s="94">
        <v>0</v>
      </c>
      <c r="M155" s="94">
        <v>0</v>
      </c>
      <c r="N155" s="94">
        <v>0</v>
      </c>
      <c r="O155" s="94">
        <v>0</v>
      </c>
      <c r="P155" s="94">
        <v>0</v>
      </c>
      <c r="Q155" s="606">
        <v>0</v>
      </c>
      <c r="R155" s="94"/>
      <c r="S155" s="627">
        <f t="shared" si="44"/>
        <v>0</v>
      </c>
      <c r="T155" s="94"/>
    </row>
    <row r="156" spans="1:21" s="95" customFormat="1" ht="12" customHeight="1">
      <c r="B156" s="95" t="s">
        <v>186</v>
      </c>
      <c r="D156" s="130" t="s">
        <v>293</v>
      </c>
      <c r="E156" s="94">
        <v>0</v>
      </c>
      <c r="F156" s="94">
        <v>0</v>
      </c>
      <c r="G156" s="94">
        <v>0</v>
      </c>
      <c r="H156" s="94">
        <v>0</v>
      </c>
      <c r="I156" s="94">
        <v>0</v>
      </c>
      <c r="J156" s="94">
        <v>0</v>
      </c>
      <c r="K156" s="94">
        <v>0</v>
      </c>
      <c r="L156" s="94">
        <v>0</v>
      </c>
      <c r="M156" s="94">
        <v>0</v>
      </c>
      <c r="N156" s="94">
        <v>0</v>
      </c>
      <c r="O156" s="94">
        <v>0</v>
      </c>
      <c r="P156" s="94">
        <v>0</v>
      </c>
      <c r="Q156" s="606">
        <f>Q143</f>
        <v>0</v>
      </c>
      <c r="R156" s="94"/>
      <c r="S156" s="627">
        <f t="shared" si="44"/>
        <v>0</v>
      </c>
      <c r="T156" s="94"/>
    </row>
    <row r="157" spans="1:21" s="95" customFormat="1" ht="12" customHeight="1">
      <c r="B157" s="95" t="s">
        <v>186</v>
      </c>
      <c r="D157" s="130" t="s">
        <v>294</v>
      </c>
      <c r="E157" s="94">
        <v>0</v>
      </c>
      <c r="F157" s="94">
        <v>0</v>
      </c>
      <c r="G157" s="94">
        <v>0</v>
      </c>
      <c r="H157" s="94">
        <v>0</v>
      </c>
      <c r="I157" s="94">
        <v>0</v>
      </c>
      <c r="J157" s="94">
        <v>0</v>
      </c>
      <c r="K157" s="94">
        <v>0</v>
      </c>
      <c r="L157" s="94">
        <v>0</v>
      </c>
      <c r="M157" s="94">
        <v>0</v>
      </c>
      <c r="N157" s="94">
        <v>0</v>
      </c>
      <c r="O157" s="94">
        <v>0</v>
      </c>
      <c r="P157" s="94">
        <v>0</v>
      </c>
      <c r="Q157" s="606">
        <f>Q144</f>
        <v>0</v>
      </c>
      <c r="R157" s="94"/>
      <c r="S157" s="627">
        <f t="shared" si="44"/>
        <v>0</v>
      </c>
      <c r="T157" s="94"/>
    </row>
    <row r="158" spans="1:21" s="95" customFormat="1" ht="12" customHeight="1">
      <c r="B158" s="95" t="s">
        <v>186</v>
      </c>
      <c r="D158" s="130" t="s">
        <v>234</v>
      </c>
      <c r="E158" s="94">
        <v>0</v>
      </c>
      <c r="F158" s="94">
        <v>0</v>
      </c>
      <c r="G158" s="94">
        <v>0</v>
      </c>
      <c r="H158" s="94">
        <v>0</v>
      </c>
      <c r="I158" s="94">
        <v>0</v>
      </c>
      <c r="J158" s="94">
        <v>0</v>
      </c>
      <c r="K158" s="94">
        <v>0</v>
      </c>
      <c r="L158" s="94">
        <v>0</v>
      </c>
      <c r="M158" s="94">
        <v>0</v>
      </c>
      <c r="N158" s="94">
        <v>0</v>
      </c>
      <c r="O158" s="94">
        <v>0</v>
      </c>
      <c r="P158" s="94">
        <v>0</v>
      </c>
      <c r="Q158" s="606">
        <v>0</v>
      </c>
      <c r="R158" s="94"/>
      <c r="S158" s="627">
        <f t="shared" si="44"/>
        <v>0</v>
      </c>
      <c r="T158" s="94"/>
    </row>
    <row r="159" spans="1:21" s="95" customFormat="1" ht="12" customHeight="1">
      <c r="B159" s="95" t="s">
        <v>186</v>
      </c>
      <c r="C159" s="95" t="s">
        <v>49</v>
      </c>
      <c r="D159" s="130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606"/>
      <c r="R159" s="94"/>
      <c r="S159" s="627"/>
      <c r="T159" s="94"/>
    </row>
    <row r="160" spans="1:21" s="95" customFormat="1" ht="12" customHeight="1">
      <c r="B160" s="95" t="s">
        <v>186</v>
      </c>
      <c r="D160" s="130" t="s">
        <v>296</v>
      </c>
      <c r="E160" s="94">
        <v>0</v>
      </c>
      <c r="F160" s="94">
        <v>0</v>
      </c>
      <c r="G160" s="94">
        <v>0</v>
      </c>
      <c r="H160" s="94">
        <v>0</v>
      </c>
      <c r="I160" s="94">
        <v>0</v>
      </c>
      <c r="J160" s="94">
        <v>0</v>
      </c>
      <c r="K160" s="94">
        <v>0</v>
      </c>
      <c r="L160" s="94">
        <v>0</v>
      </c>
      <c r="M160" s="94">
        <v>0</v>
      </c>
      <c r="N160" s="94">
        <v>0</v>
      </c>
      <c r="O160" s="94">
        <v>0</v>
      </c>
      <c r="P160" s="94">
        <v>0</v>
      </c>
      <c r="Q160" s="606">
        <v>0</v>
      </c>
      <c r="R160" s="94"/>
      <c r="S160" s="627">
        <f t="shared" si="44"/>
        <v>0</v>
      </c>
      <c r="T160" s="94"/>
    </row>
    <row r="161" spans="1:20" s="95" customFormat="1" ht="12" customHeight="1">
      <c r="D161" s="95" t="s">
        <v>295</v>
      </c>
      <c r="E161" s="94">
        <v>0</v>
      </c>
      <c r="F161" s="94">
        <v>0</v>
      </c>
      <c r="G161" s="94">
        <v>0</v>
      </c>
      <c r="H161" s="94">
        <v>0</v>
      </c>
      <c r="I161" s="94">
        <v>0</v>
      </c>
      <c r="J161" s="94">
        <v>0</v>
      </c>
      <c r="K161" s="94">
        <v>0</v>
      </c>
      <c r="L161" s="94">
        <v>0</v>
      </c>
      <c r="M161" s="94">
        <v>0</v>
      </c>
      <c r="N161" s="94">
        <v>0</v>
      </c>
      <c r="O161" s="94">
        <v>0</v>
      </c>
      <c r="P161" s="94">
        <v>0</v>
      </c>
      <c r="Q161" s="606">
        <v>0</v>
      </c>
      <c r="R161" s="94"/>
      <c r="S161" s="627">
        <f t="shared" si="44"/>
        <v>0</v>
      </c>
      <c r="T161" s="94"/>
    </row>
    <row r="162" spans="1:20" s="95" customFormat="1" ht="12" customHeight="1">
      <c r="C162" s="95" t="s">
        <v>50</v>
      </c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606"/>
      <c r="R162" s="94"/>
      <c r="S162" s="627"/>
      <c r="T162" s="94"/>
    </row>
    <row r="163" spans="1:20" s="95" customFormat="1" ht="12" customHeight="1">
      <c r="D163" s="95" t="s">
        <v>317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606">
        <v>0</v>
      </c>
      <c r="R163" s="94"/>
      <c r="S163" s="627">
        <f t="shared" si="44"/>
        <v>0</v>
      </c>
      <c r="T163" s="94"/>
    </row>
    <row r="164" spans="1:20" s="95" customFormat="1" ht="12" customHeight="1">
      <c r="D164" s="95" t="s">
        <v>318</v>
      </c>
      <c r="E164" s="94">
        <v>0</v>
      </c>
      <c r="F164" s="94">
        <v>0</v>
      </c>
      <c r="G164" s="94">
        <v>0</v>
      </c>
      <c r="H164" s="94">
        <v>0</v>
      </c>
      <c r="I164" s="94">
        <v>0</v>
      </c>
      <c r="J164" s="94">
        <v>0</v>
      </c>
      <c r="K164" s="94">
        <v>0</v>
      </c>
      <c r="L164" s="94">
        <v>0</v>
      </c>
      <c r="M164" s="94">
        <v>0</v>
      </c>
      <c r="N164" s="94">
        <v>0</v>
      </c>
      <c r="O164" s="94">
        <v>0</v>
      </c>
      <c r="P164" s="94">
        <v>0</v>
      </c>
      <c r="Q164" s="606">
        <v>0</v>
      </c>
      <c r="R164" s="94"/>
      <c r="S164" s="627">
        <f t="shared" si="44"/>
        <v>0</v>
      </c>
      <c r="T164" s="94"/>
    </row>
    <row r="165" spans="1:20" s="95" customFormat="1" ht="12" customHeight="1">
      <c r="D165" s="95" t="s">
        <v>319</v>
      </c>
      <c r="E165" s="132">
        <v>0</v>
      </c>
      <c r="F165" s="132">
        <v>0</v>
      </c>
      <c r="G165" s="132">
        <v>0</v>
      </c>
      <c r="H165" s="132">
        <v>0</v>
      </c>
      <c r="I165" s="132">
        <v>0</v>
      </c>
      <c r="J165" s="132">
        <v>0</v>
      </c>
      <c r="K165" s="132">
        <v>0</v>
      </c>
      <c r="L165" s="132">
        <v>0</v>
      </c>
      <c r="M165" s="132">
        <v>0</v>
      </c>
      <c r="N165" s="132">
        <v>0</v>
      </c>
      <c r="O165" s="132">
        <v>0</v>
      </c>
      <c r="P165" s="132">
        <v>0</v>
      </c>
      <c r="Q165" s="606">
        <v>0</v>
      </c>
      <c r="R165" s="94"/>
      <c r="S165" s="627">
        <f>SUM(E165:R165)</f>
        <v>0</v>
      </c>
      <c r="T165" s="94"/>
    </row>
    <row r="166" spans="1:20" s="95" customFormat="1" ht="12" customHeight="1"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131"/>
      <c r="T166" s="94"/>
    </row>
    <row r="167" spans="1:20" s="95" customFormat="1" ht="12" customHeight="1">
      <c r="B167" s="95" t="s">
        <v>51</v>
      </c>
      <c r="E167" s="94">
        <f>SUBTOTAL(9,E148:E166)</f>
        <v>0</v>
      </c>
      <c r="F167" s="94">
        <f t="shared" ref="F167:P167" si="45">SUBTOTAL(9,F148:F166)</f>
        <v>0</v>
      </c>
      <c r="G167" s="94">
        <f t="shared" si="45"/>
        <v>0</v>
      </c>
      <c r="H167" s="94">
        <f t="shared" si="45"/>
        <v>0</v>
      </c>
      <c r="I167" s="94">
        <f t="shared" si="45"/>
        <v>0</v>
      </c>
      <c r="J167" s="94">
        <f t="shared" si="45"/>
        <v>0</v>
      </c>
      <c r="K167" s="94">
        <f t="shared" si="45"/>
        <v>0</v>
      </c>
      <c r="L167" s="94">
        <f t="shared" si="45"/>
        <v>0</v>
      </c>
      <c r="M167" s="94">
        <f t="shared" si="45"/>
        <v>0</v>
      </c>
      <c r="N167" s="94">
        <f t="shared" si="45"/>
        <v>0</v>
      </c>
      <c r="O167" s="94">
        <f t="shared" si="45"/>
        <v>0</v>
      </c>
      <c r="P167" s="94">
        <f t="shared" si="45"/>
        <v>0</v>
      </c>
      <c r="Q167" s="94"/>
      <c r="R167" s="94"/>
      <c r="S167" s="94"/>
      <c r="T167" s="94"/>
    </row>
    <row r="168" spans="1:20" s="95" customFormat="1" ht="12" customHeight="1"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</row>
    <row r="169" spans="1:20" s="95" customFormat="1" ht="12" customHeight="1">
      <c r="B169" s="95" t="s">
        <v>52</v>
      </c>
      <c r="E169" s="132">
        <v>0</v>
      </c>
      <c r="F169" s="132">
        <f t="shared" ref="F169:O169" si="46">E171</f>
        <v>0</v>
      </c>
      <c r="G169" s="132">
        <f t="shared" si="46"/>
        <v>0</v>
      </c>
      <c r="H169" s="132">
        <f t="shared" si="46"/>
        <v>0</v>
      </c>
      <c r="I169" s="132">
        <f t="shared" si="46"/>
        <v>0</v>
      </c>
      <c r="J169" s="132">
        <f t="shared" si="46"/>
        <v>0</v>
      </c>
      <c r="K169" s="132">
        <f t="shared" si="46"/>
        <v>0</v>
      </c>
      <c r="L169" s="132">
        <f t="shared" si="46"/>
        <v>0</v>
      </c>
      <c r="M169" s="132">
        <f t="shared" si="46"/>
        <v>0</v>
      </c>
      <c r="N169" s="132">
        <f t="shared" si="46"/>
        <v>0</v>
      </c>
      <c r="O169" s="132">
        <f t="shared" si="46"/>
        <v>0</v>
      </c>
      <c r="P169" s="132">
        <f>O171</f>
        <v>0</v>
      </c>
      <c r="Q169" s="94"/>
      <c r="R169" s="94"/>
      <c r="S169" s="94"/>
      <c r="T169" s="94"/>
    </row>
    <row r="170" spans="1:20" s="95" customFormat="1" ht="12" customHeight="1"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</row>
    <row r="171" spans="1:20" s="112" customFormat="1" ht="12" customHeight="1" thickBot="1">
      <c r="B171" s="112" t="s">
        <v>53</v>
      </c>
      <c r="E171" s="129">
        <f t="shared" ref="E171:O171" si="47">E167+E169</f>
        <v>0</v>
      </c>
      <c r="F171" s="129">
        <f t="shared" si="47"/>
        <v>0</v>
      </c>
      <c r="G171" s="129">
        <f t="shared" si="47"/>
        <v>0</v>
      </c>
      <c r="H171" s="129">
        <f t="shared" si="47"/>
        <v>0</v>
      </c>
      <c r="I171" s="129">
        <f t="shared" si="47"/>
        <v>0</v>
      </c>
      <c r="J171" s="129">
        <f t="shared" si="47"/>
        <v>0</v>
      </c>
      <c r="K171" s="129">
        <f t="shared" si="47"/>
        <v>0</v>
      </c>
      <c r="L171" s="129">
        <f t="shared" si="47"/>
        <v>0</v>
      </c>
      <c r="M171" s="129">
        <f t="shared" si="47"/>
        <v>0</v>
      </c>
      <c r="N171" s="129">
        <f t="shared" si="47"/>
        <v>0</v>
      </c>
      <c r="O171" s="129">
        <f t="shared" si="47"/>
        <v>0</v>
      </c>
      <c r="P171" s="129">
        <f>P167+P169</f>
        <v>0</v>
      </c>
      <c r="Q171" s="113"/>
      <c r="R171" s="113"/>
      <c r="S171" s="113"/>
      <c r="T171" s="113"/>
    </row>
    <row r="172" spans="1:20" s="95" customFormat="1" ht="12" customHeight="1" thickTop="1">
      <c r="A172" s="112"/>
      <c r="B172" s="112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131"/>
      <c r="T172" s="94"/>
    </row>
    <row r="173" spans="1:20" s="95" customFormat="1" ht="12" customHeight="1">
      <c r="E173" s="137"/>
      <c r="F173" s="137"/>
      <c r="G173" s="137"/>
      <c r="H173" s="137"/>
      <c r="I173" s="137"/>
      <c r="J173" s="137"/>
      <c r="K173" s="137"/>
      <c r="L173" s="137"/>
      <c r="M173" s="138"/>
      <c r="N173" s="138"/>
      <c r="O173" s="138"/>
      <c r="P173" s="138"/>
      <c r="Q173" s="138"/>
      <c r="R173" s="138"/>
      <c r="S173" s="139"/>
      <c r="T173" s="138"/>
    </row>
    <row r="174" spans="1:20" s="95" customFormat="1" ht="12" customHeight="1">
      <c r="E174" s="137"/>
      <c r="F174" s="137"/>
      <c r="G174" s="137"/>
      <c r="H174" s="137"/>
      <c r="I174" s="137"/>
      <c r="J174" s="137"/>
      <c r="K174" s="137"/>
      <c r="L174" s="137"/>
      <c r="M174" s="138"/>
      <c r="N174" s="138"/>
      <c r="O174" s="138"/>
      <c r="P174" s="138"/>
      <c r="Q174" s="138"/>
      <c r="R174" s="138"/>
      <c r="S174" s="139"/>
      <c r="T174" s="138"/>
    </row>
    <row r="175" spans="1:20" s="95" customFormat="1" ht="12" customHeight="1"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9"/>
      <c r="T175" s="138"/>
    </row>
    <row r="176" spans="1:20" s="95" customFormat="1" ht="12" customHeight="1">
      <c r="E176" s="137"/>
      <c r="F176" s="137"/>
      <c r="G176" s="137"/>
      <c r="H176" s="137"/>
      <c r="I176" s="137"/>
      <c r="J176" s="137"/>
      <c r="K176" s="137"/>
      <c r="L176" s="137"/>
      <c r="M176" s="138"/>
      <c r="N176" s="138"/>
      <c r="O176" s="138"/>
      <c r="P176" s="138"/>
      <c r="Q176" s="138"/>
      <c r="R176" s="138"/>
      <c r="S176" s="139"/>
      <c r="T176" s="138"/>
    </row>
    <row r="177" spans="1:20" s="95" customFormat="1" ht="12" customHeight="1">
      <c r="E177" s="137"/>
      <c r="F177" s="137"/>
      <c r="G177" s="137"/>
      <c r="H177" s="137"/>
      <c r="I177" s="137"/>
      <c r="J177" s="137"/>
      <c r="K177" s="137"/>
      <c r="L177" s="137"/>
      <c r="M177" s="138"/>
      <c r="N177" s="138"/>
      <c r="O177" s="138"/>
      <c r="P177" s="138"/>
      <c r="Q177" s="138"/>
      <c r="R177" s="138"/>
      <c r="S177" s="139"/>
      <c r="T177" s="138"/>
    </row>
    <row r="178" spans="1:20" s="95" customFormat="1" ht="12" customHeight="1"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9"/>
      <c r="T178" s="138"/>
    </row>
    <row r="179" spans="1:20" s="95" customFormat="1"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9"/>
      <c r="T179" s="138"/>
    </row>
    <row r="180" spans="1:20" s="95" customFormat="1"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133"/>
      <c r="T180" s="94"/>
    </row>
    <row r="181" spans="1:20">
      <c r="A181" s="62"/>
      <c r="B181" s="62"/>
      <c r="S181" s="140"/>
    </row>
    <row r="182" spans="1:20">
      <c r="A182" s="62"/>
      <c r="B182" s="62"/>
      <c r="S182" s="140"/>
    </row>
    <row r="183" spans="1:20">
      <c r="A183" s="62"/>
      <c r="B183" s="62"/>
      <c r="S183" s="140"/>
    </row>
    <row r="184" spans="1:20">
      <c r="A184" s="62"/>
      <c r="B184" s="62"/>
      <c r="S184" s="140"/>
    </row>
    <row r="185" spans="1:20">
      <c r="A185" s="62"/>
      <c r="B185" s="62"/>
      <c r="S185" s="140"/>
    </row>
    <row r="186" spans="1:20">
      <c r="A186" s="62"/>
      <c r="B186" s="62"/>
      <c r="S186" s="140"/>
    </row>
  </sheetData>
  <printOptions horizontalCentered="1"/>
  <pageMargins left="0.15" right="0.15" top="0.35" bottom="0.35" header="0.3" footer="0.3"/>
  <pageSetup scale="75" fitToWidth="2" fitToHeight="4" orientation="landscape" copies="4" r:id="rId1"/>
  <headerFooter alignWithMargins="0">
    <oddFooter xml:space="preserve">&amp;R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Z65"/>
  <sheetViews>
    <sheetView topLeftCell="A7" zoomScale="115" zoomScaleNormal="115" zoomScaleSheetLayoutView="115" workbookViewId="0">
      <selection activeCell="O51" sqref="O51"/>
    </sheetView>
  </sheetViews>
  <sheetFormatPr baseColWidth="10" defaultColWidth="8.83203125" defaultRowHeight="15"/>
  <cols>
    <col min="1" max="1" width="1.6640625" style="144" customWidth="1"/>
    <col min="2" max="2" width="1.5" style="144" customWidth="1"/>
    <col min="3" max="3" width="20.83203125" style="144" customWidth="1"/>
    <col min="4" max="4" width="1.33203125" style="144" customWidth="1"/>
    <col min="5" max="6" width="14.33203125" style="144" customWidth="1"/>
    <col min="7" max="7" width="14" style="144" customWidth="1"/>
    <col min="8" max="8" width="2.33203125" style="144" customWidth="1"/>
    <col min="9" max="9" width="13.83203125" style="144" customWidth="1"/>
    <col min="10" max="10" width="16.33203125" style="144" customWidth="1"/>
    <col min="11" max="11" width="13.33203125" style="144" customWidth="1"/>
    <col min="12" max="12" width="3.6640625" style="144" customWidth="1"/>
    <col min="13" max="13" width="13.5" style="144" bestFit="1" customWidth="1"/>
    <col min="14" max="15" width="8.83203125" style="144"/>
    <col min="16" max="18" width="9.83203125" style="144" customWidth="1"/>
    <col min="19" max="19" width="8.83203125" style="144"/>
    <col min="20" max="20" width="21.33203125" style="144" customWidth="1"/>
    <col min="21" max="21" width="1.6640625" style="144" customWidth="1"/>
    <col min="22" max="25" width="12.6640625" style="144" customWidth="1"/>
    <col min="26" max="26" width="13.5" style="144" bestFit="1" customWidth="1"/>
    <col min="27" max="16384" width="8.83203125" style="144"/>
  </cols>
  <sheetData>
    <row r="1" spans="1:19" ht="29">
      <c r="A1" s="176" t="s">
        <v>389</v>
      </c>
    </row>
    <row r="2" spans="1:19" ht="21">
      <c r="A2" s="389"/>
      <c r="B2" s="147"/>
      <c r="C2" s="147"/>
      <c r="D2" s="147"/>
      <c r="E2" s="147"/>
    </row>
    <row r="3" spans="1:19">
      <c r="B3" s="400"/>
      <c r="C3" s="400"/>
      <c r="D3" s="400"/>
      <c r="E3" s="1058" t="s">
        <v>309</v>
      </c>
      <c r="F3" s="1058"/>
      <c r="G3" s="1058"/>
      <c r="H3" s="400"/>
      <c r="I3" s="1058" t="s">
        <v>403</v>
      </c>
      <c r="J3" s="1058"/>
      <c r="K3" s="1058"/>
    </row>
    <row r="4" spans="1:19">
      <c r="B4" s="412"/>
      <c r="C4" s="409"/>
      <c r="D4" s="409"/>
      <c r="E4" s="401" t="s">
        <v>305</v>
      </c>
      <c r="F4" s="401" t="s">
        <v>301</v>
      </c>
      <c r="G4" s="401" t="s">
        <v>402</v>
      </c>
      <c r="H4" s="146"/>
      <c r="I4" s="401" t="s">
        <v>172</v>
      </c>
      <c r="J4" s="401" t="s">
        <v>301</v>
      </c>
      <c r="K4" s="401" t="s">
        <v>402</v>
      </c>
    </row>
    <row r="5" spans="1:19">
      <c r="B5" s="412" t="s">
        <v>0</v>
      </c>
      <c r="C5" s="409"/>
      <c r="D5" s="409"/>
      <c r="E5" s="415"/>
      <c r="F5" s="416"/>
      <c r="G5" s="417"/>
      <c r="I5" s="415"/>
      <c r="J5" s="416"/>
      <c r="K5" s="417"/>
    </row>
    <row r="6" spans="1:19">
      <c r="B6" s="412"/>
      <c r="C6" s="410" t="s">
        <v>308</v>
      </c>
      <c r="D6" s="410"/>
      <c r="E6" s="561">
        <f>SUM('FY19-20'!E19:P19)</f>
        <v>28915481</v>
      </c>
      <c r="F6" s="562">
        <f>SUM('Original Budget'!E19:Q19)</f>
        <v>24183161.572499994</v>
      </c>
      <c r="G6" s="563">
        <f>E6-F6</f>
        <v>4732319.4275000058</v>
      </c>
      <c r="H6" s="564"/>
      <c r="I6" s="561">
        <f>'FY19-20'!S19</f>
        <v>28915481</v>
      </c>
      <c r="J6" s="562">
        <f>'Original Budget'!S19</f>
        <v>24183161.572499994</v>
      </c>
      <c r="K6" s="563">
        <f>I6-J6</f>
        <v>4732319.4275000058</v>
      </c>
    </row>
    <row r="7" spans="1:19">
      <c r="B7" s="412"/>
      <c r="C7" s="409" t="s">
        <v>282</v>
      </c>
      <c r="D7" s="409"/>
      <c r="E7" s="565">
        <f>SUM('FY19-20'!E31:P31)</f>
        <v>197783.36000000002</v>
      </c>
      <c r="F7" s="566">
        <f>SUM('Original Budget'!E31:Q31)</f>
        <v>285136.8</v>
      </c>
      <c r="G7" s="567">
        <f t="shared" ref="G7:G9" si="0">E7-F7</f>
        <v>-87353.439999999973</v>
      </c>
      <c r="H7" s="568"/>
      <c r="I7" s="565">
        <f>'FY19-20'!S31</f>
        <v>197783.36000000002</v>
      </c>
      <c r="J7" s="566">
        <f>'Original Budget'!S31</f>
        <v>285136.8</v>
      </c>
      <c r="K7" s="567">
        <f t="shared" ref="K7:K9" si="1">I7-J7</f>
        <v>-87353.439999999973</v>
      </c>
    </row>
    <row r="8" spans="1:19">
      <c r="B8" s="412"/>
      <c r="C8" s="410" t="s">
        <v>168</v>
      </c>
      <c r="D8" s="410"/>
      <c r="E8" s="569">
        <f>SUM('FY19-20'!E40:P40)</f>
        <v>2397254.37</v>
      </c>
      <c r="F8" s="570">
        <f>SUM('Original Budget'!E40:Q40)</f>
        <v>1856130.9</v>
      </c>
      <c r="G8" s="571">
        <f t="shared" si="0"/>
        <v>541123.4700000002</v>
      </c>
      <c r="H8" s="572"/>
      <c r="I8" s="569">
        <f>'FY19-20'!S40</f>
        <v>2397254.37</v>
      </c>
      <c r="J8" s="570">
        <f>'Original Budget'!S40</f>
        <v>1856130.9</v>
      </c>
      <c r="K8" s="571">
        <f t="shared" si="1"/>
        <v>541123.4700000002</v>
      </c>
      <c r="L8" s="390"/>
    </row>
    <row r="9" spans="1:19" ht="18">
      <c r="B9" s="412"/>
      <c r="C9" s="411" t="s">
        <v>283</v>
      </c>
      <c r="D9" s="411"/>
      <c r="E9" s="555">
        <f>SUM('FY19-20'!E50:P50)</f>
        <v>0</v>
      </c>
      <c r="F9" s="556">
        <f>SUM('Original Budget'!E50:Q50)</f>
        <v>0</v>
      </c>
      <c r="G9" s="557">
        <f t="shared" si="0"/>
        <v>0</v>
      </c>
      <c r="H9" s="573"/>
      <c r="I9" s="555">
        <f>'FY19-20'!S50</f>
        <v>0</v>
      </c>
      <c r="J9" s="556">
        <f>'Original Budget'!S50</f>
        <v>0</v>
      </c>
      <c r="K9" s="557">
        <f t="shared" si="1"/>
        <v>0</v>
      </c>
      <c r="L9" s="390"/>
    </row>
    <row r="10" spans="1:19" ht="5" customHeight="1">
      <c r="B10" s="412"/>
      <c r="C10" s="409"/>
      <c r="D10" s="409"/>
      <c r="E10" s="418"/>
      <c r="F10" s="392"/>
      <c r="G10" s="393"/>
      <c r="H10" s="390"/>
      <c r="I10" s="418"/>
      <c r="J10" s="392"/>
      <c r="K10" s="393"/>
      <c r="L10" s="390"/>
    </row>
    <row r="11" spans="1:19" s="171" customFormat="1" ht="18">
      <c r="C11" s="412" t="s">
        <v>1</v>
      </c>
      <c r="D11" s="412"/>
      <c r="E11" s="576">
        <f>SUM(E6:E9)</f>
        <v>31510518.73</v>
      </c>
      <c r="F11" s="577">
        <f>SUM(F6:F9)</f>
        <v>26324429.272499993</v>
      </c>
      <c r="G11" s="578">
        <f>SUM(G6:G9)</f>
        <v>5186089.4575000051</v>
      </c>
      <c r="H11" s="579"/>
      <c r="I11" s="576">
        <f>SUM(I6:I9)</f>
        <v>31510518.73</v>
      </c>
      <c r="J11" s="577">
        <f>SUM(J6:J9)</f>
        <v>26324429.272499993</v>
      </c>
      <c r="K11" s="578">
        <f>SUM(K6:K9)</f>
        <v>5186089.4575000051</v>
      </c>
      <c r="L11" s="402"/>
      <c r="M11" s="521">
        <f>+I11-31521963</f>
        <v>-11444.269999999553</v>
      </c>
    </row>
    <row r="12" spans="1:19" ht="5" customHeight="1">
      <c r="B12" s="171"/>
      <c r="E12" s="522"/>
      <c r="F12" s="523"/>
      <c r="G12" s="524"/>
      <c r="H12" s="390"/>
      <c r="I12" s="522"/>
      <c r="J12" s="523"/>
      <c r="K12" s="524"/>
      <c r="L12" s="390"/>
    </row>
    <row r="13" spans="1:19">
      <c r="B13" s="171"/>
    </row>
    <row r="14" spans="1:19">
      <c r="B14" s="400"/>
      <c r="C14" s="400"/>
      <c r="D14" s="400"/>
      <c r="E14" s="1058" t="s">
        <v>309</v>
      </c>
      <c r="F14" s="1058"/>
      <c r="G14" s="1058"/>
      <c r="H14" s="400"/>
      <c r="I14" s="1058" t="s">
        <v>403</v>
      </c>
      <c r="J14" s="1058"/>
      <c r="K14" s="1058"/>
    </row>
    <row r="15" spans="1:19">
      <c r="B15" s="412"/>
      <c r="C15" s="409"/>
      <c r="D15" s="409"/>
      <c r="E15" s="401" t="s">
        <v>305</v>
      </c>
      <c r="F15" s="401" t="s">
        <v>301</v>
      </c>
      <c r="G15" s="401" t="s">
        <v>402</v>
      </c>
      <c r="H15" s="146"/>
      <c r="I15" s="401" t="s">
        <v>172</v>
      </c>
      <c r="J15" s="401" t="s">
        <v>301</v>
      </c>
      <c r="K15" s="401" t="s">
        <v>402</v>
      </c>
    </row>
    <row r="16" spans="1:19">
      <c r="B16" s="171" t="s">
        <v>2</v>
      </c>
      <c r="E16" s="418"/>
      <c r="F16" s="392"/>
      <c r="G16" s="393"/>
      <c r="H16" s="390"/>
      <c r="I16" s="418"/>
      <c r="J16" s="392"/>
      <c r="K16" s="393"/>
      <c r="L16" s="390"/>
      <c r="O16" s="1059" t="s">
        <v>331</v>
      </c>
      <c r="P16" s="1060"/>
      <c r="Q16" s="1060"/>
      <c r="R16" s="1060"/>
      <c r="S16" s="1061"/>
    </row>
    <row r="17" spans="2:20">
      <c r="B17" s="171"/>
      <c r="C17" s="144" t="s">
        <v>244</v>
      </c>
      <c r="E17" s="558">
        <f>SUM('FY19-20'!E62:P62)</f>
        <v>10612689.15</v>
      </c>
      <c r="F17" s="580">
        <f>SUM('Original Budget'!E62:Q62)</f>
        <v>8318400</v>
      </c>
      <c r="G17" s="560">
        <f>F17-E17</f>
        <v>-2294289.1500000004</v>
      </c>
      <c r="H17" s="581"/>
      <c r="I17" s="558">
        <f>'FY19-20'!$S$62</f>
        <v>10612689.149999999</v>
      </c>
      <c r="J17" s="559">
        <f>'Original Budget'!$S$62</f>
        <v>8318399.9999999991</v>
      </c>
      <c r="K17" s="560">
        <f>J17-I17</f>
        <v>-2294289.1499999994</v>
      </c>
      <c r="L17" s="390"/>
      <c r="O17" s="404"/>
      <c r="P17" s="405"/>
      <c r="Q17" s="437" t="s">
        <v>305</v>
      </c>
      <c r="R17" s="437" t="s">
        <v>172</v>
      </c>
      <c r="S17" s="438" t="s">
        <v>301</v>
      </c>
    </row>
    <row r="18" spans="2:20">
      <c r="B18" s="171"/>
      <c r="C18" s="144" t="s">
        <v>245</v>
      </c>
      <c r="E18" s="569">
        <f>SUM('FY19-20'!E69:P69)</f>
        <v>444477.83</v>
      </c>
      <c r="F18" s="574">
        <f>SUM('Original Budget'!E63:Q63)+SUM('Original Budget'!E69:Q69)</f>
        <v>0</v>
      </c>
      <c r="G18" s="571">
        <f t="shared" ref="G18:G26" si="2">F18-E18</f>
        <v>-444477.83</v>
      </c>
      <c r="H18" s="572"/>
      <c r="I18" s="569">
        <f>'FY19-20'!$S$69</f>
        <v>444477.83</v>
      </c>
      <c r="J18" s="570">
        <f>'Original Budget'!$S$69</f>
        <v>0</v>
      </c>
      <c r="K18" s="571">
        <f t="shared" ref="K18:K26" si="3">J18-I18</f>
        <v>-444477.83</v>
      </c>
      <c r="L18" s="390"/>
      <c r="O18" s="406" t="s">
        <v>388</v>
      </c>
      <c r="P18" s="391"/>
      <c r="Q18" s="507">
        <f>IF(SUM('Revenue Inputs'!M11:S11)&gt;0,AVERAGE('Revenue Inputs'!M11:S11),"n/a")</f>
        <v>3260.3046647230321</v>
      </c>
      <c r="R18" s="543">
        <f>SUM('Revenue Inputs'!C34:C37)</f>
        <v>3226</v>
      </c>
      <c r="S18" s="544">
        <v>2886</v>
      </c>
    </row>
    <row r="19" spans="2:20">
      <c r="B19" s="171"/>
      <c r="C19" s="342" t="s">
        <v>3</v>
      </c>
      <c r="D19" s="342"/>
      <c r="E19" s="569">
        <f>SUM('FY19-20'!E79:P79)</f>
        <v>3180016.5700000003</v>
      </c>
      <c r="F19" s="574">
        <f>SUM('Original Budget'!E79:Q79)</f>
        <v>2334457.2000000007</v>
      </c>
      <c r="G19" s="571">
        <f t="shared" si="2"/>
        <v>-845559.36999999965</v>
      </c>
      <c r="H19" s="572"/>
      <c r="I19" s="569">
        <f>'FY19-20'!$S$79</f>
        <v>3180016.5700000003</v>
      </c>
      <c r="J19" s="570">
        <f>'Original Budget'!$S$79</f>
        <v>2334457.2000000007</v>
      </c>
      <c r="K19" s="571">
        <f t="shared" si="3"/>
        <v>-845559.36999999965</v>
      </c>
      <c r="L19" s="390"/>
      <c r="O19" s="406" t="s">
        <v>62</v>
      </c>
      <c r="P19" s="391"/>
      <c r="Q19" s="507">
        <f>IF(SUM('Revenue Inputs'!M18:S18)&gt;0,AVERAGE('Revenue Inputs'!M18:S18),"n/a")</f>
        <v>3194.8185714285714</v>
      </c>
      <c r="R19" s="543">
        <f>'Revenue Inputs'!D38</f>
        <v>3181.96</v>
      </c>
      <c r="S19" s="544">
        <v>2742</v>
      </c>
    </row>
    <row r="20" spans="2:20">
      <c r="C20" s="342" t="s">
        <v>288</v>
      </c>
      <c r="D20" s="342"/>
      <c r="E20" s="569">
        <f>SUM('FY19-20'!E90:P90)</f>
        <v>3890328.9099999997</v>
      </c>
      <c r="F20" s="574">
        <f>SUM('Original Budget'!E90:Q90)</f>
        <v>3743640.584999999</v>
      </c>
      <c r="G20" s="571">
        <f t="shared" si="2"/>
        <v>-146688.32500000065</v>
      </c>
      <c r="H20" s="572"/>
      <c r="I20" s="569">
        <f>'FY19-20'!$S$90</f>
        <v>3890328.9099999997</v>
      </c>
      <c r="J20" s="570">
        <f>'Original Budget'!S90</f>
        <v>3743640.584999999</v>
      </c>
      <c r="K20" s="571">
        <f t="shared" si="3"/>
        <v>-146688.32500000065</v>
      </c>
      <c r="L20" s="390"/>
      <c r="O20" s="406" t="s">
        <v>58</v>
      </c>
      <c r="P20" s="396"/>
      <c r="Q20" s="508">
        <f>IF(Q19="n/a","n/a",Q19/Q18)</f>
        <v>0.9799141184555451</v>
      </c>
      <c r="R20" s="508">
        <f>R19/R18</f>
        <v>0.98634841909485427</v>
      </c>
      <c r="S20" s="534">
        <v>0.95</v>
      </c>
    </row>
    <row r="21" spans="2:20">
      <c r="C21" s="342" t="s">
        <v>284</v>
      </c>
      <c r="D21" s="342"/>
      <c r="E21" s="569">
        <f>SUM('FY19-20'!E99:P99)</f>
        <v>8232171.7400000002</v>
      </c>
      <c r="F21" s="574">
        <f>SUM('Original Budget'!E99:Q99)</f>
        <v>7518196.8663374986</v>
      </c>
      <c r="G21" s="571">
        <f t="shared" si="2"/>
        <v>-713974.87366250157</v>
      </c>
      <c r="H21" s="572"/>
      <c r="I21" s="569">
        <f>'FY19-20'!$S$99</f>
        <v>8232171.7400000002</v>
      </c>
      <c r="J21" s="570">
        <f>'Original Budget'!S99</f>
        <v>7518196.8663374986</v>
      </c>
      <c r="K21" s="571">
        <f t="shared" si="3"/>
        <v>-713974.87366250157</v>
      </c>
      <c r="L21" s="390"/>
      <c r="O21" s="406" t="s">
        <v>328</v>
      </c>
      <c r="P21" s="396"/>
      <c r="Q21" s="508">
        <f>LCFF!H38</f>
        <v>0.4229</v>
      </c>
      <c r="R21" s="508">
        <f>LCFF!H38</f>
        <v>0.4229</v>
      </c>
      <c r="S21" s="534">
        <f>LCFF!H38</f>
        <v>0.4229</v>
      </c>
    </row>
    <row r="22" spans="2:20">
      <c r="C22" s="342" t="s">
        <v>307</v>
      </c>
      <c r="D22" s="342"/>
      <c r="E22" s="569">
        <f>SUM('FY19-20'!E110:P110)</f>
        <v>157464.54</v>
      </c>
      <c r="F22" s="574">
        <f>SUM('Original Budget'!E110:Q110)</f>
        <v>201460.11600000001</v>
      </c>
      <c r="G22" s="571">
        <f>F22-E22</f>
        <v>43995.576000000001</v>
      </c>
      <c r="H22" s="572"/>
      <c r="I22" s="569">
        <f>'FY19-20'!$S$110</f>
        <v>157464.54</v>
      </c>
      <c r="J22" s="570">
        <f>'Original Budget'!S110</f>
        <v>201460.11600000001</v>
      </c>
      <c r="K22" s="571">
        <f>J22-I22</f>
        <v>43995.576000000001</v>
      </c>
      <c r="L22" s="390"/>
      <c r="O22" s="406" t="s">
        <v>329</v>
      </c>
      <c r="P22" s="396"/>
      <c r="Q22" s="441"/>
      <c r="R22" s="539">
        <f>I11/R19</f>
        <v>9902.8645017536364</v>
      </c>
      <c r="S22" s="540">
        <v>9600</v>
      </c>
      <c r="T22" s="921"/>
    </row>
    <row r="23" spans="2:20">
      <c r="C23" s="342" t="s">
        <v>306</v>
      </c>
      <c r="D23" s="342"/>
      <c r="E23" s="569">
        <f>SUM('FY19-20'!E118:P118)</f>
        <v>55878.5</v>
      </c>
      <c r="F23" s="574">
        <f>SUM('Original Budget'!E118:Q118)</f>
        <v>100867.14299999998</v>
      </c>
      <c r="G23" s="571">
        <f>F23-E23</f>
        <v>44988.642999999982</v>
      </c>
      <c r="H23" s="572"/>
      <c r="I23" s="569">
        <f>'FY19-20'!$S$118</f>
        <v>55878.5</v>
      </c>
      <c r="J23" s="570">
        <f>'Original Budget'!S118</f>
        <v>100867.14299999998</v>
      </c>
      <c r="K23" s="571">
        <f>J23-I23</f>
        <v>44988.642999999982</v>
      </c>
      <c r="L23" s="390"/>
      <c r="O23" s="407" t="s">
        <v>330</v>
      </c>
      <c r="P23" s="408"/>
      <c r="Q23" s="442"/>
      <c r="R23" s="541">
        <f>I28/R19</f>
        <v>9369.1171479214063</v>
      </c>
      <c r="S23" s="542">
        <v>9178</v>
      </c>
      <c r="T23" s="921"/>
    </row>
    <row r="24" spans="2:20">
      <c r="C24" s="342" t="s">
        <v>322</v>
      </c>
      <c r="D24" s="342"/>
      <c r="E24" s="569">
        <f>SUM('FY19-20'!E136:P136)</f>
        <v>2425595.4200000004</v>
      </c>
      <c r="F24" s="574">
        <f>SUM('Original Budget'!E136:Q136)</f>
        <v>2724087.7987124999</v>
      </c>
      <c r="G24" s="571">
        <f t="shared" si="2"/>
        <v>298492.37871249951</v>
      </c>
      <c r="H24" s="572"/>
      <c r="I24" s="569">
        <f>'FY19-20'!$S$136</f>
        <v>2425595.4200000004</v>
      </c>
      <c r="J24" s="570">
        <f>'Original Budget'!S136</f>
        <v>2724087.7987124999</v>
      </c>
      <c r="K24" s="571">
        <f t="shared" si="3"/>
        <v>298492.37871249951</v>
      </c>
      <c r="L24" s="390"/>
    </row>
    <row r="25" spans="2:20">
      <c r="C25" s="342" t="s">
        <v>223</v>
      </c>
      <c r="D25" s="342"/>
      <c r="E25" s="569">
        <f>SUM('FY19-20'!E139:P139)</f>
        <v>350</v>
      </c>
      <c r="F25" s="574">
        <f>SUM('Original Budget'!E139:Q139)</f>
        <v>0</v>
      </c>
      <c r="G25" s="571">
        <f t="shared" si="2"/>
        <v>-350</v>
      </c>
      <c r="H25" s="572"/>
      <c r="I25" s="569">
        <f>'FY19-20'!$S$139</f>
        <v>350</v>
      </c>
      <c r="J25" s="570">
        <f>'Original Budget'!$S$139</f>
        <v>0</v>
      </c>
      <c r="K25" s="571">
        <f t="shared" si="3"/>
        <v>-350</v>
      </c>
      <c r="L25" s="390"/>
    </row>
    <row r="26" spans="2:20" ht="18">
      <c r="C26" s="342" t="s">
        <v>5</v>
      </c>
      <c r="D26" s="342"/>
      <c r="E26" s="555">
        <f>SUM('FY19-20'!E142:P142)</f>
        <v>813183</v>
      </c>
      <c r="F26" s="575">
        <f>SUM('Original Budget'!E142:Q142)</f>
        <v>224000</v>
      </c>
      <c r="G26" s="557">
        <f t="shared" si="2"/>
        <v>-589183</v>
      </c>
      <c r="H26" s="573"/>
      <c r="I26" s="555">
        <f>'FY19-20'!$S$142</f>
        <v>813183</v>
      </c>
      <c r="J26" s="556">
        <f>'Original Budget'!$S$142</f>
        <v>224000</v>
      </c>
      <c r="K26" s="557">
        <f t="shared" si="3"/>
        <v>-589183</v>
      </c>
      <c r="L26" s="390"/>
    </row>
    <row r="27" spans="2:20" ht="5" customHeight="1">
      <c r="E27" s="418"/>
      <c r="F27" s="392"/>
      <c r="G27" s="393"/>
      <c r="H27" s="390"/>
      <c r="I27" s="418"/>
      <c r="J27" s="392"/>
      <c r="K27" s="393"/>
      <c r="L27" s="390"/>
    </row>
    <row r="28" spans="2:20" s="171" customFormat="1" ht="18">
      <c r="C28" s="412" t="s">
        <v>6</v>
      </c>
      <c r="D28" s="412"/>
      <c r="E28" s="576">
        <f>ROUND(SUM(E17:E26),0)</f>
        <v>29812156</v>
      </c>
      <c r="F28" s="577">
        <f>ROUND(SUM(F17:F27),0)</f>
        <v>25165110</v>
      </c>
      <c r="G28" s="578">
        <f>SUM(G17:G27)</f>
        <v>-4647045.9509500023</v>
      </c>
      <c r="H28" s="579"/>
      <c r="I28" s="576">
        <f>ROUND(SUM(I17:I27),0)</f>
        <v>29812156</v>
      </c>
      <c r="J28" s="577">
        <f>ROUND(SUM(J17:J27),0)</f>
        <v>25165110</v>
      </c>
      <c r="K28" s="578">
        <f>SUM(K17:K27)</f>
        <v>-4647045.9509500014</v>
      </c>
      <c r="L28" s="402"/>
      <c r="M28" s="521">
        <f>+I28-29771118</f>
        <v>41038</v>
      </c>
    </row>
    <row r="29" spans="2:20" ht="5" customHeight="1">
      <c r="E29" s="515"/>
      <c r="F29" s="516"/>
      <c r="G29" s="517"/>
      <c r="H29" s="413"/>
      <c r="I29" s="515"/>
      <c r="J29" s="516"/>
      <c r="K29" s="517"/>
    </row>
    <row r="31" spans="2:20">
      <c r="B31" s="400"/>
      <c r="C31" s="400"/>
      <c r="D31" s="400"/>
      <c r="E31" s="1058" t="s">
        <v>309</v>
      </c>
      <c r="F31" s="1058"/>
      <c r="G31" s="1058"/>
      <c r="H31" s="400"/>
      <c r="I31" s="1058" t="s">
        <v>403</v>
      </c>
      <c r="J31" s="1058"/>
      <c r="K31" s="1058"/>
    </row>
    <row r="32" spans="2:20">
      <c r="B32" s="412"/>
      <c r="C32" s="409"/>
      <c r="D32" s="409"/>
      <c r="E32" s="401" t="s">
        <v>305</v>
      </c>
      <c r="F32" s="401" t="s">
        <v>301</v>
      </c>
      <c r="G32" s="401" t="s">
        <v>402</v>
      </c>
      <c r="H32" s="146"/>
      <c r="I32" s="401" t="s">
        <v>172</v>
      </c>
      <c r="J32" s="401" t="s">
        <v>301</v>
      </c>
      <c r="K32" s="401" t="s">
        <v>402</v>
      </c>
    </row>
    <row r="33" spans="2:11">
      <c r="B33" s="412"/>
      <c r="C33" s="409"/>
      <c r="D33" s="409"/>
      <c r="E33" s="518"/>
      <c r="F33" s="519"/>
      <c r="G33" s="520"/>
      <c r="H33" s="521"/>
      <c r="I33" s="518"/>
      <c r="J33" s="519"/>
      <c r="K33" s="520"/>
    </row>
    <row r="34" spans="2:11" s="397" customFormat="1">
      <c r="C34" s="397" t="s">
        <v>310</v>
      </c>
      <c r="E34" s="518">
        <f>E11-E28+SUM(E29:F29)</f>
        <v>1698362.7300000004</v>
      </c>
      <c r="F34" s="519">
        <f>F11-F28+SUM(F29:F29)</f>
        <v>1159319.2724999934</v>
      </c>
      <c r="G34" s="520">
        <f>G11+G28</f>
        <v>539043.50655000284</v>
      </c>
      <c r="H34" s="521"/>
      <c r="I34" s="518">
        <f>I11-I28+SUM(I29:I29)</f>
        <v>1698362.7300000004</v>
      </c>
      <c r="J34" s="519">
        <f>J11-J28+SUM(J29:J29)</f>
        <v>1159319.2724999934</v>
      </c>
      <c r="K34" s="520">
        <f>K11+K28</f>
        <v>539043.50655000377</v>
      </c>
    </row>
    <row r="35" spans="2:11" s="397" customFormat="1" ht="5" customHeight="1">
      <c r="E35" s="528"/>
      <c r="F35" s="525"/>
      <c r="G35" s="529"/>
      <c r="I35" s="528"/>
      <c r="J35" s="525"/>
      <c r="K35" s="529"/>
    </row>
    <row r="36" spans="2:11" s="397" customFormat="1" ht="18">
      <c r="C36" s="513" t="s">
        <v>326</v>
      </c>
      <c r="E36" s="530">
        <f>'Multi-Year'!H148</f>
        <v>0</v>
      </c>
      <c r="F36" s="526">
        <f>E36</f>
        <v>0</v>
      </c>
      <c r="G36" s="529"/>
      <c r="H36" s="439"/>
      <c r="I36" s="530">
        <f>E36</f>
        <v>0</v>
      </c>
      <c r="J36" s="526">
        <f>I36</f>
        <v>0</v>
      </c>
      <c r="K36" s="529"/>
    </row>
    <row r="37" spans="2:11" s="397" customFormat="1" ht="18" customHeight="1">
      <c r="C37" s="514" t="s">
        <v>327</v>
      </c>
      <c r="E37" s="531">
        <f>E34+E36</f>
        <v>1698362.7300000004</v>
      </c>
      <c r="F37" s="527">
        <f>F34</f>
        <v>1159319.2724999934</v>
      </c>
      <c r="G37" s="529"/>
      <c r="H37" s="414"/>
      <c r="I37" s="531">
        <f>I34+I36</f>
        <v>1698362.7300000004</v>
      </c>
      <c r="J37" s="527">
        <f>J34+J36</f>
        <v>1159319.2724999934</v>
      </c>
      <c r="K37" s="529"/>
    </row>
    <row r="38" spans="2:11" s="536" customFormat="1" ht="16.25" customHeight="1">
      <c r="C38" s="535" t="s">
        <v>387</v>
      </c>
      <c r="E38" s="546">
        <f>E37/I28</f>
        <v>5.696879923746543E-2</v>
      </c>
      <c r="F38" s="547">
        <f>F37/J28</f>
        <v>4.6068515992975727E-2</v>
      </c>
      <c r="G38" s="548"/>
      <c r="H38" s="549"/>
      <c r="I38" s="546">
        <f>I37/I28</f>
        <v>5.696879923746543E-2</v>
      </c>
      <c r="J38" s="547">
        <f>J37/J28</f>
        <v>4.6068515992975727E-2</v>
      </c>
      <c r="K38" s="538"/>
    </row>
    <row r="39" spans="2:11" ht="5" customHeight="1">
      <c r="E39" s="532"/>
      <c r="F39" s="408"/>
      <c r="G39" s="533"/>
      <c r="I39" s="532"/>
      <c r="J39" s="408"/>
      <c r="K39" s="533"/>
    </row>
    <row r="40" spans="2:11" ht="15" customHeight="1"/>
    <row r="46" spans="2:11">
      <c r="C46" s="403"/>
      <c r="D46" s="403"/>
    </row>
    <row r="47" spans="2:11">
      <c r="C47" s="403"/>
      <c r="D47" s="403"/>
    </row>
    <row r="48" spans="2:11">
      <c r="C48" s="403"/>
      <c r="D48" s="403"/>
    </row>
    <row r="49" spans="3:26">
      <c r="C49" s="403"/>
      <c r="D49" s="403"/>
    </row>
    <row r="50" spans="3:26">
      <c r="C50" s="403"/>
      <c r="D50" s="403"/>
    </row>
    <row r="51" spans="3:26">
      <c r="C51" s="403"/>
      <c r="D51" s="403"/>
    </row>
    <row r="52" spans="3:26">
      <c r="C52" s="403"/>
      <c r="D52" s="403"/>
    </row>
    <row r="53" spans="3:26">
      <c r="C53" s="403"/>
      <c r="D53" s="403"/>
      <c r="V53" s="401" t="s">
        <v>253</v>
      </c>
      <c r="W53" s="401" t="s">
        <v>323</v>
      </c>
      <c r="X53" s="401" t="s">
        <v>332</v>
      </c>
      <c r="Y53" s="401" t="s">
        <v>340</v>
      </c>
      <c r="Z53" s="401" t="s">
        <v>406</v>
      </c>
    </row>
    <row r="54" spans="3:26" ht="5" customHeight="1">
      <c r="V54" s="518"/>
      <c r="W54" s="396"/>
      <c r="X54" s="396"/>
      <c r="Y54" s="396"/>
      <c r="Z54" s="550"/>
    </row>
    <row r="55" spans="3:26">
      <c r="T55" s="142" t="s">
        <v>1</v>
      </c>
      <c r="U55" s="142"/>
      <c r="V55" s="558">
        <f>'Multi-Year'!H52</f>
        <v>31510518.73</v>
      </c>
      <c r="W55" s="559">
        <f>'Multi-Year'!J52</f>
        <v>32205223.470083922</v>
      </c>
      <c r="X55" s="559">
        <f>'Multi-Year'!L52</f>
        <v>33000665.673424721</v>
      </c>
      <c r="Y55" s="559">
        <f>'Multi-Year'!N52</f>
        <v>35548966.206320807</v>
      </c>
      <c r="Z55" s="560">
        <f>'Multi-Year'!P52</f>
        <v>37343329.006958619</v>
      </c>
    </row>
    <row r="56" spans="3:26" ht="18">
      <c r="T56" s="142" t="s">
        <v>6</v>
      </c>
      <c r="U56" s="142"/>
      <c r="V56" s="555">
        <f>'Multi-Year'!H144</f>
        <v>29812155.659999996</v>
      </c>
      <c r="W56" s="556">
        <f>'Multi-Year'!J144</f>
        <v>29199520.616049595</v>
      </c>
      <c r="X56" s="556">
        <f>'Multi-Year'!L144</f>
        <v>29605489.738407888</v>
      </c>
      <c r="Y56" s="556">
        <f>'Multi-Year'!N144</f>
        <v>31800465.896172941</v>
      </c>
      <c r="Z56" s="557">
        <f>'Multi-Year'!P144</f>
        <v>34011895.01427573</v>
      </c>
    </row>
    <row r="57" spans="3:26" ht="5" customHeight="1">
      <c r="V57" s="551"/>
      <c r="W57" s="396"/>
      <c r="X57" s="396"/>
      <c r="Y57" s="396"/>
      <c r="Z57" s="550"/>
    </row>
    <row r="58" spans="3:26" s="171" customFormat="1" ht="18">
      <c r="T58" s="171" t="s">
        <v>390</v>
      </c>
      <c r="V58" s="419">
        <f>V55-V56</f>
        <v>1698363.070000004</v>
      </c>
      <c r="W58" s="394">
        <f t="shared" ref="W58:Z58" si="4">W55-W56</f>
        <v>3005702.854034327</v>
      </c>
      <c r="X58" s="394">
        <f t="shared" si="4"/>
        <v>3395175.9350168332</v>
      </c>
      <c r="Y58" s="394">
        <f t="shared" si="4"/>
        <v>3748500.3101478666</v>
      </c>
      <c r="Z58" s="395">
        <f t="shared" si="4"/>
        <v>3331433.9926828891</v>
      </c>
    </row>
    <row r="59" spans="3:26">
      <c r="V59" s="551"/>
      <c r="W59" s="396"/>
      <c r="X59" s="396"/>
      <c r="Y59" s="396"/>
      <c r="Z59" s="550"/>
    </row>
    <row r="60" spans="3:26" ht="18">
      <c r="T60" s="142" t="s">
        <v>326</v>
      </c>
      <c r="V60" s="555">
        <f>'Multi-Year'!H148</f>
        <v>0</v>
      </c>
      <c r="W60" s="556">
        <f>'Multi-Year'!J148</f>
        <v>1698363.070000004</v>
      </c>
      <c r="X60" s="556">
        <f>'Multi-Year'!L148</f>
        <v>4704065.924034331</v>
      </c>
      <c r="Y60" s="556">
        <f>'Multi-Year'!N148</f>
        <v>8099241.8590511642</v>
      </c>
      <c r="Z60" s="557">
        <f>'Multi-Year'!P148</f>
        <v>11847742.169199031</v>
      </c>
    </row>
    <row r="61" spans="3:26" s="171" customFormat="1" ht="18">
      <c r="T61" s="171" t="s">
        <v>327</v>
      </c>
      <c r="V61" s="420">
        <f>V60+V58</f>
        <v>1698363.070000004</v>
      </c>
      <c r="W61" s="398">
        <f t="shared" ref="W61:Z61" si="5">W60+W58</f>
        <v>4704065.924034331</v>
      </c>
      <c r="X61" s="398">
        <f t="shared" si="5"/>
        <v>8099241.8590511642</v>
      </c>
      <c r="Y61" s="398">
        <f t="shared" si="5"/>
        <v>11847742.169199031</v>
      </c>
      <c r="Z61" s="399">
        <f t="shared" si="5"/>
        <v>15179176.16188192</v>
      </c>
    </row>
    <row r="62" spans="3:26">
      <c r="T62" s="537" t="s">
        <v>387</v>
      </c>
      <c r="U62" s="545"/>
      <c r="V62" s="552">
        <f>V61/V56</f>
        <v>5.6968811291924007E-2</v>
      </c>
      <c r="W62" s="553">
        <f t="shared" ref="W62:Z62" si="6">W61/W56</f>
        <v>0.16110079291674154</v>
      </c>
      <c r="X62" s="553">
        <f t="shared" si="6"/>
        <v>0.2735722979290503</v>
      </c>
      <c r="Y62" s="553">
        <f t="shared" si="6"/>
        <v>0.37256505008075558</v>
      </c>
      <c r="Z62" s="554">
        <f t="shared" si="6"/>
        <v>0.44629022156838954</v>
      </c>
    </row>
    <row r="63" spans="3:26">
      <c r="V63" s="551"/>
      <c r="W63" s="396"/>
      <c r="X63" s="396"/>
      <c r="Y63" s="396"/>
      <c r="Z63" s="550"/>
    </row>
    <row r="64" spans="3:26" s="171" customFormat="1" ht="18">
      <c r="T64" s="171" t="s">
        <v>391</v>
      </c>
      <c r="V64" s="420">
        <f>'Multi-Year'!H177</f>
        <v>3676607.6200000048</v>
      </c>
      <c r="W64" s="398">
        <f>'Multi-Year'!J177</f>
        <v>3450804.7280375399</v>
      </c>
      <c r="X64" s="398">
        <f>'Multi-Year'!L177</f>
        <v>6756228.1362309121</v>
      </c>
      <c r="Y64" s="398">
        <f>'Multi-Year'!N177</f>
        <v>10099956.361951005</v>
      </c>
      <c r="Z64" s="399">
        <f>'Multi-Year'!P177</f>
        <v>13248142.755412921</v>
      </c>
    </row>
    <row r="65" spans="22:26" ht="5" customHeight="1">
      <c r="V65" s="532"/>
      <c r="W65" s="408"/>
      <c r="X65" s="408"/>
      <c r="Y65" s="408"/>
      <c r="Z65" s="533"/>
    </row>
  </sheetData>
  <mergeCells count="7">
    <mergeCell ref="E31:G31"/>
    <mergeCell ref="I31:K31"/>
    <mergeCell ref="O16:S16"/>
    <mergeCell ref="E3:G3"/>
    <mergeCell ref="I3:K3"/>
    <mergeCell ref="E14:G14"/>
    <mergeCell ref="I14:K14"/>
  </mergeCells>
  <printOptions horizontalCentered="1"/>
  <pageMargins left="0.3" right="0.2" top="0.35" bottom="0.25" header="0.3" footer="0.3"/>
  <pageSetup orientation="portrait" r:id="rId1"/>
  <customProperties>
    <customPr name="DrillPoint.Configuration" r:id="rId2"/>
    <customPr name="DrillPoint.FROID" r:id="rId3"/>
    <customPr name="DrillPoint.MIPOrganization" r:id="rId4"/>
    <customPr name="DrillPoint.Mode" r:id="rId5"/>
    <customPr name="DrillPoint.Subsheet" r:id="rId6"/>
    <customPr name="DrillPoint.WorksheetID" r:id="rId7"/>
  </customPropertie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L191"/>
  <sheetViews>
    <sheetView tabSelected="1" view="pageBreakPreview" zoomScaleNormal="145" zoomScaleSheetLayoutView="100" workbookViewId="0">
      <pane xSplit="4" ySplit="4" topLeftCell="E142" activePane="bottomRight" state="frozen"/>
      <selection activeCell="I11" sqref="I11"/>
      <selection pane="topRight" activeCell="I11" sqref="I11"/>
      <selection pane="bottomLeft" activeCell="I11" sqref="I11"/>
      <selection pane="bottomRight" activeCell="S166" sqref="S166"/>
    </sheetView>
  </sheetViews>
  <sheetFormatPr baseColWidth="10" defaultColWidth="8.83203125" defaultRowHeight="12"/>
  <cols>
    <col min="1" max="1" width="2.5" style="54" customWidth="1"/>
    <col min="2" max="2" width="1.6640625" style="54" customWidth="1"/>
    <col min="3" max="3" width="5.33203125" style="62" customWidth="1"/>
    <col min="4" max="4" width="28.6640625" style="62" bestFit="1" customWidth="1"/>
    <col min="5" max="5" width="10.33203125" style="63" customWidth="1"/>
    <col min="6" max="6" width="11.83203125" style="63" customWidth="1"/>
    <col min="7" max="10" width="10.33203125" style="63" customWidth="1"/>
    <col min="11" max="11" width="11.6640625" style="63" customWidth="1"/>
    <col min="12" max="15" width="10.33203125" style="63" customWidth="1"/>
    <col min="16" max="16" width="10.83203125" style="63" bestFit="1" customWidth="1"/>
    <col min="17" max="17" width="9.6640625" style="63" customWidth="1"/>
    <col min="18" max="18" width="1.6640625" style="63" customWidth="1"/>
    <col min="19" max="19" width="11.1640625" style="59" bestFit="1" customWidth="1"/>
    <col min="20" max="20" width="1.83203125" style="63" customWidth="1"/>
    <col min="21" max="21" width="10.5" style="63" bestFit="1" customWidth="1"/>
    <col min="22" max="22" width="9.6640625" style="63" customWidth="1"/>
    <col min="23" max="23" width="1.83203125" style="62" customWidth="1"/>
    <col min="24" max="24" width="9.6640625" style="63" hidden="1" customWidth="1"/>
    <col min="25" max="25" width="11.33203125" style="63" hidden="1" customWidth="1"/>
    <col min="26" max="27" width="8.83203125" style="62"/>
    <col min="28" max="28" width="23" style="62" bestFit="1" customWidth="1"/>
    <col min="29" max="29" width="13.83203125" style="62" bestFit="1" customWidth="1"/>
    <col min="30" max="31" width="11.33203125" style="62" bestFit="1" customWidth="1"/>
    <col min="32" max="36" width="8.83203125" style="62"/>
    <col min="37" max="37" width="17" style="62" bestFit="1" customWidth="1"/>
    <col min="38" max="38" width="9.83203125" style="62" bestFit="1" customWidth="1"/>
    <col min="39" max="16384" width="8.83203125" style="62"/>
  </cols>
  <sheetData>
    <row r="1" spans="1:25" s="54" customFormat="1" ht="21">
      <c r="A1" s="678" t="str">
        <f>'Revenue Inputs'!$C$3</f>
        <v>Granite Mountain Charter School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221"/>
      <c r="R1" s="221"/>
      <c r="S1" s="222"/>
      <c r="T1" s="221"/>
      <c r="U1" s="55"/>
      <c r="V1" s="55"/>
      <c r="X1" s="55"/>
      <c r="Y1" s="55"/>
    </row>
    <row r="2" spans="1:25" s="54" customFormat="1" ht="15">
      <c r="A2" s="56" t="s">
        <v>586</v>
      </c>
      <c r="B2" s="57"/>
      <c r="C2" s="57"/>
      <c r="D2" s="57"/>
      <c r="E2" s="58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R2" s="59"/>
      <c r="S2" s="59"/>
      <c r="U2" s="60"/>
      <c r="V2" s="60"/>
      <c r="X2" s="60"/>
      <c r="Y2" s="60"/>
    </row>
    <row r="3" spans="1:25" ht="13.5" customHeight="1">
      <c r="A3" s="61" t="s">
        <v>809</v>
      </c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674"/>
      <c r="P3" s="674"/>
      <c r="Q3" s="674"/>
      <c r="R3" s="59"/>
      <c r="S3" s="674"/>
      <c r="U3" s="64"/>
      <c r="V3" s="64"/>
      <c r="X3" s="64"/>
      <c r="Y3" s="64"/>
    </row>
    <row r="4" spans="1:25" s="67" customFormat="1" ht="26">
      <c r="C4" s="373" t="s">
        <v>280</v>
      </c>
      <c r="D4" s="372">
        <f>LCFF!H23</f>
        <v>3181.96</v>
      </c>
      <c r="E4" s="679">
        <v>43647</v>
      </c>
      <c r="F4" s="679">
        <f t="shared" ref="F4:P4" si="0">E4+31</f>
        <v>43678</v>
      </c>
      <c r="G4" s="679">
        <f t="shared" si="0"/>
        <v>43709</v>
      </c>
      <c r="H4" s="679">
        <f t="shared" si="0"/>
        <v>43740</v>
      </c>
      <c r="I4" s="679">
        <f t="shared" si="0"/>
        <v>43771</v>
      </c>
      <c r="J4" s="679">
        <f t="shared" si="0"/>
        <v>43802</v>
      </c>
      <c r="K4" s="679">
        <f t="shared" si="0"/>
        <v>43833</v>
      </c>
      <c r="L4" s="679">
        <f t="shared" si="0"/>
        <v>43864</v>
      </c>
      <c r="M4" s="679">
        <f t="shared" si="0"/>
        <v>43895</v>
      </c>
      <c r="N4" s="679">
        <f t="shared" si="0"/>
        <v>43926</v>
      </c>
      <c r="O4" s="679">
        <f t="shared" si="0"/>
        <v>43957</v>
      </c>
      <c r="P4" s="679">
        <f t="shared" si="0"/>
        <v>43988</v>
      </c>
      <c r="Q4" s="680" t="s">
        <v>345</v>
      </c>
      <c r="R4" s="65"/>
      <c r="S4" s="675" t="s">
        <v>396</v>
      </c>
      <c r="T4" s="66"/>
      <c r="U4" s="680" t="s">
        <v>76</v>
      </c>
      <c r="V4" s="680" t="s">
        <v>383</v>
      </c>
      <c r="X4" s="679" t="s">
        <v>370</v>
      </c>
      <c r="Y4" s="679" t="s">
        <v>383</v>
      </c>
    </row>
    <row r="5" spans="1:25" s="75" customFormat="1" ht="12" hidden="1" customHeight="1">
      <c r="A5" s="68" t="s">
        <v>258</v>
      </c>
      <c r="B5" s="68"/>
      <c r="C5" s="69"/>
      <c r="D5" s="69"/>
      <c r="E5" s="881">
        <v>0.05</v>
      </c>
      <c r="F5" s="881">
        <v>0.05</v>
      </c>
      <c r="G5" s="881">
        <v>0.09</v>
      </c>
      <c r="H5" s="881">
        <v>0.09</v>
      </c>
      <c r="I5" s="881">
        <v>0.09</v>
      </c>
      <c r="J5" s="881">
        <v>0.09</v>
      </c>
      <c r="K5" s="881">
        <v>0.09</v>
      </c>
      <c r="L5" s="881">
        <v>0.2</v>
      </c>
      <c r="M5" s="881">
        <v>0.19999999999999998</v>
      </c>
      <c r="N5" s="881">
        <v>0.19999999999999998</v>
      </c>
      <c r="O5" s="881">
        <v>0.19999999999999998</v>
      </c>
      <c r="P5" s="1055">
        <v>0.19999999999999998</v>
      </c>
      <c r="Q5" s="593">
        <v>0</v>
      </c>
      <c r="R5" s="74"/>
      <c r="S5" s="634"/>
      <c r="T5" s="55"/>
      <c r="U5" s="280"/>
      <c r="V5" s="280"/>
      <c r="X5" s="280"/>
      <c r="Y5" s="280"/>
    </row>
    <row r="6" spans="1:25" s="75" customFormat="1" ht="12" hidden="1" customHeight="1">
      <c r="A6" s="68" t="s">
        <v>7</v>
      </c>
      <c r="B6" s="68"/>
      <c r="C6" s="69"/>
      <c r="D6" s="69"/>
      <c r="E6" s="881">
        <v>0</v>
      </c>
      <c r="F6" s="881">
        <v>0</v>
      </c>
      <c r="G6" s="881">
        <v>0.37</v>
      </c>
      <c r="H6" s="881">
        <v>0</v>
      </c>
      <c r="I6" s="881">
        <v>0</v>
      </c>
      <c r="J6" s="881">
        <v>0.55000000000000004</v>
      </c>
      <c r="K6" s="881">
        <v>0</v>
      </c>
      <c r="L6" s="881" t="s">
        <v>229</v>
      </c>
      <c r="M6" s="881" t="s">
        <v>229</v>
      </c>
      <c r="N6" s="881" t="s">
        <v>229</v>
      </c>
      <c r="O6" s="881" t="s">
        <v>229</v>
      </c>
      <c r="P6" s="1055" t="s">
        <v>229</v>
      </c>
      <c r="Q6" s="593" t="s">
        <v>229</v>
      </c>
      <c r="R6" s="74"/>
      <c r="S6" s="634"/>
      <c r="T6" s="76"/>
      <c r="U6" s="290"/>
      <c r="V6" s="290"/>
      <c r="X6" s="290"/>
      <c r="Y6" s="290"/>
    </row>
    <row r="7" spans="1:25" s="85" customFormat="1" ht="12" hidden="1" customHeight="1">
      <c r="A7" s="68" t="s">
        <v>8</v>
      </c>
      <c r="B7" s="81"/>
      <c r="C7" s="82"/>
      <c r="D7" s="82"/>
      <c r="E7" s="882">
        <v>0.06</v>
      </c>
      <c r="F7" s="882">
        <v>0.12</v>
      </c>
      <c r="G7" s="882">
        <v>0.08</v>
      </c>
      <c r="H7" s="882">
        <v>0.08</v>
      </c>
      <c r="I7" s="882">
        <v>0.08</v>
      </c>
      <c r="J7" s="882">
        <v>0.08</v>
      </c>
      <c r="K7" s="882">
        <v>0.08</v>
      </c>
      <c r="L7" s="882">
        <v>0.33333333333333331</v>
      </c>
      <c r="M7" s="882">
        <v>0.16666666666666666</v>
      </c>
      <c r="N7" s="882">
        <v>0.16666666666666666</v>
      </c>
      <c r="O7" s="882">
        <v>0.16666666666666666</v>
      </c>
      <c r="P7" s="1056">
        <f>1-SUM(L7:O7)</f>
        <v>0.16666666666666674</v>
      </c>
      <c r="Q7" s="594">
        <v>0</v>
      </c>
      <c r="R7" s="84"/>
      <c r="S7" s="634"/>
      <c r="U7" s="301"/>
      <c r="V7" s="301"/>
      <c r="X7" s="301"/>
      <c r="Y7" s="301"/>
    </row>
    <row r="8" spans="1:25" s="85" customFormat="1" ht="12" hidden="1" customHeight="1">
      <c r="A8" s="68" t="s">
        <v>281</v>
      </c>
      <c r="B8" s="81"/>
      <c r="C8" s="82"/>
      <c r="D8" s="82"/>
      <c r="E8" s="882">
        <v>0</v>
      </c>
      <c r="F8" s="882">
        <v>0</v>
      </c>
      <c r="G8" s="882">
        <v>0.26</v>
      </c>
      <c r="H8" s="882">
        <v>0.08</v>
      </c>
      <c r="I8" s="882">
        <v>0.08</v>
      </c>
      <c r="J8" s="882">
        <v>0.08</v>
      </c>
      <c r="K8" s="882">
        <v>0.08</v>
      </c>
      <c r="L8" s="882" t="s">
        <v>229</v>
      </c>
      <c r="M8" s="882" t="s">
        <v>229</v>
      </c>
      <c r="N8" s="882" t="s">
        <v>229</v>
      </c>
      <c r="O8" s="882" t="s">
        <v>229</v>
      </c>
      <c r="P8" s="1056" t="s">
        <v>229</v>
      </c>
      <c r="Q8" s="593" t="s">
        <v>229</v>
      </c>
      <c r="R8" s="84"/>
      <c r="S8" s="634"/>
      <c r="U8" s="301"/>
      <c r="V8" s="301"/>
      <c r="X8" s="301"/>
      <c r="Y8" s="301"/>
    </row>
    <row r="9" spans="1:25" s="85" customFormat="1" ht="12" hidden="1" customHeight="1">
      <c r="A9" s="68" t="s">
        <v>142</v>
      </c>
      <c r="B9" s="68"/>
      <c r="C9" s="82"/>
      <c r="D9" s="82"/>
      <c r="E9" s="471">
        <v>0.05</v>
      </c>
      <c r="F9" s="471">
        <v>0.05</v>
      </c>
      <c r="G9" s="471">
        <v>0.09</v>
      </c>
      <c r="H9" s="471">
        <v>0.09</v>
      </c>
      <c r="I9" s="471">
        <v>0.09</v>
      </c>
      <c r="J9" s="471">
        <v>0.09</v>
      </c>
      <c r="K9" s="471">
        <v>0.09</v>
      </c>
      <c r="L9" s="471">
        <v>0.2</v>
      </c>
      <c r="M9" s="471">
        <v>0.19999999999999998</v>
      </c>
      <c r="N9" s="471">
        <v>0.19999999999999998</v>
      </c>
      <c r="O9" s="471">
        <v>0.19999999999999998</v>
      </c>
      <c r="P9" s="1057">
        <v>0.19999999999999998</v>
      </c>
      <c r="Q9" s="618">
        <v>0</v>
      </c>
      <c r="R9" s="74"/>
      <c r="S9" s="634"/>
      <c r="U9" s="290"/>
      <c r="V9" s="290"/>
      <c r="X9" s="290"/>
      <c r="Y9" s="290"/>
    </row>
    <row r="10" spans="1:25" s="95" customFormat="1" ht="12" hidden="1" customHeight="1">
      <c r="A10" s="91"/>
      <c r="B10" s="91"/>
      <c r="C10" s="91"/>
      <c r="D10" s="91"/>
      <c r="E10" s="600"/>
      <c r="F10" s="600"/>
      <c r="G10" s="600"/>
      <c r="H10" s="600"/>
      <c r="I10" s="600"/>
      <c r="J10" s="600"/>
      <c r="K10" s="600"/>
      <c r="L10" s="600"/>
      <c r="M10" s="600"/>
      <c r="N10" s="600"/>
      <c r="O10" s="600"/>
      <c r="P10" s="600"/>
      <c r="Q10" s="596"/>
      <c r="R10" s="93"/>
      <c r="S10" s="635"/>
      <c r="T10" s="93"/>
    </row>
    <row r="11" spans="1:25" s="95" customFormat="1" ht="18.75" customHeight="1">
      <c r="A11" s="96" t="s">
        <v>9</v>
      </c>
      <c r="B11" s="96"/>
      <c r="C11" s="97"/>
      <c r="D11" s="98"/>
      <c r="E11" s="600"/>
      <c r="F11" s="600"/>
      <c r="G11" s="600"/>
      <c r="H11" s="600"/>
      <c r="I11" s="600"/>
      <c r="J11" s="600"/>
      <c r="K11" s="600"/>
      <c r="L11" s="600"/>
      <c r="M11" s="600"/>
      <c r="N11" s="600"/>
      <c r="O11" s="600"/>
      <c r="P11" s="600"/>
      <c r="Q11" s="597"/>
      <c r="R11" s="100"/>
      <c r="S11" s="636"/>
      <c r="T11" s="100"/>
      <c r="U11" s="375" t="s">
        <v>280</v>
      </c>
      <c r="V11" s="372">
        <v>2741.7</v>
      </c>
      <c r="X11" s="375" t="s">
        <v>280</v>
      </c>
      <c r="Y11" s="372">
        <f>'Revenue Inputs'!D30</f>
        <v>0</v>
      </c>
    </row>
    <row r="12" spans="1:25" s="95" customFormat="1" ht="12" customHeight="1">
      <c r="A12" s="96"/>
      <c r="B12" s="96" t="s">
        <v>255</v>
      </c>
      <c r="C12" s="97"/>
      <c r="D12" s="98"/>
      <c r="E12" s="600"/>
      <c r="F12" s="600"/>
      <c r="G12" s="600"/>
      <c r="H12" s="600"/>
      <c r="I12" s="600"/>
      <c r="J12" s="600"/>
      <c r="K12" s="600"/>
      <c r="L12" s="600"/>
      <c r="M12" s="600"/>
      <c r="N12" s="600"/>
      <c r="O12" s="600"/>
      <c r="P12" s="600"/>
      <c r="Q12" s="598"/>
      <c r="R12" s="101"/>
      <c r="S12" s="637"/>
      <c r="T12" s="101"/>
    </row>
    <row r="13" spans="1:25" s="95" customFormat="1" ht="12" hidden="1" customHeight="1">
      <c r="A13" s="114"/>
      <c r="B13" s="114" t="s">
        <v>186</v>
      </c>
      <c r="C13" s="115"/>
      <c r="D13" s="116" t="s">
        <v>176</v>
      </c>
      <c r="E13" s="117">
        <v>0</v>
      </c>
      <c r="F13" s="117">
        <f>('Revenue Inputs'!$D$22*(LCFF!H47*(1-'Revenue Inputs'!$D$9)-'Revenue Inputs'!$G$31))*E6</f>
        <v>0</v>
      </c>
      <c r="G13" s="117">
        <f>('Revenue Inputs'!$D$22*(LCFF!H47*(1-'Revenue Inputs'!$D$9)-'Revenue Inputs'!$G$31))*F6</f>
        <v>0</v>
      </c>
      <c r="H13" s="117">
        <v>11771579</v>
      </c>
      <c r="I13" s="117">
        <f>('Revenue Inputs'!$D$22*(LCFF!H47*(1-'Revenue Inputs'!$D$9)-'Revenue Inputs'!$G$31))*H6</f>
        <v>0</v>
      </c>
      <c r="J13" s="117">
        <f>('Revenue Inputs'!$D$22*(LCFF!H47*(1-'Revenue Inputs'!$D$9)-'Revenue Inputs'!$G$31))*I6</f>
        <v>0</v>
      </c>
      <c r="K13" s="117">
        <v>6371667</v>
      </c>
      <c r="L13" s="117">
        <f>('Revenue Inputs'!$D$22*(LCFF!H47*(1-'Revenue Inputs'!$D$9)-'Revenue Inputs'!$G$31))*K6</f>
        <v>0</v>
      </c>
      <c r="M13" s="117"/>
      <c r="N13" s="117"/>
      <c r="O13" s="117"/>
      <c r="P13" s="117"/>
      <c r="Q13" s="599"/>
      <c r="R13" s="339"/>
      <c r="S13" s="213">
        <f>SUM(E13:Q13)</f>
        <v>18143246</v>
      </c>
      <c r="T13" s="117"/>
      <c r="U13" s="339">
        <v>12313720.010624997</v>
      </c>
      <c r="V13" s="339">
        <f t="shared" ref="V13:V18" si="1">S13-U13</f>
        <v>5829525.9893750027</v>
      </c>
      <c r="X13" s="339">
        <f>'FY18-19'!S13</f>
        <v>0</v>
      </c>
      <c r="Y13" s="339">
        <f t="shared" ref="Y13:Y18" si="2">S13-X13</f>
        <v>18143246</v>
      </c>
    </row>
    <row r="14" spans="1:25" s="112" customFormat="1" ht="12" hidden="1" customHeight="1">
      <c r="A14" s="114"/>
      <c r="B14" s="114" t="s">
        <v>186</v>
      </c>
      <c r="C14" s="115"/>
      <c r="D14" s="116" t="s">
        <v>177</v>
      </c>
      <c r="E14" s="312">
        <v>0</v>
      </c>
      <c r="F14" s="312">
        <f>IF('Revenue Inputs'!$D$30&gt;0,((LCFF!H47-'Revenue Inputs'!$G$31)*'Revenue Inputs'!$D$30)*(1-'Revenue Inputs'!$D$9)*0.05,0)</f>
        <v>0</v>
      </c>
      <c r="G14" s="312">
        <f>IF('Revenue Inputs'!$D$30&gt;0,((LCFF!H47-'Revenue Inputs'!$G$31)*'Revenue Inputs'!$D$30)*(1-'Revenue Inputs'!$D$9)*0.05,0)</f>
        <v>0</v>
      </c>
      <c r="H14" s="312">
        <f>IF('Revenue Inputs'!$D$30&gt;0,((LCFF!H47-'Revenue Inputs'!$G$31)*'Revenue Inputs'!$D$30)*(1-'Revenue Inputs'!$D$9)*0.09,0)</f>
        <v>0</v>
      </c>
      <c r="I14" s="312">
        <f>IF('Revenue Inputs'!$D$30&gt;0,((LCFF!H47-'Revenue Inputs'!$G$31)*'Revenue Inputs'!$D$30)*(1-'Revenue Inputs'!$D$9)*0.09,0)</f>
        <v>0</v>
      </c>
      <c r="J14" s="312">
        <f>IF('Revenue Inputs'!$D$30&gt;0,((LCFF!H47-'Revenue Inputs'!$G$31)*'Revenue Inputs'!$D$30)*(1-'Revenue Inputs'!$D$9)*0.09,0)</f>
        <v>0</v>
      </c>
      <c r="K14" s="312">
        <f>IF('Revenue Inputs'!$D$30&gt;0,((LCFF!H47-'Revenue Inputs'!$G$31)*'Revenue Inputs'!$D$30)*(1-'Revenue Inputs'!$D$9)*0.09,0)</f>
        <v>0</v>
      </c>
      <c r="L14" s="312">
        <f>IF('Revenue Inputs'!$D$30&gt;0,((LCFF!H47-'Revenue Inputs'!$G$31)*'Revenue Inputs'!$D$30)*(1-'Revenue Inputs'!$D$9)*0.09,0)</f>
        <v>0</v>
      </c>
      <c r="M14" s="312">
        <v>9012241</v>
      </c>
      <c r="N14" s="312">
        <v>0</v>
      </c>
      <c r="O14" s="312">
        <v>0</v>
      </c>
      <c r="P14" s="312">
        <v>0</v>
      </c>
      <c r="Q14" s="619">
        <f>LCFF!H46-S16-S18-SUM(E13:P14)</f>
        <v>283353.55749060214</v>
      </c>
      <c r="R14" s="340"/>
      <c r="S14" s="213">
        <f>SUM(E14:Q14)</f>
        <v>9295594.5574906021</v>
      </c>
      <c r="T14" s="118"/>
      <c r="U14" s="339">
        <v>10074861.826874994</v>
      </c>
      <c r="V14" s="339">
        <f t="shared" si="1"/>
        <v>-779267.26938439161</v>
      </c>
      <c r="W14" s="95"/>
      <c r="X14" s="339">
        <f>'FY18-19'!S14</f>
        <v>0</v>
      </c>
      <c r="Y14" s="339">
        <f t="shared" si="2"/>
        <v>9295594.5574906021</v>
      </c>
    </row>
    <row r="15" spans="1:25" s="112" customFormat="1" ht="12" customHeight="1">
      <c r="A15" s="109"/>
      <c r="B15" s="109" t="s">
        <v>186</v>
      </c>
      <c r="C15" s="102">
        <v>8011</v>
      </c>
      <c r="D15" s="104" t="s">
        <v>258</v>
      </c>
      <c r="E15" s="600">
        <f t="shared" ref="E15:O15" si="3">SUM(E13:E14)</f>
        <v>0</v>
      </c>
      <c r="F15" s="600">
        <f t="shared" si="3"/>
        <v>0</v>
      </c>
      <c r="G15" s="600">
        <f>SUM(G13:G14)</f>
        <v>0</v>
      </c>
      <c r="H15" s="600">
        <f t="shared" si="3"/>
        <v>11771579</v>
      </c>
      <c r="I15" s="600">
        <f t="shared" si="3"/>
        <v>0</v>
      </c>
      <c r="J15" s="600">
        <f t="shared" si="3"/>
        <v>0</v>
      </c>
      <c r="K15" s="600">
        <f>SUM(K13:K14)</f>
        <v>6371667</v>
      </c>
      <c r="L15" s="600">
        <f>SUM(L13:L14)</f>
        <v>0</v>
      </c>
      <c r="M15" s="600">
        <f>SUM(M13:M14)</f>
        <v>9012241</v>
      </c>
      <c r="N15" s="600">
        <f t="shared" si="3"/>
        <v>0</v>
      </c>
      <c r="O15" s="600">
        <f t="shared" si="3"/>
        <v>0</v>
      </c>
      <c r="P15" s="600">
        <f>VLOOKUP($C15,Data!$A:$O,COLUMNS(Data!$A:N),FALSE)</f>
        <v>282070</v>
      </c>
      <c r="Q15" s="600">
        <v>0</v>
      </c>
      <c r="R15" s="99"/>
      <c r="S15" s="638">
        <f>SUM(E15:Q15)</f>
        <v>27437557</v>
      </c>
      <c r="T15" s="99"/>
      <c r="U15" s="94">
        <v>22388581.837499995</v>
      </c>
      <c r="V15" s="94">
        <f t="shared" si="1"/>
        <v>5048975.1625000052</v>
      </c>
      <c r="W15" s="95"/>
      <c r="X15" s="94">
        <f>'FY18-19'!S15</f>
        <v>0</v>
      </c>
      <c r="Y15" s="94">
        <f t="shared" si="2"/>
        <v>27437557</v>
      </c>
    </row>
    <row r="16" spans="1:25" s="112" customFormat="1" ht="12" customHeight="1">
      <c r="A16" s="109"/>
      <c r="B16" s="109" t="s">
        <v>186</v>
      </c>
      <c r="C16" s="102">
        <v>8012</v>
      </c>
      <c r="D16" s="223" t="s">
        <v>257</v>
      </c>
      <c r="E16" s="617">
        <f>VLOOKUP($C16,Data!$A:$O,COLUMNS(Data!$A:C),FALSE)</f>
        <v>0</v>
      </c>
      <c r="F16" s="617">
        <f>VLOOKUP($C16,Data!$A:$O,COLUMNS(Data!$A:D),FALSE)</f>
        <v>0</v>
      </c>
      <c r="G16" s="617">
        <f>VLOOKUP($C16,Data!$A:$O,COLUMNS(Data!$A:E),FALSE)</f>
        <v>0</v>
      </c>
      <c r="H16" s="617">
        <f>VLOOKUP($C16,Data!$A:$O,COLUMNS(Data!$A:F),FALSE)</f>
        <v>147000</v>
      </c>
      <c r="I16" s="617">
        <f>VLOOKUP($C16,Data!$A:$O,COLUMNS(Data!$A:G),FALSE)</f>
        <v>0</v>
      </c>
      <c r="J16" s="617">
        <f>VLOOKUP($C16,Data!$A:$O,COLUMNS(Data!$A:H),FALSE)</f>
        <v>0</v>
      </c>
      <c r="K16" s="617">
        <f>VLOOKUP($C16,Data!$A:$O,COLUMNS(Data!$A:I),FALSE)</f>
        <v>163507</v>
      </c>
      <c r="L16" s="617">
        <f>VLOOKUP($C16,Data!$A:$O,COLUMNS(Data!$A:J),FALSE)</f>
        <v>0</v>
      </c>
      <c r="M16" s="617">
        <f>VLOOKUP($C16,Data!$A:$O,COLUMNS(Data!$A:K),FALSE)</f>
        <v>0</v>
      </c>
      <c r="N16" s="617">
        <f>VLOOKUP($C16,Data!$A:$O,COLUMNS(Data!$A:L),FALSE)</f>
        <v>164163</v>
      </c>
      <c r="O16" s="617">
        <f>VLOOKUP($C16,Data!$A:$O,COLUMNS(Data!$A:M),FALSE)</f>
        <v>0</v>
      </c>
      <c r="P16" s="617">
        <f>VLOOKUP($C16,Data!$A:$O,COLUMNS(Data!$A:N),FALSE)</f>
        <v>161694</v>
      </c>
      <c r="Q16" s="617">
        <v>0</v>
      </c>
      <c r="R16" s="99"/>
      <c r="S16" s="638">
        <f>SUM(E16:Q16)</f>
        <v>636364</v>
      </c>
      <c r="T16" s="99"/>
      <c r="U16" s="94">
        <v>548340</v>
      </c>
      <c r="V16" s="94">
        <f t="shared" si="1"/>
        <v>88024</v>
      </c>
      <c r="W16" s="95"/>
      <c r="X16" s="94">
        <f>'FY18-19'!S16</f>
        <v>0</v>
      </c>
      <c r="Y16" s="94">
        <f t="shared" si="2"/>
        <v>636364</v>
      </c>
    </row>
    <row r="17" spans="1:25" s="112" customFormat="1" ht="12" hidden="1" customHeight="1">
      <c r="A17" s="109"/>
      <c r="B17" s="109" t="s">
        <v>186</v>
      </c>
      <c r="C17" s="102">
        <v>8019</v>
      </c>
      <c r="D17" s="104" t="s">
        <v>256</v>
      </c>
      <c r="E17" s="617">
        <f>VLOOKUP($C17,Data!$A:$O,COLUMNS(Data!$A:C),FALSE)</f>
        <v>0</v>
      </c>
      <c r="F17" s="617">
        <v>0</v>
      </c>
      <c r="G17" s="617">
        <v>0</v>
      </c>
      <c r="H17" s="617">
        <v>0</v>
      </c>
      <c r="I17" s="600">
        <f t="shared" ref="I17" si="4">SUM(I15:I16)</f>
        <v>0</v>
      </c>
      <c r="J17" s="600">
        <v>0</v>
      </c>
      <c r="K17" s="617">
        <f>VLOOKUP($C17,Data!$A:$O,COLUMNS(Data!$A:I),FALSE)</f>
        <v>0</v>
      </c>
      <c r="L17" s="617">
        <f t="shared" ref="L17:L18" si="5">SUM(L15:L16)</f>
        <v>0</v>
      </c>
      <c r="M17" s="617">
        <f>VLOOKUP($C17,Data!$A:$O,COLUMNS(Data!$A:K),FALSE)</f>
        <v>0</v>
      </c>
      <c r="N17" s="617">
        <v>0</v>
      </c>
      <c r="O17" s="617">
        <f>VLOOKUP($C17,Data!$A:$O,COLUMNS(Data!$A:M),FALSE)</f>
        <v>0</v>
      </c>
      <c r="P17" s="617">
        <f>VLOOKUP($C17,Data!$A:$O,COLUMNS(Data!$A:N),FALSE)</f>
        <v>0</v>
      </c>
      <c r="Q17" s="601">
        <v>0</v>
      </c>
      <c r="R17" s="99"/>
      <c r="S17" s="638">
        <f t="shared" ref="S17:S18" si="6">SUM(E17:Q17)</f>
        <v>0</v>
      </c>
      <c r="T17" s="99"/>
      <c r="U17" s="94">
        <v>0</v>
      </c>
      <c r="V17" s="94">
        <f t="shared" si="1"/>
        <v>0</v>
      </c>
      <c r="W17" s="95"/>
      <c r="X17" s="94">
        <f>'FY18-19'!S17</f>
        <v>0</v>
      </c>
      <c r="Y17" s="94">
        <f t="shared" si="2"/>
        <v>0</v>
      </c>
    </row>
    <row r="18" spans="1:25" s="112" customFormat="1" ht="12" customHeight="1">
      <c r="A18" s="109"/>
      <c r="B18" s="109" t="s">
        <v>186</v>
      </c>
      <c r="C18" s="102">
        <v>8096</v>
      </c>
      <c r="D18" s="103" t="s">
        <v>8</v>
      </c>
      <c r="E18" s="617">
        <f>VLOOKUP($C18,Data!$A:$O,COLUMNS(Data!$A:C),FALSE)</f>
        <v>0</v>
      </c>
      <c r="F18" s="617">
        <f>VLOOKUP($C18,Data!$A:$O,COLUMNS(Data!$A:D),FALSE)</f>
        <v>0</v>
      </c>
      <c r="G18" s="617">
        <f>VLOOKUP($C18,Data!$A:$O,COLUMNS(Data!$A:E),FALSE)</f>
        <v>0</v>
      </c>
      <c r="H18" s="617">
        <f>VLOOKUP($C18,Data!$A:$O,COLUMNS(Data!$A:F),FALSE)</f>
        <v>0</v>
      </c>
      <c r="I18" s="600">
        <f t="shared" ref="I18:J18" si="7">SUM(I16:I17)</f>
        <v>0</v>
      </c>
      <c r="J18" s="600">
        <f t="shared" si="7"/>
        <v>0</v>
      </c>
      <c r="K18" s="617">
        <f>VLOOKUP($C18,Data!$A:$O,COLUMNS(Data!$A:I),FALSE)</f>
        <v>0</v>
      </c>
      <c r="L18" s="617">
        <f t="shared" si="5"/>
        <v>0</v>
      </c>
      <c r="M18" s="617">
        <f>VLOOKUP($C18,Data!$A:$O,COLUMNS(Data!$A:K),FALSE)</f>
        <v>0</v>
      </c>
      <c r="N18" s="617">
        <f>VLOOKUP($C18,Data!$A:$O,COLUMNS(Data!$A:L),FALSE)</f>
        <v>0</v>
      </c>
      <c r="O18" s="617">
        <f>VLOOKUP($C18,Data!$A:$O,COLUMNS(Data!$A:M),FALSE)</f>
        <v>0</v>
      </c>
      <c r="P18" s="617">
        <f>VLOOKUP($C18,Data!$A:$O,COLUMNS(Data!$A:N),FALSE)</f>
        <v>841560</v>
      </c>
      <c r="Q18" s="602">
        <v>0</v>
      </c>
      <c r="R18" s="99"/>
      <c r="S18" s="638">
        <f t="shared" si="6"/>
        <v>841560</v>
      </c>
      <c r="T18" s="99"/>
      <c r="U18" s="94">
        <v>1246239.7349999999</v>
      </c>
      <c r="V18" s="94">
        <f t="shared" si="1"/>
        <v>-404679.73499999987</v>
      </c>
      <c r="W18" s="95"/>
      <c r="X18" s="94">
        <f>'FY18-19'!S18</f>
        <v>0</v>
      </c>
      <c r="Y18" s="94">
        <f t="shared" si="2"/>
        <v>841560</v>
      </c>
    </row>
    <row r="19" spans="1:25" s="95" customFormat="1" ht="12" customHeight="1">
      <c r="A19" s="96"/>
      <c r="B19" s="96" t="s">
        <v>186</v>
      </c>
      <c r="C19" s="102"/>
      <c r="D19" s="103"/>
      <c r="E19" s="603">
        <f>SUM(E15:E18)</f>
        <v>0</v>
      </c>
      <c r="F19" s="603">
        <f t="shared" ref="F19:Q19" si="8">SUM(F15:F18)</f>
        <v>0</v>
      </c>
      <c r="G19" s="603">
        <f t="shared" si="8"/>
        <v>0</v>
      </c>
      <c r="H19" s="603">
        <f t="shared" si="8"/>
        <v>11918579</v>
      </c>
      <c r="I19" s="603">
        <f t="shared" si="8"/>
        <v>0</v>
      </c>
      <c r="J19" s="603">
        <f t="shared" si="8"/>
        <v>0</v>
      </c>
      <c r="K19" s="603">
        <f t="shared" si="8"/>
        <v>6535174</v>
      </c>
      <c r="L19" s="603">
        <f t="shared" si="8"/>
        <v>0</v>
      </c>
      <c r="M19" s="603">
        <f t="shared" si="8"/>
        <v>9012241</v>
      </c>
      <c r="N19" s="603">
        <f t="shared" si="8"/>
        <v>164163</v>
      </c>
      <c r="O19" s="603">
        <f t="shared" si="8"/>
        <v>0</v>
      </c>
      <c r="P19" s="603">
        <f t="shared" si="8"/>
        <v>1285324</v>
      </c>
      <c r="Q19" s="603">
        <f t="shared" si="8"/>
        <v>0</v>
      </c>
      <c r="R19" s="101"/>
      <c r="S19" s="626">
        <f>SUM(S15:S18)</f>
        <v>28915481</v>
      </c>
      <c r="T19" s="101"/>
      <c r="U19" s="216">
        <v>24183161.572499994</v>
      </c>
      <c r="V19" s="216">
        <f>SUM(V15:V18)</f>
        <v>4732319.4275000058</v>
      </c>
      <c r="X19" s="216">
        <f>SUM(X15:X18)</f>
        <v>0</v>
      </c>
      <c r="Y19" s="216">
        <f>SUM(Y15:Y18)</f>
        <v>28915481</v>
      </c>
    </row>
    <row r="20" spans="1:25" s="95" customFormat="1" ht="12" customHeight="1">
      <c r="A20" s="91"/>
      <c r="B20" s="91" t="s">
        <v>282</v>
      </c>
      <c r="C20" s="91"/>
      <c r="D20" s="91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92"/>
      <c r="S20" s="627"/>
      <c r="T20" s="92"/>
      <c r="U20" s="92"/>
      <c r="V20" s="92"/>
      <c r="X20" s="92"/>
      <c r="Y20" s="92"/>
    </row>
    <row r="21" spans="1:25" s="95" customFormat="1">
      <c r="A21" s="91"/>
      <c r="B21" s="91" t="s">
        <v>186</v>
      </c>
      <c r="C21" s="102">
        <v>8181</v>
      </c>
      <c r="D21" s="105" t="s">
        <v>315</v>
      </c>
      <c r="E21" s="606">
        <f>VLOOKUP($C21,Data!$A:$O,COLUMNS(Data!$A:C),FALSE)</f>
        <v>0</v>
      </c>
      <c r="F21" s="606">
        <f>VLOOKUP($C21,Data!$A:$O,COLUMNS(Data!$A:D),FALSE)</f>
        <v>0</v>
      </c>
      <c r="G21" s="606">
        <f>VLOOKUP($C21,Data!$A:$O,COLUMNS(Data!$A:E),FALSE)</f>
        <v>0</v>
      </c>
      <c r="H21" s="606">
        <f>VLOOKUP($C21,Data!$A:$O,COLUMNS(Data!$A:F),FALSE)</f>
        <v>0</v>
      </c>
      <c r="I21" s="606">
        <f>VLOOKUP($C21,Data!$A:$O,COLUMNS(Data!$A:G),FALSE)</f>
        <v>0</v>
      </c>
      <c r="J21" s="606">
        <f>VLOOKUP($C21,Data!$A:$O,COLUMNS(Data!$A:H),FALSE)</f>
        <v>0</v>
      </c>
      <c r="K21" s="606">
        <f>VLOOKUP($C21,Data!$A:$O,COLUMNS(Data!$A:I),FALSE)</f>
        <v>0</v>
      </c>
      <c r="L21" s="606">
        <f>VLOOKUP($C21,Data!$A:$O,COLUMNS(Data!$A:J),FALSE)</f>
        <v>0</v>
      </c>
      <c r="M21" s="606">
        <f>VLOOKUP($C21,Data!$A:$O,COLUMNS(Data!$A:K),FALSE)</f>
        <v>0</v>
      </c>
      <c r="N21" s="606">
        <f>VLOOKUP($C21,Data!$A:$O,COLUMNS(Data!$A:L),FALSE)</f>
        <v>0</v>
      </c>
      <c r="O21" s="606">
        <f>VLOOKUP($C21,Data!$A:$O,COLUMNS(Data!$A:M),FALSE)</f>
        <v>0</v>
      </c>
      <c r="P21" s="606">
        <f>VLOOKUP($C21,Data!$A:$O,COLUMNS(Data!$A:N),FALSE)</f>
        <v>0</v>
      </c>
      <c r="Q21" s="602">
        <v>0</v>
      </c>
      <c r="R21" s="99"/>
      <c r="S21" s="638">
        <f t="shared" ref="S21:S30" si="9">SUM(E21:Q21)</f>
        <v>0</v>
      </c>
      <c r="T21" s="99"/>
      <c r="U21" s="94">
        <v>285136.8</v>
      </c>
      <c r="V21" s="94">
        <f t="shared" ref="V21:V45" si="10">S21-U21</f>
        <v>-285136.8</v>
      </c>
      <c r="X21" s="94">
        <f>'FY18-19'!S21</f>
        <v>0</v>
      </c>
      <c r="Y21" s="94">
        <f t="shared" ref="Y21:Y30" si="11">S21-X21</f>
        <v>0</v>
      </c>
    </row>
    <row r="22" spans="1:25" s="95" customFormat="1" hidden="1">
      <c r="A22" s="91"/>
      <c r="B22" s="91" t="s">
        <v>186</v>
      </c>
      <c r="C22" s="102">
        <v>8182</v>
      </c>
      <c r="D22" s="105" t="s">
        <v>270</v>
      </c>
      <c r="E22" s="606">
        <f>VLOOKUP($C22,Data!$A:$O,COLUMNS(Data!$A:C),FALSE)</f>
        <v>0</v>
      </c>
      <c r="F22" s="606">
        <v>0</v>
      </c>
      <c r="G22" s="606">
        <v>0</v>
      </c>
      <c r="H22" s="606">
        <v>0</v>
      </c>
      <c r="I22" s="606">
        <v>0</v>
      </c>
      <c r="J22" s="606">
        <v>0</v>
      </c>
      <c r="K22" s="606">
        <v>0</v>
      </c>
      <c r="L22" s="606">
        <v>0</v>
      </c>
      <c r="M22" s="606">
        <v>0</v>
      </c>
      <c r="N22" s="606">
        <f>VLOOKUP($C22,Data!$A:$O,COLUMNS(Data!$A:L),FALSE)</f>
        <v>0</v>
      </c>
      <c r="O22" s="606">
        <f>VLOOKUP($C22,Data!$A:$O,COLUMNS(Data!$A:M),FALSE)</f>
        <v>0</v>
      </c>
      <c r="P22" s="606">
        <f>VLOOKUP($C22,Data!$A:$O,COLUMNS(Data!$A:N),FALSE)</f>
        <v>0</v>
      </c>
      <c r="Q22" s="602">
        <v>0</v>
      </c>
      <c r="R22" s="99"/>
      <c r="S22" s="638">
        <f t="shared" si="9"/>
        <v>0</v>
      </c>
      <c r="T22" s="99"/>
      <c r="U22" s="94">
        <v>0</v>
      </c>
      <c r="V22" s="94">
        <f t="shared" ref="V22" si="12">S22-U22</f>
        <v>0</v>
      </c>
      <c r="X22" s="94">
        <f>'FY18-19'!S22</f>
        <v>0</v>
      </c>
      <c r="Y22" s="94">
        <f t="shared" si="11"/>
        <v>0</v>
      </c>
    </row>
    <row r="23" spans="1:25" s="95" customFormat="1" ht="13" hidden="1">
      <c r="A23" s="91"/>
      <c r="B23" s="91" t="s">
        <v>186</v>
      </c>
      <c r="C23" s="102">
        <v>8220</v>
      </c>
      <c r="D23" s="103" t="s">
        <v>12</v>
      </c>
      <c r="E23" s="606">
        <f>VLOOKUP($C23,Data!$A:$O,COLUMNS(Data!$A:C),FALSE)</f>
        <v>0</v>
      </c>
      <c r="F23" s="606">
        <v>0</v>
      </c>
      <c r="G23" s="606">
        <v>0</v>
      </c>
      <c r="H23" s="606">
        <f>'Revenue Inputs'!$G$16*'Revenue Inputs'!$D$38*0.05</f>
        <v>0</v>
      </c>
      <c r="I23" s="606">
        <f>'Revenue Inputs'!$G$16*'Revenue Inputs'!$D$38/10*0.95</f>
        <v>0</v>
      </c>
      <c r="J23" s="606">
        <f>'Revenue Inputs'!$G$16*'Revenue Inputs'!$D$38/10*0.95</f>
        <v>0</v>
      </c>
      <c r="K23" s="606">
        <f>'Revenue Inputs'!$G$16*'Revenue Inputs'!$D$38/10*0.95</f>
        <v>0</v>
      </c>
      <c r="L23" s="606">
        <f>'Revenue Inputs'!$G$16*'Revenue Inputs'!$D$38/10*0.95</f>
        <v>0</v>
      </c>
      <c r="M23" s="606">
        <f>'Revenue Inputs'!$G$16*'Revenue Inputs'!$D$38/10*0.95</f>
        <v>0</v>
      </c>
      <c r="N23" s="606">
        <f>VLOOKUP($C23,Data!$A:$O,COLUMNS(Data!$A:L),FALSE)</f>
        <v>0</v>
      </c>
      <c r="O23" s="606">
        <f>VLOOKUP($C23,Data!$A:$O,COLUMNS(Data!$A:M),FALSE)</f>
        <v>0</v>
      </c>
      <c r="P23" s="606">
        <f>VLOOKUP($C23,Data!$A:$O,COLUMNS(Data!$A:N),FALSE)</f>
        <v>0</v>
      </c>
      <c r="Q23" s="602">
        <f>P23*2</f>
        <v>0</v>
      </c>
      <c r="R23" s="92"/>
      <c r="S23" s="638">
        <f t="shared" si="9"/>
        <v>0</v>
      </c>
      <c r="T23" s="92"/>
      <c r="U23" s="94">
        <v>0</v>
      </c>
      <c r="V23" s="94">
        <f t="shared" si="10"/>
        <v>0</v>
      </c>
      <c r="X23" s="94">
        <f>'FY18-19'!S23</f>
        <v>0</v>
      </c>
      <c r="Y23" s="94">
        <f t="shared" si="11"/>
        <v>0</v>
      </c>
    </row>
    <row r="24" spans="1:25" s="95" customFormat="1" ht="13" hidden="1">
      <c r="A24" s="91"/>
      <c r="B24" s="91" t="s">
        <v>186</v>
      </c>
      <c r="C24" s="102">
        <v>8290</v>
      </c>
      <c r="D24" s="103" t="s">
        <v>116</v>
      </c>
      <c r="E24" s="606">
        <f>VLOOKUP($C24,Data!$A:$O,COLUMNS(Data!$A:C),FALSE)</f>
        <v>0</v>
      </c>
      <c r="F24" s="606">
        <v>0</v>
      </c>
      <c r="G24" s="606">
        <f>'Revenue Inputs'!$G$8*0.25</f>
        <v>0</v>
      </c>
      <c r="H24" s="606">
        <v>0</v>
      </c>
      <c r="I24" s="606">
        <v>0</v>
      </c>
      <c r="J24" s="606">
        <f>'Revenue Inputs'!$G$8*0.75</f>
        <v>0</v>
      </c>
      <c r="K24" s="606">
        <v>0</v>
      </c>
      <c r="L24" s="606">
        <v>0</v>
      </c>
      <c r="M24" s="606">
        <v>0</v>
      </c>
      <c r="N24" s="606">
        <f>VLOOKUP($C24,Data!$A:$O,COLUMNS(Data!$A:L),FALSE)</f>
        <v>0</v>
      </c>
      <c r="O24" s="606">
        <f>VLOOKUP($C24,Data!$A:$O,COLUMNS(Data!$A:M),FALSE)</f>
        <v>0</v>
      </c>
      <c r="P24" s="606">
        <f>VLOOKUP($C24,Data!$A:$O,COLUMNS(Data!$A:N),FALSE)</f>
        <v>0</v>
      </c>
      <c r="Q24" s="602">
        <f>'Revenue Inputs'!$G8-SUM(E24:P24)</f>
        <v>0</v>
      </c>
      <c r="R24" s="107"/>
      <c r="S24" s="638">
        <f t="shared" si="9"/>
        <v>0</v>
      </c>
      <c r="T24" s="107"/>
      <c r="U24" s="94">
        <v>0</v>
      </c>
      <c r="V24" s="94">
        <f t="shared" si="10"/>
        <v>0</v>
      </c>
      <c r="X24" s="94">
        <f>'FY18-19'!S24</f>
        <v>0</v>
      </c>
      <c r="Y24" s="94">
        <f t="shared" si="11"/>
        <v>0</v>
      </c>
    </row>
    <row r="25" spans="1:25" s="95" customFormat="1" ht="13" hidden="1">
      <c r="A25" s="91"/>
      <c r="B25" s="91" t="s">
        <v>186</v>
      </c>
      <c r="C25" s="102">
        <v>8291</v>
      </c>
      <c r="D25" s="103" t="s">
        <v>117</v>
      </c>
      <c r="E25" s="606">
        <f>VLOOKUP($C25,Data!$A:$O,COLUMNS(Data!$A:C),FALSE)</f>
        <v>0</v>
      </c>
      <c r="F25" s="606">
        <v>0</v>
      </c>
      <c r="G25" s="606">
        <f>'Revenue Inputs'!$G$9*0.25</f>
        <v>0</v>
      </c>
      <c r="H25" s="606">
        <f>0*'Revenue Inputs'!$G$9</f>
        <v>0</v>
      </c>
      <c r="I25" s="606">
        <f>0*'Revenue Inputs'!$G$9</f>
        <v>0</v>
      </c>
      <c r="J25" s="606">
        <f>'Revenue Inputs'!$G$9*0.75</f>
        <v>0</v>
      </c>
      <c r="K25" s="606">
        <v>0</v>
      </c>
      <c r="L25" s="606">
        <v>0</v>
      </c>
      <c r="M25" s="606">
        <v>0</v>
      </c>
      <c r="N25" s="606">
        <f>VLOOKUP($C25,Data!$A:$O,COLUMNS(Data!$A:L),FALSE)</f>
        <v>0</v>
      </c>
      <c r="O25" s="606">
        <f>VLOOKUP($C25,Data!$A:$O,COLUMNS(Data!$A:M),FALSE)</f>
        <v>0</v>
      </c>
      <c r="P25" s="606">
        <f>VLOOKUP($C25,Data!$A:$O,COLUMNS(Data!$A:N),FALSE)</f>
        <v>0</v>
      </c>
      <c r="Q25" s="602">
        <f>'Revenue Inputs'!$G9-SUM(E25:P25)</f>
        <v>0</v>
      </c>
      <c r="R25" s="92"/>
      <c r="S25" s="638">
        <f t="shared" si="9"/>
        <v>0</v>
      </c>
      <c r="T25" s="92"/>
      <c r="U25" s="94">
        <v>0</v>
      </c>
      <c r="V25" s="94">
        <f t="shared" si="10"/>
        <v>0</v>
      </c>
      <c r="X25" s="94">
        <f>'FY18-19'!S25</f>
        <v>0</v>
      </c>
      <c r="Y25" s="94">
        <f t="shared" si="11"/>
        <v>0</v>
      </c>
    </row>
    <row r="26" spans="1:25" s="95" customFormat="1" ht="13" hidden="1">
      <c r="A26" s="91"/>
      <c r="B26" s="91" t="s">
        <v>186</v>
      </c>
      <c r="C26" s="102">
        <v>8293</v>
      </c>
      <c r="D26" s="103" t="s">
        <v>118</v>
      </c>
      <c r="E26" s="606">
        <f>VLOOKUP($C26,Data!$A:$O,COLUMNS(Data!$A:C),FALSE)</f>
        <v>0</v>
      </c>
      <c r="F26" s="606">
        <v>0</v>
      </c>
      <c r="G26" s="606">
        <v>0</v>
      </c>
      <c r="H26" s="606">
        <v>0</v>
      </c>
      <c r="I26" s="606">
        <v>0</v>
      </c>
      <c r="J26" s="606">
        <v>0</v>
      </c>
      <c r="K26" s="606">
        <v>0</v>
      </c>
      <c r="L26" s="606">
        <v>0</v>
      </c>
      <c r="M26" s="606">
        <v>0</v>
      </c>
      <c r="N26" s="606">
        <f>VLOOKUP($C26,Data!$A:$O,COLUMNS(Data!$A:L),FALSE)</f>
        <v>0</v>
      </c>
      <c r="O26" s="606">
        <f>VLOOKUP($C26,Data!$A:$O,COLUMNS(Data!$A:M),FALSE)</f>
        <v>0</v>
      </c>
      <c r="P26" s="606">
        <f>VLOOKUP($C26,Data!$A:$O,COLUMNS(Data!$A:N),FALSE)</f>
        <v>0</v>
      </c>
      <c r="Q26" s="602">
        <f>'Revenue Inputs'!$G10-SUM(E26:P26)</f>
        <v>0</v>
      </c>
      <c r="R26" s="92"/>
      <c r="S26" s="638">
        <f t="shared" si="9"/>
        <v>0</v>
      </c>
      <c r="T26" s="92"/>
      <c r="U26" s="94">
        <v>0</v>
      </c>
      <c r="V26" s="94">
        <f t="shared" si="10"/>
        <v>0</v>
      </c>
      <c r="X26" s="94">
        <f>'FY18-19'!S26</f>
        <v>0</v>
      </c>
      <c r="Y26" s="94">
        <f t="shared" si="11"/>
        <v>0</v>
      </c>
    </row>
    <row r="27" spans="1:25" s="95" customFormat="1" ht="13" hidden="1">
      <c r="A27" s="91"/>
      <c r="B27" s="91" t="s">
        <v>186</v>
      </c>
      <c r="C27" s="102">
        <v>8294</v>
      </c>
      <c r="D27" s="103" t="s">
        <v>263</v>
      </c>
      <c r="E27" s="606">
        <f>VLOOKUP($C27,Data!$A:$O,COLUMNS(Data!$A:C),FALSE)</f>
        <v>0</v>
      </c>
      <c r="F27" s="606">
        <v>0</v>
      </c>
      <c r="G27" s="606">
        <v>0</v>
      </c>
      <c r="H27" s="606">
        <v>0</v>
      </c>
      <c r="I27" s="606">
        <f>'Revenue Inputs'!$G$11</f>
        <v>0</v>
      </c>
      <c r="J27" s="606">
        <v>0</v>
      </c>
      <c r="K27" s="606">
        <v>0</v>
      </c>
      <c r="L27" s="606">
        <v>0</v>
      </c>
      <c r="M27" s="606">
        <v>0</v>
      </c>
      <c r="N27" s="606">
        <f>VLOOKUP($C27,Data!$A:$O,COLUMNS(Data!$A:L),FALSE)</f>
        <v>0</v>
      </c>
      <c r="O27" s="606">
        <f>VLOOKUP($C27,Data!$A:$O,COLUMNS(Data!$A:M),FALSE)</f>
        <v>0</v>
      </c>
      <c r="P27" s="606">
        <f>VLOOKUP($C27,Data!$A:$O,COLUMNS(Data!$A:N),FALSE)</f>
        <v>0</v>
      </c>
      <c r="Q27" s="602">
        <v>0</v>
      </c>
      <c r="R27" s="92"/>
      <c r="S27" s="638">
        <f t="shared" si="9"/>
        <v>0</v>
      </c>
      <c r="T27" s="92"/>
      <c r="U27" s="94">
        <v>0</v>
      </c>
      <c r="V27" s="94">
        <f t="shared" si="10"/>
        <v>0</v>
      </c>
      <c r="X27" s="94">
        <f>'FY18-19'!S27</f>
        <v>0</v>
      </c>
      <c r="Y27" s="94">
        <f t="shared" si="11"/>
        <v>0</v>
      </c>
    </row>
    <row r="28" spans="1:25" s="95" customFormat="1" ht="13" hidden="1">
      <c r="A28" s="91"/>
      <c r="B28" s="91" t="s">
        <v>186</v>
      </c>
      <c r="C28" s="102">
        <v>8295</v>
      </c>
      <c r="D28" s="103" t="s">
        <v>264</v>
      </c>
      <c r="E28" s="606">
        <f>VLOOKUP($C28,Data!$A:$O,COLUMNS(Data!$A:C),FALSE)</f>
        <v>0</v>
      </c>
      <c r="F28" s="606">
        <f>'Revenue Inputs'!$G$12/12</f>
        <v>0</v>
      </c>
      <c r="G28" s="606">
        <f>'Revenue Inputs'!$G$12/12</f>
        <v>0</v>
      </c>
      <c r="H28" s="606">
        <f>'Revenue Inputs'!$G$12/12</f>
        <v>0</v>
      </c>
      <c r="I28" s="606">
        <f>'Revenue Inputs'!$G$12/12</f>
        <v>0</v>
      </c>
      <c r="J28" s="606">
        <f>'Revenue Inputs'!$G$12/12</f>
        <v>0</v>
      </c>
      <c r="K28" s="606">
        <f>'Revenue Inputs'!$G$12/12</f>
        <v>0</v>
      </c>
      <c r="L28" s="606">
        <f>'Revenue Inputs'!$G$12/12</f>
        <v>0</v>
      </c>
      <c r="M28" s="606">
        <f>'Revenue Inputs'!$G$12/12</f>
        <v>0</v>
      </c>
      <c r="N28" s="606">
        <f>VLOOKUP($C28,Data!$A:$O,COLUMNS(Data!$A:L),FALSE)</f>
        <v>0</v>
      </c>
      <c r="O28" s="606">
        <f>VLOOKUP($C28,Data!$A:$O,COLUMNS(Data!$A:M),FALSE)</f>
        <v>0</v>
      </c>
      <c r="P28" s="606">
        <f>VLOOKUP($C28,Data!$A:$O,COLUMNS(Data!$A:N),FALSE)</f>
        <v>0</v>
      </c>
      <c r="Q28" s="602">
        <v>0</v>
      </c>
      <c r="R28" s="92"/>
      <c r="S28" s="638">
        <f t="shared" si="9"/>
        <v>0</v>
      </c>
      <c r="T28" s="92"/>
      <c r="U28" s="94">
        <v>0</v>
      </c>
      <c r="V28" s="94">
        <f t="shared" si="10"/>
        <v>0</v>
      </c>
      <c r="X28" s="94">
        <f>'FY18-19'!S28</f>
        <v>0</v>
      </c>
      <c r="Y28" s="94">
        <f t="shared" si="11"/>
        <v>0</v>
      </c>
    </row>
    <row r="29" spans="1:25" s="95" customFormat="1" ht="13">
      <c r="A29" s="91"/>
      <c r="B29" s="91" t="s">
        <v>186</v>
      </c>
      <c r="C29" s="102">
        <v>8296</v>
      </c>
      <c r="D29" s="103" t="s">
        <v>133</v>
      </c>
      <c r="E29" s="606">
        <f>VLOOKUP($C29,Data!$A:$O,COLUMNS(Data!$A:C),FALSE)</f>
        <v>0</v>
      </c>
      <c r="F29" s="606">
        <v>0</v>
      </c>
      <c r="G29" s="606">
        <v>0</v>
      </c>
      <c r="H29" s="606">
        <v>0</v>
      </c>
      <c r="I29" s="606">
        <v>0</v>
      </c>
      <c r="J29" s="606">
        <v>0</v>
      </c>
      <c r="K29" s="606">
        <v>0</v>
      </c>
      <c r="L29" s="606">
        <v>0</v>
      </c>
      <c r="M29" s="606">
        <v>0</v>
      </c>
      <c r="N29" s="606">
        <f>VLOOKUP($C29,Data!$A:$O,COLUMNS(Data!$A:L),FALSE)</f>
        <v>137645.17000000001</v>
      </c>
      <c r="O29" s="606">
        <f>VLOOKUP($C29,Data!$A:$O,COLUMNS(Data!$A:M),FALSE)</f>
        <v>0</v>
      </c>
      <c r="P29" s="606">
        <f>VLOOKUP($C29,Data!$A:$O,COLUMNS(Data!$A:N),FALSE)</f>
        <v>60138.19</v>
      </c>
      <c r="Q29" s="602">
        <v>0</v>
      </c>
      <c r="R29" s="92"/>
      <c r="S29" s="638">
        <f t="shared" si="9"/>
        <v>197783.36000000002</v>
      </c>
      <c r="T29" s="92"/>
      <c r="U29" s="94">
        <v>0</v>
      </c>
      <c r="V29" s="94">
        <f t="shared" si="10"/>
        <v>197783.36000000002</v>
      </c>
      <c r="X29" s="94">
        <f>'FY18-19'!S29</f>
        <v>0</v>
      </c>
      <c r="Y29" s="94">
        <f t="shared" si="11"/>
        <v>197783.36000000002</v>
      </c>
    </row>
    <row r="30" spans="1:25" s="95" customFormat="1" ht="13" hidden="1">
      <c r="A30" s="91"/>
      <c r="B30" s="91"/>
      <c r="C30" s="102">
        <v>8299</v>
      </c>
      <c r="D30" s="103" t="s">
        <v>385</v>
      </c>
      <c r="E30" s="606">
        <v>0</v>
      </c>
      <c r="F30" s="606">
        <v>0</v>
      </c>
      <c r="G30" s="606">
        <v>0</v>
      </c>
      <c r="H30" s="606">
        <v>0</v>
      </c>
      <c r="I30" s="606">
        <v>0</v>
      </c>
      <c r="J30" s="606">
        <v>0</v>
      </c>
      <c r="K30" s="606">
        <v>0</v>
      </c>
      <c r="L30" s="606">
        <v>0</v>
      </c>
      <c r="M30" s="606">
        <v>0</v>
      </c>
      <c r="N30" s="606">
        <v>0</v>
      </c>
      <c r="O30" s="606">
        <v>0</v>
      </c>
      <c r="P30" s="606">
        <v>0</v>
      </c>
      <c r="Q30" s="602">
        <v>0</v>
      </c>
      <c r="R30" s="92"/>
      <c r="S30" s="638">
        <f t="shared" si="9"/>
        <v>0</v>
      </c>
      <c r="T30" s="92"/>
      <c r="U30" s="94">
        <v>0</v>
      </c>
      <c r="V30" s="94">
        <f t="shared" ref="V30" si="13">S30-U30</f>
        <v>0</v>
      </c>
      <c r="X30" s="94">
        <f>'FY18-19'!S30</f>
        <v>0</v>
      </c>
      <c r="Y30" s="94">
        <f t="shared" si="11"/>
        <v>0</v>
      </c>
    </row>
    <row r="31" spans="1:25" s="112" customFormat="1" ht="13">
      <c r="A31" s="109"/>
      <c r="B31" s="109" t="s">
        <v>186</v>
      </c>
      <c r="C31" s="109"/>
      <c r="D31" s="110"/>
      <c r="E31" s="604">
        <f t="shared" ref="E31:P31" si="14">SUM(E21:E30)</f>
        <v>0</v>
      </c>
      <c r="F31" s="604">
        <f t="shared" si="14"/>
        <v>0</v>
      </c>
      <c r="G31" s="604">
        <f t="shared" si="14"/>
        <v>0</v>
      </c>
      <c r="H31" s="604">
        <f t="shared" si="14"/>
        <v>0</v>
      </c>
      <c r="I31" s="604">
        <f t="shared" si="14"/>
        <v>0</v>
      </c>
      <c r="J31" s="604">
        <f t="shared" si="14"/>
        <v>0</v>
      </c>
      <c r="K31" s="604">
        <f t="shared" si="14"/>
        <v>0</v>
      </c>
      <c r="L31" s="604">
        <f t="shared" si="14"/>
        <v>0</v>
      </c>
      <c r="M31" s="604">
        <f t="shared" si="14"/>
        <v>0</v>
      </c>
      <c r="N31" s="604">
        <f t="shared" si="14"/>
        <v>137645.17000000001</v>
      </c>
      <c r="O31" s="604">
        <f t="shared" si="14"/>
        <v>0</v>
      </c>
      <c r="P31" s="604">
        <f t="shared" si="14"/>
        <v>60138.19</v>
      </c>
      <c r="Q31" s="604">
        <f>SUM(Q21:Q30)</f>
        <v>0</v>
      </c>
      <c r="R31" s="99"/>
      <c r="S31" s="639">
        <f>SUM(S21:S30)</f>
        <v>197783.36000000002</v>
      </c>
      <c r="T31" s="99"/>
      <c r="U31" s="308">
        <v>285136.8</v>
      </c>
      <c r="V31" s="308">
        <f>SUM(V21:V30)</f>
        <v>-87353.439999999973</v>
      </c>
      <c r="W31" s="95"/>
      <c r="X31" s="308">
        <f>SUM(X21:X30)</f>
        <v>0</v>
      </c>
      <c r="Y31" s="308">
        <f>SUM(Y21:Y30)</f>
        <v>197783.36000000002</v>
      </c>
    </row>
    <row r="32" spans="1:25" s="95" customFormat="1" ht="12" customHeight="1">
      <c r="A32" s="91"/>
      <c r="B32" s="96" t="s">
        <v>168</v>
      </c>
      <c r="C32" s="91"/>
      <c r="D32" s="91"/>
      <c r="E32" s="606"/>
      <c r="F32" s="606"/>
      <c r="G32" s="606"/>
      <c r="H32" s="606"/>
      <c r="I32" s="606"/>
      <c r="J32" s="606"/>
      <c r="K32" s="606"/>
      <c r="L32" s="606"/>
      <c r="M32" s="606"/>
      <c r="N32" s="606"/>
      <c r="O32" s="606"/>
      <c r="P32" s="606"/>
      <c r="Q32" s="598"/>
      <c r="R32" s="101"/>
      <c r="S32" s="637"/>
      <c r="T32" s="101"/>
      <c r="U32" s="306"/>
      <c r="V32" s="306"/>
      <c r="X32" s="306"/>
      <c r="Y32" s="306"/>
    </row>
    <row r="33" spans="1:25" s="95" customFormat="1" ht="12" customHeight="1">
      <c r="A33" s="91"/>
      <c r="B33" s="91" t="s">
        <v>186</v>
      </c>
      <c r="C33" s="102">
        <v>8311</v>
      </c>
      <c r="D33" s="105" t="s">
        <v>261</v>
      </c>
      <c r="E33" s="606">
        <f>VLOOKUP($C33,Data!$A:$O,COLUMNS(Data!$A:C),FALSE)</f>
        <v>0</v>
      </c>
      <c r="F33" s="606">
        <f>VLOOKUP($C33,Data!$A:$O,COLUMNS(Data!$A:D),FALSE)</f>
        <v>0</v>
      </c>
      <c r="G33" s="606">
        <f>VLOOKUP($C33,Data!$A:$O,COLUMNS(Data!$A:E),FALSE)</f>
        <v>0</v>
      </c>
      <c r="H33" s="606">
        <f>VLOOKUP($C33,Data!$A:$O,COLUMNS(Data!$A:F),FALSE)</f>
        <v>0</v>
      </c>
      <c r="I33" s="606">
        <f>VLOOKUP($C33,Data!$A:$O,COLUMNS(Data!$A:G),FALSE)</f>
        <v>0</v>
      </c>
      <c r="J33" s="606">
        <f>VLOOKUP($C33,Data!$A:$O,COLUMNS(Data!$A:H),FALSE)</f>
        <v>0</v>
      </c>
      <c r="K33" s="606">
        <f>VLOOKUP($C33,Data!$A:$O,COLUMNS(Data!$A:I),FALSE)</f>
        <v>0</v>
      </c>
      <c r="L33" s="606">
        <f>VLOOKUP($C33,Data!$A:$O,COLUMNS(Data!$A:J),FALSE)</f>
        <v>0</v>
      </c>
      <c r="M33" s="606">
        <f>VLOOKUP($C33,Data!$A:$O,COLUMNS(Data!$A:K),FALSE)</f>
        <v>321761</v>
      </c>
      <c r="N33" s="606">
        <f>VLOOKUP($C33,Data!$A:$O,COLUMNS(Data!$A:L),FALSE)</f>
        <v>321761</v>
      </c>
      <c r="O33" s="606">
        <f>VLOOKUP($C33,Data!$A:$O,COLUMNS(Data!$A:M),FALSE)</f>
        <v>321761</v>
      </c>
      <c r="P33" s="606">
        <f>VLOOKUP($C33,Data!$A:$O,COLUMNS(Data!$A:N),FALSE)</f>
        <v>804548.28</v>
      </c>
      <c r="Q33" s="602">
        <v>0</v>
      </c>
      <c r="R33" s="99"/>
      <c r="S33" s="638">
        <f t="shared" ref="S33:S39" si="15">SUM(E33:Q33)</f>
        <v>1769831.28</v>
      </c>
      <c r="T33" s="99"/>
      <c r="U33" s="94">
        <v>1296824.0999999999</v>
      </c>
      <c r="V33" s="94">
        <f t="shared" si="10"/>
        <v>473007.18000000017</v>
      </c>
      <c r="X33" s="94">
        <f>'FY18-19'!S33</f>
        <v>0</v>
      </c>
      <c r="Y33" s="94">
        <f t="shared" ref="Y33:Y39" si="16">S33-X33</f>
        <v>1769831.28</v>
      </c>
    </row>
    <row r="34" spans="1:25" s="95" customFormat="1" ht="12" hidden="1" customHeight="1">
      <c r="A34" s="91"/>
      <c r="B34" s="91" t="s">
        <v>186</v>
      </c>
      <c r="C34" s="102">
        <v>8520</v>
      </c>
      <c r="D34" s="103" t="s">
        <v>121</v>
      </c>
      <c r="E34" s="606">
        <f>VLOOKUP($C34,Data!$A:$O,COLUMNS(Data!$A:C),FALSE)</f>
        <v>0</v>
      </c>
      <c r="F34" s="606">
        <v>0</v>
      </c>
      <c r="G34" s="606">
        <f>VLOOKUP($C34,Data!$A:$O,COLUMNS(Data!$A:E),FALSE)</f>
        <v>0</v>
      </c>
      <c r="H34" s="606">
        <f>VLOOKUP($C34,Data!$A:$O,COLUMNS(Data!$A:F),FALSE)</f>
        <v>0</v>
      </c>
      <c r="I34" s="606">
        <f>VLOOKUP($C34,Data!$A:$O,COLUMNS(Data!$A:G),FALSE)</f>
        <v>0</v>
      </c>
      <c r="J34" s="606">
        <f>VLOOKUP($C34,Data!$A:$O,COLUMNS(Data!$A:H),FALSE)</f>
        <v>0</v>
      </c>
      <c r="K34" s="606">
        <f>'Revenue Inputs'!$G$28*'Revenue Inputs'!$D$38/10*0.95</f>
        <v>0</v>
      </c>
      <c r="L34" s="606">
        <f>'Revenue Inputs'!$G$28*'Revenue Inputs'!$D$38/10*0.95</f>
        <v>0</v>
      </c>
      <c r="M34" s="606">
        <f>VLOOKUP($C34,Data!$A:$O,COLUMNS(Data!$A:K),FALSE)</f>
        <v>0</v>
      </c>
      <c r="N34" s="606">
        <f>'Revenue Inputs'!$G$28*'Revenue Inputs'!$D$38/10*0.95</f>
        <v>0</v>
      </c>
      <c r="O34" s="606">
        <f>VLOOKUP($C34,Data!$A:$O,COLUMNS(Data!$A:M),FALSE)</f>
        <v>0</v>
      </c>
      <c r="P34" s="606">
        <f>VLOOKUP($C34,Data!$A:$O,COLUMNS(Data!$A:N),FALSE)</f>
        <v>0</v>
      </c>
      <c r="Q34" s="602">
        <f>P34*2</f>
        <v>0</v>
      </c>
      <c r="R34" s="92"/>
      <c r="S34" s="638">
        <f t="shared" si="15"/>
        <v>0</v>
      </c>
      <c r="T34" s="92"/>
      <c r="U34" s="94">
        <v>0</v>
      </c>
      <c r="V34" s="94">
        <f t="shared" si="10"/>
        <v>0</v>
      </c>
      <c r="X34" s="94">
        <f>'FY18-19'!S34</f>
        <v>0</v>
      </c>
      <c r="Y34" s="94">
        <f t="shared" si="16"/>
        <v>0</v>
      </c>
    </row>
    <row r="35" spans="1:25" s="95" customFormat="1" ht="12" hidden="1" customHeight="1">
      <c r="A35" s="91"/>
      <c r="B35" s="91" t="s">
        <v>186</v>
      </c>
      <c r="C35" s="102">
        <v>8545</v>
      </c>
      <c r="D35" s="103" t="s">
        <v>260</v>
      </c>
      <c r="E35" s="606">
        <f>VLOOKUP($C35,Data!$A:$O,COLUMNS(Data!$A:C),FALSE)</f>
        <v>0</v>
      </c>
      <c r="F35" s="606">
        <v>0</v>
      </c>
      <c r="G35" s="606">
        <f>VLOOKUP($C35,Data!$A:$O,COLUMNS(Data!$A:E),FALSE)</f>
        <v>0</v>
      </c>
      <c r="H35" s="606">
        <f>VLOOKUP($C35,Data!$A:$O,COLUMNS(Data!$A:F),FALSE)</f>
        <v>0</v>
      </c>
      <c r="I35" s="606">
        <f>VLOOKUP($C35,Data!$A:$O,COLUMNS(Data!$A:G),FALSE)</f>
        <v>0</v>
      </c>
      <c r="J35" s="606">
        <f>VLOOKUP($C35,Data!$A:$O,COLUMNS(Data!$A:H),FALSE)</f>
        <v>0</v>
      </c>
      <c r="K35" s="606">
        <f>'Revenue Inputs'!$G$19*0.5</f>
        <v>0</v>
      </c>
      <c r="L35" s="606">
        <f>'Revenue Inputs'!$G$28*'Revenue Inputs'!$D$38/10*0.95</f>
        <v>0</v>
      </c>
      <c r="M35" s="606">
        <f>VLOOKUP($C35,Data!$A:$O,COLUMNS(Data!$A:K),FALSE)</f>
        <v>0</v>
      </c>
      <c r="N35" s="606">
        <v>0</v>
      </c>
      <c r="O35" s="606">
        <f>VLOOKUP($C35,Data!$A:$O,COLUMNS(Data!$A:M),FALSE)</f>
        <v>0</v>
      </c>
      <c r="P35" s="606">
        <f>VLOOKUP($C35,Data!$A:$O,COLUMNS(Data!$A:N),FALSE)</f>
        <v>0</v>
      </c>
      <c r="Q35" s="606">
        <f>'Revenue Inputs'!$G$19*0.25</f>
        <v>0</v>
      </c>
      <c r="R35" s="92"/>
      <c r="S35" s="638">
        <f t="shared" si="15"/>
        <v>0</v>
      </c>
      <c r="T35" s="92"/>
      <c r="U35" s="94">
        <v>0</v>
      </c>
      <c r="V35" s="94">
        <f t="shared" si="10"/>
        <v>0</v>
      </c>
      <c r="X35" s="94">
        <f>'FY18-19'!S35</f>
        <v>0</v>
      </c>
      <c r="Y35" s="94">
        <f t="shared" si="16"/>
        <v>0</v>
      </c>
    </row>
    <row r="36" spans="1:25" s="95" customFormat="1" ht="12" hidden="1" customHeight="1">
      <c r="A36" s="91"/>
      <c r="B36" s="91" t="s">
        <v>186</v>
      </c>
      <c r="C36" s="102">
        <v>8550</v>
      </c>
      <c r="D36" s="103" t="s">
        <v>262</v>
      </c>
      <c r="E36" s="606">
        <f>VLOOKUP($C36,Data!$A:$O,COLUMNS(Data!$A:C),FALSE)</f>
        <v>0</v>
      </c>
      <c r="F36" s="606">
        <v>0</v>
      </c>
      <c r="G36" s="606">
        <f>VLOOKUP($C36,Data!$A:$O,COLUMNS(Data!$A:E),FALSE)</f>
        <v>0</v>
      </c>
      <c r="H36" s="606">
        <f>VLOOKUP($C36,Data!$A:$O,COLUMNS(Data!$A:F),FALSE)</f>
        <v>0</v>
      </c>
      <c r="I36" s="606">
        <f>VLOOKUP($C36,Data!$A:$O,COLUMNS(Data!$A:G),FALSE)</f>
        <v>0</v>
      </c>
      <c r="J36" s="606">
        <f>VLOOKUP($C36,Data!$A:$O,COLUMNS(Data!$A:H),FALSE)</f>
        <v>0</v>
      </c>
      <c r="K36" s="606">
        <v>0</v>
      </c>
      <c r="L36" s="606">
        <f>'Revenue Inputs'!$G$28*'Revenue Inputs'!$D$38/10*0.95</f>
        <v>0</v>
      </c>
      <c r="M36" s="606">
        <f>VLOOKUP($C36,Data!$A:$O,COLUMNS(Data!$A:K),FALSE)</f>
        <v>0</v>
      </c>
      <c r="N36" s="606">
        <v>0</v>
      </c>
      <c r="O36" s="606">
        <f>VLOOKUP($C36,Data!$A:$O,COLUMNS(Data!$A:M),FALSE)</f>
        <v>0</v>
      </c>
      <c r="P36" s="606">
        <f>VLOOKUP($C36,Data!$A:$O,COLUMNS(Data!$A:N),FALSE)</f>
        <v>0</v>
      </c>
      <c r="Q36" s="606">
        <v>0</v>
      </c>
      <c r="R36" s="92"/>
      <c r="S36" s="638">
        <f t="shared" si="15"/>
        <v>0</v>
      </c>
      <c r="T36" s="92"/>
      <c r="U36" s="94">
        <v>0</v>
      </c>
      <c r="V36" s="94">
        <f t="shared" ref="V36" si="17">S36-U36</f>
        <v>0</v>
      </c>
      <c r="X36" s="94">
        <f>'FY18-19'!S36</f>
        <v>0</v>
      </c>
      <c r="Y36" s="94">
        <f t="shared" si="16"/>
        <v>0</v>
      </c>
    </row>
    <row r="37" spans="1:25" s="95" customFormat="1" ht="12" customHeight="1">
      <c r="A37" s="109"/>
      <c r="B37" s="109" t="s">
        <v>186</v>
      </c>
      <c r="C37" s="102">
        <v>8560</v>
      </c>
      <c r="D37" s="103" t="s">
        <v>120</v>
      </c>
      <c r="E37" s="606">
        <f>VLOOKUP($C37,Data!$A:$O,COLUMNS(Data!$A:C),FALSE)</f>
        <v>0</v>
      </c>
      <c r="F37" s="606">
        <v>0</v>
      </c>
      <c r="G37" s="606">
        <f>VLOOKUP($C37,Data!$A:$O,COLUMNS(Data!$A:E),FALSE)</f>
        <v>0</v>
      </c>
      <c r="H37" s="606">
        <f>VLOOKUP($C37,Data!$A:$O,COLUMNS(Data!$A:F),FALSE)</f>
        <v>0</v>
      </c>
      <c r="I37" s="606">
        <f>VLOOKUP($C37,Data!$A:$O,COLUMNS(Data!$A:G),FALSE)</f>
        <v>0</v>
      </c>
      <c r="J37" s="606">
        <f>VLOOKUP($C37,Data!$A:$O,COLUMNS(Data!$A:H),FALSE)</f>
        <v>0</v>
      </c>
      <c r="K37" s="606">
        <f>'Revenue Inputs'!$G23*'Revenue Inputs'!$D30*0.25</f>
        <v>0</v>
      </c>
      <c r="L37" s="606">
        <f>'Revenue Inputs'!$G$28*'Revenue Inputs'!$D$38/10*0.95</f>
        <v>0</v>
      </c>
      <c r="M37" s="606">
        <f>VLOOKUP($C37,Data!$A:$O,COLUMNS(Data!$A:K),FALSE)</f>
        <v>0</v>
      </c>
      <c r="N37" s="606">
        <f>'Revenue Inputs'!$G23*'Revenue Inputs'!$D30*0.25</f>
        <v>0</v>
      </c>
      <c r="O37" s="606">
        <f>VLOOKUP($C37,Data!$A:$O,COLUMNS(Data!$A:M),FALSE)</f>
        <v>0</v>
      </c>
      <c r="P37" s="606">
        <f>VLOOKUP($C37,Data!$A:$O,COLUMNS(Data!$A:N),FALSE)</f>
        <v>627423.09</v>
      </c>
      <c r="Q37" s="602">
        <v>0</v>
      </c>
      <c r="R37" s="92"/>
      <c r="S37" s="638">
        <f t="shared" si="15"/>
        <v>627423.09</v>
      </c>
      <c r="T37" s="92"/>
      <c r="U37" s="94">
        <v>559306.79999999993</v>
      </c>
      <c r="V37" s="94">
        <f t="shared" si="10"/>
        <v>68116.290000000037</v>
      </c>
      <c r="X37" s="94">
        <f>'FY18-19'!S37</f>
        <v>0</v>
      </c>
      <c r="Y37" s="94">
        <f t="shared" si="16"/>
        <v>627423.09</v>
      </c>
    </row>
    <row r="38" spans="1:25" s="95" customFormat="1" ht="12" hidden="1" customHeight="1">
      <c r="A38" s="109"/>
      <c r="B38" s="109" t="s">
        <v>186</v>
      </c>
      <c r="C38" s="102">
        <v>8598</v>
      </c>
      <c r="D38" s="103" t="s">
        <v>242</v>
      </c>
      <c r="E38" s="606">
        <f>VLOOKUP($C38,Data!$A:$O,COLUMNS(Data!$A:C),FALSE)</f>
        <v>0</v>
      </c>
      <c r="F38" s="606">
        <v>0</v>
      </c>
      <c r="G38" s="606">
        <f>VLOOKUP($C38,Data!$A:$O,COLUMNS(Data!$A:E),FALSE)</f>
        <v>0</v>
      </c>
      <c r="H38" s="606">
        <v>0</v>
      </c>
      <c r="I38" s="606">
        <v>0</v>
      </c>
      <c r="J38" s="606">
        <v>0</v>
      </c>
      <c r="K38" s="606">
        <v>0</v>
      </c>
      <c r="L38" s="606">
        <v>0</v>
      </c>
      <c r="M38" s="606">
        <v>0</v>
      </c>
      <c r="N38" s="606">
        <v>0</v>
      </c>
      <c r="O38" s="606">
        <v>0</v>
      </c>
      <c r="P38" s="606">
        <v>0</v>
      </c>
      <c r="Q38" s="602">
        <v>0</v>
      </c>
      <c r="R38" s="92"/>
      <c r="S38" s="638">
        <f t="shared" si="15"/>
        <v>0</v>
      </c>
      <c r="T38" s="92"/>
      <c r="U38" s="94">
        <v>0</v>
      </c>
      <c r="V38" s="94">
        <f t="shared" si="10"/>
        <v>0</v>
      </c>
      <c r="X38" s="94">
        <f>'FY18-19'!S38</f>
        <v>0</v>
      </c>
      <c r="Y38" s="94">
        <f t="shared" si="16"/>
        <v>0</v>
      </c>
    </row>
    <row r="39" spans="1:25" s="95" customFormat="1" ht="13" hidden="1">
      <c r="A39" s="91"/>
      <c r="B39" s="91" t="s">
        <v>186</v>
      </c>
      <c r="C39" s="102">
        <v>8599</v>
      </c>
      <c r="D39" s="103" t="s">
        <v>168</v>
      </c>
      <c r="E39" s="606">
        <f>VLOOKUP($C39,Data!$A:$O,COLUMNS(Data!$A:C),FALSE)</f>
        <v>0</v>
      </c>
      <c r="F39" s="606">
        <v>0</v>
      </c>
      <c r="G39" s="606">
        <f>VLOOKUP($C39,Data!$A:$O,COLUMNS(Data!$A:E),FALSE)</f>
        <v>0</v>
      </c>
      <c r="H39" s="606">
        <v>0</v>
      </c>
      <c r="I39" s="606">
        <f>'Revenue Inputs'!$G$24*0.65</f>
        <v>0</v>
      </c>
      <c r="J39" s="606">
        <v>0</v>
      </c>
      <c r="K39" s="606">
        <v>0</v>
      </c>
      <c r="L39" s="606">
        <v>0</v>
      </c>
      <c r="M39" s="606">
        <v>0</v>
      </c>
      <c r="N39" s="606">
        <f>'Revenue Inputs'!$G$24*0.25</f>
        <v>0</v>
      </c>
      <c r="O39" s="606">
        <v>0</v>
      </c>
      <c r="P39" s="606">
        <v>0</v>
      </c>
      <c r="Q39" s="606">
        <f>'Revenue Inputs'!G24-I39-N39</f>
        <v>0</v>
      </c>
      <c r="R39" s="92"/>
      <c r="S39" s="638">
        <f t="shared" si="15"/>
        <v>0</v>
      </c>
      <c r="T39" s="92"/>
      <c r="U39" s="94">
        <v>0</v>
      </c>
      <c r="V39" s="94">
        <f t="shared" si="10"/>
        <v>0</v>
      </c>
      <c r="X39" s="94">
        <f>'FY18-19'!S39</f>
        <v>0</v>
      </c>
      <c r="Y39" s="94">
        <f t="shared" si="16"/>
        <v>0</v>
      </c>
    </row>
    <row r="40" spans="1:25" s="112" customFormat="1" ht="12" customHeight="1">
      <c r="A40" s="109"/>
      <c r="B40" s="109" t="s">
        <v>186</v>
      </c>
      <c r="C40" s="109"/>
      <c r="D40" s="110"/>
      <c r="E40" s="604">
        <f t="shared" ref="E40:Q40" si="18">SUM(E33:E39)</f>
        <v>0</v>
      </c>
      <c r="F40" s="604">
        <f t="shared" si="18"/>
        <v>0</v>
      </c>
      <c r="G40" s="604">
        <f t="shared" si="18"/>
        <v>0</v>
      </c>
      <c r="H40" s="604">
        <f t="shared" si="18"/>
        <v>0</v>
      </c>
      <c r="I40" s="604">
        <f t="shared" si="18"/>
        <v>0</v>
      </c>
      <c r="J40" s="604">
        <f t="shared" si="18"/>
        <v>0</v>
      </c>
      <c r="K40" s="604">
        <f t="shared" si="18"/>
        <v>0</v>
      </c>
      <c r="L40" s="604">
        <f t="shared" si="18"/>
        <v>0</v>
      </c>
      <c r="M40" s="604">
        <f t="shared" si="18"/>
        <v>321761</v>
      </c>
      <c r="N40" s="604">
        <f t="shared" si="18"/>
        <v>321761</v>
      </c>
      <c r="O40" s="604">
        <f t="shared" si="18"/>
        <v>321761</v>
      </c>
      <c r="P40" s="604">
        <f t="shared" si="18"/>
        <v>1431971.37</v>
      </c>
      <c r="Q40" s="604">
        <f t="shared" si="18"/>
        <v>0</v>
      </c>
      <c r="R40" s="99"/>
      <c r="S40" s="626">
        <f>SUM(S33:S39)</f>
        <v>2397254.37</v>
      </c>
      <c r="T40" s="99"/>
      <c r="U40" s="308">
        <v>1856130.9</v>
      </c>
      <c r="V40" s="308">
        <f>SUM(V33:V39)</f>
        <v>541123.4700000002</v>
      </c>
      <c r="W40" s="95"/>
      <c r="X40" s="308">
        <f>SUM(X33:X39)</f>
        <v>0</v>
      </c>
      <c r="Y40" s="308">
        <f>SUM(Y33:Y39)</f>
        <v>2397254.37</v>
      </c>
    </row>
    <row r="41" spans="1:25" s="112" customFormat="1" ht="12" hidden="1" customHeight="1">
      <c r="A41" s="109"/>
      <c r="B41" s="120" t="s">
        <v>283</v>
      </c>
      <c r="C41" s="102"/>
      <c r="D41" s="103"/>
      <c r="E41" s="606"/>
      <c r="F41" s="606"/>
      <c r="G41" s="606"/>
      <c r="H41" s="606"/>
      <c r="I41" s="606"/>
      <c r="J41" s="606"/>
      <c r="K41" s="606"/>
      <c r="L41" s="606"/>
      <c r="M41" s="606"/>
      <c r="N41" s="606"/>
      <c r="O41" s="606"/>
      <c r="P41" s="606"/>
      <c r="Q41" s="600"/>
      <c r="R41" s="99"/>
      <c r="S41" s="638"/>
      <c r="T41" s="99"/>
      <c r="U41" s="304"/>
      <c r="V41" s="304"/>
      <c r="W41" s="95"/>
      <c r="X41" s="304"/>
      <c r="Y41" s="304"/>
    </row>
    <row r="42" spans="1:25" s="95" customFormat="1" ht="12" hidden="1" customHeight="1">
      <c r="A42" s="91"/>
      <c r="B42" s="91" t="s">
        <v>186</v>
      </c>
      <c r="C42" s="102">
        <v>8634</v>
      </c>
      <c r="D42" s="104" t="s">
        <v>14</v>
      </c>
      <c r="E42" s="606">
        <f>VLOOKUP($C42,Data!$A:$O,COLUMNS(Data!$A:C),FALSE)</f>
        <v>0</v>
      </c>
      <c r="F42" s="606">
        <f>'Revenue Inputs'!$G$34*'Revenue Inputs'!$D$38*0.05</f>
        <v>0</v>
      </c>
      <c r="G42" s="606">
        <f>'Revenue Inputs'!$G$34*'Revenue Inputs'!$D$38*0.95/10</f>
        <v>0</v>
      </c>
      <c r="H42" s="606">
        <f>'Revenue Inputs'!$G$34*'Revenue Inputs'!$D$38*0.95/10</f>
        <v>0</v>
      </c>
      <c r="I42" s="606">
        <f>'Revenue Inputs'!$G$34*'Revenue Inputs'!$D$38*0.95/10</f>
        <v>0</v>
      </c>
      <c r="J42" s="606">
        <f>'Revenue Inputs'!$G$34*'Revenue Inputs'!$D$38*0.95/10</f>
        <v>0</v>
      </c>
      <c r="K42" s="606">
        <f>'Revenue Inputs'!$G$34*'Revenue Inputs'!$D$38*0.95/10</f>
        <v>0</v>
      </c>
      <c r="L42" s="606">
        <f>'Revenue Inputs'!$G$34*'Revenue Inputs'!$D$38*0.95/10</f>
        <v>0</v>
      </c>
      <c r="M42" s="606">
        <f>'Revenue Inputs'!$G$34*'Revenue Inputs'!$D$38*0.95/10</f>
        <v>0</v>
      </c>
      <c r="N42" s="606">
        <f>'Revenue Inputs'!$G$34*'Revenue Inputs'!$D$38*0.95/10</f>
        <v>0</v>
      </c>
      <c r="O42" s="606">
        <f>'Revenue Inputs'!$G$34*'Revenue Inputs'!$D$38*0.95/10</f>
        <v>0</v>
      </c>
      <c r="P42" s="606">
        <f>'Revenue Inputs'!$G$34*'Revenue Inputs'!$D$38*0.95/10</f>
        <v>0</v>
      </c>
      <c r="Q42" s="602">
        <v>0</v>
      </c>
      <c r="R42" s="92"/>
      <c r="S42" s="638">
        <f t="shared" ref="S42:S49" si="19">SUM(E42:Q42)</f>
        <v>0</v>
      </c>
      <c r="T42" s="92"/>
      <c r="U42" s="94">
        <v>0</v>
      </c>
      <c r="V42" s="94">
        <f t="shared" si="10"/>
        <v>0</v>
      </c>
      <c r="X42" s="94">
        <f>'FY18-19'!S42</f>
        <v>0</v>
      </c>
      <c r="Y42" s="94">
        <f t="shared" ref="Y42:Y49" si="20">S42-X42</f>
        <v>0</v>
      </c>
    </row>
    <row r="43" spans="1:25" s="95" customFormat="1" ht="12" hidden="1" customHeight="1">
      <c r="A43" s="91"/>
      <c r="B43" s="91" t="s">
        <v>186</v>
      </c>
      <c r="C43" s="102">
        <v>8650</v>
      </c>
      <c r="D43" s="104" t="s">
        <v>15</v>
      </c>
      <c r="E43" s="606">
        <f>VLOOKUP($C43,Data!$A:$O,COLUMNS(Data!$A:C),FALSE)</f>
        <v>0</v>
      </c>
      <c r="F43" s="606">
        <f>'Revenue Inputs'!$G$35/12</f>
        <v>0</v>
      </c>
      <c r="G43" s="606">
        <f>'Revenue Inputs'!$G$35/12</f>
        <v>0</v>
      </c>
      <c r="H43" s="606">
        <f>'Revenue Inputs'!$G$35/12</f>
        <v>0</v>
      </c>
      <c r="I43" s="606">
        <f>'Revenue Inputs'!$G$35/12</f>
        <v>0</v>
      </c>
      <c r="J43" s="606">
        <f>'Revenue Inputs'!$G$35/12</f>
        <v>0</v>
      </c>
      <c r="K43" s="606">
        <f>'Revenue Inputs'!$G$35/12</f>
        <v>0</v>
      </c>
      <c r="L43" s="606">
        <f>'Revenue Inputs'!$G$35/12</f>
        <v>0</v>
      </c>
      <c r="M43" s="606">
        <f>'Revenue Inputs'!$G$35/12</f>
        <v>0</v>
      </c>
      <c r="N43" s="606">
        <f>'Revenue Inputs'!$G$35/12</f>
        <v>0</v>
      </c>
      <c r="O43" s="606">
        <f>'Revenue Inputs'!$G$35/12</f>
        <v>0</v>
      </c>
      <c r="P43" s="606">
        <f>'Revenue Inputs'!$G$35/12</f>
        <v>0</v>
      </c>
      <c r="Q43" s="602">
        <v>0</v>
      </c>
      <c r="R43" s="92"/>
      <c r="S43" s="638">
        <f t="shared" si="19"/>
        <v>0</v>
      </c>
      <c r="T43" s="92"/>
      <c r="U43" s="94">
        <v>0</v>
      </c>
      <c r="V43" s="94">
        <f t="shared" si="10"/>
        <v>0</v>
      </c>
      <c r="X43" s="94">
        <f>'FY18-19'!S43</f>
        <v>0</v>
      </c>
      <c r="Y43" s="94">
        <f t="shared" si="20"/>
        <v>0</v>
      </c>
    </row>
    <row r="44" spans="1:25" s="95" customFormat="1" ht="12" hidden="1" customHeight="1">
      <c r="A44" s="91"/>
      <c r="B44" s="91" t="s">
        <v>186</v>
      </c>
      <c r="C44" s="102">
        <v>8660</v>
      </c>
      <c r="D44" s="104" t="s">
        <v>16</v>
      </c>
      <c r="E44" s="606">
        <f>VLOOKUP($C44,Data!$A:$O,COLUMNS(Data!$A:C),FALSE)</f>
        <v>0</v>
      </c>
      <c r="F44" s="606">
        <f>'Revenue Inputs'!$G$36/12</f>
        <v>0</v>
      </c>
      <c r="G44" s="606">
        <f>'Revenue Inputs'!$G$36/12</f>
        <v>0</v>
      </c>
      <c r="H44" s="606">
        <f>'Revenue Inputs'!$G$36/12</f>
        <v>0</v>
      </c>
      <c r="I44" s="606">
        <f>'Revenue Inputs'!$G$36/12</f>
        <v>0</v>
      </c>
      <c r="J44" s="606">
        <f>'Revenue Inputs'!$G$36/12</f>
        <v>0</v>
      </c>
      <c r="K44" s="606">
        <f>'Revenue Inputs'!$G$36/12</f>
        <v>0</v>
      </c>
      <c r="L44" s="606">
        <f>'Revenue Inputs'!$G$36/12</f>
        <v>0</v>
      </c>
      <c r="M44" s="606">
        <f>'Revenue Inputs'!$G$36/12</f>
        <v>0</v>
      </c>
      <c r="N44" s="606">
        <f>'Revenue Inputs'!$G$36/12</f>
        <v>0</v>
      </c>
      <c r="O44" s="606">
        <f>'Revenue Inputs'!$G$36/12</f>
        <v>0</v>
      </c>
      <c r="P44" s="606">
        <f>'Revenue Inputs'!$G$36/12</f>
        <v>0</v>
      </c>
      <c r="Q44" s="602">
        <v>0</v>
      </c>
      <c r="R44" s="92"/>
      <c r="S44" s="638">
        <f t="shared" si="19"/>
        <v>0</v>
      </c>
      <c r="T44" s="92"/>
      <c r="U44" s="94">
        <v>0</v>
      </c>
      <c r="V44" s="94">
        <f t="shared" si="10"/>
        <v>0</v>
      </c>
      <c r="X44" s="94">
        <f>'FY18-19'!S44</f>
        <v>0</v>
      </c>
      <c r="Y44" s="94">
        <f t="shared" si="20"/>
        <v>0</v>
      </c>
    </row>
    <row r="45" spans="1:25" s="95" customFormat="1" ht="12" hidden="1" customHeight="1">
      <c r="A45" s="91"/>
      <c r="B45" s="91" t="s">
        <v>186</v>
      </c>
      <c r="C45" s="102">
        <v>8689</v>
      </c>
      <c r="D45" s="104" t="s">
        <v>105</v>
      </c>
      <c r="E45" s="606">
        <f>VLOOKUP($C45,Data!$A:$O,COLUMNS(Data!$A:C),FALSE)</f>
        <v>0</v>
      </c>
      <c r="F45" s="606">
        <f>'Revenue Inputs'!$G$37/12</f>
        <v>0</v>
      </c>
      <c r="G45" s="606">
        <f>'Revenue Inputs'!$G$37/12</f>
        <v>0</v>
      </c>
      <c r="H45" s="606">
        <f>'Revenue Inputs'!$G$37/12</f>
        <v>0</v>
      </c>
      <c r="I45" s="606">
        <f>'Revenue Inputs'!$G$37/12</f>
        <v>0</v>
      </c>
      <c r="J45" s="606">
        <f>'Revenue Inputs'!$G$37/12</f>
        <v>0</v>
      </c>
      <c r="K45" s="606">
        <f>'Revenue Inputs'!$G$37/12</f>
        <v>0</v>
      </c>
      <c r="L45" s="606">
        <f>'Revenue Inputs'!$G$37/12</f>
        <v>0</v>
      </c>
      <c r="M45" s="606">
        <f>'Revenue Inputs'!$G$37/12</f>
        <v>0</v>
      </c>
      <c r="N45" s="606">
        <f>'Revenue Inputs'!$G$37/12</f>
        <v>0</v>
      </c>
      <c r="O45" s="606">
        <f>'Revenue Inputs'!$G$37/12</f>
        <v>0</v>
      </c>
      <c r="P45" s="606">
        <f>'Revenue Inputs'!$G$37/12</f>
        <v>0</v>
      </c>
      <c r="Q45" s="602">
        <v>0</v>
      </c>
      <c r="R45" s="92"/>
      <c r="S45" s="638">
        <f t="shared" si="19"/>
        <v>0</v>
      </c>
      <c r="T45" s="92"/>
      <c r="U45" s="94">
        <v>0</v>
      </c>
      <c r="V45" s="94">
        <f t="shared" si="10"/>
        <v>0</v>
      </c>
      <c r="X45" s="94">
        <f>'FY18-19'!S45</f>
        <v>0</v>
      </c>
      <c r="Y45" s="94">
        <f t="shared" si="20"/>
        <v>0</v>
      </c>
    </row>
    <row r="46" spans="1:25" s="95" customFormat="1" ht="12" hidden="1" customHeight="1">
      <c r="A46" s="91"/>
      <c r="B46" s="91" t="s">
        <v>186</v>
      </c>
      <c r="C46" s="102">
        <v>8698</v>
      </c>
      <c r="D46" s="104" t="s">
        <v>265</v>
      </c>
      <c r="E46" s="606">
        <f>VLOOKUP($C46,Data!$A:$O,COLUMNS(Data!$A:C),FALSE)</f>
        <v>0</v>
      </c>
      <c r="F46" s="606">
        <f>'Revenue Inputs'!$G38*'Revenue Inputs'!$D$38*0.05</f>
        <v>0</v>
      </c>
      <c r="G46" s="606">
        <f>'Revenue Inputs'!$G38*'Revenue Inputs'!$D$38*0.05</f>
        <v>0</v>
      </c>
      <c r="H46" s="606">
        <f>'Revenue Inputs'!$G38*'Revenue Inputs'!$D$38*0.13</f>
        <v>0</v>
      </c>
      <c r="I46" s="606">
        <f>'Revenue Inputs'!$G38*'Revenue Inputs'!$D$38*0.11</f>
        <v>0</v>
      </c>
      <c r="J46" s="606">
        <f>'Revenue Inputs'!$G38*'Revenue Inputs'!$D$38*0.11</f>
        <v>0</v>
      </c>
      <c r="K46" s="606">
        <f>'Revenue Inputs'!$G38*'Revenue Inputs'!$D$38*0.11</f>
        <v>0</v>
      </c>
      <c r="L46" s="606">
        <f>'Revenue Inputs'!$G38*'Revenue Inputs'!$D$38*0.11</f>
        <v>0</v>
      </c>
      <c r="M46" s="606">
        <f>'Revenue Inputs'!$G38*'Revenue Inputs'!$D$38*0.11</f>
        <v>0</v>
      </c>
      <c r="N46" s="606">
        <f>'Revenue Inputs'!$G38*'Revenue Inputs'!$D$38*0.11</f>
        <v>0</v>
      </c>
      <c r="O46" s="606">
        <f>'Revenue Inputs'!$G38*'Revenue Inputs'!$D$38*0.11</f>
        <v>0</v>
      </c>
      <c r="P46" s="606">
        <f>'Revenue Inputs'!$G38*'Revenue Inputs'!$D$38*0</f>
        <v>0</v>
      </c>
      <c r="Q46" s="602">
        <v>0</v>
      </c>
      <c r="R46" s="92"/>
      <c r="S46" s="638">
        <f t="shared" si="19"/>
        <v>0</v>
      </c>
      <c r="T46" s="92"/>
      <c r="U46" s="94">
        <v>0</v>
      </c>
      <c r="V46" s="94">
        <f t="shared" ref="V46" si="21">S46-U46</f>
        <v>0</v>
      </c>
      <c r="X46" s="94">
        <f>'FY18-19'!S46</f>
        <v>0</v>
      </c>
      <c r="Y46" s="94">
        <f t="shared" si="20"/>
        <v>0</v>
      </c>
    </row>
    <row r="47" spans="1:25" s="95" customFormat="1" ht="12" hidden="1" customHeight="1">
      <c r="A47" s="91"/>
      <c r="B47" s="91" t="s">
        <v>186</v>
      </c>
      <c r="C47" s="102">
        <v>8699</v>
      </c>
      <c r="D47" s="104" t="s">
        <v>106</v>
      </c>
      <c r="E47" s="606">
        <f>VLOOKUP($C47,Data!$A:$O,COLUMNS(Data!$A:C),FALSE)</f>
        <v>0</v>
      </c>
      <c r="F47" s="606">
        <f>'Revenue Inputs'!$G39*'Revenue Inputs'!$D$38*0.05</f>
        <v>0</v>
      </c>
      <c r="G47" s="606">
        <f>'Revenue Inputs'!$G39*'Revenue Inputs'!$D$38*0.05</f>
        <v>0</v>
      </c>
      <c r="H47" s="606">
        <f>'Revenue Inputs'!$G39*'Revenue Inputs'!$D$38*0.13</f>
        <v>0</v>
      </c>
      <c r="I47" s="606">
        <f>'Revenue Inputs'!$G39*'Revenue Inputs'!$D$38*0.11</f>
        <v>0</v>
      </c>
      <c r="J47" s="606">
        <f>'Revenue Inputs'!$G39*'Revenue Inputs'!$D$38*0.11</f>
        <v>0</v>
      </c>
      <c r="K47" s="606">
        <f>'Revenue Inputs'!$G39*'Revenue Inputs'!$D$38*0.11</f>
        <v>0</v>
      </c>
      <c r="L47" s="606">
        <f>'Revenue Inputs'!$G39*'Revenue Inputs'!$D$38*0.11</f>
        <v>0</v>
      </c>
      <c r="M47" s="606">
        <f>'Revenue Inputs'!$G39*'Revenue Inputs'!$D$38*0.11</f>
        <v>0</v>
      </c>
      <c r="N47" s="606">
        <f>'Revenue Inputs'!$G39*'Revenue Inputs'!$D$38*0.11</f>
        <v>0</v>
      </c>
      <c r="O47" s="606">
        <f>'Revenue Inputs'!$G39*'Revenue Inputs'!$D$38*0.11</f>
        <v>0</v>
      </c>
      <c r="P47" s="606">
        <f>'Revenue Inputs'!$G39*'Revenue Inputs'!$D$38*0</f>
        <v>0</v>
      </c>
      <c r="Q47" s="602">
        <v>0</v>
      </c>
      <c r="R47" s="92"/>
      <c r="S47" s="638">
        <f t="shared" si="19"/>
        <v>0</v>
      </c>
      <c r="T47" s="92"/>
      <c r="U47" s="94">
        <v>0</v>
      </c>
      <c r="V47" s="94">
        <f>S47-U47</f>
        <v>0</v>
      </c>
      <c r="X47" s="94">
        <f>'FY18-19'!S47</f>
        <v>0</v>
      </c>
      <c r="Y47" s="94">
        <f t="shared" si="20"/>
        <v>0</v>
      </c>
    </row>
    <row r="48" spans="1:25" s="95" customFormat="1" ht="12" hidden="1" customHeight="1">
      <c r="A48" s="96"/>
      <c r="B48" s="96" t="s">
        <v>186</v>
      </c>
      <c r="C48" s="102">
        <v>8980</v>
      </c>
      <c r="D48" s="103" t="s">
        <v>10</v>
      </c>
      <c r="E48" s="606">
        <f>VLOOKUP($C48,Data!$A:$O,COLUMNS(Data!$A:C),FALSE)</f>
        <v>0</v>
      </c>
      <c r="F48" s="606">
        <f>'Revenue Inputs'!$G$40/12</f>
        <v>0</v>
      </c>
      <c r="G48" s="606">
        <f>'Revenue Inputs'!$G$40/12</f>
        <v>0</v>
      </c>
      <c r="H48" s="606">
        <f>'Revenue Inputs'!$G$40/12</f>
        <v>0</v>
      </c>
      <c r="I48" s="606">
        <f>'Revenue Inputs'!$G$40/12</f>
        <v>0</v>
      </c>
      <c r="J48" s="606">
        <f>'Revenue Inputs'!$G$40/12</f>
        <v>0</v>
      </c>
      <c r="K48" s="606">
        <f>'Revenue Inputs'!$G$40/12</f>
        <v>0</v>
      </c>
      <c r="L48" s="606">
        <f>'Revenue Inputs'!$G$40/12</f>
        <v>0</v>
      </c>
      <c r="M48" s="606">
        <f>'Revenue Inputs'!$G$40/12</f>
        <v>0</v>
      </c>
      <c r="N48" s="606">
        <f>'Revenue Inputs'!$G$40/12</f>
        <v>0</v>
      </c>
      <c r="O48" s="606">
        <f>'Revenue Inputs'!$G$40/12</f>
        <v>0</v>
      </c>
      <c r="P48" s="606">
        <f>'Revenue Inputs'!$G$40/12</f>
        <v>0</v>
      </c>
      <c r="Q48" s="620">
        <v>0</v>
      </c>
      <c r="R48" s="101"/>
      <c r="S48" s="638">
        <f t="shared" si="19"/>
        <v>0</v>
      </c>
      <c r="T48" s="101"/>
      <c r="U48" s="94">
        <v>0</v>
      </c>
      <c r="V48" s="94">
        <f>S48-U48</f>
        <v>0</v>
      </c>
      <c r="X48" s="94">
        <f>'FY18-19'!S48</f>
        <v>0</v>
      </c>
      <c r="Y48" s="94">
        <f t="shared" si="20"/>
        <v>0</v>
      </c>
    </row>
    <row r="49" spans="1:27" s="95" customFormat="1" ht="12" hidden="1" customHeight="1">
      <c r="A49" s="96"/>
      <c r="B49" s="96" t="s">
        <v>186</v>
      </c>
      <c r="C49" s="102">
        <v>8990</v>
      </c>
      <c r="D49" s="103" t="s">
        <v>11</v>
      </c>
      <c r="E49" s="606">
        <f>VLOOKUP($C49,Data!$A:$O,COLUMNS(Data!$A:C),FALSE)</f>
        <v>0</v>
      </c>
      <c r="F49" s="606">
        <f>'Revenue Inputs'!$G$41/12</f>
        <v>0</v>
      </c>
      <c r="G49" s="606">
        <f>'Revenue Inputs'!$G$41/12</f>
        <v>0</v>
      </c>
      <c r="H49" s="606">
        <f>'Revenue Inputs'!$G$41/12</f>
        <v>0</v>
      </c>
      <c r="I49" s="606">
        <f>'Revenue Inputs'!$G$41/12</f>
        <v>0</v>
      </c>
      <c r="J49" s="606">
        <f>'Revenue Inputs'!$G$41/12</f>
        <v>0</v>
      </c>
      <c r="K49" s="606">
        <f>'Revenue Inputs'!$G$41/12</f>
        <v>0</v>
      </c>
      <c r="L49" s="606">
        <f>'Revenue Inputs'!$G$41/12</f>
        <v>0</v>
      </c>
      <c r="M49" s="606">
        <f>'Revenue Inputs'!$G$41/12</f>
        <v>0</v>
      </c>
      <c r="N49" s="606">
        <f>'Revenue Inputs'!$G$41/12</f>
        <v>0</v>
      </c>
      <c r="O49" s="606">
        <f>'Revenue Inputs'!$G$41/12</f>
        <v>0</v>
      </c>
      <c r="P49" s="606">
        <f>'Revenue Inputs'!$G$41/12</f>
        <v>0</v>
      </c>
      <c r="Q49" s="620">
        <v>0</v>
      </c>
      <c r="R49" s="101"/>
      <c r="S49" s="638">
        <f t="shared" si="19"/>
        <v>0</v>
      </c>
      <c r="T49" s="101"/>
      <c r="U49" s="94">
        <v>0</v>
      </c>
      <c r="V49" s="94">
        <f>S49-U49</f>
        <v>0</v>
      </c>
      <c r="X49" s="94">
        <f>'FY18-19'!S49</f>
        <v>0</v>
      </c>
      <c r="Y49" s="94">
        <f t="shared" si="20"/>
        <v>0</v>
      </c>
    </row>
    <row r="50" spans="1:27" s="95" customFormat="1" ht="12" hidden="1" customHeight="1">
      <c r="A50" s="96"/>
      <c r="B50" s="96" t="s">
        <v>186</v>
      </c>
      <c r="C50" s="102"/>
      <c r="D50" s="103"/>
      <c r="E50" s="603">
        <f t="shared" ref="E50:P50" si="22">SUM(E42:E49)</f>
        <v>0</v>
      </c>
      <c r="F50" s="603">
        <f t="shared" si="22"/>
        <v>0</v>
      </c>
      <c r="G50" s="603">
        <f t="shared" si="22"/>
        <v>0</v>
      </c>
      <c r="H50" s="603">
        <f t="shared" si="22"/>
        <v>0</v>
      </c>
      <c r="I50" s="603">
        <f t="shared" si="22"/>
        <v>0</v>
      </c>
      <c r="J50" s="603">
        <f t="shared" si="22"/>
        <v>0</v>
      </c>
      <c r="K50" s="603">
        <f t="shared" si="22"/>
        <v>0</v>
      </c>
      <c r="L50" s="603">
        <f t="shared" si="22"/>
        <v>0</v>
      </c>
      <c r="M50" s="603">
        <f t="shared" si="22"/>
        <v>0</v>
      </c>
      <c r="N50" s="603">
        <f t="shared" si="22"/>
        <v>0</v>
      </c>
      <c r="O50" s="603">
        <f t="shared" si="22"/>
        <v>0</v>
      </c>
      <c r="P50" s="603">
        <f t="shared" si="22"/>
        <v>0</v>
      </c>
      <c r="Q50" s="603">
        <f>SUM(Q42:Q49)</f>
        <v>0</v>
      </c>
      <c r="R50" s="101"/>
      <c r="S50" s="626">
        <f>SUM(S42:S49)</f>
        <v>0</v>
      </c>
      <c r="T50" s="101"/>
      <c r="U50" s="216">
        <v>0</v>
      </c>
      <c r="V50" s="216">
        <f>SUM(V42:V49)</f>
        <v>0</v>
      </c>
      <c r="X50" s="216">
        <f>SUM(X42:X49)</f>
        <v>0</v>
      </c>
      <c r="Y50" s="216">
        <f>SUM(Y42:Y49)</f>
        <v>0</v>
      </c>
    </row>
    <row r="51" spans="1:27" s="95" customFormat="1" ht="12" customHeight="1">
      <c r="A51" s="91"/>
      <c r="B51" s="91" t="s">
        <v>186</v>
      </c>
      <c r="C51" s="91"/>
      <c r="D51" s="91"/>
      <c r="E51" s="606"/>
      <c r="F51" s="606"/>
      <c r="G51" s="606"/>
      <c r="H51" s="606"/>
      <c r="I51" s="606"/>
      <c r="J51" s="606"/>
      <c r="K51" s="606"/>
      <c r="L51" s="606"/>
      <c r="M51" s="606"/>
      <c r="N51" s="606"/>
      <c r="O51" s="606"/>
      <c r="P51" s="606"/>
      <c r="Q51" s="602"/>
      <c r="R51" s="92"/>
      <c r="S51" s="627"/>
      <c r="T51" s="92"/>
      <c r="U51" s="92"/>
      <c r="V51" s="92"/>
      <c r="X51" s="92"/>
      <c r="Y51" s="92"/>
    </row>
    <row r="52" spans="1:27" s="112" customFormat="1" ht="12" customHeight="1">
      <c r="A52" s="91" t="s">
        <v>1</v>
      </c>
      <c r="B52" s="91"/>
      <c r="C52" s="91"/>
      <c r="E52" s="605">
        <f t="shared" ref="E52:P52" si="23">E50+E40+E31+E19</f>
        <v>0</v>
      </c>
      <c r="F52" s="605">
        <f t="shared" si="23"/>
        <v>0</v>
      </c>
      <c r="G52" s="605">
        <f t="shared" si="23"/>
        <v>0</v>
      </c>
      <c r="H52" s="605">
        <f t="shared" si="23"/>
        <v>11918579</v>
      </c>
      <c r="I52" s="605">
        <f t="shared" si="23"/>
        <v>0</v>
      </c>
      <c r="J52" s="605">
        <f t="shared" si="23"/>
        <v>0</v>
      </c>
      <c r="K52" s="605">
        <f t="shared" si="23"/>
        <v>6535174</v>
      </c>
      <c r="L52" s="605">
        <f t="shared" si="23"/>
        <v>0</v>
      </c>
      <c r="M52" s="605">
        <f t="shared" si="23"/>
        <v>9334002</v>
      </c>
      <c r="N52" s="605">
        <f t="shared" si="23"/>
        <v>623569.17000000004</v>
      </c>
      <c r="O52" s="605">
        <f t="shared" si="23"/>
        <v>321761</v>
      </c>
      <c r="P52" s="605">
        <f t="shared" si="23"/>
        <v>2777433.56</v>
      </c>
      <c r="Q52" s="605">
        <f>Q50+Q40+Q31+Q19</f>
        <v>0</v>
      </c>
      <c r="R52" s="122"/>
      <c r="S52" s="640">
        <f>S50+S40+S31+S19</f>
        <v>31510518.73</v>
      </c>
      <c r="T52" s="113"/>
      <c r="U52" s="220">
        <v>26324429.272499993</v>
      </c>
      <c r="V52" s="220">
        <f>V50+V40+V31+V19</f>
        <v>5186089.4575000061</v>
      </c>
      <c r="W52" s="95"/>
      <c r="X52" s="220">
        <f>X50+X40+X31+X19</f>
        <v>0</v>
      </c>
      <c r="Y52" s="220">
        <f>Y50+Y40+Y31+Y19</f>
        <v>31510518.73</v>
      </c>
    </row>
    <row r="53" spans="1:27" s="95" customFormat="1" ht="12" customHeight="1">
      <c r="A53" s="112"/>
      <c r="B53" s="112" t="s">
        <v>186</v>
      </c>
      <c r="E53" s="606"/>
      <c r="F53" s="606"/>
      <c r="G53" s="606"/>
      <c r="H53" s="606"/>
      <c r="I53" s="606"/>
      <c r="J53" s="606"/>
      <c r="K53" s="606"/>
      <c r="L53" s="606"/>
      <c r="M53" s="606"/>
      <c r="N53" s="606"/>
      <c r="O53" s="606"/>
      <c r="P53" s="606"/>
      <c r="Q53" s="606"/>
      <c r="R53" s="94"/>
      <c r="S53" s="627"/>
      <c r="T53" s="94"/>
      <c r="U53" s="94"/>
      <c r="V53" s="94"/>
      <c r="X53" s="94"/>
      <c r="Y53" s="94"/>
    </row>
    <row r="54" spans="1:27" s="95" customFormat="1" ht="12" customHeight="1">
      <c r="A54" s="112" t="s">
        <v>2</v>
      </c>
      <c r="B54" s="112"/>
      <c r="E54" s="606"/>
      <c r="F54" s="606"/>
      <c r="G54" s="606"/>
      <c r="H54" s="606"/>
      <c r="I54" s="606"/>
      <c r="J54" s="606"/>
      <c r="K54" s="606"/>
      <c r="L54" s="606"/>
      <c r="M54" s="606"/>
      <c r="N54" s="606"/>
      <c r="O54" s="606"/>
      <c r="P54" s="606"/>
      <c r="Q54" s="606"/>
      <c r="R54" s="94"/>
      <c r="S54" s="627"/>
      <c r="T54" s="94"/>
      <c r="U54" s="94"/>
      <c r="V54" s="94"/>
      <c r="X54" s="94"/>
      <c r="Y54" s="94"/>
    </row>
    <row r="55" spans="1:27" s="95" customFormat="1" ht="12" customHeight="1">
      <c r="A55" s="112"/>
      <c r="B55" s="112" t="s">
        <v>244</v>
      </c>
      <c r="E55" s="606"/>
      <c r="F55" s="606"/>
      <c r="G55" s="606"/>
      <c r="H55" s="606"/>
      <c r="I55" s="606"/>
      <c r="J55" s="606"/>
      <c r="K55" s="606"/>
      <c r="L55" s="606"/>
      <c r="M55" s="606"/>
      <c r="N55" s="606"/>
      <c r="O55" s="606"/>
      <c r="P55" s="606"/>
      <c r="Q55" s="606"/>
      <c r="R55" s="94"/>
      <c r="S55" s="627"/>
      <c r="T55" s="94"/>
      <c r="U55" s="94"/>
      <c r="V55" s="94"/>
      <c r="X55" s="94"/>
      <c r="Y55" s="94"/>
    </row>
    <row r="56" spans="1:27" s="95" customFormat="1" ht="12" customHeight="1">
      <c r="A56" s="123"/>
      <c r="B56" s="123" t="s">
        <v>186</v>
      </c>
      <c r="C56" s="102">
        <v>1100</v>
      </c>
      <c r="D56" s="103" t="s">
        <v>271</v>
      </c>
      <c r="E56" s="606">
        <f>VLOOKUP($C56,Data!$A:$O,COLUMNS(Data!$A:C),FALSE)</f>
        <v>479432.13</v>
      </c>
      <c r="F56" s="606">
        <f>VLOOKUP($C56,Data!$A:$O,COLUMNS(Data!$A:D),FALSE)</f>
        <v>689249.89</v>
      </c>
      <c r="G56" s="606">
        <f>VLOOKUP($C56,Data!$A:$O,COLUMNS(Data!$A:E),FALSE)</f>
        <v>706821.21</v>
      </c>
      <c r="H56" s="606">
        <f>VLOOKUP($C56,Data!$A:$O,COLUMNS(Data!$A:F),FALSE)</f>
        <v>699989.92</v>
      </c>
      <c r="I56" s="606">
        <f>VLOOKUP($C56,Data!$A:$O,COLUMNS(Data!$A:G),FALSE)</f>
        <v>67011.399999999994</v>
      </c>
      <c r="J56" s="606">
        <f>VLOOKUP($C56,Data!$A:$O,COLUMNS(Data!$A:H),FALSE)</f>
        <v>1179802.69</v>
      </c>
      <c r="K56" s="606">
        <f>VLOOKUP($C56,Data!$A:$O,COLUMNS(Data!$A:I),FALSE)</f>
        <v>648971.17000000004</v>
      </c>
      <c r="L56" s="606">
        <f>VLOOKUP($C56,Data!$A:$O,COLUMNS(Data!$A:J),FALSE)</f>
        <v>665492.43999999994</v>
      </c>
      <c r="M56" s="606">
        <f>VLOOKUP($C56,Data!$A:$O,COLUMNS(Data!$A:K),FALSE)</f>
        <v>596455.93000000005</v>
      </c>
      <c r="N56" s="606">
        <f>VLOOKUP($C56,Data!$A:$O,COLUMNS(Data!$A:L),FALSE)</f>
        <v>618378.99</v>
      </c>
      <c r="O56" s="606">
        <f>VLOOKUP($C56,Data!$A:$O,COLUMNS(Data!$A:M),FALSE)</f>
        <v>655042.37</v>
      </c>
      <c r="P56" s="606">
        <f>VLOOKUP($C56,Data!$A:$O,COLUMNS(Data!$A:N),FALSE)</f>
        <v>551079.31000000006</v>
      </c>
      <c r="Q56" s="606">
        <v>0</v>
      </c>
      <c r="R56" s="94"/>
      <c r="S56" s="638">
        <f t="shared" ref="S56:S61" si="24">SUM(E56:Q56)</f>
        <v>7557727.4499999993</v>
      </c>
      <c r="T56" s="94"/>
      <c r="U56" s="94">
        <v>6843999.9999999991</v>
      </c>
      <c r="V56" s="94">
        <f>U56-S56</f>
        <v>-713727.45000000019</v>
      </c>
      <c r="X56" s="94">
        <f>'FY18-19'!S56</f>
        <v>0</v>
      </c>
      <c r="Y56" s="94">
        <f t="shared" ref="Y56:Y61" si="25">X56-S56</f>
        <v>-7557727.4499999993</v>
      </c>
    </row>
    <row r="57" spans="1:27" s="95" customFormat="1" ht="12" hidden="1" customHeight="1">
      <c r="A57" s="123"/>
      <c r="B57" s="123" t="s">
        <v>186</v>
      </c>
      <c r="C57" s="102">
        <v>1170</v>
      </c>
      <c r="D57" s="103" t="s">
        <v>272</v>
      </c>
      <c r="E57" s="606">
        <f>VLOOKUP($C57,Data!$A:$O,COLUMNS(Data!$A:C),FALSE)</f>
        <v>0</v>
      </c>
      <c r="F57" s="606">
        <f>VLOOKUP($C57,Data!$A:$O,COLUMNS(Data!$A:D),FALSE)</f>
        <v>0</v>
      </c>
      <c r="G57" s="606">
        <f>VLOOKUP($C57,Data!$A:$O,COLUMNS(Data!$A:E),FALSE)</f>
        <v>0</v>
      </c>
      <c r="H57" s="606">
        <f>VLOOKUP($C57,Data!$A:$O,COLUMNS(Data!$A:F),FALSE)</f>
        <v>0</v>
      </c>
      <c r="I57" s="606">
        <f>VLOOKUP($C57,Data!$A:$O,COLUMNS(Data!$A:G),FALSE)</f>
        <v>0</v>
      </c>
      <c r="J57" s="606">
        <f>VLOOKUP($C57,Data!$A:$O,COLUMNS(Data!$A:H),FALSE)</f>
        <v>0</v>
      </c>
      <c r="K57" s="606">
        <f>VLOOKUP($C57,Data!$A:$O,COLUMNS(Data!$A:I),FALSE)</f>
        <v>0</v>
      </c>
      <c r="L57" s="606">
        <f>VLOOKUP($C57,Data!$A:$O,COLUMNS(Data!$A:J),FALSE)</f>
        <v>0</v>
      </c>
      <c r="M57" s="606">
        <f>VLOOKUP($C57,Data!$A:$O,COLUMNS(Data!$A:K),FALSE)</f>
        <v>0</v>
      </c>
      <c r="N57" s="606">
        <f>VLOOKUP($C57,Data!$A:$O,COLUMNS(Data!$A:L),FALSE)</f>
        <v>0</v>
      </c>
      <c r="O57" s="606">
        <f>VLOOKUP($C57,Data!$A:$O,COLUMNS(Data!$A:M),FALSE)</f>
        <v>0</v>
      </c>
      <c r="P57" s="606">
        <f>VLOOKUP($C57,Data!$A:$O,COLUMNS(Data!$A:N),FALSE)</f>
        <v>0</v>
      </c>
      <c r="Q57" s="606">
        <v>0</v>
      </c>
      <c r="R57" s="94"/>
      <c r="S57" s="638">
        <f t="shared" si="24"/>
        <v>0</v>
      </c>
      <c r="T57" s="94"/>
      <c r="U57" s="94">
        <v>0</v>
      </c>
      <c r="V57" s="94">
        <f t="shared" ref="V57:V61" si="26">U57-S57</f>
        <v>0</v>
      </c>
      <c r="X57" s="94">
        <f>'FY18-19'!S57</f>
        <v>0</v>
      </c>
      <c r="Y57" s="94">
        <f t="shared" si="25"/>
        <v>0</v>
      </c>
    </row>
    <row r="58" spans="1:27" s="95" customFormat="1" ht="12" customHeight="1">
      <c r="A58" s="123"/>
      <c r="B58" s="123" t="s">
        <v>186</v>
      </c>
      <c r="C58" s="102">
        <v>1175</v>
      </c>
      <c r="D58" s="103" t="s">
        <v>273</v>
      </c>
      <c r="E58" s="606">
        <f>VLOOKUP($C58,Data!$A:$O,COLUMNS(Data!$A:C),FALSE)</f>
        <v>17482.34</v>
      </c>
      <c r="F58" s="606">
        <f>VLOOKUP($C58,Data!$A:$O,COLUMNS(Data!$A:D),FALSE)</f>
        <v>62230.62</v>
      </c>
      <c r="G58" s="606">
        <f>VLOOKUP($C58,Data!$A:$O,COLUMNS(Data!$A:E),FALSE)</f>
        <v>135604.01</v>
      </c>
      <c r="H58" s="606">
        <f>VLOOKUP($C58,Data!$A:$O,COLUMNS(Data!$A:F),FALSE)</f>
        <v>147417.39000000001</v>
      </c>
      <c r="I58" s="606">
        <f>VLOOKUP($C58,Data!$A:$O,COLUMNS(Data!$A:G),FALSE)</f>
        <v>47691.32</v>
      </c>
      <c r="J58" s="606">
        <f>VLOOKUP($C58,Data!$A:$O,COLUMNS(Data!$A:H),FALSE)</f>
        <v>187042.01</v>
      </c>
      <c r="K58" s="606">
        <f>VLOOKUP($C58,Data!$A:$O,COLUMNS(Data!$A:I),FALSE)</f>
        <v>131634.64000000001</v>
      </c>
      <c r="L58" s="606">
        <f>VLOOKUP($C58,Data!$A:$O,COLUMNS(Data!$A:J),FALSE)</f>
        <v>129190.38</v>
      </c>
      <c r="M58" s="606">
        <f>VLOOKUP($C58,Data!$A:$O,COLUMNS(Data!$A:K),FALSE)</f>
        <v>220577.82</v>
      </c>
      <c r="N58" s="606">
        <f>VLOOKUP($C58,Data!$A:$O,COLUMNS(Data!$A:L),FALSE)</f>
        <v>119945.36</v>
      </c>
      <c r="O58" s="606">
        <f>VLOOKUP($C58,Data!$A:$O,COLUMNS(Data!$A:M),FALSE)</f>
        <v>138820.35999999999</v>
      </c>
      <c r="P58" s="606">
        <f>VLOOKUP($C58,Data!$A:$O,COLUMNS(Data!$A:N),FALSE)</f>
        <v>241472.6</v>
      </c>
      <c r="Q58" s="606">
        <v>0</v>
      </c>
      <c r="R58" s="94"/>
      <c r="S58" s="638">
        <f t="shared" si="24"/>
        <v>1579108.85</v>
      </c>
      <c r="T58" s="94"/>
      <c r="U58" s="94">
        <v>684400</v>
      </c>
      <c r="V58" s="94">
        <f t="shared" si="26"/>
        <v>-894708.85000000009</v>
      </c>
      <c r="X58" s="94">
        <f>'FY18-19'!S58</f>
        <v>0</v>
      </c>
      <c r="Y58" s="94">
        <f t="shared" si="25"/>
        <v>-1579108.85</v>
      </c>
    </row>
    <row r="59" spans="1:27" s="95" customFormat="1" ht="12" customHeight="1">
      <c r="A59" s="124"/>
      <c r="B59" s="124" t="s">
        <v>186</v>
      </c>
      <c r="C59" s="102">
        <v>1200</v>
      </c>
      <c r="D59" s="103" t="s">
        <v>274</v>
      </c>
      <c r="E59" s="606">
        <f>VLOOKUP($C59,Data!$A:$O,COLUMNS(Data!$A:C),FALSE)</f>
        <v>2427.08</v>
      </c>
      <c r="F59" s="606">
        <f>VLOOKUP($C59,Data!$A:$O,COLUMNS(Data!$A:D),FALSE)</f>
        <v>23403.49</v>
      </c>
      <c r="G59" s="606">
        <f>VLOOKUP($C59,Data!$A:$O,COLUMNS(Data!$A:E),FALSE)</f>
        <v>25091.34</v>
      </c>
      <c r="H59" s="606">
        <f>VLOOKUP($C59,Data!$A:$O,COLUMNS(Data!$A:F),FALSE)</f>
        <v>25341.34</v>
      </c>
      <c r="I59" s="606">
        <f>VLOOKUP($C59,Data!$A:$O,COLUMNS(Data!$A:G),FALSE)</f>
        <v>21358.41</v>
      </c>
      <c r="J59" s="606">
        <f>VLOOKUP($C59,Data!$A:$O,COLUMNS(Data!$A:H),FALSE)</f>
        <v>19786.68</v>
      </c>
      <c r="K59" s="606">
        <f>VLOOKUP($C59,Data!$A:$O,COLUMNS(Data!$A:I),FALSE)</f>
        <v>18820.96</v>
      </c>
      <c r="L59" s="606">
        <f>VLOOKUP($C59,Data!$A:$O,COLUMNS(Data!$A:J),FALSE)</f>
        <v>12060.92</v>
      </c>
      <c r="M59" s="606">
        <f>VLOOKUP($C59,Data!$A:$O,COLUMNS(Data!$A:K),FALSE)</f>
        <v>12060.92</v>
      </c>
      <c r="N59" s="606">
        <f>VLOOKUP($C59,Data!$A:$O,COLUMNS(Data!$A:L),FALSE)</f>
        <v>13465.61</v>
      </c>
      <c r="O59" s="606">
        <f>VLOOKUP($C59,Data!$A:$O,COLUMNS(Data!$A:M),FALSE)</f>
        <v>19786.68</v>
      </c>
      <c r="P59" s="606">
        <f>VLOOKUP($C59,Data!$A:$O,COLUMNS(Data!$A:N),FALSE)</f>
        <v>19786.68</v>
      </c>
      <c r="Q59" s="606">
        <v>0</v>
      </c>
      <c r="R59" s="94"/>
      <c r="S59" s="638">
        <f t="shared" si="24"/>
        <v>213390.11</v>
      </c>
      <c r="T59" s="94"/>
      <c r="U59" s="94">
        <v>244999.99999999997</v>
      </c>
      <c r="V59" s="94">
        <f t="shared" si="26"/>
        <v>31609.889999999985</v>
      </c>
      <c r="X59" s="94">
        <f>'FY18-19'!S59</f>
        <v>0</v>
      </c>
      <c r="Y59" s="94">
        <f t="shared" si="25"/>
        <v>-213390.11</v>
      </c>
    </row>
    <row r="60" spans="1:27" s="95" customFormat="1" ht="12" customHeight="1">
      <c r="A60" s="123"/>
      <c r="B60" s="123" t="s">
        <v>186</v>
      </c>
      <c r="C60" s="102">
        <v>1300</v>
      </c>
      <c r="D60" s="103" t="s">
        <v>275</v>
      </c>
      <c r="E60" s="606">
        <f>VLOOKUP($C60,Data!$A:$O,COLUMNS(Data!$A:C),FALSE)</f>
        <v>70374.98</v>
      </c>
      <c r="F60" s="606">
        <f>VLOOKUP($C60,Data!$A:$O,COLUMNS(Data!$A:D),FALSE)</f>
        <v>79087.47</v>
      </c>
      <c r="G60" s="606">
        <f>VLOOKUP($C60,Data!$A:$O,COLUMNS(Data!$A:E),FALSE)</f>
        <v>108616.64</v>
      </c>
      <c r="H60" s="606">
        <f>VLOOKUP($C60,Data!$A:$O,COLUMNS(Data!$A:F),FALSE)</f>
        <v>102183.32</v>
      </c>
      <c r="I60" s="606">
        <f>VLOOKUP($C60,Data!$A:$O,COLUMNS(Data!$A:G),FALSE)</f>
        <v>64583.06</v>
      </c>
      <c r="J60" s="606">
        <f>VLOOKUP($C60,Data!$A:$O,COLUMNS(Data!$A:H),FALSE)</f>
        <v>140477.35999999999</v>
      </c>
      <c r="K60" s="606">
        <f>VLOOKUP($C60,Data!$A:$O,COLUMNS(Data!$A:I),FALSE)</f>
        <v>108633.34</v>
      </c>
      <c r="L60" s="606">
        <f>VLOOKUP($C60,Data!$A:$O,COLUMNS(Data!$A:J),FALSE)</f>
        <v>93816.66</v>
      </c>
      <c r="M60" s="606">
        <f>VLOOKUP($C60,Data!$A:$O,COLUMNS(Data!$A:K),FALSE)</f>
        <v>115002.09</v>
      </c>
      <c r="N60" s="606">
        <f>VLOOKUP($C60,Data!$A:$O,COLUMNS(Data!$A:L),FALSE)</f>
        <v>117958.34</v>
      </c>
      <c r="O60" s="606">
        <f>VLOOKUP($C60,Data!$A:$O,COLUMNS(Data!$A:M),FALSE)</f>
        <v>120059.34</v>
      </c>
      <c r="P60" s="606">
        <f>VLOOKUP($C60,Data!$A:$O,COLUMNS(Data!$A:N),FALSE)</f>
        <v>141670.14000000001</v>
      </c>
      <c r="Q60" s="606">
        <v>0</v>
      </c>
      <c r="R60" s="94"/>
      <c r="S60" s="638">
        <f t="shared" si="24"/>
        <v>1262462.7400000002</v>
      </c>
      <c r="T60" s="94"/>
      <c r="U60" s="94">
        <v>545000.00000000012</v>
      </c>
      <c r="V60" s="94">
        <f t="shared" si="26"/>
        <v>-717462.74000000011</v>
      </c>
      <c r="X60" s="94">
        <f>'FY18-19'!S60</f>
        <v>0</v>
      </c>
      <c r="Y60" s="94">
        <f t="shared" si="25"/>
        <v>-1262462.7400000002</v>
      </c>
    </row>
    <row r="61" spans="1:27" s="95" customFormat="1" ht="12" hidden="1" customHeight="1">
      <c r="A61" s="124"/>
      <c r="B61" s="124" t="s">
        <v>186</v>
      </c>
      <c r="C61" s="102">
        <v>1900</v>
      </c>
      <c r="D61" s="103" t="s">
        <v>19</v>
      </c>
      <c r="E61" s="606">
        <f>VLOOKUP($C61,Data!$A:$O,COLUMNS(Data!$A:C),FALSE)</f>
        <v>0</v>
      </c>
      <c r="F61" s="606">
        <f>(SUMIF('Payroll 19-20'!$G$124:$G$143,11,'Payroll 19-20'!$I$124:$I$143)/11)+(SUMIF('Payroll 19-20'!$G$124:$G$143,12,'Payroll 19-20'!$I$124:$I$143)/12)</f>
        <v>0</v>
      </c>
      <c r="G61" s="606">
        <f>(SUMIF('Payroll 19-20'!$G$124:$G$143,11,'Payroll 19-20'!$I$124:$I$143)/11)+(SUMIF('Payroll 19-20'!$G$124:$G$143,10,'Payroll 19-20'!$I$124:$I$143)/10)+(SUMIF('Payroll 19-20'!$G$124:$G$143,12,'Payroll 19-20'!$I$124:$I$143)/12)</f>
        <v>0</v>
      </c>
      <c r="H61" s="606">
        <f>(SUMIF('Payroll 19-20'!$G$124:$G$143,11,'Payroll 19-20'!$I$124:$I$143)/11)+(SUMIF('Payroll 19-20'!$G$124:$G$143,10,'Payroll 19-20'!$I$124:$I$143)/10)+(SUMIF('Payroll 19-20'!$G$124:$G$143,12,'Payroll 19-20'!$I$124:$I$143)/12)</f>
        <v>0</v>
      </c>
      <c r="I61" s="606">
        <f>VLOOKUP($C61,Data!$A:$O,COLUMNS(Data!$A:G),FALSE)</f>
        <v>0</v>
      </c>
      <c r="J61" s="606">
        <f>(SUMIF('Payroll 19-20'!$G$124:$G$143,11,'Payroll 19-20'!$I$124:$I$143)/11)+(SUMIF('Payroll 19-20'!$G$124:$G$143,10,'Payroll 19-20'!$I$124:$I$143)/10)+(SUMIF('Payroll 19-20'!$G$124:$G$143,12,'Payroll 19-20'!$I$124:$I$143)/12)</f>
        <v>0</v>
      </c>
      <c r="K61" s="606">
        <f>(SUMIF('Payroll 19-20'!$G$124:$G$143,11,'Payroll 19-20'!$I$124:$I$143)/11)+(SUMIF('Payroll 19-20'!$G$124:$G$143,10,'Payroll 19-20'!$I$124:$I$143)/10)+(SUMIF('Payroll 19-20'!$G$124:$G$143,12,'Payroll 19-20'!$I$124:$I$143)/12)</f>
        <v>0</v>
      </c>
      <c r="L61" s="606">
        <f>(SUMIF('Payroll 19-20'!$G$124:$G$143,11,'Payroll 19-20'!$I$124:$I$143)/11)+(SUMIF('Payroll 19-20'!$G$124:$G$143,10,'Payroll 19-20'!$I$124:$I$143)/10)+(SUMIF('Payroll 19-20'!$G$124:$G$143,12,'Payroll 19-20'!$I$124:$I$143)/12)</f>
        <v>0</v>
      </c>
      <c r="M61" s="606">
        <f>(SUMIF('Payroll 19-20'!$G$124:$G$143,11,'Payroll 19-20'!$I$124:$I$143)/11)+(SUMIF('Payroll 19-20'!$G$124:$G$143,10,'Payroll 19-20'!$I$124:$I$143)/10)+(SUMIF('Payroll 19-20'!$G$124:$G$143,12,'Payroll 19-20'!$I$124:$I$143)/12)</f>
        <v>0</v>
      </c>
      <c r="N61" s="606">
        <f>(SUMIF('Payroll 19-20'!$G$124:$G$143,11,'Payroll 19-20'!$I$124:$I$143)/11)+(SUMIF('Payroll 19-20'!$G$124:$G$143,10,'Payroll 19-20'!$I$124:$I$143)/10)+(SUMIF('Payroll 19-20'!$G$124:$G$143,12,'Payroll 19-20'!$I$124:$I$143)/12)</f>
        <v>0</v>
      </c>
      <c r="O61" s="606">
        <f>(SUMIF('Payroll 19-20'!$G$124:$G$143,11,'Payroll 19-20'!$I$124:$I$143)/11)+(SUMIF('Payroll 19-20'!$G$124:$G$143,10,'Payroll 19-20'!$I$124:$I$143)/10)+(SUMIF('Payroll 19-20'!$G$124:$G$143,12,'Payroll 19-20'!$I$124:$I$143)/12)</f>
        <v>0</v>
      </c>
      <c r="P61" s="606">
        <f>(SUMIF('Payroll 19-20'!$G$124:$G$143,11,'Payroll 19-20'!$I$124:$I$143)/11)+(SUMIF('Payroll 19-20'!$G$124:$G$143,10,'Payroll 19-20'!$I$124:$I$143)/10)+(SUMIF('Payroll 19-20'!$G$124:$G$143,12,'Payroll 19-20'!$I$124:$I$143)/12)</f>
        <v>0</v>
      </c>
      <c r="Q61" s="606">
        <v>0</v>
      </c>
      <c r="R61" s="94"/>
      <c r="S61" s="638">
        <f t="shared" si="24"/>
        <v>0</v>
      </c>
      <c r="T61" s="94"/>
      <c r="U61" s="94">
        <v>0</v>
      </c>
      <c r="V61" s="94">
        <f t="shared" si="26"/>
        <v>0</v>
      </c>
      <c r="X61" s="94">
        <f>'FY18-19'!S61</f>
        <v>0</v>
      </c>
      <c r="Y61" s="94">
        <f t="shared" si="25"/>
        <v>0</v>
      </c>
    </row>
    <row r="62" spans="1:27" s="95" customFormat="1" ht="12" customHeight="1">
      <c r="A62" s="124"/>
      <c r="B62" s="124" t="s">
        <v>186</v>
      </c>
      <c r="C62" s="102"/>
      <c r="D62" s="103"/>
      <c r="E62" s="603">
        <f t="shared" ref="E62:S62" si="27">SUM(E56:E61)</f>
        <v>569716.53</v>
      </c>
      <c r="F62" s="603">
        <f t="shared" si="27"/>
        <v>853971.47</v>
      </c>
      <c r="G62" s="603">
        <f t="shared" si="27"/>
        <v>976133.2</v>
      </c>
      <c r="H62" s="603">
        <f t="shared" si="27"/>
        <v>974931.97</v>
      </c>
      <c r="I62" s="603">
        <f t="shared" si="27"/>
        <v>200644.19</v>
      </c>
      <c r="J62" s="603">
        <f t="shared" si="27"/>
        <v>1527108.7399999998</v>
      </c>
      <c r="K62" s="603">
        <f t="shared" si="27"/>
        <v>908060.11</v>
      </c>
      <c r="L62" s="603">
        <f t="shared" si="27"/>
        <v>900560.4</v>
      </c>
      <c r="M62" s="603">
        <f t="shared" si="27"/>
        <v>944096.76</v>
      </c>
      <c r="N62" s="603">
        <f t="shared" si="27"/>
        <v>869748.29999999993</v>
      </c>
      <c r="O62" s="603">
        <f t="shared" si="27"/>
        <v>933708.75</v>
      </c>
      <c r="P62" s="603">
        <f t="shared" si="27"/>
        <v>954008.7300000001</v>
      </c>
      <c r="Q62" s="603">
        <f t="shared" si="27"/>
        <v>0</v>
      </c>
      <c r="R62" s="94">
        <f t="shared" si="27"/>
        <v>0</v>
      </c>
      <c r="S62" s="626">
        <f t="shared" si="27"/>
        <v>10612689.149999999</v>
      </c>
      <c r="T62" s="94"/>
      <c r="U62" s="216">
        <v>8318399.9999999991</v>
      </c>
      <c r="V62" s="216">
        <f>SUM(V56:V61)</f>
        <v>-2294289.1500000004</v>
      </c>
      <c r="X62" s="216">
        <f>SUM(X56:X61)</f>
        <v>0</v>
      </c>
      <c r="Y62" s="216">
        <f>SUM(Y56:Y61)</f>
        <v>-10612689.149999999</v>
      </c>
      <c r="AA62" s="94"/>
    </row>
    <row r="63" spans="1:27" s="95" customFormat="1" ht="12" customHeight="1">
      <c r="A63" s="124"/>
      <c r="B63" s="124" t="s">
        <v>245</v>
      </c>
      <c r="C63" s="102"/>
      <c r="D63" s="103"/>
      <c r="E63" s="606"/>
      <c r="F63" s="606"/>
      <c r="G63" s="606"/>
      <c r="H63" s="606"/>
      <c r="I63" s="606"/>
      <c r="J63" s="606"/>
      <c r="K63" s="606"/>
      <c r="L63" s="606"/>
      <c r="M63" s="606"/>
      <c r="N63" s="606"/>
      <c r="O63" s="606"/>
      <c r="P63" s="606"/>
      <c r="Q63" s="606"/>
      <c r="R63" s="94"/>
      <c r="S63" s="638"/>
      <c r="T63" s="94"/>
      <c r="U63" s="94"/>
      <c r="V63" s="94"/>
      <c r="X63" s="94"/>
      <c r="Y63" s="94"/>
    </row>
    <row r="64" spans="1:27" s="95" customFormat="1" ht="13">
      <c r="A64" s="124"/>
      <c r="B64" s="124" t="s">
        <v>186</v>
      </c>
      <c r="C64" s="102">
        <v>2100</v>
      </c>
      <c r="D64" s="103" t="s">
        <v>276</v>
      </c>
      <c r="E64" s="606">
        <f>VLOOKUP($C64,Data!$A:$O,COLUMNS(Data!$A:C),FALSE)</f>
        <v>7719.76</v>
      </c>
      <c r="F64" s="606">
        <f>VLOOKUP($C64,Data!$A:$O,COLUMNS(Data!$A:D),FALSE)</f>
        <v>21016.15</v>
      </c>
      <c r="G64" s="606">
        <f>VLOOKUP($C64,Data!$A:$O,COLUMNS(Data!$A:E),FALSE)</f>
        <v>23143.88</v>
      </c>
      <c r="H64" s="606">
        <f>VLOOKUP($C64,Data!$A:$O,COLUMNS(Data!$A:F),FALSE)</f>
        <v>24735.21</v>
      </c>
      <c r="I64" s="606">
        <f>VLOOKUP($C64,Data!$A:$O,COLUMNS(Data!$A:G),FALSE)</f>
        <v>22165.39</v>
      </c>
      <c r="J64" s="606">
        <f>VLOOKUP($C64,Data!$A:$O,COLUMNS(Data!$A:H),FALSE)</f>
        <v>57848.54</v>
      </c>
      <c r="K64" s="606">
        <f>VLOOKUP($C64,Data!$A:$O,COLUMNS(Data!$A:I),FALSE)</f>
        <v>32985.57</v>
      </c>
      <c r="L64" s="606">
        <f>VLOOKUP($C64,Data!$A:$O,COLUMNS(Data!$A:J),FALSE)</f>
        <v>56946.5</v>
      </c>
      <c r="M64" s="606">
        <f>VLOOKUP($C64,Data!$A:$O,COLUMNS(Data!$A:K),FALSE)</f>
        <v>22930.18</v>
      </c>
      <c r="N64" s="606">
        <f>VLOOKUP($C64,Data!$A:$O,COLUMNS(Data!$A:L),FALSE)</f>
        <v>21822.17</v>
      </c>
      <c r="O64" s="606">
        <f>VLOOKUP($C64,Data!$A:$O,COLUMNS(Data!$A:M),FALSE)</f>
        <v>13932.52</v>
      </c>
      <c r="P64" s="606">
        <f>VLOOKUP($C64,Data!$A:$O,COLUMNS(Data!$A:N),FALSE)</f>
        <v>16465.05</v>
      </c>
      <c r="Q64" s="606">
        <v>0</v>
      </c>
      <c r="R64" s="94"/>
      <c r="S64" s="638">
        <f t="shared" ref="S64:S68" si="28">SUM(E64:Q64)</f>
        <v>321710.92</v>
      </c>
      <c r="T64" s="94"/>
      <c r="U64" s="94">
        <v>0</v>
      </c>
      <c r="V64" s="94">
        <f t="shared" ref="V64:V68" si="29">U64-S64</f>
        <v>-321710.92</v>
      </c>
      <c r="X64" s="94">
        <f>'FY18-19'!S64</f>
        <v>0</v>
      </c>
      <c r="Y64" s="94">
        <f>X64-S64</f>
        <v>-321710.92</v>
      </c>
    </row>
    <row r="65" spans="1:38" s="95" customFormat="1" ht="13">
      <c r="A65" s="124"/>
      <c r="B65" s="124" t="s">
        <v>186</v>
      </c>
      <c r="C65" s="102">
        <v>2200</v>
      </c>
      <c r="D65" s="103" t="s">
        <v>277</v>
      </c>
      <c r="E65" s="606">
        <f>VLOOKUP($C65,Data!$A:$O,COLUMNS(Data!$A:C),FALSE)</f>
        <v>0</v>
      </c>
      <c r="F65" s="606">
        <f>VLOOKUP($C65,Data!$A:$O,COLUMNS(Data!$A:D),FALSE)</f>
        <v>0</v>
      </c>
      <c r="G65" s="606">
        <f>(SUMIF('Payroll 19-20'!$G$168:$G$187,11,'Payroll 19-20'!$I$168:$I$187)/11)+(SUMIF('Payroll 19-20'!$G$168:$G$187,12,'Payroll 19-20'!$I$168:$I$187)/12)</f>
        <v>0</v>
      </c>
      <c r="H65" s="606">
        <f>(SUMIF('Payroll 19-20'!$G$168:$G$187,11,'Payroll 19-20'!$I$168:$I$187)/11)+(SUMIF('Payroll 19-20'!$G$168:$G$187,12,'Payroll 19-20'!$I$168:$I$187)/12)</f>
        <v>0</v>
      </c>
      <c r="I65" s="606">
        <f>VLOOKUP($C65,Data!$A:$O,COLUMNS(Data!$A:G),FALSE)</f>
        <v>0</v>
      </c>
      <c r="J65" s="606">
        <f>VLOOKUP($C65,Data!$A:$O,COLUMNS(Data!$A:H),FALSE)</f>
        <v>0</v>
      </c>
      <c r="K65" s="606">
        <f>VLOOKUP($C65,Data!$A:$O,COLUMNS(Data!$A:I),FALSE)</f>
        <v>0</v>
      </c>
      <c r="L65" s="606">
        <f>VLOOKUP($C65,Data!$A:$O,COLUMNS(Data!$A:J),FALSE)</f>
        <v>0</v>
      </c>
      <c r="M65" s="606">
        <f>VLOOKUP($C65,Data!$A:$O,COLUMNS(Data!$A:K),FALSE)</f>
        <v>0</v>
      </c>
      <c r="N65" s="606">
        <f>VLOOKUP($C65,Data!$A:$O,COLUMNS(Data!$A:L),FALSE)</f>
        <v>0</v>
      </c>
      <c r="O65" s="606">
        <f>VLOOKUP($C65,Data!$A:$O,COLUMNS(Data!$A:M),FALSE)</f>
        <v>2318.7800000000002</v>
      </c>
      <c r="P65" s="606">
        <f>VLOOKUP($C65,Data!$A:$O,COLUMNS(Data!$A:N),FALSE)</f>
        <v>3924.1</v>
      </c>
      <c r="Q65" s="606">
        <v>0</v>
      </c>
      <c r="R65" s="94"/>
      <c r="S65" s="638">
        <f t="shared" si="28"/>
        <v>6242.88</v>
      </c>
      <c r="T65" s="94"/>
      <c r="U65" s="94">
        <v>0</v>
      </c>
      <c r="V65" s="94">
        <f t="shared" si="29"/>
        <v>-6242.88</v>
      </c>
      <c r="X65" s="94">
        <f>'FY18-19'!S65</f>
        <v>0</v>
      </c>
      <c r="Y65" s="94">
        <f>X65-S65</f>
        <v>-6242.88</v>
      </c>
    </row>
    <row r="66" spans="1:38" s="95" customFormat="1">
      <c r="A66" s="124"/>
      <c r="B66" s="124" t="s">
        <v>186</v>
      </c>
      <c r="C66" s="102">
        <v>2300</v>
      </c>
      <c r="D66" s="105" t="s">
        <v>22</v>
      </c>
      <c r="E66" s="606">
        <f>VLOOKUP($C66,Data!$A:$O,COLUMNS(Data!$A:C),FALSE)</f>
        <v>0</v>
      </c>
      <c r="F66" s="606">
        <f>VLOOKUP($C66,Data!$A:$O,COLUMNS(Data!$A:D),FALSE)</f>
        <v>0</v>
      </c>
      <c r="G66" s="606">
        <f>(SUMIF('Payroll 19-20'!$G$190:$G$199,12,'Payroll 19-20'!$I$190:$I$199)/12)+(SUMIF('Payroll 19-20'!$G$190:$G$199,11,'Payroll 19-20'!$I$190:$I$199)/11)</f>
        <v>0</v>
      </c>
      <c r="H66" s="606">
        <f>(SUMIF('Payroll 19-20'!$G$190:$G$199,12,'Payroll 19-20'!$I$190:$I$199)/12)+(SUMIF('Payroll 19-20'!$G$190:$G$199,11,'Payroll 19-20'!$I$190:$I$199)/11)</f>
        <v>0</v>
      </c>
      <c r="I66" s="606">
        <f>VLOOKUP($C66,Data!$A:$O,COLUMNS(Data!$A:G),FALSE)</f>
        <v>0</v>
      </c>
      <c r="J66" s="606">
        <f>VLOOKUP($C66,Data!$A:$O,COLUMNS(Data!$A:H),FALSE)</f>
        <v>0</v>
      </c>
      <c r="K66" s="606">
        <f>VLOOKUP($C66,Data!$A:$O,COLUMNS(Data!$A:I),FALSE)</f>
        <v>0</v>
      </c>
      <c r="L66" s="606">
        <f>VLOOKUP($C66,Data!$A:$O,COLUMNS(Data!$A:J),FALSE)</f>
        <v>0</v>
      </c>
      <c r="M66" s="606">
        <f>VLOOKUP($C66,Data!$A:$O,COLUMNS(Data!$A:K),FALSE)</f>
        <v>0</v>
      </c>
      <c r="N66" s="606">
        <f>VLOOKUP($C66,Data!$A:$O,COLUMNS(Data!$A:L),FALSE)</f>
        <v>0</v>
      </c>
      <c r="O66" s="606">
        <f>VLOOKUP($C66,Data!$A:$O,COLUMNS(Data!$A:M),FALSE)</f>
        <v>24441.96</v>
      </c>
      <c r="P66" s="606">
        <f>VLOOKUP($C66,Data!$A:$O,COLUMNS(Data!$A:N),FALSE)</f>
        <v>41583.300000000003</v>
      </c>
      <c r="Q66" s="606">
        <v>0</v>
      </c>
      <c r="R66" s="94"/>
      <c r="S66" s="638">
        <f t="shared" si="28"/>
        <v>66025.260000000009</v>
      </c>
      <c r="T66" s="94"/>
      <c r="U66" s="94">
        <v>0</v>
      </c>
      <c r="V66" s="94">
        <f t="shared" si="29"/>
        <v>-66025.260000000009</v>
      </c>
      <c r="X66" s="94">
        <f>'FY18-19'!S66</f>
        <v>0</v>
      </c>
      <c r="Y66" s="94">
        <f>X66-S66</f>
        <v>-66025.260000000009</v>
      </c>
    </row>
    <row r="67" spans="1:38" s="95" customFormat="1">
      <c r="A67" s="124"/>
      <c r="B67" s="124" t="s">
        <v>186</v>
      </c>
      <c r="C67" s="102">
        <v>2400</v>
      </c>
      <c r="D67" s="105" t="s">
        <v>241</v>
      </c>
      <c r="E67" s="606">
        <f>VLOOKUP($C67,Data!$A:$O,COLUMNS(Data!$A:C),FALSE)</f>
        <v>0</v>
      </c>
      <c r="F67" s="606">
        <f>VLOOKUP($C67,Data!$A:$O,COLUMNS(Data!$A:D),FALSE)</f>
        <v>0</v>
      </c>
      <c r="G67" s="606">
        <f>VLOOKUP($C67,Data!$A:$O,COLUMNS(Data!$A:E),FALSE)</f>
        <v>0</v>
      </c>
      <c r="H67" s="606">
        <f>VLOOKUP($C67,Data!$A:$O,COLUMNS(Data!$A:F),FALSE)</f>
        <v>0</v>
      </c>
      <c r="I67" s="606">
        <f>VLOOKUP($C67,Data!$A:$O,COLUMNS(Data!$A:G),FALSE)</f>
        <v>0</v>
      </c>
      <c r="J67" s="606">
        <f>VLOOKUP($C67,Data!$A:$O,COLUMNS(Data!$A:H),FALSE)</f>
        <v>0</v>
      </c>
      <c r="K67" s="606">
        <f>VLOOKUP($C67,Data!$A:$O,COLUMNS(Data!$A:I),FALSE)</f>
        <v>0</v>
      </c>
      <c r="L67" s="606">
        <f>VLOOKUP($C67,Data!$A:$O,COLUMNS(Data!$A:J),FALSE)</f>
        <v>2307.7600000000002</v>
      </c>
      <c r="M67" s="606">
        <f>VLOOKUP($C67,Data!$A:$O,COLUMNS(Data!$A:K),FALSE)</f>
        <v>5077.07</v>
      </c>
      <c r="N67" s="606">
        <f>VLOOKUP($C67,Data!$A:$O,COLUMNS(Data!$A:L),FALSE)</f>
        <v>8402.0300000000007</v>
      </c>
      <c r="O67" s="606">
        <f>VLOOKUP($C67,Data!$A:$O,COLUMNS(Data!$A:M),FALSE)</f>
        <v>5607.73</v>
      </c>
      <c r="P67" s="606">
        <f>VLOOKUP($C67,Data!$A:$O,COLUMNS(Data!$A:N),FALSE)</f>
        <v>3215.34</v>
      </c>
      <c r="Q67" s="606">
        <v>0</v>
      </c>
      <c r="R67" s="125"/>
      <c r="S67" s="638">
        <f t="shared" si="28"/>
        <v>24609.93</v>
      </c>
      <c r="T67" s="94"/>
      <c r="U67" s="94">
        <v>0</v>
      </c>
      <c r="V67" s="94">
        <f t="shared" si="29"/>
        <v>-24609.93</v>
      </c>
      <c r="X67" s="94">
        <f>'FY18-19'!S67</f>
        <v>0</v>
      </c>
      <c r="Y67" s="94">
        <f>X67-S67</f>
        <v>-24609.93</v>
      </c>
    </row>
    <row r="68" spans="1:38" s="95" customFormat="1" ht="13">
      <c r="A68" s="124"/>
      <c r="B68" s="124" t="s">
        <v>186</v>
      </c>
      <c r="C68" s="102">
        <v>2900</v>
      </c>
      <c r="D68" s="103" t="s">
        <v>24</v>
      </c>
      <c r="E68" s="606">
        <f>VLOOKUP($C68,Data!$A:$O,COLUMNS(Data!$A:C),FALSE)</f>
        <v>0</v>
      </c>
      <c r="F68" s="606">
        <f>VLOOKUP($C68,Data!$A:$O,COLUMNS(Data!$A:D),FALSE)</f>
        <v>0</v>
      </c>
      <c r="G68" s="606">
        <f>VLOOKUP($C68,Data!$A:$O,COLUMNS(Data!$A:E),FALSE)</f>
        <v>0</v>
      </c>
      <c r="H68" s="606">
        <f>VLOOKUP($C68,Data!$A:$O,COLUMNS(Data!$A:F),FALSE)</f>
        <v>0</v>
      </c>
      <c r="I68" s="606">
        <f>VLOOKUP($C68,Data!$A:$O,COLUMNS(Data!$A:G),FALSE)</f>
        <v>0</v>
      </c>
      <c r="J68" s="606">
        <f>VLOOKUP($C68,Data!$A:$O,COLUMNS(Data!$A:H),FALSE)</f>
        <v>0</v>
      </c>
      <c r="K68" s="606">
        <f>VLOOKUP($C68,Data!$A:$O,COLUMNS(Data!$A:I),FALSE)</f>
        <v>0</v>
      </c>
      <c r="L68" s="606">
        <f>VLOOKUP($C68,Data!$A:$O,COLUMNS(Data!$A:J),FALSE)</f>
        <v>0</v>
      </c>
      <c r="M68" s="606">
        <f>VLOOKUP($C68,Data!$A:$O,COLUMNS(Data!$A:K),FALSE)</f>
        <v>0</v>
      </c>
      <c r="N68" s="606">
        <f>VLOOKUP($C68,Data!$A:$O,COLUMNS(Data!$A:L),FALSE)</f>
        <v>3490.44</v>
      </c>
      <c r="O68" s="606">
        <f>VLOOKUP($C68,Data!$A:$O,COLUMNS(Data!$A:M),FALSE)</f>
        <v>8178.08</v>
      </c>
      <c r="P68" s="606">
        <f>VLOOKUP($C68,Data!$A:$O,COLUMNS(Data!$A:N),FALSE)</f>
        <v>14220.32</v>
      </c>
      <c r="Q68" s="606">
        <v>0</v>
      </c>
      <c r="R68" s="94"/>
      <c r="S68" s="638">
        <f t="shared" si="28"/>
        <v>25888.84</v>
      </c>
      <c r="T68" s="94"/>
      <c r="U68" s="94">
        <v>0</v>
      </c>
      <c r="V68" s="94">
        <f t="shared" si="29"/>
        <v>-25888.84</v>
      </c>
      <c r="X68" s="94">
        <f>'FY18-19'!S68</f>
        <v>0</v>
      </c>
      <c r="Y68" s="94">
        <f>X68-S68</f>
        <v>-25888.84</v>
      </c>
    </row>
    <row r="69" spans="1:38" s="95" customFormat="1">
      <c r="A69" s="124"/>
      <c r="B69" s="124" t="s">
        <v>186</v>
      </c>
      <c r="C69" s="126"/>
      <c r="D69" s="126"/>
      <c r="E69" s="603">
        <f t="shared" ref="E69:R69" si="30">SUM(E64:E68)</f>
        <v>7719.76</v>
      </c>
      <c r="F69" s="603">
        <f t="shared" si="30"/>
        <v>21016.15</v>
      </c>
      <c r="G69" s="603">
        <f t="shared" si="30"/>
        <v>23143.88</v>
      </c>
      <c r="H69" s="603">
        <f t="shared" si="30"/>
        <v>24735.21</v>
      </c>
      <c r="I69" s="603">
        <f t="shared" si="30"/>
        <v>22165.39</v>
      </c>
      <c r="J69" s="603">
        <f t="shared" si="30"/>
        <v>57848.54</v>
      </c>
      <c r="K69" s="603">
        <f t="shared" si="30"/>
        <v>32985.57</v>
      </c>
      <c r="L69" s="603">
        <f t="shared" si="30"/>
        <v>59254.26</v>
      </c>
      <c r="M69" s="603">
        <f t="shared" si="30"/>
        <v>28007.25</v>
      </c>
      <c r="N69" s="603">
        <f t="shared" si="30"/>
        <v>33714.639999999999</v>
      </c>
      <c r="O69" s="603">
        <f t="shared" si="30"/>
        <v>54479.070000000007</v>
      </c>
      <c r="P69" s="603">
        <f t="shared" si="30"/>
        <v>79408.109999999986</v>
      </c>
      <c r="Q69" s="603">
        <f t="shared" si="30"/>
        <v>0</v>
      </c>
      <c r="R69" s="94">
        <f t="shared" si="30"/>
        <v>0</v>
      </c>
      <c r="S69" s="626">
        <f>SUM(S64:S68)</f>
        <v>444477.83</v>
      </c>
      <c r="T69" s="94"/>
      <c r="U69" s="216">
        <v>0</v>
      </c>
      <c r="V69" s="216">
        <f>SUM(V64:V68)</f>
        <v>-444477.83</v>
      </c>
      <c r="X69" s="216">
        <f>SUM(X64:X68)</f>
        <v>0</v>
      </c>
      <c r="Y69" s="216">
        <f>SUM(Y64:Y68)</f>
        <v>-444477.83</v>
      </c>
      <c r="AL69" s="94"/>
    </row>
    <row r="70" spans="1:38" s="95" customFormat="1" ht="12" customHeight="1">
      <c r="A70" s="124"/>
      <c r="B70" s="124" t="s">
        <v>3</v>
      </c>
      <c r="C70" s="126"/>
      <c r="D70" s="126"/>
      <c r="E70" s="606"/>
      <c r="F70" s="606"/>
      <c r="G70" s="606"/>
      <c r="H70" s="606"/>
      <c r="I70" s="606"/>
      <c r="J70" s="606"/>
      <c r="K70" s="606"/>
      <c r="L70" s="606"/>
      <c r="M70" s="606"/>
      <c r="N70" s="606"/>
      <c r="O70" s="606"/>
      <c r="P70" s="606"/>
      <c r="Q70" s="606"/>
      <c r="R70" s="94"/>
      <c r="S70" s="627"/>
      <c r="T70" s="94"/>
      <c r="U70" s="94"/>
      <c r="V70" s="94"/>
      <c r="X70" s="94"/>
      <c r="Y70" s="94"/>
    </row>
    <row r="71" spans="1:38" s="95" customFormat="1" ht="12" customHeight="1">
      <c r="A71" s="124"/>
      <c r="B71" s="124" t="s">
        <v>186</v>
      </c>
      <c r="C71" s="102">
        <v>3101</v>
      </c>
      <c r="D71" s="105" t="s">
        <v>69</v>
      </c>
      <c r="E71" s="606">
        <f>VLOOKUP($C71,Data!$A:$O,COLUMNS(Data!$A:C),FALSE)</f>
        <v>96131.96</v>
      </c>
      <c r="F71" s="606">
        <f>VLOOKUP($C71,Data!$A:$O,COLUMNS(Data!$A:D),FALSE)</f>
        <v>143626.23999999999</v>
      </c>
      <c r="G71" s="606">
        <f>VLOOKUP($C71,Data!$A:$O,COLUMNS(Data!$A:E),FALSE)</f>
        <v>163919.47</v>
      </c>
      <c r="H71" s="606">
        <f>VLOOKUP($C71,Data!$A:$O,COLUMNS(Data!$A:F),FALSE)</f>
        <v>164433.09</v>
      </c>
      <c r="I71" s="606">
        <f>VLOOKUP($C71,Data!$A:$O,COLUMNS(Data!$A:G),FALSE)</f>
        <v>34466.71</v>
      </c>
      <c r="J71" s="606">
        <f>VLOOKUP($C71,Data!$A:$O,COLUMNS(Data!$A:H),FALSE)</f>
        <v>256393.57</v>
      </c>
      <c r="K71" s="606">
        <f>VLOOKUP($C71,Data!$A:$O,COLUMNS(Data!$A:I),FALSE)</f>
        <v>153790.60999999999</v>
      </c>
      <c r="L71" s="606">
        <f>VLOOKUP($C71,Data!$A:$O,COLUMNS(Data!$A:J),FALSE)</f>
        <v>151319.35999999999</v>
      </c>
      <c r="M71" s="606">
        <f>VLOOKUP($C71,Data!$A:$O,COLUMNS(Data!$A:K),FALSE)</f>
        <v>147256.84</v>
      </c>
      <c r="N71" s="606">
        <f>VLOOKUP($C71,Data!$A:$O,COLUMNS(Data!$A:L),FALSE)</f>
        <v>145861.60999999999</v>
      </c>
      <c r="O71" s="606">
        <f>VLOOKUP($C71,Data!$A:$O,COLUMNS(Data!$A:M),FALSE)</f>
        <v>156166.53</v>
      </c>
      <c r="P71" s="606">
        <f>VLOOKUP($C71,Data!$A:$O,COLUMNS(Data!$A:N),FALSE)</f>
        <v>148786.53</v>
      </c>
      <c r="Q71" s="606">
        <v>0</v>
      </c>
      <c r="R71" s="94"/>
      <c r="S71" s="638">
        <f t="shared" ref="S71:S78" si="31">SUM(E71:Q71)</f>
        <v>1762152.52</v>
      </c>
      <c r="T71" s="94"/>
      <c r="U71" s="94">
        <v>1389172.7999999998</v>
      </c>
      <c r="V71" s="94">
        <f t="shared" ref="V71:V78" si="32">U71-S71</f>
        <v>-372979.7200000002</v>
      </c>
      <c r="X71" s="94">
        <f>'FY18-19'!S71</f>
        <v>0</v>
      </c>
      <c r="Y71" s="94">
        <f t="shared" ref="Y71:Y78" si="33">X71-S71</f>
        <v>-1762152.52</v>
      </c>
      <c r="AL71" s="94"/>
    </row>
    <row r="72" spans="1:38" s="95" customFormat="1" ht="12" hidden="1" customHeight="1">
      <c r="A72" s="124"/>
      <c r="B72" s="124" t="s">
        <v>186</v>
      </c>
      <c r="C72" s="102">
        <v>3202</v>
      </c>
      <c r="D72" s="105" t="s">
        <v>70</v>
      </c>
      <c r="E72" s="606">
        <f>VLOOKUP($C72,Data!$A:$O,COLUMNS(Data!$A:C),FALSE)</f>
        <v>0</v>
      </c>
      <c r="F72" s="606">
        <f>VLOOKUP($C72,Data!$A:$O,COLUMNS(Data!$A:D),FALSE)</f>
        <v>0</v>
      </c>
      <c r="G72" s="606">
        <f>VLOOKUP($C72,Data!$A:$O,COLUMNS(Data!$A:E),FALSE)</f>
        <v>0</v>
      </c>
      <c r="H72" s="606">
        <f>VLOOKUP($C72,Data!$A:$O,COLUMNS(Data!$A:F),FALSE)</f>
        <v>0</v>
      </c>
      <c r="I72" s="606">
        <f>VLOOKUP($C72,Data!$A:$O,COLUMNS(Data!$A:G),FALSE)</f>
        <v>0</v>
      </c>
      <c r="J72" s="606">
        <f>VLOOKUP($C72,Data!$A:$O,COLUMNS(Data!$A:H),FALSE)</f>
        <v>0</v>
      </c>
      <c r="K72" s="606">
        <f>VLOOKUP($C72,Data!$A:$O,COLUMNS(Data!$A:I),FALSE)</f>
        <v>0</v>
      </c>
      <c r="L72" s="606">
        <f>VLOOKUP($C72,Data!$A:$O,COLUMNS(Data!$A:J),FALSE)</f>
        <v>0</v>
      </c>
      <c r="M72" s="606">
        <f>VLOOKUP($C72,Data!$A:$O,COLUMNS(Data!$A:K),FALSE)</f>
        <v>0</v>
      </c>
      <c r="N72" s="606">
        <f>VLOOKUP($C72,Data!$A:$O,COLUMNS(Data!$A:L),FALSE)</f>
        <v>0</v>
      </c>
      <c r="O72" s="606">
        <f>VLOOKUP($C72,Data!$A:$O,COLUMNS(Data!$A:M),FALSE)</f>
        <v>0</v>
      </c>
      <c r="P72" s="606">
        <f>VLOOKUP($C72,Data!$A:$O,COLUMNS(Data!$A:N),FALSE)</f>
        <v>0</v>
      </c>
      <c r="Q72" s="606">
        <v>0</v>
      </c>
      <c r="R72" s="94"/>
      <c r="S72" s="638">
        <f t="shared" si="31"/>
        <v>0</v>
      </c>
      <c r="T72" s="94"/>
      <c r="U72" s="94">
        <v>0</v>
      </c>
      <c r="V72" s="94">
        <f t="shared" si="32"/>
        <v>0</v>
      </c>
      <c r="X72" s="94">
        <f>'FY18-19'!S72</f>
        <v>0</v>
      </c>
      <c r="Y72" s="94">
        <f t="shared" si="33"/>
        <v>0</v>
      </c>
    </row>
    <row r="73" spans="1:38" s="95" customFormat="1" ht="12" customHeight="1">
      <c r="A73" s="124"/>
      <c r="B73" s="124" t="s">
        <v>186</v>
      </c>
      <c r="C73" s="102">
        <v>3301</v>
      </c>
      <c r="D73" s="105" t="s">
        <v>239</v>
      </c>
      <c r="E73" s="606">
        <f>VLOOKUP($C73,Data!$A:$O,COLUMNS(Data!$A:C),FALSE)</f>
        <v>525.37</v>
      </c>
      <c r="F73" s="606">
        <f>VLOOKUP($C73,Data!$A:$O,COLUMNS(Data!$A:D),FALSE)</f>
        <v>1423.54</v>
      </c>
      <c r="G73" s="606">
        <f>VLOOKUP($C73,Data!$A:$O,COLUMNS(Data!$A:E),FALSE)</f>
        <v>1523.34</v>
      </c>
      <c r="H73" s="606">
        <f>VLOOKUP($C73,Data!$A:$O,COLUMNS(Data!$A:F),FALSE)</f>
        <v>1494.61</v>
      </c>
      <c r="I73" s="606">
        <f>VLOOKUP($C73,Data!$A:$O,COLUMNS(Data!$A:G),FALSE)</f>
        <v>1335.26</v>
      </c>
      <c r="J73" s="606">
        <f>VLOOKUP($C73,Data!$A:$O,COLUMNS(Data!$A:H),FALSE)</f>
        <v>3434.02</v>
      </c>
      <c r="K73" s="606">
        <f>VLOOKUP($C73,Data!$A:$O,COLUMNS(Data!$A:I),FALSE)</f>
        <v>1987.17</v>
      </c>
      <c r="L73" s="606">
        <f>VLOOKUP($C73,Data!$A:$O,COLUMNS(Data!$A:J),FALSE)</f>
        <v>3506.46</v>
      </c>
      <c r="M73" s="606">
        <f>VLOOKUP($C73,Data!$A:$O,COLUMNS(Data!$A:K),FALSE)</f>
        <v>1687.1</v>
      </c>
      <c r="N73" s="606">
        <f>VLOOKUP($C73,Data!$A:$O,COLUMNS(Data!$A:L),FALSE)</f>
        <v>2053.9699999999998</v>
      </c>
      <c r="O73" s="606">
        <f>VLOOKUP($C73,Data!$A:$O,COLUMNS(Data!$A:M),FALSE)</f>
        <v>3908.22</v>
      </c>
      <c r="P73" s="606">
        <f>VLOOKUP($C73,Data!$A:$O,COLUMNS(Data!$A:N),FALSE)</f>
        <v>4874.72</v>
      </c>
      <c r="Q73" s="606">
        <v>0</v>
      </c>
      <c r="R73" s="94"/>
      <c r="S73" s="638">
        <f t="shared" si="31"/>
        <v>27753.780000000002</v>
      </c>
      <c r="T73" s="94"/>
      <c r="U73" s="94">
        <v>0</v>
      </c>
      <c r="V73" s="94">
        <f t="shared" si="32"/>
        <v>-27753.780000000002</v>
      </c>
      <c r="X73" s="94">
        <f>'FY18-19'!S73</f>
        <v>0</v>
      </c>
      <c r="Y73" s="94">
        <f t="shared" si="33"/>
        <v>-27753.780000000002</v>
      </c>
    </row>
    <row r="74" spans="1:38" s="95" customFormat="1" ht="12" customHeight="1">
      <c r="A74" s="124"/>
      <c r="B74" s="124" t="s">
        <v>186</v>
      </c>
      <c r="C74" s="102">
        <v>3311</v>
      </c>
      <c r="D74" s="105" t="s">
        <v>240</v>
      </c>
      <c r="E74" s="606">
        <f>VLOOKUP($C74,Data!$A:$O,COLUMNS(Data!$A:C),FALSE)</f>
        <v>8129.08</v>
      </c>
      <c r="F74" s="606">
        <f>VLOOKUP($C74,Data!$A:$O,COLUMNS(Data!$A:D),FALSE)</f>
        <v>12411.04</v>
      </c>
      <c r="G74" s="606">
        <f>VLOOKUP($C74,Data!$A:$O,COLUMNS(Data!$A:E),FALSE)</f>
        <v>14074.54</v>
      </c>
      <c r="H74" s="606">
        <f>VLOOKUP($C74,Data!$A:$O,COLUMNS(Data!$A:F),FALSE)</f>
        <v>14094.86</v>
      </c>
      <c r="I74" s="606">
        <f>VLOOKUP($C74,Data!$A:$O,COLUMNS(Data!$A:G),FALSE)</f>
        <v>3469.49</v>
      </c>
      <c r="J74" s="606">
        <f>VLOOKUP($C74,Data!$A:$O,COLUMNS(Data!$A:H),FALSE)</f>
        <v>22053.95</v>
      </c>
      <c r="K74" s="606">
        <f>VLOOKUP($C74,Data!$A:$O,COLUMNS(Data!$A:I),FALSE)</f>
        <v>13316.47</v>
      </c>
      <c r="L74" s="606">
        <f>VLOOKUP($C74,Data!$A:$O,COLUMNS(Data!$A:J),FALSE)</f>
        <v>13558.05</v>
      </c>
      <c r="M74" s="606">
        <f>VLOOKUP($C74,Data!$A:$O,COLUMNS(Data!$A:K),FALSE)</f>
        <v>13789.14</v>
      </c>
      <c r="N74" s="606">
        <f>VLOOKUP($C74,Data!$A:$O,COLUMNS(Data!$A:L),FALSE)</f>
        <v>12782.28</v>
      </c>
      <c r="O74" s="606">
        <f>VLOOKUP($C74,Data!$A:$O,COLUMNS(Data!$A:M),FALSE)</f>
        <v>13487.04</v>
      </c>
      <c r="P74" s="606">
        <f>VLOOKUP($C74,Data!$A:$O,COLUMNS(Data!$A:N),FALSE)</f>
        <v>14742.15</v>
      </c>
      <c r="Q74" s="606">
        <v>0</v>
      </c>
      <c r="R74" s="94"/>
      <c r="S74" s="638">
        <f t="shared" si="31"/>
        <v>155908.09</v>
      </c>
      <c r="T74" s="94"/>
      <c r="U74" s="94">
        <v>120616.79999999999</v>
      </c>
      <c r="V74" s="94">
        <f t="shared" si="32"/>
        <v>-35291.290000000008</v>
      </c>
      <c r="X74" s="94">
        <f>'FY18-19'!S74</f>
        <v>0</v>
      </c>
      <c r="Y74" s="94">
        <f t="shared" si="33"/>
        <v>-155908.09</v>
      </c>
    </row>
    <row r="75" spans="1:38" s="95" customFormat="1" ht="12" customHeight="1">
      <c r="A75" s="124"/>
      <c r="B75" s="124" t="s">
        <v>186</v>
      </c>
      <c r="C75" s="102">
        <v>3401</v>
      </c>
      <c r="D75" s="105" t="s">
        <v>235</v>
      </c>
      <c r="E75" s="606">
        <f>VLOOKUP($C75,Data!$A:$O,COLUMNS(Data!$A:C),FALSE)</f>
        <v>-17892.919999999998</v>
      </c>
      <c r="F75" s="606">
        <f>VLOOKUP($C75,Data!$A:$O,COLUMNS(Data!$A:D),FALSE)</f>
        <v>117728.34</v>
      </c>
      <c r="G75" s="606">
        <f>VLOOKUP($C75,Data!$A:$O,COLUMNS(Data!$A:E),FALSE)</f>
        <v>87837.5</v>
      </c>
      <c r="H75" s="606">
        <f>VLOOKUP($C75,Data!$A:$O,COLUMNS(Data!$A:F),FALSE)</f>
        <v>100487.59</v>
      </c>
      <c r="I75" s="606">
        <f>VLOOKUP($C75,Data!$A:$O,COLUMNS(Data!$A:G),FALSE)</f>
        <v>106804.84</v>
      </c>
      <c r="J75" s="606">
        <f>VLOOKUP($C75,Data!$A:$O,COLUMNS(Data!$A:H),FALSE)</f>
        <v>103343.95</v>
      </c>
      <c r="K75" s="606">
        <f>VLOOKUP($C75,Data!$A:$O,COLUMNS(Data!$A:I),FALSE)</f>
        <v>96817.71</v>
      </c>
      <c r="L75" s="606">
        <f>VLOOKUP($C75,Data!$A:$O,COLUMNS(Data!$A:J),FALSE)</f>
        <v>90235.61</v>
      </c>
      <c r="M75" s="606">
        <f>VLOOKUP($C75,Data!$A:$O,COLUMNS(Data!$A:K),FALSE)</f>
        <v>94322.04</v>
      </c>
      <c r="N75" s="606">
        <f>VLOOKUP($C75,Data!$A:$O,COLUMNS(Data!$A:L),FALSE)</f>
        <v>93395.33</v>
      </c>
      <c r="O75" s="606">
        <f>VLOOKUP($C75,Data!$A:$O,COLUMNS(Data!$A:M),FALSE)</f>
        <v>95834.65</v>
      </c>
      <c r="P75" s="606">
        <f>VLOOKUP($C75,Data!$A:$O,COLUMNS(Data!$A:N),FALSE)</f>
        <v>113008.47</v>
      </c>
      <c r="Q75" s="606">
        <v>0</v>
      </c>
      <c r="R75" s="94"/>
      <c r="S75" s="638">
        <f t="shared" si="31"/>
        <v>1081923.1100000001</v>
      </c>
      <c r="T75" s="94"/>
      <c r="U75" s="94">
        <v>645000</v>
      </c>
      <c r="V75" s="94">
        <f t="shared" si="32"/>
        <v>-436923.1100000001</v>
      </c>
      <c r="X75" s="94">
        <f>'FY18-19'!S75</f>
        <v>0</v>
      </c>
      <c r="Y75" s="94">
        <f t="shared" si="33"/>
        <v>-1081923.1100000001</v>
      </c>
    </row>
    <row r="76" spans="1:38" s="95" customFormat="1" ht="12" customHeight="1">
      <c r="A76" s="124"/>
      <c r="B76" s="124" t="s">
        <v>186</v>
      </c>
      <c r="C76" s="102">
        <v>3501</v>
      </c>
      <c r="D76" s="105" t="s">
        <v>236</v>
      </c>
      <c r="E76" s="606">
        <f>VLOOKUP($C76,Data!$A:$O,COLUMNS(Data!$A:C),FALSE)</f>
        <v>18577.21</v>
      </c>
      <c r="F76" s="606">
        <f>VLOOKUP($C76,Data!$A:$O,COLUMNS(Data!$A:D),FALSE)</f>
        <v>15791.71</v>
      </c>
      <c r="G76" s="606">
        <f>VLOOKUP($C76,Data!$A:$O,COLUMNS(Data!$A:E),FALSE)</f>
        <v>5328.29</v>
      </c>
      <c r="H76" s="606">
        <f>VLOOKUP($C76,Data!$A:$O,COLUMNS(Data!$A:F),FALSE)</f>
        <v>2553.88</v>
      </c>
      <c r="I76" s="606">
        <f>VLOOKUP($C76,Data!$A:$O,COLUMNS(Data!$A:G),FALSE)</f>
        <v>-5802.54</v>
      </c>
      <c r="J76" s="606">
        <f>VLOOKUP($C76,Data!$A:$O,COLUMNS(Data!$A:H),FALSE)</f>
        <v>5730.33</v>
      </c>
      <c r="K76" s="606">
        <f>VLOOKUP($C76,Data!$A:$O,COLUMNS(Data!$A:I),FALSE)</f>
        <v>29468.07</v>
      </c>
      <c r="L76" s="606">
        <f>VLOOKUP($C76,Data!$A:$O,COLUMNS(Data!$A:J),FALSE)</f>
        <v>7530.28</v>
      </c>
      <c r="M76" s="606">
        <f>VLOOKUP($C76,Data!$A:$O,COLUMNS(Data!$A:K),FALSE)</f>
        <v>1048.9000000000001</v>
      </c>
      <c r="N76" s="606">
        <f>VLOOKUP($C76,Data!$A:$O,COLUMNS(Data!$A:L),FALSE)</f>
        <v>2845.26</v>
      </c>
      <c r="O76" s="606">
        <f>VLOOKUP($C76,Data!$A:$O,COLUMNS(Data!$A:M),FALSE)</f>
        <v>2367.4899999999998</v>
      </c>
      <c r="P76" s="606">
        <f>VLOOKUP($C76,Data!$A:$O,COLUMNS(Data!$A:N),FALSE)</f>
        <v>-1123.97</v>
      </c>
      <c r="Q76" s="606">
        <v>0</v>
      </c>
      <c r="R76" s="94"/>
      <c r="S76" s="638">
        <f t="shared" si="31"/>
        <v>84314.909999999989</v>
      </c>
      <c r="T76" s="94"/>
      <c r="U76" s="94">
        <v>63210.000000000007</v>
      </c>
      <c r="V76" s="94">
        <f t="shared" si="32"/>
        <v>-21104.909999999982</v>
      </c>
      <c r="X76" s="94">
        <f>'FY18-19'!S76</f>
        <v>0</v>
      </c>
      <c r="Y76" s="94">
        <f t="shared" si="33"/>
        <v>-84314.909999999989</v>
      </c>
    </row>
    <row r="77" spans="1:38" s="95" customFormat="1" ht="12" customHeight="1">
      <c r="A77" s="124"/>
      <c r="B77" s="124" t="s">
        <v>186</v>
      </c>
      <c r="C77" s="102">
        <v>3601</v>
      </c>
      <c r="D77" s="105" t="s">
        <v>237</v>
      </c>
      <c r="E77" s="606">
        <f>VLOOKUP($C77,Data!$A:$O,COLUMNS(Data!$A:C),FALSE)</f>
        <v>0</v>
      </c>
      <c r="F77" s="606">
        <f>VLOOKUP($C77,Data!$A:$O,COLUMNS(Data!$A:D),FALSE)</f>
        <v>15627.04</v>
      </c>
      <c r="G77" s="606">
        <f>VLOOKUP($C77,Data!$A:$O,COLUMNS(Data!$A:E),FALSE)</f>
        <v>7813.52</v>
      </c>
      <c r="H77" s="606">
        <f>VLOOKUP($C77,Data!$A:$O,COLUMNS(Data!$A:F),FALSE)</f>
        <v>7813.52</v>
      </c>
      <c r="I77" s="606">
        <f>VLOOKUP($C77,Data!$A:$O,COLUMNS(Data!$A:G),FALSE)</f>
        <v>7813.52</v>
      </c>
      <c r="J77" s="606">
        <f>VLOOKUP($C77,Data!$A:$O,COLUMNS(Data!$A:H),FALSE)</f>
        <v>7813.52</v>
      </c>
      <c r="K77" s="606">
        <f>VLOOKUP($C77,Data!$A:$O,COLUMNS(Data!$A:I),FALSE)</f>
        <v>7974.22</v>
      </c>
      <c r="L77" s="606">
        <f>VLOOKUP($C77,Data!$A:$O,COLUMNS(Data!$A:J),FALSE)</f>
        <v>7813.52</v>
      </c>
      <c r="M77" s="606">
        <f>VLOOKUP($C77,Data!$A:$O,COLUMNS(Data!$A:K),FALSE)</f>
        <v>7813.52</v>
      </c>
      <c r="N77" s="606">
        <f>VLOOKUP($C77,Data!$A:$O,COLUMNS(Data!$A:L),FALSE)</f>
        <v>4582.4799999999996</v>
      </c>
      <c r="O77" s="606">
        <f>VLOOKUP($C77,Data!$A:$O,COLUMNS(Data!$A:M),FALSE)</f>
        <v>8106.72</v>
      </c>
      <c r="P77" s="606">
        <f>VLOOKUP($C77,Data!$A:$O,COLUMNS(Data!$A:N),FALSE)</f>
        <v>-15092.88</v>
      </c>
      <c r="Q77" s="606">
        <v>0</v>
      </c>
      <c r="R77" s="94"/>
      <c r="S77" s="638">
        <f t="shared" si="31"/>
        <v>68078.700000000012</v>
      </c>
      <c r="T77" s="94"/>
      <c r="U77" s="94">
        <v>116457.60000000002</v>
      </c>
      <c r="V77" s="94">
        <f t="shared" si="32"/>
        <v>48378.900000000009</v>
      </c>
      <c r="X77" s="94">
        <f>'FY18-19'!S77</f>
        <v>0</v>
      </c>
      <c r="Y77" s="94">
        <f t="shared" si="33"/>
        <v>-68078.700000000012</v>
      </c>
    </row>
    <row r="78" spans="1:38" s="95" customFormat="1" ht="12" hidden="1" customHeight="1">
      <c r="A78" s="124"/>
      <c r="B78" s="124" t="s">
        <v>186</v>
      </c>
      <c r="C78" s="102">
        <v>3901</v>
      </c>
      <c r="D78" s="105" t="s">
        <v>238</v>
      </c>
      <c r="E78" s="606">
        <f>VLOOKUP($C78,Data!$A:$O,COLUMNS(Data!$A:C),FALSE)</f>
        <v>0</v>
      </c>
      <c r="F78" s="606">
        <v>0</v>
      </c>
      <c r="G78" s="606">
        <v>0</v>
      </c>
      <c r="H78" s="606">
        <v>0</v>
      </c>
      <c r="I78" s="606">
        <f>VLOOKUP($C78,Data!$A:$O,COLUMNS(Data!$A:G),FALSE)</f>
        <v>-114.54</v>
      </c>
      <c r="J78" s="606">
        <f>VLOOKUP($C78,Data!$A:$O,COLUMNS(Data!$A:H),FALSE)</f>
        <v>0</v>
      </c>
      <c r="K78" s="606">
        <f>VLOOKUP($C78,Data!$A:$O,COLUMNS(Data!$A:I),FALSE)</f>
        <v>0</v>
      </c>
      <c r="L78" s="606">
        <f>VLOOKUP($C78,Data!$A:$O,COLUMNS(Data!$A:J),FALSE)</f>
        <v>0</v>
      </c>
      <c r="M78" s="606">
        <f>VLOOKUP($C78,Data!$A:$O,COLUMNS(Data!$A:K),FALSE)</f>
        <v>0</v>
      </c>
      <c r="N78" s="606">
        <f>VLOOKUP($C78,Data!$A:$O,COLUMNS(Data!$A:L),FALSE)</f>
        <v>0</v>
      </c>
      <c r="O78" s="606">
        <v>0</v>
      </c>
      <c r="P78" s="606">
        <v>0</v>
      </c>
      <c r="Q78" s="606">
        <v>0</v>
      </c>
      <c r="R78" s="94"/>
      <c r="S78" s="638">
        <f t="shared" si="31"/>
        <v>-114.54</v>
      </c>
      <c r="T78" s="94"/>
      <c r="U78" s="94">
        <v>0</v>
      </c>
      <c r="V78" s="94">
        <f t="shared" si="32"/>
        <v>114.54</v>
      </c>
      <c r="X78" s="94">
        <f>'FY18-19'!S78</f>
        <v>0</v>
      </c>
      <c r="Y78" s="94">
        <f t="shared" si="33"/>
        <v>114.54</v>
      </c>
    </row>
    <row r="79" spans="1:38" s="95" customFormat="1" ht="12" customHeight="1">
      <c r="A79" s="124"/>
      <c r="B79" s="124" t="s">
        <v>186</v>
      </c>
      <c r="C79" s="126"/>
      <c r="D79" s="126"/>
      <c r="E79" s="603">
        <f t="shared" ref="E79:Q79" si="34">SUM(E71:E78)</f>
        <v>105470.70000000001</v>
      </c>
      <c r="F79" s="603">
        <f t="shared" si="34"/>
        <v>306607.91000000003</v>
      </c>
      <c r="G79" s="603">
        <f t="shared" si="34"/>
        <v>280496.65999999997</v>
      </c>
      <c r="H79" s="603">
        <f t="shared" si="34"/>
        <v>290877.55000000005</v>
      </c>
      <c r="I79" s="603">
        <f t="shared" si="34"/>
        <v>147972.73999999996</v>
      </c>
      <c r="J79" s="603">
        <f t="shared" si="34"/>
        <v>398769.34</v>
      </c>
      <c r="K79" s="603">
        <f t="shared" si="34"/>
        <v>303354.25</v>
      </c>
      <c r="L79" s="603">
        <f t="shared" si="34"/>
        <v>273963.28000000003</v>
      </c>
      <c r="M79" s="603">
        <f t="shared" si="34"/>
        <v>265917.53999999998</v>
      </c>
      <c r="N79" s="603">
        <f t="shared" si="34"/>
        <v>261520.93000000002</v>
      </c>
      <c r="O79" s="603">
        <f t="shared" si="34"/>
        <v>279870.64999999997</v>
      </c>
      <c r="P79" s="603">
        <f t="shared" si="34"/>
        <v>265195.02</v>
      </c>
      <c r="Q79" s="603">
        <f t="shared" si="34"/>
        <v>0</v>
      </c>
      <c r="R79" s="94"/>
      <c r="S79" s="626">
        <f>SUM(E79:R79)</f>
        <v>3180016.5700000003</v>
      </c>
      <c r="T79" s="94"/>
      <c r="U79" s="216">
        <v>2334457.1999999997</v>
      </c>
      <c r="V79" s="216">
        <f>SUM(V71:V78)</f>
        <v>-845559.37000000034</v>
      </c>
      <c r="X79" s="216">
        <f>SUM(X71:X78)</f>
        <v>0</v>
      </c>
      <c r="Y79" s="216">
        <f>SUM(Y71:Y78)</f>
        <v>-3180016.5700000003</v>
      </c>
    </row>
    <row r="80" spans="1:38" s="95" customFormat="1" ht="12" customHeight="1">
      <c r="A80" s="124"/>
      <c r="B80" s="124" t="s">
        <v>288</v>
      </c>
      <c r="C80" s="126"/>
      <c r="D80" s="126"/>
      <c r="E80" s="606"/>
      <c r="F80" s="606"/>
      <c r="G80" s="606"/>
      <c r="H80" s="606"/>
      <c r="I80" s="606"/>
      <c r="J80" s="606"/>
      <c r="K80" s="606"/>
      <c r="L80" s="606"/>
      <c r="M80" s="606"/>
      <c r="N80" s="606"/>
      <c r="O80" s="606"/>
      <c r="P80" s="606"/>
      <c r="Q80" s="606"/>
      <c r="R80" s="94"/>
      <c r="S80" s="627"/>
      <c r="T80" s="94"/>
      <c r="U80" s="94"/>
      <c r="V80" s="94"/>
      <c r="X80" s="94"/>
      <c r="Y80" s="94"/>
    </row>
    <row r="81" spans="1:25" s="95" customFormat="1" ht="12" hidden="1" customHeight="1">
      <c r="A81" s="124"/>
      <c r="B81" s="124" t="s">
        <v>186</v>
      </c>
      <c r="C81" s="102">
        <v>4100</v>
      </c>
      <c r="D81" s="127" t="s">
        <v>251</v>
      </c>
      <c r="E81" s="606">
        <f>VLOOKUP($C81,Data!$A:$O,COLUMNS(Data!$A:C),FALSE)</f>
        <v>0</v>
      </c>
      <c r="F81" s="606">
        <f>'Expense Details'!$I$12/4</f>
        <v>0</v>
      </c>
      <c r="G81" s="606">
        <f>'Expense Details'!$I$12/4</f>
        <v>0</v>
      </c>
      <c r="H81" s="606">
        <f>'Expense Details'!$I$12/4</f>
        <v>0</v>
      </c>
      <c r="I81" s="606">
        <f>'Expense Details'!$I$12/4</f>
        <v>0</v>
      </c>
      <c r="J81" s="606">
        <v>0</v>
      </c>
      <c r="K81" s="606">
        <v>0</v>
      </c>
      <c r="L81" s="606">
        <v>0</v>
      </c>
      <c r="M81" s="606">
        <v>0</v>
      </c>
      <c r="N81" s="606">
        <v>0</v>
      </c>
      <c r="O81" s="606">
        <v>0</v>
      </c>
      <c r="P81" s="606">
        <v>0</v>
      </c>
      <c r="Q81" s="606">
        <v>0</v>
      </c>
      <c r="R81" s="94"/>
      <c r="S81" s="638">
        <f t="shared" ref="S81:S89" si="35">SUM(E81:Q81)</f>
        <v>0</v>
      </c>
      <c r="T81" s="94"/>
      <c r="U81" s="94">
        <v>0</v>
      </c>
      <c r="V81" s="94">
        <f t="shared" ref="V81:V89" si="36">U81-S81</f>
        <v>0</v>
      </c>
      <c r="X81" s="94">
        <f>'FY18-19'!S81</f>
        <v>0</v>
      </c>
      <c r="Y81" s="94">
        <f t="shared" ref="Y81:Y89" si="37">X81-S81</f>
        <v>0</v>
      </c>
    </row>
    <row r="82" spans="1:25" s="95" customFormat="1" ht="12" hidden="1" customHeight="1">
      <c r="A82" s="124"/>
      <c r="B82" s="124" t="s">
        <v>186</v>
      </c>
      <c r="C82" s="102">
        <v>4200</v>
      </c>
      <c r="D82" s="127" t="s">
        <v>252</v>
      </c>
      <c r="E82" s="606">
        <f>VLOOKUP($C82,Data!$A:$O,COLUMNS(Data!$A:C),FALSE)</f>
        <v>0</v>
      </c>
      <c r="F82" s="606">
        <f>'Expense Details'!$I$18/5</f>
        <v>0</v>
      </c>
      <c r="G82" s="606">
        <f>'Expense Details'!$I$18/5</f>
        <v>0</v>
      </c>
      <c r="H82" s="606">
        <f>'Expense Details'!$I$18/5</f>
        <v>0</v>
      </c>
      <c r="I82" s="606">
        <f>'Expense Details'!$I$18/5</f>
        <v>0</v>
      </c>
      <c r="J82" s="606">
        <v>0</v>
      </c>
      <c r="K82" s="606">
        <v>0</v>
      </c>
      <c r="L82" s="606">
        <v>0</v>
      </c>
      <c r="M82" s="606">
        <v>0</v>
      </c>
      <c r="N82" s="606">
        <v>0</v>
      </c>
      <c r="O82" s="606">
        <v>0</v>
      </c>
      <c r="P82" s="606">
        <v>0</v>
      </c>
      <c r="Q82" s="606">
        <v>0</v>
      </c>
      <c r="R82" s="94"/>
      <c r="S82" s="638">
        <f t="shared" si="35"/>
        <v>0</v>
      </c>
      <c r="T82" s="94"/>
      <c r="U82" s="94">
        <v>0</v>
      </c>
      <c r="V82" s="94">
        <f t="shared" si="36"/>
        <v>0</v>
      </c>
      <c r="X82" s="94">
        <f>'FY18-19'!S82</f>
        <v>0</v>
      </c>
      <c r="Y82" s="94">
        <f t="shared" si="37"/>
        <v>0</v>
      </c>
    </row>
    <row r="83" spans="1:25" s="95" customFormat="1" ht="12" customHeight="1">
      <c r="A83" s="124"/>
      <c r="B83" s="124" t="s">
        <v>186</v>
      </c>
      <c r="C83" s="102">
        <v>4302</v>
      </c>
      <c r="D83" s="127" t="s">
        <v>80</v>
      </c>
      <c r="E83" s="606">
        <f>VLOOKUP($C83,Data!$A:$O,COLUMNS(Data!$A:C),FALSE)</f>
        <v>106326.36</v>
      </c>
      <c r="F83" s="606">
        <f>VLOOKUP($C83,Data!$A:$O,COLUMNS(Data!$A:D),FALSE)</f>
        <v>241668.5</v>
      </c>
      <c r="G83" s="606">
        <f>VLOOKUP($C83,Data!$A:$O,COLUMNS(Data!$A:E),FALSE)</f>
        <v>319568.2</v>
      </c>
      <c r="H83" s="606">
        <f>VLOOKUP($C83,Data!$A:$O,COLUMNS(Data!$A:F),FALSE)</f>
        <v>339881.56</v>
      </c>
      <c r="I83" s="606">
        <f>VLOOKUP($C83,Data!$A:$O,COLUMNS(Data!$A:G),FALSE)</f>
        <v>191029.72</v>
      </c>
      <c r="J83" s="606">
        <f>VLOOKUP($C83,Data!$A:$O,COLUMNS(Data!$A:H),FALSE)</f>
        <v>169346.81</v>
      </c>
      <c r="K83" s="606">
        <f>VLOOKUP($C83,Data!$A:$O,COLUMNS(Data!$A:I),FALSE)</f>
        <v>204656.34</v>
      </c>
      <c r="L83" s="606">
        <f>VLOOKUP($C83,Data!$A:$O,COLUMNS(Data!$A:J),FALSE)</f>
        <v>175260.59</v>
      </c>
      <c r="M83" s="606">
        <f>VLOOKUP($C83,Data!$A:$O,COLUMNS(Data!$A:K),FALSE)</f>
        <v>212843.72</v>
      </c>
      <c r="N83" s="606">
        <f>VLOOKUP($C83,Data!$A:$O,COLUMNS(Data!$A:L),FALSE)</f>
        <v>202633.55</v>
      </c>
      <c r="O83" s="606">
        <f>VLOOKUP($C83,Data!$A:$O,COLUMNS(Data!$A:M),FALSE)</f>
        <v>241987.95</v>
      </c>
      <c r="P83" s="606">
        <f>VLOOKUP($C83,Data!$A:$O,COLUMNS(Data!$A:N),FALSE)</f>
        <v>346033.87</v>
      </c>
      <c r="Q83" s="606">
        <v>0</v>
      </c>
      <c r="R83" s="94"/>
      <c r="S83" s="638">
        <f t="shared" si="35"/>
        <v>2751237.1700000004</v>
      </c>
      <c r="T83" s="94"/>
      <c r="U83" s="94">
        <v>2567864.25</v>
      </c>
      <c r="V83" s="94">
        <f t="shared" si="36"/>
        <v>-183372.92000000039</v>
      </c>
      <c r="X83" s="94">
        <f>'FY18-19'!S83+'FY18-19'!S84</f>
        <v>0</v>
      </c>
      <c r="Y83" s="94">
        <f t="shared" si="37"/>
        <v>-2751237.1700000004</v>
      </c>
    </row>
    <row r="84" spans="1:25" s="95" customFormat="1" ht="12" customHeight="1">
      <c r="A84" s="124"/>
      <c r="B84" s="124" t="s">
        <v>186</v>
      </c>
      <c r="C84" s="102">
        <v>4305</v>
      </c>
      <c r="D84" s="127" t="s">
        <v>97</v>
      </c>
      <c r="E84" s="606">
        <f>VLOOKUP($C84,Data!$A:$O,COLUMNS(Data!$A:C),FALSE)</f>
        <v>10059.290000000001</v>
      </c>
      <c r="F84" s="606">
        <f>VLOOKUP($C84,Data!$A:$O,COLUMNS(Data!$A:D),FALSE)</f>
        <v>11602.94</v>
      </c>
      <c r="G84" s="606">
        <f>VLOOKUP($C84,Data!$A:$O,COLUMNS(Data!$A:E),FALSE)</f>
        <v>17069.580000000002</v>
      </c>
      <c r="H84" s="606">
        <f>VLOOKUP($C84,Data!$A:$O,COLUMNS(Data!$A:F),FALSE)</f>
        <v>10495.68</v>
      </c>
      <c r="I84" s="606">
        <f>VLOOKUP($C84,Data!$A:$O,COLUMNS(Data!$A:G),FALSE)</f>
        <v>11412.39</v>
      </c>
      <c r="J84" s="606">
        <f>VLOOKUP($C84,Data!$A:$O,COLUMNS(Data!$A:H),FALSE)</f>
        <v>2132.81</v>
      </c>
      <c r="K84" s="606">
        <f>VLOOKUP($C84,Data!$A:$O,COLUMNS(Data!$A:I),FALSE)</f>
        <v>13464.23</v>
      </c>
      <c r="L84" s="606">
        <f>VLOOKUP($C84,Data!$A:$O,COLUMNS(Data!$A:J),FALSE)</f>
        <v>24678.02</v>
      </c>
      <c r="M84" s="606">
        <f>VLOOKUP($C84,Data!$A:$O,COLUMNS(Data!$A:K),FALSE)</f>
        <v>9835.68</v>
      </c>
      <c r="N84" s="606">
        <f>VLOOKUP($C84,Data!$A:$O,COLUMNS(Data!$A:L),FALSE)</f>
        <v>11361.64</v>
      </c>
      <c r="O84" s="606">
        <f>VLOOKUP($C84,Data!$A:$O,COLUMNS(Data!$A:M),FALSE)</f>
        <v>69269.440000000002</v>
      </c>
      <c r="P84" s="606">
        <f>VLOOKUP($C84,Data!$A:$O,COLUMNS(Data!$A:N),FALSE)</f>
        <v>277690.03999999998</v>
      </c>
      <c r="Q84" s="606">
        <v>0</v>
      </c>
      <c r="R84" s="94"/>
      <c r="S84" s="638">
        <f t="shared" si="35"/>
        <v>469071.74</v>
      </c>
      <c r="T84" s="94"/>
      <c r="U84" s="94">
        <v>748484.1</v>
      </c>
      <c r="V84" s="94">
        <f t="shared" si="36"/>
        <v>279412.36</v>
      </c>
      <c r="X84" s="94">
        <f>'FY18-19'!S86</f>
        <v>0</v>
      </c>
      <c r="Y84" s="94">
        <f t="shared" si="37"/>
        <v>-469071.74</v>
      </c>
    </row>
    <row r="85" spans="1:25" s="95" customFormat="1" ht="12" customHeight="1">
      <c r="A85" s="124"/>
      <c r="B85" s="124" t="s">
        <v>186</v>
      </c>
      <c r="C85" s="102">
        <f>'Multi-Year'!D85</f>
        <v>4310</v>
      </c>
      <c r="D85" s="127" t="s">
        <v>39</v>
      </c>
      <c r="E85" s="606">
        <f>VLOOKUP($C85,Data!$A:$O,COLUMNS(Data!$A:C),FALSE)</f>
        <v>1150.21</v>
      </c>
      <c r="F85" s="606">
        <f>VLOOKUP($C85,Data!$A:$O,COLUMNS(Data!$A:D),FALSE)</f>
        <v>1868.12</v>
      </c>
      <c r="G85" s="606">
        <f>VLOOKUP($C85,Data!$A:$O,COLUMNS(Data!$A:E),FALSE)</f>
        <v>1260.97</v>
      </c>
      <c r="H85" s="606">
        <f>VLOOKUP($C85,Data!$A:$O,COLUMNS(Data!$A:F),FALSE)</f>
        <v>2440.62</v>
      </c>
      <c r="I85" s="606">
        <f>VLOOKUP($C85,Data!$A:$O,COLUMNS(Data!$A:G),FALSE)</f>
        <v>2108.7399999999998</v>
      </c>
      <c r="J85" s="606">
        <f>VLOOKUP($C85,Data!$A:$O,COLUMNS(Data!$A:H),FALSE)</f>
        <v>18492.14</v>
      </c>
      <c r="K85" s="606">
        <f>VLOOKUP($C85,Data!$A:$O,COLUMNS(Data!$A:I),FALSE)</f>
        <v>-12321.65</v>
      </c>
      <c r="L85" s="606">
        <f>VLOOKUP($C85,Data!$A:$O,COLUMNS(Data!$A:J),FALSE)</f>
        <v>2605.38</v>
      </c>
      <c r="M85" s="606">
        <f>VLOOKUP($C85,Data!$A:$O,COLUMNS(Data!$A:K),FALSE)</f>
        <v>2107.27</v>
      </c>
      <c r="N85" s="606">
        <f>VLOOKUP($C85,Data!$A:$O,COLUMNS(Data!$A:L),FALSE)</f>
        <v>2881.23</v>
      </c>
      <c r="O85" s="606">
        <f>VLOOKUP($C85,Data!$A:$O,COLUMNS(Data!$A:M),FALSE)</f>
        <v>3934.5</v>
      </c>
      <c r="P85" s="606">
        <f>VLOOKUP($C85,Data!$A:$O,COLUMNS(Data!$A:N),FALSE)</f>
        <v>72912.95</v>
      </c>
      <c r="Q85" s="606">
        <v>0</v>
      </c>
      <c r="R85" s="94"/>
      <c r="S85" s="638">
        <f>SUM(E85:Q85)</f>
        <v>99440.48</v>
      </c>
      <c r="T85" s="94"/>
      <c r="U85" s="94">
        <v>57575.69999999999</v>
      </c>
      <c r="V85" s="94">
        <f>U85-S85</f>
        <v>-41864.780000000006</v>
      </c>
      <c r="X85" s="94">
        <f>'FY18-19'!S125</f>
        <v>0</v>
      </c>
      <c r="Y85" s="94">
        <f t="shared" si="37"/>
        <v>-99440.48</v>
      </c>
    </row>
    <row r="86" spans="1:25" s="95" customFormat="1" ht="12" customHeight="1">
      <c r="A86" s="124"/>
      <c r="B86" s="124" t="s">
        <v>186</v>
      </c>
      <c r="C86" s="102">
        <f>'Multi-Year'!D86</f>
        <v>4311</v>
      </c>
      <c r="D86" s="127" t="s">
        <v>36</v>
      </c>
      <c r="E86" s="606">
        <f>VLOOKUP($C86,Data!$A:$O,COLUMNS(Data!$A:C),FALSE)</f>
        <v>0</v>
      </c>
      <c r="F86" s="606">
        <f>VLOOKUP($C86,Data!$A:$O,COLUMNS(Data!$A:D),FALSE)</f>
        <v>484.72</v>
      </c>
      <c r="G86" s="606">
        <f>VLOOKUP($C86,Data!$A:$O,COLUMNS(Data!$A:E),FALSE)</f>
        <v>459.63</v>
      </c>
      <c r="H86" s="606">
        <f>VLOOKUP($C86,Data!$A:$O,COLUMNS(Data!$A:F),FALSE)</f>
        <v>71.8</v>
      </c>
      <c r="I86" s="606">
        <f>VLOOKUP($C86,Data!$A:$O,COLUMNS(Data!$A:G),FALSE)</f>
        <v>1594.25</v>
      </c>
      <c r="J86" s="606">
        <f>VLOOKUP($C86,Data!$A:$O,COLUMNS(Data!$A:H),FALSE)</f>
        <v>0</v>
      </c>
      <c r="K86" s="606">
        <f>VLOOKUP($C86,Data!$A:$O,COLUMNS(Data!$A:I),FALSE)</f>
        <v>1112.73</v>
      </c>
      <c r="L86" s="606">
        <f>VLOOKUP($C86,Data!$A:$O,COLUMNS(Data!$A:J),FALSE)</f>
        <v>0</v>
      </c>
      <c r="M86" s="606">
        <f>VLOOKUP($C86,Data!$A:$O,COLUMNS(Data!$A:K),FALSE)</f>
        <v>1809.74</v>
      </c>
      <c r="N86" s="606">
        <f>VLOOKUP($C86,Data!$A:$O,COLUMNS(Data!$A:L),FALSE)</f>
        <v>0</v>
      </c>
      <c r="O86" s="606">
        <f>VLOOKUP($C86,Data!$A:$O,COLUMNS(Data!$A:M),FALSE)</f>
        <v>0</v>
      </c>
      <c r="P86" s="606">
        <f>VLOOKUP($C86,Data!$A:$O,COLUMNS(Data!$A:N),FALSE)</f>
        <v>0</v>
      </c>
      <c r="Q86" s="606">
        <v>0</v>
      </c>
      <c r="R86" s="94"/>
      <c r="S86" s="638">
        <f>SUM(E86:Q86)</f>
        <v>5532.87</v>
      </c>
      <c r="T86" s="94"/>
      <c r="U86" s="94">
        <v>2878.7849999999994</v>
      </c>
      <c r="V86" s="94">
        <f>U86-S86</f>
        <v>-2654.0850000000005</v>
      </c>
      <c r="X86" s="94">
        <f>'FY18-19'!S120</f>
        <v>0</v>
      </c>
      <c r="Y86" s="94">
        <f t="shared" si="37"/>
        <v>-5532.87</v>
      </c>
    </row>
    <row r="87" spans="1:25" s="95" customFormat="1" ht="12" hidden="1" customHeight="1">
      <c r="A87" s="124"/>
      <c r="B87" s="124" t="s">
        <v>186</v>
      </c>
      <c r="C87" s="102">
        <f>'Multi-Year'!D87</f>
        <v>4312</v>
      </c>
      <c r="D87" s="127" t="s">
        <v>34</v>
      </c>
      <c r="E87" s="606">
        <f>VLOOKUP($C87,Data!$A:$O,COLUMNS(Data!$A:C),FALSE)</f>
        <v>0</v>
      </c>
      <c r="F87" s="606">
        <f>VLOOKUP($C87,Data!$A:$O,COLUMNS(Data!$A:D),FALSE)</f>
        <v>0</v>
      </c>
      <c r="G87" s="606">
        <f>VLOOKUP($C87,Data!$A:$O,COLUMNS(Data!$A:E),FALSE)</f>
        <v>0</v>
      </c>
      <c r="H87" s="606">
        <f>VLOOKUP($C87,Data!$A:$O,COLUMNS(Data!$A:F),FALSE)</f>
        <v>0</v>
      </c>
      <c r="I87" s="606">
        <f>VLOOKUP($C87,Data!$A:$O,COLUMNS(Data!$A:G),FALSE)</f>
        <v>0</v>
      </c>
      <c r="J87" s="606">
        <f>VLOOKUP($C87,Data!$A:$O,COLUMNS(Data!$A:H),FALSE)</f>
        <v>0</v>
      </c>
      <c r="K87" s="606">
        <f>VLOOKUP($C87,Data!$A:$O,COLUMNS(Data!$A:I),FALSE)</f>
        <v>0</v>
      </c>
      <c r="L87" s="606">
        <f>VLOOKUP($C87,Data!$A:$O,COLUMNS(Data!$A:J),FALSE)</f>
        <v>0</v>
      </c>
      <c r="M87" s="606">
        <f>VLOOKUP($C87,Data!$A:$O,COLUMNS(Data!$A:K),FALSE)</f>
        <v>0</v>
      </c>
      <c r="N87" s="606">
        <f>VLOOKUP($C87,Data!$A:$O,COLUMNS(Data!$A:L),FALSE)</f>
        <v>0</v>
      </c>
      <c r="O87" s="606">
        <f>VLOOKUP($C87,Data!$A:$O,COLUMNS(Data!$A:M),FALSE)</f>
        <v>0</v>
      </c>
      <c r="P87" s="606">
        <f>VLOOKUP($C87,Data!$A:$O,COLUMNS(Data!$A:N),FALSE)</f>
        <v>0</v>
      </c>
      <c r="Q87" s="606">
        <v>0</v>
      </c>
      <c r="R87" s="94"/>
      <c r="S87" s="638">
        <f>SUM(E87:Q87)</f>
        <v>0</v>
      </c>
      <c r="T87" s="94"/>
      <c r="U87" s="94">
        <v>0</v>
      </c>
      <c r="V87" s="94">
        <f>U87-S87</f>
        <v>0</v>
      </c>
      <c r="X87" s="94">
        <f>'FY18-19'!S132</f>
        <v>0</v>
      </c>
      <c r="Y87" s="94">
        <f t="shared" si="37"/>
        <v>0</v>
      </c>
    </row>
    <row r="88" spans="1:25" s="95" customFormat="1" ht="12" customHeight="1">
      <c r="A88" s="124"/>
      <c r="B88" s="124" t="s">
        <v>186</v>
      </c>
      <c r="C88" s="102">
        <v>4400</v>
      </c>
      <c r="D88" s="127" t="s">
        <v>83</v>
      </c>
      <c r="E88" s="606">
        <f>VLOOKUP($C88,Data!$A:$O,COLUMNS(Data!$A:C),FALSE)</f>
        <v>0</v>
      </c>
      <c r="F88" s="606">
        <f>VLOOKUP($C88,Data!$A:$O,COLUMNS(Data!$A:D),FALSE)</f>
        <v>0</v>
      </c>
      <c r="G88" s="606">
        <f>VLOOKUP($C88,Data!$A:$O,COLUMNS(Data!$A:E),FALSE)</f>
        <v>0</v>
      </c>
      <c r="H88" s="606">
        <f>VLOOKUP($C88,Data!$A:$O,COLUMNS(Data!$A:F),FALSE)</f>
        <v>0</v>
      </c>
      <c r="I88" s="606">
        <f>VLOOKUP($C88,Data!$A:$O,COLUMNS(Data!$A:G),FALSE)</f>
        <v>0</v>
      </c>
      <c r="J88" s="606">
        <f>VLOOKUP($C88,Data!$A:$O,COLUMNS(Data!$A:H),FALSE)</f>
        <v>71294.09</v>
      </c>
      <c r="K88" s="606">
        <f>VLOOKUP($C88,Data!$A:$O,COLUMNS(Data!$A:I),FALSE)</f>
        <v>79.98</v>
      </c>
      <c r="L88" s="606">
        <f>VLOOKUP($C88,Data!$A:$O,COLUMNS(Data!$A:J),FALSE)</f>
        <v>19.989999999999998</v>
      </c>
      <c r="M88" s="606">
        <f>VLOOKUP($C88,Data!$A:$O,COLUMNS(Data!$A:K),FALSE)</f>
        <v>0</v>
      </c>
      <c r="N88" s="606">
        <f>VLOOKUP($C88,Data!$A:$O,COLUMNS(Data!$A:L),FALSE)</f>
        <v>212.97</v>
      </c>
      <c r="O88" s="606">
        <f>VLOOKUP($C88,Data!$A:$O,COLUMNS(Data!$A:M),FALSE)</f>
        <v>0</v>
      </c>
      <c r="P88" s="606">
        <f>VLOOKUP($C88,Data!$A:$O,COLUMNS(Data!$A:N),FALSE)</f>
        <v>368535.9</v>
      </c>
      <c r="Q88" s="606">
        <v>0</v>
      </c>
      <c r="R88" s="94"/>
      <c r="S88" s="638">
        <f t="shared" si="35"/>
        <v>440142.93000000005</v>
      </c>
      <c r="T88" s="94"/>
      <c r="U88" s="94">
        <v>366837.75</v>
      </c>
      <c r="V88" s="94">
        <f t="shared" si="36"/>
        <v>-73305.180000000051</v>
      </c>
      <c r="X88" s="94">
        <f>'FY18-19'!S87</f>
        <v>0</v>
      </c>
      <c r="Y88" s="94">
        <f t="shared" si="37"/>
        <v>-440142.93000000005</v>
      </c>
    </row>
    <row r="89" spans="1:25" s="95" customFormat="1" ht="12" customHeight="1">
      <c r="A89" s="124"/>
      <c r="B89" s="124" t="s">
        <v>186</v>
      </c>
      <c r="C89" s="102">
        <v>4700</v>
      </c>
      <c r="D89" s="127" t="s">
        <v>84</v>
      </c>
      <c r="E89" s="606">
        <f>VLOOKUP($C89,Data!$A:$O,COLUMNS(Data!$A:C),FALSE)</f>
        <v>0</v>
      </c>
      <c r="F89" s="606">
        <f>'Expense Details'!$I$64/11</f>
        <v>0</v>
      </c>
      <c r="G89" s="606">
        <f>'Expense Details'!$I$64/11</f>
        <v>0</v>
      </c>
      <c r="H89" s="606">
        <f>'Expense Details'!$I$64/11</f>
        <v>0</v>
      </c>
      <c r="I89" s="606">
        <f>'Expense Details'!$I$64/11</f>
        <v>0</v>
      </c>
      <c r="J89" s="606">
        <f>'Expense Details'!$I$64/11</f>
        <v>0</v>
      </c>
      <c r="K89" s="606">
        <f>'Expense Details'!$I$64/11</f>
        <v>0</v>
      </c>
      <c r="L89" s="606">
        <f>'Expense Details'!$I$64/11</f>
        <v>0</v>
      </c>
      <c r="M89" s="606">
        <f>'Expense Details'!$I$64/11</f>
        <v>0</v>
      </c>
      <c r="N89" s="606">
        <f>VLOOKUP($C89,Data!$A:$O,COLUMNS(Data!$A:L),FALSE)</f>
        <v>124903.72</v>
      </c>
      <c r="O89" s="606">
        <f>VLOOKUP($C89,Data!$A:$O,COLUMNS(Data!$A:M),FALSE)</f>
        <v>0</v>
      </c>
      <c r="P89" s="606">
        <f>VLOOKUP($C89,Data!$A:$O,COLUMNS(Data!$A:N),FALSE)</f>
        <v>0</v>
      </c>
      <c r="Q89" s="606">
        <v>0</v>
      </c>
      <c r="R89" s="94"/>
      <c r="S89" s="638">
        <f t="shared" si="35"/>
        <v>124903.72</v>
      </c>
      <c r="T89" s="94"/>
      <c r="U89" s="94">
        <v>0</v>
      </c>
      <c r="V89" s="94">
        <f t="shared" si="36"/>
        <v>-124903.72</v>
      </c>
      <c r="X89" s="94">
        <f>'FY18-19'!S88</f>
        <v>0</v>
      </c>
      <c r="Y89" s="94">
        <f t="shared" si="37"/>
        <v>-124903.72</v>
      </c>
    </row>
    <row r="90" spans="1:25" s="95" customFormat="1" ht="12" customHeight="1">
      <c r="A90" s="124"/>
      <c r="B90" s="124" t="s">
        <v>186</v>
      </c>
      <c r="C90" s="126"/>
      <c r="D90" s="126"/>
      <c r="E90" s="603">
        <f t="shared" ref="E90:Q90" si="38">SUM(E81:E89)</f>
        <v>117535.86</v>
      </c>
      <c r="F90" s="603">
        <f t="shared" si="38"/>
        <v>255624.28</v>
      </c>
      <c r="G90" s="603">
        <f t="shared" si="38"/>
        <v>338358.38</v>
      </c>
      <c r="H90" s="603">
        <f t="shared" si="38"/>
        <v>352889.66</v>
      </c>
      <c r="I90" s="603">
        <f t="shared" si="38"/>
        <v>206145.09999999998</v>
      </c>
      <c r="J90" s="603">
        <f t="shared" si="38"/>
        <v>261265.85</v>
      </c>
      <c r="K90" s="603">
        <f t="shared" si="38"/>
        <v>206991.63000000003</v>
      </c>
      <c r="L90" s="603">
        <f t="shared" si="38"/>
        <v>202563.97999999998</v>
      </c>
      <c r="M90" s="603">
        <f t="shared" si="38"/>
        <v>226596.40999999997</v>
      </c>
      <c r="N90" s="603">
        <f t="shared" si="38"/>
        <v>341993.11</v>
      </c>
      <c r="O90" s="603">
        <f t="shared" si="38"/>
        <v>315191.89</v>
      </c>
      <c r="P90" s="603">
        <f t="shared" si="38"/>
        <v>1065172.7599999998</v>
      </c>
      <c r="Q90" s="603">
        <f t="shared" si="38"/>
        <v>0</v>
      </c>
      <c r="R90" s="94"/>
      <c r="S90" s="626">
        <f>SUM(E90:R90)</f>
        <v>3890328.9099999997</v>
      </c>
      <c r="T90" s="94"/>
      <c r="U90" s="216">
        <v>3743640.5850000004</v>
      </c>
      <c r="V90" s="216">
        <f>SUM(V81:V89)</f>
        <v>-146688.32500000048</v>
      </c>
      <c r="X90" s="216">
        <f>SUM(X81:X89)</f>
        <v>0</v>
      </c>
      <c r="Y90" s="216">
        <f>SUM(Y81:Y89)</f>
        <v>-3890328.9100000006</v>
      </c>
    </row>
    <row r="91" spans="1:25" s="95" customFormat="1" ht="12" customHeight="1">
      <c r="A91" s="124"/>
      <c r="B91" s="124" t="s">
        <v>284</v>
      </c>
      <c r="C91" s="126"/>
      <c r="D91" s="126"/>
      <c r="E91" s="606"/>
      <c r="F91" s="606"/>
      <c r="G91" s="606"/>
      <c r="H91" s="606"/>
      <c r="I91" s="606"/>
      <c r="J91" s="606"/>
      <c r="K91" s="606"/>
      <c r="L91" s="606"/>
      <c r="M91" s="606"/>
      <c r="N91" s="606"/>
      <c r="O91" s="606"/>
      <c r="P91" s="606"/>
      <c r="Q91" s="606"/>
      <c r="R91" s="94"/>
      <c r="S91" s="627"/>
      <c r="T91" s="94"/>
      <c r="U91" s="94"/>
      <c r="V91" s="94"/>
      <c r="X91" s="94"/>
      <c r="Y91" s="94"/>
    </row>
    <row r="92" spans="1:25" s="95" customFormat="1" ht="12" hidden="1" customHeight="1">
      <c r="A92" s="124"/>
      <c r="B92" s="124" t="s">
        <v>186</v>
      </c>
      <c r="C92" s="102">
        <v>5101</v>
      </c>
      <c r="D92" s="127" t="s">
        <v>85</v>
      </c>
      <c r="E92" s="606">
        <f>VLOOKUP($C92,Data!$A:$O,COLUMNS(Data!$A:C),FALSE)</f>
        <v>0</v>
      </c>
      <c r="F92" s="606">
        <f>'Expense Details'!$I$71/12</f>
        <v>0</v>
      </c>
      <c r="G92" s="606">
        <f>'Expense Details'!$I$71/12</f>
        <v>0</v>
      </c>
      <c r="H92" s="606">
        <f>'Expense Details'!$I$71/12</f>
        <v>0</v>
      </c>
      <c r="I92" s="606">
        <f>'Expense Details'!$I$71/12</f>
        <v>0</v>
      </c>
      <c r="J92" s="606">
        <f>'Expense Details'!$I$71/12</f>
        <v>0</v>
      </c>
      <c r="K92" s="606">
        <f>'Expense Details'!$I$71/12</f>
        <v>0</v>
      </c>
      <c r="L92" s="606">
        <f>'Expense Details'!$I$71/12</f>
        <v>0</v>
      </c>
      <c r="M92" s="606">
        <f>'Expense Details'!$I$71/12</f>
        <v>0</v>
      </c>
      <c r="N92" s="606">
        <f>'Expense Details'!$I$71/12</f>
        <v>0</v>
      </c>
      <c r="O92" s="606">
        <f>'Expense Details'!$I$71/12</f>
        <v>0</v>
      </c>
      <c r="P92" s="606">
        <f>'Expense Details'!$I$71/12</f>
        <v>0</v>
      </c>
      <c r="Q92" s="606">
        <v>0</v>
      </c>
      <c r="R92" s="94"/>
      <c r="S92" s="638">
        <f t="shared" ref="S92:S98" si="39">SUM(E92:Q92)</f>
        <v>0</v>
      </c>
      <c r="T92" s="94"/>
      <c r="U92" s="94">
        <v>0</v>
      </c>
      <c r="V92" s="94">
        <f t="shared" ref="V92:V98" si="40">U92-S92</f>
        <v>0</v>
      </c>
      <c r="X92" s="94">
        <f>'FY18-19'!S91</f>
        <v>0</v>
      </c>
      <c r="Y92" s="94">
        <f t="shared" ref="Y92:Y98" si="41">X92-S92</f>
        <v>0</v>
      </c>
    </row>
    <row r="93" spans="1:25" s="95" customFormat="1" ht="12" customHeight="1">
      <c r="A93" s="124"/>
      <c r="B93" s="124" t="s">
        <v>186</v>
      </c>
      <c r="C93" s="102">
        <v>5102</v>
      </c>
      <c r="D93" s="127" t="s">
        <v>86</v>
      </c>
      <c r="E93" s="606">
        <f>VLOOKUP($C93,Data!$A:$O,COLUMNS(Data!$A:C),FALSE)</f>
        <v>975</v>
      </c>
      <c r="F93" s="606">
        <f>VLOOKUP($C93,Data!$A:$O,COLUMNS(Data!$A:D),FALSE)</f>
        <v>16371.6</v>
      </c>
      <c r="G93" s="606">
        <f>VLOOKUP($C93,Data!$A:$O,COLUMNS(Data!$A:E),FALSE)</f>
        <v>42936.27</v>
      </c>
      <c r="H93" s="606">
        <f>VLOOKUP($C93,Data!$A:$O,COLUMNS(Data!$A:F),FALSE)</f>
        <v>52759.09</v>
      </c>
      <c r="I93" s="606">
        <f>VLOOKUP($C93,Data!$A:$O,COLUMNS(Data!$A:G),FALSE)</f>
        <v>193874.66</v>
      </c>
      <c r="J93" s="606">
        <f>VLOOKUP($C93,Data!$A:$O,COLUMNS(Data!$A:H),FALSE)</f>
        <v>47016.22</v>
      </c>
      <c r="K93" s="606">
        <f>VLOOKUP($C93,Data!$A:$O,COLUMNS(Data!$A:I),FALSE)</f>
        <v>146455.12</v>
      </c>
      <c r="L93" s="606">
        <f>VLOOKUP($C93,Data!$A:$O,COLUMNS(Data!$A:J),FALSE)</f>
        <v>65217.91</v>
      </c>
      <c r="M93" s="606">
        <f>VLOOKUP($C93,Data!$A:$O,COLUMNS(Data!$A:K),FALSE)</f>
        <v>91623.7</v>
      </c>
      <c r="N93" s="606">
        <f>VLOOKUP($C93,Data!$A:$O,COLUMNS(Data!$A:L),FALSE)</f>
        <v>188307.75</v>
      </c>
      <c r="O93" s="606">
        <f>VLOOKUP($C93,Data!$A:$O,COLUMNS(Data!$A:M),FALSE)</f>
        <v>225262.59</v>
      </c>
      <c r="P93" s="606">
        <f>VLOOKUP($C93,Data!$A:$O,COLUMNS(Data!$A:N),FALSE)</f>
        <v>169999.48</v>
      </c>
      <c r="Q93" s="606">
        <v>0</v>
      </c>
      <c r="R93" s="94"/>
      <c r="S93" s="638">
        <f t="shared" si="39"/>
        <v>1240799.3899999999</v>
      </c>
      <c r="T93" s="94"/>
      <c r="U93" s="94">
        <v>822510</v>
      </c>
      <c r="V93" s="94">
        <f t="shared" si="40"/>
        <v>-418289.3899999999</v>
      </c>
      <c r="X93" s="94">
        <f>'FY18-19'!S92</f>
        <v>0</v>
      </c>
      <c r="Y93" s="94">
        <f t="shared" si="41"/>
        <v>-1240799.3899999999</v>
      </c>
    </row>
    <row r="94" spans="1:25" s="95" customFormat="1" ht="12" hidden="1" customHeight="1">
      <c r="A94" s="124"/>
      <c r="B94" s="124" t="s">
        <v>186</v>
      </c>
      <c r="C94" s="102">
        <v>5103</v>
      </c>
      <c r="D94" s="127" t="s">
        <v>87</v>
      </c>
      <c r="E94" s="606">
        <f>VLOOKUP($C94,Data!$A:$O,COLUMNS(Data!$A:C),FALSE)</f>
        <v>0</v>
      </c>
      <c r="F94" s="606">
        <f>VLOOKUP($C94,Data!$A:$O,COLUMNS(Data!$A:D),FALSE)</f>
        <v>0</v>
      </c>
      <c r="G94" s="606">
        <f>VLOOKUP($C94,Data!$A:$O,COLUMNS(Data!$A:E),FALSE)</f>
        <v>0</v>
      </c>
      <c r="H94" s="606">
        <f>VLOOKUP($C94,Data!$A:$O,COLUMNS(Data!$A:F),FALSE)</f>
        <v>0</v>
      </c>
      <c r="I94" s="606">
        <f>VLOOKUP($C94,Data!$A:$O,COLUMNS(Data!$A:G),FALSE)</f>
        <v>0</v>
      </c>
      <c r="J94" s="606">
        <f>VLOOKUP($C94,Data!$A:$O,COLUMNS(Data!$A:H),FALSE)</f>
        <v>0</v>
      </c>
      <c r="K94" s="606">
        <f>VLOOKUP($C94,Data!$A:$O,COLUMNS(Data!$A:I),FALSE)</f>
        <v>0</v>
      </c>
      <c r="L94" s="606">
        <f>VLOOKUP($C94,Data!$A:$O,COLUMNS(Data!$A:J),FALSE)</f>
        <v>0</v>
      </c>
      <c r="M94" s="606">
        <f>VLOOKUP($C94,Data!$A:$O,COLUMNS(Data!$A:K),FALSE)</f>
        <v>0</v>
      </c>
      <c r="N94" s="606">
        <f>VLOOKUP($C94,Data!$A:$O,COLUMNS(Data!$A:L),FALSE)</f>
        <v>0</v>
      </c>
      <c r="O94" s="606">
        <f>VLOOKUP($C94,Data!$A:$O,COLUMNS(Data!$A:M),FALSE)</f>
        <v>0</v>
      </c>
      <c r="P94" s="606">
        <f>VLOOKUP($C94,Data!$A:$O,COLUMNS(Data!$A:N),FALSE)</f>
        <v>0</v>
      </c>
      <c r="Q94" s="606">
        <v>0</v>
      </c>
      <c r="R94" s="94"/>
      <c r="S94" s="638">
        <f t="shared" si="39"/>
        <v>0</v>
      </c>
      <c r="T94" s="94"/>
      <c r="U94" s="94">
        <v>0</v>
      </c>
      <c r="V94" s="94">
        <f t="shared" si="40"/>
        <v>0</v>
      </c>
      <c r="X94" s="94">
        <f>'FY18-19'!S93</f>
        <v>0</v>
      </c>
      <c r="Y94" s="94">
        <f t="shared" si="41"/>
        <v>0</v>
      </c>
    </row>
    <row r="95" spans="1:25" s="95" customFormat="1" ht="12" hidden="1" customHeight="1">
      <c r="A95" s="124"/>
      <c r="B95" s="124" t="s">
        <v>186</v>
      </c>
      <c r="C95" s="102">
        <v>5104</v>
      </c>
      <c r="D95" s="127" t="s">
        <v>88</v>
      </c>
      <c r="E95" s="606">
        <f>VLOOKUP($C95,Data!$A:$O,COLUMNS(Data!$A:C),FALSE)</f>
        <v>0</v>
      </c>
      <c r="F95" s="606">
        <f>VLOOKUP($C95,Data!$A:$O,COLUMNS(Data!$A:D),FALSE)</f>
        <v>0</v>
      </c>
      <c r="G95" s="606">
        <f>VLOOKUP($C95,Data!$A:$O,COLUMNS(Data!$A:E),FALSE)</f>
        <v>0</v>
      </c>
      <c r="H95" s="606">
        <f>VLOOKUP($C95,Data!$A:$O,COLUMNS(Data!$A:F),FALSE)</f>
        <v>0</v>
      </c>
      <c r="I95" s="606">
        <f>VLOOKUP($C95,Data!$A:$O,COLUMNS(Data!$A:G),FALSE)</f>
        <v>0</v>
      </c>
      <c r="J95" s="606">
        <f>VLOOKUP($C95,Data!$A:$O,COLUMNS(Data!$A:H),FALSE)</f>
        <v>0</v>
      </c>
      <c r="K95" s="606">
        <f>VLOOKUP($C95,Data!$A:$O,COLUMNS(Data!$A:I),FALSE)</f>
        <v>0</v>
      </c>
      <c r="L95" s="606">
        <f>VLOOKUP($C95,Data!$A:$O,COLUMNS(Data!$A:J),FALSE)</f>
        <v>0</v>
      </c>
      <c r="M95" s="606">
        <f>VLOOKUP($C95,Data!$A:$O,COLUMNS(Data!$A:K),FALSE)</f>
        <v>0</v>
      </c>
      <c r="N95" s="606">
        <f>VLOOKUP($C95,Data!$A:$O,COLUMNS(Data!$A:L),FALSE)</f>
        <v>0</v>
      </c>
      <c r="O95" s="606">
        <f>VLOOKUP($C95,Data!$A:$O,COLUMNS(Data!$A:M),FALSE)</f>
        <v>0</v>
      </c>
      <c r="P95" s="606">
        <f>VLOOKUP($C95,Data!$A:$O,COLUMNS(Data!$A:N),FALSE)</f>
        <v>0</v>
      </c>
      <c r="Q95" s="606">
        <v>0</v>
      </c>
      <c r="R95" s="94"/>
      <c r="S95" s="638">
        <f t="shared" si="39"/>
        <v>0</v>
      </c>
      <c r="T95" s="94"/>
      <c r="U95" s="94">
        <v>0</v>
      </c>
      <c r="V95" s="94">
        <f t="shared" si="40"/>
        <v>0</v>
      </c>
      <c r="X95" s="94">
        <f>'FY18-19'!S94</f>
        <v>0</v>
      </c>
      <c r="Y95" s="94">
        <f t="shared" si="41"/>
        <v>0</v>
      </c>
    </row>
    <row r="96" spans="1:25" s="95" customFormat="1" ht="12" customHeight="1">
      <c r="A96" s="124"/>
      <c r="B96" s="124" t="s">
        <v>186</v>
      </c>
      <c r="C96" s="102">
        <v>5105</v>
      </c>
      <c r="D96" s="127" t="s">
        <v>89</v>
      </c>
      <c r="E96" s="606">
        <f>VLOOKUP($C96,Data!$A:$O,COLUMNS(Data!$A:C),FALSE)</f>
        <v>0</v>
      </c>
      <c r="F96" s="606">
        <f>VLOOKUP($C96,Data!$A:$O,COLUMNS(Data!$A:D),FALSE)</f>
        <v>57.99</v>
      </c>
      <c r="G96" s="606">
        <f>VLOOKUP($C96,Data!$A:$O,COLUMNS(Data!$A:E),FALSE)</f>
        <v>57.99</v>
      </c>
      <c r="H96" s="606">
        <f>VLOOKUP($C96,Data!$A:$O,COLUMNS(Data!$A:F),FALSE)</f>
        <v>0</v>
      </c>
      <c r="I96" s="606">
        <f>VLOOKUP($C96,Data!$A:$O,COLUMNS(Data!$A:G),FALSE)</f>
        <v>0</v>
      </c>
      <c r="J96" s="606">
        <f>VLOOKUP($C96,Data!$A:$O,COLUMNS(Data!$A:H),FALSE)</f>
        <v>0</v>
      </c>
      <c r="K96" s="606">
        <f>VLOOKUP($C96,Data!$A:$O,COLUMNS(Data!$A:I),FALSE)</f>
        <v>57.99</v>
      </c>
      <c r="L96" s="606">
        <f>VLOOKUP($C96,Data!$A:$O,COLUMNS(Data!$A:J),FALSE)</f>
        <v>0</v>
      </c>
      <c r="M96" s="606">
        <f>VLOOKUP($C96,Data!$A:$O,COLUMNS(Data!$A:K),FALSE)</f>
        <v>0</v>
      </c>
      <c r="N96" s="606">
        <f>VLOOKUP($C96,Data!$A:$O,COLUMNS(Data!$A:L),FALSE)</f>
        <v>0</v>
      </c>
      <c r="O96" s="606">
        <f>VLOOKUP($C96,Data!$A:$O,COLUMNS(Data!$A:M),FALSE)</f>
        <v>0</v>
      </c>
      <c r="P96" s="606">
        <f>VLOOKUP($C96,Data!$A:$O,COLUMNS(Data!$A:N),FALSE)</f>
        <v>0</v>
      </c>
      <c r="Q96" s="606">
        <v>0</v>
      </c>
      <c r="R96" s="94"/>
      <c r="S96" s="638">
        <f t="shared" si="39"/>
        <v>173.97</v>
      </c>
      <c r="T96" s="94"/>
      <c r="U96" s="94">
        <v>0</v>
      </c>
      <c r="V96" s="94">
        <f t="shared" si="40"/>
        <v>-173.97</v>
      </c>
      <c r="X96" s="94">
        <f>'FY18-19'!S95</f>
        <v>0</v>
      </c>
      <c r="Y96" s="94">
        <f t="shared" si="41"/>
        <v>-173.97</v>
      </c>
    </row>
    <row r="97" spans="1:31" s="95" customFormat="1" ht="12" customHeight="1">
      <c r="A97" s="124"/>
      <c r="B97" s="124" t="s">
        <v>186</v>
      </c>
      <c r="C97" s="102">
        <v>5106</v>
      </c>
      <c r="D97" s="127" t="s">
        <v>169</v>
      </c>
      <c r="E97" s="606">
        <f>VLOOKUP($C97,Data!$A:$O,COLUMNS(Data!$A:C),FALSE)</f>
        <v>41827.97</v>
      </c>
      <c r="F97" s="606">
        <f>VLOOKUP($C97,Data!$A:$O,COLUMNS(Data!$A:D),FALSE)</f>
        <v>50651.63</v>
      </c>
      <c r="G97" s="606">
        <f>VLOOKUP($C97,Data!$A:$O,COLUMNS(Data!$A:E),FALSE)</f>
        <v>91702.45</v>
      </c>
      <c r="H97" s="606">
        <f>VLOOKUP($C97,Data!$A:$O,COLUMNS(Data!$A:F),FALSE)</f>
        <v>409466.4</v>
      </c>
      <c r="I97" s="606">
        <f>VLOOKUP($C97,Data!$A:$O,COLUMNS(Data!$A:G),FALSE)</f>
        <v>231657.58</v>
      </c>
      <c r="J97" s="606">
        <f>VLOOKUP($C97,Data!$A:$O,COLUMNS(Data!$A:H),FALSE)</f>
        <v>326018.01</v>
      </c>
      <c r="K97" s="606">
        <f>VLOOKUP($C97,Data!$A:$O,COLUMNS(Data!$A:I),FALSE)</f>
        <v>411726.76</v>
      </c>
      <c r="L97" s="606">
        <f>VLOOKUP($C97,Data!$A:$O,COLUMNS(Data!$A:J),FALSE)</f>
        <v>343317.25</v>
      </c>
      <c r="M97" s="606">
        <f>VLOOKUP($C97,Data!$A:$O,COLUMNS(Data!$A:K),FALSE)</f>
        <v>326082.86</v>
      </c>
      <c r="N97" s="606">
        <f>VLOOKUP($C97,Data!$A:$O,COLUMNS(Data!$A:L),FALSE)</f>
        <v>253702.95</v>
      </c>
      <c r="O97" s="606">
        <f>VLOOKUP($C97,Data!$A:$O,COLUMNS(Data!$A:M),FALSE)</f>
        <v>197255.07</v>
      </c>
      <c r="P97" s="606">
        <f>VLOOKUP($C97,Data!$A:$O,COLUMNS(Data!$A:N),FALSE)</f>
        <v>982361.04</v>
      </c>
      <c r="Q97" s="606">
        <v>0</v>
      </c>
      <c r="R97" s="94"/>
      <c r="S97" s="638">
        <f>SUM(E97:Q97)</f>
        <v>3665769.97</v>
      </c>
      <c r="T97" s="94"/>
      <c r="U97" s="94">
        <v>3668377.5</v>
      </c>
      <c r="V97" s="94">
        <f t="shared" ref="V97" si="42">U97-S97</f>
        <v>2607.5299999997951</v>
      </c>
      <c r="X97" s="94">
        <f>'FY18-19'!S95</f>
        <v>0</v>
      </c>
      <c r="Y97" s="94">
        <f t="shared" si="41"/>
        <v>-3665769.97</v>
      </c>
    </row>
    <row r="98" spans="1:31" s="95" customFormat="1" ht="12" customHeight="1">
      <c r="A98" s="124"/>
      <c r="B98" s="124" t="s">
        <v>186</v>
      </c>
      <c r="C98" s="102">
        <v>5107</v>
      </c>
      <c r="D98" s="127" t="s">
        <v>549</v>
      </c>
      <c r="E98" s="606">
        <f>VLOOKUP($C98,Data!$A:$O,COLUMNS(Data!$A:C),FALSE)</f>
        <v>0</v>
      </c>
      <c r="F98" s="606">
        <f>VLOOKUP($C98,Data!$A:$O,COLUMNS(Data!$A:D),FALSE)</f>
        <v>0</v>
      </c>
      <c r="G98" s="606">
        <f>VLOOKUP($C98,Data!$A:$O,COLUMNS(Data!$A:E),FALSE)</f>
        <v>895166.65</v>
      </c>
      <c r="H98" s="606">
        <f>VLOOKUP($C98,Data!$A:$O,COLUMNS(Data!$A:F),FALSE)</f>
        <v>298388.88</v>
      </c>
      <c r="I98" s="606">
        <f>VLOOKUP($C98,Data!$A:$O,COLUMNS(Data!$A:G),FALSE)</f>
        <v>298388.88</v>
      </c>
      <c r="J98" s="606">
        <f>VLOOKUP($C98,Data!$A:$O,COLUMNS(Data!$A:H),FALSE)</f>
        <v>298389</v>
      </c>
      <c r="K98" s="606">
        <f>VLOOKUP($C98,Data!$A:$O,COLUMNS(Data!$A:I),FALSE)</f>
        <v>298389</v>
      </c>
      <c r="L98" s="606">
        <f>VLOOKUP($C98,Data!$A:$O,COLUMNS(Data!$A:J),FALSE)</f>
        <v>253948</v>
      </c>
      <c r="M98" s="606">
        <f>VLOOKUP($C98,Data!$A:$O,COLUMNS(Data!$A:K),FALSE)</f>
        <v>244495</v>
      </c>
      <c r="N98" s="606">
        <f>VLOOKUP($C98,Data!$A:$O,COLUMNS(Data!$A:L),FALSE)</f>
        <v>245689</v>
      </c>
      <c r="O98" s="606">
        <f>VLOOKUP($C98,Data!$A:$O,COLUMNS(Data!$A:M),FALSE)</f>
        <v>246287</v>
      </c>
      <c r="P98" s="606">
        <f>VLOOKUP($C98,Data!$A:$O,COLUMNS(Data!$A:N),FALSE)</f>
        <v>246287</v>
      </c>
      <c r="Q98" s="606">
        <v>0</v>
      </c>
      <c r="R98" s="94"/>
      <c r="S98" s="638">
        <f t="shared" si="39"/>
        <v>3325428.41</v>
      </c>
      <c r="T98" s="94"/>
      <c r="U98" s="94">
        <v>3027309.3663374996</v>
      </c>
      <c r="V98" s="94">
        <f t="shared" si="40"/>
        <v>-298119.04366250057</v>
      </c>
      <c r="X98" s="94">
        <f>'FY18-19'!S96</f>
        <v>0</v>
      </c>
      <c r="Y98" s="94">
        <f t="shared" si="41"/>
        <v>-3325428.41</v>
      </c>
    </row>
    <row r="99" spans="1:31" s="95" customFormat="1" ht="12" customHeight="1">
      <c r="A99" s="124"/>
      <c r="B99" s="124" t="s">
        <v>186</v>
      </c>
      <c r="C99" s="126"/>
      <c r="D99" s="126"/>
      <c r="E99" s="603">
        <f t="shared" ref="E99:Q99" si="43">SUM(E92:E98)</f>
        <v>42802.97</v>
      </c>
      <c r="F99" s="603">
        <f t="shared" si="43"/>
        <v>67081.22</v>
      </c>
      <c r="G99" s="603">
        <f t="shared" si="43"/>
        <v>1029863.36</v>
      </c>
      <c r="H99" s="603">
        <f t="shared" si="43"/>
        <v>760614.37</v>
      </c>
      <c r="I99" s="603">
        <f t="shared" si="43"/>
        <v>723921.12</v>
      </c>
      <c r="J99" s="603">
        <f t="shared" si="43"/>
        <v>671423.23</v>
      </c>
      <c r="K99" s="603">
        <f t="shared" si="43"/>
        <v>856628.87</v>
      </c>
      <c r="L99" s="603">
        <f t="shared" si="43"/>
        <v>662483.16</v>
      </c>
      <c r="M99" s="603">
        <f t="shared" si="43"/>
        <v>662201.56000000006</v>
      </c>
      <c r="N99" s="603">
        <f t="shared" si="43"/>
        <v>687699.7</v>
      </c>
      <c r="O99" s="603">
        <f t="shared" si="43"/>
        <v>668804.66</v>
      </c>
      <c r="P99" s="603">
        <f t="shared" si="43"/>
        <v>1398647.52</v>
      </c>
      <c r="Q99" s="603">
        <f t="shared" si="43"/>
        <v>0</v>
      </c>
      <c r="R99" s="94"/>
      <c r="S99" s="626">
        <f>SUM(E99:R99)</f>
        <v>8232171.7400000002</v>
      </c>
      <c r="T99" s="113">
        <f>SUM(T92:T98)</f>
        <v>0</v>
      </c>
      <c r="U99" s="216">
        <v>7518196.8663374996</v>
      </c>
      <c r="V99" s="216">
        <f>SUM(V92:V98)</f>
        <v>-713974.87366250064</v>
      </c>
      <c r="X99" s="216">
        <f>SUM(X92:X98)</f>
        <v>0</v>
      </c>
      <c r="Y99" s="216">
        <f>SUM(Y92:Y98)</f>
        <v>-8232171.7400000002</v>
      </c>
    </row>
    <row r="100" spans="1:31" s="95" customFormat="1" ht="12" customHeight="1">
      <c r="A100" s="124"/>
      <c r="B100" s="124" t="s">
        <v>286</v>
      </c>
      <c r="C100" s="126"/>
      <c r="D100" s="126"/>
      <c r="E100" s="606"/>
      <c r="F100" s="606"/>
      <c r="G100" s="606"/>
      <c r="H100" s="606"/>
      <c r="I100" s="606"/>
      <c r="J100" s="606"/>
      <c r="K100" s="606"/>
      <c r="L100" s="606"/>
      <c r="M100" s="606"/>
      <c r="N100" s="606"/>
      <c r="O100" s="606"/>
      <c r="P100" s="606"/>
      <c r="Q100" s="606"/>
      <c r="R100" s="94"/>
      <c r="S100" s="627"/>
      <c r="T100" s="94"/>
      <c r="U100" s="94"/>
      <c r="V100" s="94"/>
      <c r="X100" s="94"/>
      <c r="Y100" s="94"/>
    </row>
    <row r="101" spans="1:31" s="95" customFormat="1" ht="12" customHeight="1">
      <c r="A101" s="124"/>
      <c r="B101" s="124" t="s">
        <v>186</v>
      </c>
      <c r="C101" s="102">
        <v>5201</v>
      </c>
      <c r="D101" s="127" t="s">
        <v>144</v>
      </c>
      <c r="E101" s="606">
        <f>VLOOKUP($C101,Data!$A:$O,COLUMNS(Data!$A:C),FALSE)</f>
        <v>0</v>
      </c>
      <c r="F101" s="606">
        <f>VLOOKUP($C101,Data!$A:$O,COLUMNS(Data!$A:D),FALSE)</f>
        <v>525.84</v>
      </c>
      <c r="G101" s="606">
        <f>VLOOKUP($C101,Data!$A:$O,COLUMNS(Data!$A:E),FALSE)</f>
        <v>155.44</v>
      </c>
      <c r="H101" s="606">
        <f>VLOOKUP($C101,Data!$A:$O,COLUMNS(Data!$A:F),FALSE)</f>
        <v>0</v>
      </c>
      <c r="I101" s="606">
        <f>VLOOKUP($C101,Data!$A:$O,COLUMNS(Data!$A:G),FALSE)</f>
        <v>4913.26</v>
      </c>
      <c r="J101" s="606">
        <f>VLOOKUP($C101,Data!$A:$O,COLUMNS(Data!$A:H),FALSE)</f>
        <v>-217.53</v>
      </c>
      <c r="K101" s="606">
        <f>VLOOKUP($C101,Data!$A:$O,COLUMNS(Data!$A:I),FALSE)</f>
        <v>618.92999999999995</v>
      </c>
      <c r="L101" s="606">
        <f>VLOOKUP($C101,Data!$A:$O,COLUMNS(Data!$A:J),FALSE)</f>
        <v>1290.1500000000001</v>
      </c>
      <c r="M101" s="606">
        <f>VLOOKUP($C101,Data!$A:$O,COLUMNS(Data!$A:K),FALSE)</f>
        <v>1895.81</v>
      </c>
      <c r="N101" s="606">
        <f>VLOOKUP($C101,Data!$A:$O,COLUMNS(Data!$A:L),FALSE)</f>
        <v>0</v>
      </c>
      <c r="O101" s="606">
        <f>VLOOKUP($C101,Data!$A:$O,COLUMNS(Data!$A:M),FALSE)</f>
        <v>0</v>
      </c>
      <c r="P101" s="606">
        <f>VLOOKUP($C101,Data!$A:$O,COLUMNS(Data!$A:N),FALSE)</f>
        <v>10290</v>
      </c>
      <c r="Q101" s="606">
        <v>0</v>
      </c>
      <c r="R101" s="94"/>
      <c r="S101" s="638">
        <f t="shared" ref="S101:S108" si="44">SUM(E101:Q101)</f>
        <v>19471.900000000001</v>
      </c>
      <c r="T101" s="94"/>
      <c r="U101" s="94">
        <v>46170.227999999996</v>
      </c>
      <c r="V101" s="94">
        <f t="shared" ref="V101:V108" si="45">U101-S101</f>
        <v>26698.327999999994</v>
      </c>
      <c r="W101" s="421"/>
      <c r="X101" s="94">
        <f>'FY18-19'!S119</f>
        <v>0</v>
      </c>
      <c r="Y101" s="94">
        <f t="shared" ref="Y101:Y109" si="46">X101-S101</f>
        <v>-19471.900000000001</v>
      </c>
      <c r="Z101" s="421"/>
      <c r="AA101" s="421"/>
      <c r="AB101" s="421"/>
      <c r="AC101" s="421"/>
      <c r="AD101" s="421"/>
      <c r="AE101" s="421"/>
    </row>
    <row r="102" spans="1:31" s="95" customFormat="1" ht="12" hidden="1" customHeight="1">
      <c r="A102" s="124"/>
      <c r="B102" s="124" t="s">
        <v>186</v>
      </c>
      <c r="C102" s="102">
        <v>5300</v>
      </c>
      <c r="D102" s="127" t="s">
        <v>37</v>
      </c>
      <c r="E102" s="606">
        <f>VLOOKUP($C102,Data!$A:$O,COLUMNS(Data!$A:C),FALSE)</f>
        <v>0</v>
      </c>
      <c r="F102" s="606">
        <f>VLOOKUP($C102,Data!$A:$O,COLUMNS(Data!$A:D),FALSE)</f>
        <v>0</v>
      </c>
      <c r="G102" s="606">
        <f>VLOOKUP($C102,Data!$A:$O,COLUMNS(Data!$A:E),FALSE)</f>
        <v>0</v>
      </c>
      <c r="H102" s="606">
        <f>VLOOKUP($C102,Data!$A:$O,COLUMNS(Data!$A:F),FALSE)</f>
        <v>0</v>
      </c>
      <c r="I102" s="606">
        <f>VLOOKUP($C102,Data!$A:$O,COLUMNS(Data!$A:G),FALSE)</f>
        <v>0</v>
      </c>
      <c r="J102" s="606">
        <f>VLOOKUP($C102,Data!$A:$O,COLUMNS(Data!$A:H),FALSE)</f>
        <v>0</v>
      </c>
      <c r="K102" s="606">
        <f>VLOOKUP($C102,Data!$A:$O,COLUMNS(Data!$A:I),FALSE)</f>
        <v>0</v>
      </c>
      <c r="L102" s="606">
        <f>VLOOKUP($C102,Data!$A:$O,COLUMNS(Data!$A:J),FALSE)</f>
        <v>0</v>
      </c>
      <c r="M102" s="606">
        <f>VLOOKUP($C102,Data!$A:$O,COLUMNS(Data!$A:K),FALSE)</f>
        <v>0</v>
      </c>
      <c r="N102" s="606">
        <f>VLOOKUP($C102,Data!$A:$O,COLUMNS(Data!$A:L),FALSE)</f>
        <v>0</v>
      </c>
      <c r="O102" s="606">
        <f>VLOOKUP($C102,Data!$A:$O,COLUMNS(Data!$A:M),FALSE)</f>
        <v>0</v>
      </c>
      <c r="P102" s="606">
        <f>VLOOKUP($C102,Data!$A:$O,COLUMNS(Data!$A:N),FALSE)</f>
        <v>0</v>
      </c>
      <c r="Q102" s="606">
        <v>0</v>
      </c>
      <c r="R102" s="94"/>
      <c r="S102" s="638">
        <f t="shared" si="44"/>
        <v>0</v>
      </c>
      <c r="T102" s="94"/>
      <c r="U102" s="94">
        <v>17327.543999999998</v>
      </c>
      <c r="V102" s="94">
        <f t="shared" si="45"/>
        <v>17327.543999999998</v>
      </c>
      <c r="X102" s="94">
        <f>'FY18-19'!S121</f>
        <v>0</v>
      </c>
      <c r="Y102" s="94">
        <f t="shared" si="46"/>
        <v>0</v>
      </c>
    </row>
    <row r="103" spans="1:31" s="95" customFormat="1" ht="12" customHeight="1">
      <c r="A103" s="124"/>
      <c r="B103" s="124" t="s">
        <v>186</v>
      </c>
      <c r="C103" s="102">
        <v>5400</v>
      </c>
      <c r="D103" s="127" t="s">
        <v>38</v>
      </c>
      <c r="E103" s="606">
        <f>VLOOKUP($C103,Data!$A:$O,COLUMNS(Data!$A:C),FALSE)</f>
        <v>0</v>
      </c>
      <c r="F103" s="606">
        <f>VLOOKUP($C103,Data!$A:$O,COLUMNS(Data!$A:D),FALSE)</f>
        <v>2592.44</v>
      </c>
      <c r="G103" s="606">
        <f>VLOOKUP($C103,Data!$A:$O,COLUMNS(Data!$A:E),FALSE)</f>
        <v>1296.22</v>
      </c>
      <c r="H103" s="606">
        <f>VLOOKUP($C103,Data!$A:$O,COLUMNS(Data!$A:F),FALSE)</f>
        <v>1296.22</v>
      </c>
      <c r="I103" s="606">
        <f>VLOOKUP($C103,Data!$A:$O,COLUMNS(Data!$A:G),FALSE)</f>
        <v>1296.22</v>
      </c>
      <c r="J103" s="606">
        <f>VLOOKUP($C103,Data!$A:$O,COLUMNS(Data!$A:H),FALSE)</f>
        <v>1296.22</v>
      </c>
      <c r="K103" s="606">
        <f>VLOOKUP($C103,Data!$A:$O,COLUMNS(Data!$A:I),FALSE)</f>
        <v>1296.22</v>
      </c>
      <c r="L103" s="606">
        <f>VLOOKUP($C103,Data!$A:$O,COLUMNS(Data!$A:J),FALSE)</f>
        <v>1296.22</v>
      </c>
      <c r="M103" s="606">
        <f>VLOOKUP($C103,Data!$A:$O,COLUMNS(Data!$A:K),FALSE)</f>
        <v>4949</v>
      </c>
      <c r="N103" s="606">
        <f>VLOOKUP($C103,Data!$A:$O,COLUMNS(Data!$A:L),FALSE)</f>
        <v>22808</v>
      </c>
      <c r="O103" s="606">
        <f>VLOOKUP($C103,Data!$A:$O,COLUMNS(Data!$A:M),FALSE)</f>
        <v>68955.490000000005</v>
      </c>
      <c r="P103" s="606">
        <f>VLOOKUP($C103,Data!$A:$O,COLUMNS(Data!$A:N),FALSE)</f>
        <v>26659.78</v>
      </c>
      <c r="Q103" s="606">
        <v>0</v>
      </c>
      <c r="R103" s="94"/>
      <c r="S103" s="638">
        <f t="shared" si="44"/>
        <v>133742.03</v>
      </c>
      <c r="T103" s="94"/>
      <c r="U103" s="94">
        <v>75040.328999999998</v>
      </c>
      <c r="V103" s="94">
        <f t="shared" si="45"/>
        <v>-58701.701000000001</v>
      </c>
      <c r="X103" s="94">
        <f>'FY18-19'!S122</f>
        <v>0</v>
      </c>
      <c r="Y103" s="94">
        <f t="shared" si="46"/>
        <v>-133742.03</v>
      </c>
    </row>
    <row r="104" spans="1:31" s="95" customFormat="1" ht="12" hidden="1" customHeight="1">
      <c r="A104" s="124"/>
      <c r="B104" s="124" t="s">
        <v>186</v>
      </c>
      <c r="C104" s="102">
        <v>5501</v>
      </c>
      <c r="D104" s="127" t="s">
        <v>101</v>
      </c>
      <c r="E104" s="606">
        <f>VLOOKUP($C104,Data!$A:$O,COLUMNS(Data!$A:C),FALSE)</f>
        <v>154.99</v>
      </c>
      <c r="F104" s="606">
        <f>VLOOKUP($C104,Data!$A:$O,COLUMNS(Data!$A:D),FALSE)</f>
        <v>0</v>
      </c>
      <c r="G104" s="606">
        <f>VLOOKUP($C104,Data!$A:$O,COLUMNS(Data!$A:E),FALSE)</f>
        <v>0</v>
      </c>
      <c r="H104" s="606">
        <f>VLOOKUP($C104,Data!$A:$O,COLUMNS(Data!$A:F),FALSE)</f>
        <v>0</v>
      </c>
      <c r="I104" s="606">
        <f>VLOOKUP($C104,Data!$A:$O,COLUMNS(Data!$A:G),FALSE)</f>
        <v>0</v>
      </c>
      <c r="J104" s="606">
        <f>VLOOKUP($C104,Data!$A:$O,COLUMNS(Data!$A:H),FALSE)</f>
        <v>0</v>
      </c>
      <c r="K104" s="606">
        <f>VLOOKUP($C104,Data!$A:$O,COLUMNS(Data!$A:I),FALSE)</f>
        <v>0</v>
      </c>
      <c r="L104" s="606">
        <f>VLOOKUP($C104,Data!$A:$O,COLUMNS(Data!$A:J),FALSE)</f>
        <v>0</v>
      </c>
      <c r="M104" s="606">
        <f>VLOOKUP($C104,Data!$A:$O,COLUMNS(Data!$A:K),FALSE)</f>
        <v>0</v>
      </c>
      <c r="N104" s="606">
        <f>VLOOKUP($C104,Data!$A:$O,COLUMNS(Data!$A:L),FALSE)</f>
        <v>0</v>
      </c>
      <c r="O104" s="606">
        <f>VLOOKUP($C104,Data!$A:$O,COLUMNS(Data!$A:M),FALSE)</f>
        <v>0</v>
      </c>
      <c r="P104" s="606">
        <f>VLOOKUP($C104,Data!$A:$O,COLUMNS(Data!$A:N),FALSE)</f>
        <v>0</v>
      </c>
      <c r="Q104" s="606">
        <v>0</v>
      </c>
      <c r="R104" s="94"/>
      <c r="S104" s="638">
        <f t="shared" si="44"/>
        <v>154.99</v>
      </c>
      <c r="T104" s="94"/>
      <c r="U104" s="94">
        <v>4030.2989999999986</v>
      </c>
      <c r="V104" s="94">
        <f t="shared" si="45"/>
        <v>3875.3089999999984</v>
      </c>
      <c r="X104" s="94">
        <f>'FY18-19'!S123</f>
        <v>0</v>
      </c>
      <c r="Y104" s="94">
        <f t="shared" si="46"/>
        <v>-154.99</v>
      </c>
    </row>
    <row r="105" spans="1:31" s="95" customFormat="1" ht="12" customHeight="1">
      <c r="A105" s="124"/>
      <c r="B105" s="124" t="s">
        <v>186</v>
      </c>
      <c r="C105" s="102">
        <v>5502</v>
      </c>
      <c r="D105" s="127" t="s">
        <v>514</v>
      </c>
      <c r="E105" s="606">
        <f>VLOOKUP($C105,Data!$A:$O,COLUMNS(Data!$A:C),FALSE)</f>
        <v>0</v>
      </c>
      <c r="F105" s="606">
        <f>VLOOKUP($C105,Data!$A:$O,COLUMNS(Data!$A:D),FALSE)</f>
        <v>590</v>
      </c>
      <c r="G105" s="606">
        <f>VLOOKUP($C105,Data!$A:$O,COLUMNS(Data!$A:E),FALSE)</f>
        <v>500</v>
      </c>
      <c r="H105" s="606">
        <f>VLOOKUP($C105,Data!$A:$O,COLUMNS(Data!$A:F),FALSE)</f>
        <v>0</v>
      </c>
      <c r="I105" s="606">
        <f>VLOOKUP($C105,Data!$A:$O,COLUMNS(Data!$A:G),FALSE)</f>
        <v>835</v>
      </c>
      <c r="J105" s="606">
        <f>VLOOKUP($C105,Data!$A:$O,COLUMNS(Data!$A:H),FALSE)</f>
        <v>0</v>
      </c>
      <c r="K105" s="606">
        <f>VLOOKUP($C105,Data!$A:$O,COLUMNS(Data!$A:I),FALSE)</f>
        <v>0</v>
      </c>
      <c r="L105" s="606">
        <f>VLOOKUP($C105,Data!$A:$O,COLUMNS(Data!$A:J),FALSE)</f>
        <v>35</v>
      </c>
      <c r="M105" s="606">
        <f>VLOOKUP($C105,Data!$A:$O,COLUMNS(Data!$A:K),FALSE)</f>
        <v>0</v>
      </c>
      <c r="N105" s="606">
        <f>VLOOKUP($C105,Data!$A:$O,COLUMNS(Data!$A:L),FALSE)</f>
        <v>35</v>
      </c>
      <c r="O105" s="606">
        <f>VLOOKUP($C105,Data!$A:$O,COLUMNS(Data!$A:M),FALSE)</f>
        <v>0</v>
      </c>
      <c r="P105" s="606">
        <f>VLOOKUP($C105,Data!$A:$O,COLUMNS(Data!$A:N),FALSE)</f>
        <v>0</v>
      </c>
      <c r="Q105" s="606">
        <v>0</v>
      </c>
      <c r="R105" s="94"/>
      <c r="S105" s="638">
        <f>SUM(E105:Q105)</f>
        <v>1995</v>
      </c>
      <c r="T105" s="94"/>
      <c r="U105" s="94">
        <v>1151.5139999999997</v>
      </c>
      <c r="V105" s="94">
        <f>U105-S105</f>
        <v>-843.48600000000033</v>
      </c>
      <c r="X105" s="94">
        <f>'FY18-19'!S124</f>
        <v>0</v>
      </c>
      <c r="Y105" s="94">
        <f t="shared" si="46"/>
        <v>-1995</v>
      </c>
    </row>
    <row r="106" spans="1:31" s="95" customFormat="1" ht="12" hidden="1" customHeight="1">
      <c r="A106" s="124"/>
      <c r="B106" s="124" t="s">
        <v>186</v>
      </c>
      <c r="C106" s="102">
        <v>5516</v>
      </c>
      <c r="D106" s="127" t="s">
        <v>103</v>
      </c>
      <c r="E106" s="606">
        <f>VLOOKUP($C106,Data!$A:$O,COLUMNS(Data!$A:C),FALSE)</f>
        <v>0</v>
      </c>
      <c r="F106" s="606">
        <f>VLOOKUP($C106,Data!$A:$O,COLUMNS(Data!$A:D),FALSE)</f>
        <v>0</v>
      </c>
      <c r="G106" s="606">
        <f>VLOOKUP($C106,Data!$A:$O,COLUMNS(Data!$A:E),FALSE)</f>
        <v>0</v>
      </c>
      <c r="H106" s="606">
        <f>VLOOKUP($C106,Data!$A:$O,COLUMNS(Data!$A:F),FALSE)</f>
        <v>0</v>
      </c>
      <c r="I106" s="606">
        <f>VLOOKUP($C106,Data!$A:$O,COLUMNS(Data!$A:G),FALSE)</f>
        <v>0</v>
      </c>
      <c r="J106" s="606">
        <f>VLOOKUP($C106,Data!$A:$O,COLUMNS(Data!$A:H),FALSE)</f>
        <v>0</v>
      </c>
      <c r="K106" s="606">
        <f>VLOOKUP($C106,Data!$A:$O,COLUMNS(Data!$A:I),FALSE)</f>
        <v>0</v>
      </c>
      <c r="L106" s="606">
        <f>VLOOKUP($C106,Data!$A:$O,COLUMNS(Data!$A:J),FALSE)</f>
        <v>0</v>
      </c>
      <c r="M106" s="606">
        <f>VLOOKUP($C106,Data!$A:$O,COLUMNS(Data!$A:K),FALSE)</f>
        <v>0</v>
      </c>
      <c r="N106" s="606">
        <f>VLOOKUP($C106,Data!$A:$O,COLUMNS(Data!$A:L),FALSE)</f>
        <v>0</v>
      </c>
      <c r="O106" s="606">
        <f>VLOOKUP($C106,Data!$A:$O,COLUMNS(Data!$A:M),FALSE)</f>
        <v>0</v>
      </c>
      <c r="P106" s="606">
        <f>VLOOKUP($C106,Data!$A:$O,COLUMNS(Data!$A:N),FALSE)</f>
        <v>0</v>
      </c>
      <c r="Q106" s="606">
        <v>0</v>
      </c>
      <c r="R106" s="94"/>
      <c r="S106" s="638">
        <f t="shared" si="44"/>
        <v>0</v>
      </c>
      <c r="T106" s="94"/>
      <c r="U106" s="94">
        <v>0</v>
      </c>
      <c r="V106" s="94">
        <f t="shared" si="45"/>
        <v>0</v>
      </c>
      <c r="X106" s="94">
        <f>'FY18-19'!S131</f>
        <v>0</v>
      </c>
      <c r="Y106" s="94">
        <f t="shared" si="46"/>
        <v>0</v>
      </c>
    </row>
    <row r="107" spans="1:31" s="95" customFormat="1" ht="12" hidden="1" customHeight="1">
      <c r="A107" s="124"/>
      <c r="B107" s="124"/>
      <c r="C107" s="102">
        <v>5531</v>
      </c>
      <c r="D107" s="127" t="s">
        <v>313</v>
      </c>
      <c r="E107" s="606">
        <f>VLOOKUP($C107,Data!$A:$O,COLUMNS(Data!$A:C),FALSE)</f>
        <v>0</v>
      </c>
      <c r="F107" s="606">
        <f>VLOOKUP($C107,Data!$A:$O,COLUMNS(Data!$A:D),FALSE)</f>
        <v>0</v>
      </c>
      <c r="G107" s="606">
        <f>VLOOKUP($C107,Data!$A:$O,COLUMNS(Data!$A:E),FALSE)</f>
        <v>0</v>
      </c>
      <c r="H107" s="606">
        <f>VLOOKUP($C107,Data!$A:$O,COLUMNS(Data!$A:F),FALSE)</f>
        <v>0</v>
      </c>
      <c r="I107" s="606">
        <f>VLOOKUP($C107,Data!$A:$O,COLUMNS(Data!$A:G),FALSE)</f>
        <v>0</v>
      </c>
      <c r="J107" s="606">
        <f>VLOOKUP($C107,Data!$A:$O,COLUMNS(Data!$A:H),FALSE)</f>
        <v>0</v>
      </c>
      <c r="K107" s="606">
        <f>VLOOKUP($C107,Data!$A:$O,COLUMNS(Data!$A:I),FALSE)</f>
        <v>0</v>
      </c>
      <c r="L107" s="606">
        <f>VLOOKUP($C107,Data!$A:$O,COLUMNS(Data!$A:J),FALSE)</f>
        <v>0</v>
      </c>
      <c r="M107" s="606">
        <f>VLOOKUP($C107,Data!$A:$O,COLUMNS(Data!$A:K),FALSE)</f>
        <v>0</v>
      </c>
      <c r="N107" s="606">
        <f>VLOOKUP($C107,Data!$A:$O,COLUMNS(Data!$A:L),FALSE)</f>
        <v>0</v>
      </c>
      <c r="O107" s="606">
        <f>VLOOKUP($C107,Data!$A:$O,COLUMNS(Data!$A:M),FALSE)</f>
        <v>0</v>
      </c>
      <c r="P107" s="606">
        <f>VLOOKUP($C107,Data!$A:$O,COLUMNS(Data!$A:N),FALSE)</f>
        <v>0</v>
      </c>
      <c r="Q107" s="606">
        <v>0</v>
      </c>
      <c r="R107" s="94"/>
      <c r="S107" s="638">
        <f t="shared" si="44"/>
        <v>0</v>
      </c>
      <c r="T107" s="94"/>
      <c r="U107" s="94">
        <v>0</v>
      </c>
      <c r="V107" s="94">
        <f t="shared" si="45"/>
        <v>0</v>
      </c>
      <c r="X107" s="94">
        <f>'FY18-19'!S133</f>
        <v>0</v>
      </c>
      <c r="Y107" s="94">
        <f t="shared" si="46"/>
        <v>0</v>
      </c>
    </row>
    <row r="108" spans="1:31" s="95" customFormat="1" ht="12" customHeight="1">
      <c r="A108" s="124"/>
      <c r="B108" s="124" t="s">
        <v>186</v>
      </c>
      <c r="C108" s="102">
        <v>5900</v>
      </c>
      <c r="D108" s="127" t="s">
        <v>104</v>
      </c>
      <c r="E108" s="606">
        <f>VLOOKUP($C108,Data!$A:$O,COLUMNS(Data!$A:C),FALSE)</f>
        <v>0</v>
      </c>
      <c r="F108" s="606">
        <f>VLOOKUP($C108,Data!$A:$O,COLUMNS(Data!$A:D),FALSE)</f>
        <v>323.8</v>
      </c>
      <c r="G108" s="606">
        <f>VLOOKUP($C108,Data!$A:$O,COLUMNS(Data!$A:E),FALSE)</f>
        <v>323.8</v>
      </c>
      <c r="H108" s="606">
        <f>VLOOKUP($C108,Data!$A:$O,COLUMNS(Data!$A:F),FALSE)</f>
        <v>0</v>
      </c>
      <c r="I108" s="606">
        <f>VLOOKUP($C108,Data!$A:$O,COLUMNS(Data!$A:G),FALSE)</f>
        <v>0</v>
      </c>
      <c r="J108" s="606">
        <f>VLOOKUP($C108,Data!$A:$O,COLUMNS(Data!$A:H),FALSE)</f>
        <v>0</v>
      </c>
      <c r="K108" s="606">
        <f>VLOOKUP($C108,Data!$A:$O,COLUMNS(Data!$A:I),FALSE)</f>
        <v>0</v>
      </c>
      <c r="L108" s="606">
        <f>VLOOKUP($C108,Data!$A:$O,COLUMNS(Data!$A:J),FALSE)</f>
        <v>0</v>
      </c>
      <c r="M108" s="606">
        <f>VLOOKUP($C108,Data!$A:$O,COLUMNS(Data!$A:K),FALSE)</f>
        <v>0</v>
      </c>
      <c r="N108" s="606">
        <f>VLOOKUP($C108,Data!$A:$O,COLUMNS(Data!$A:L),FALSE)</f>
        <v>69.989999999999995</v>
      </c>
      <c r="O108" s="606">
        <f>VLOOKUP($C108,Data!$A:$O,COLUMNS(Data!$A:M),FALSE)</f>
        <v>71.099999999999994</v>
      </c>
      <c r="P108" s="606">
        <f>VLOOKUP($C108,Data!$A:$O,COLUMNS(Data!$A:N),FALSE)</f>
        <v>74.989999999999995</v>
      </c>
      <c r="Q108" s="606">
        <v>0</v>
      </c>
      <c r="R108" s="94"/>
      <c r="S108" s="638">
        <f t="shared" si="44"/>
        <v>863.68000000000006</v>
      </c>
      <c r="T108" s="94"/>
      <c r="U108" s="94">
        <v>17327.543999999998</v>
      </c>
      <c r="V108" s="94">
        <f t="shared" si="45"/>
        <v>16463.863999999998</v>
      </c>
      <c r="X108" s="94">
        <f>'FY18-19'!S134</f>
        <v>0</v>
      </c>
      <c r="Y108" s="94">
        <f t="shared" si="46"/>
        <v>-863.68000000000006</v>
      </c>
    </row>
    <row r="109" spans="1:31" s="95" customFormat="1" ht="12" customHeight="1">
      <c r="A109" s="124"/>
      <c r="B109" s="124" t="s">
        <v>186</v>
      </c>
      <c r="C109" s="102">
        <v>5901</v>
      </c>
      <c r="D109" s="127" t="s">
        <v>40</v>
      </c>
      <c r="E109" s="606">
        <f>VLOOKUP($C109,Data!$A:$O,COLUMNS(Data!$A:C),FALSE)</f>
        <v>0</v>
      </c>
      <c r="F109" s="606">
        <f>VLOOKUP($C109,Data!$A:$O,COLUMNS(Data!$A:D),FALSE)</f>
        <v>0</v>
      </c>
      <c r="G109" s="606">
        <f>VLOOKUP($C109,Data!$A:$O,COLUMNS(Data!$A:E),FALSE)</f>
        <v>19.510000000000002</v>
      </c>
      <c r="H109" s="606">
        <f>VLOOKUP($C109,Data!$A:$O,COLUMNS(Data!$A:F),FALSE)</f>
        <v>0</v>
      </c>
      <c r="I109" s="606">
        <f>VLOOKUP($C109,Data!$A:$O,COLUMNS(Data!$A:G),FALSE)</f>
        <v>0</v>
      </c>
      <c r="J109" s="606">
        <f>VLOOKUP($C109,Data!$A:$O,COLUMNS(Data!$A:H),FALSE)</f>
        <v>74.81</v>
      </c>
      <c r="K109" s="606">
        <f>VLOOKUP($C109,Data!$A:$O,COLUMNS(Data!$A:I),FALSE)</f>
        <v>89.99</v>
      </c>
      <c r="L109" s="606">
        <f>VLOOKUP($C109,Data!$A:$O,COLUMNS(Data!$A:J),FALSE)</f>
        <v>215.13</v>
      </c>
      <c r="M109" s="606">
        <f>VLOOKUP($C109,Data!$A:$O,COLUMNS(Data!$A:K),FALSE)</f>
        <v>0</v>
      </c>
      <c r="N109" s="606">
        <f>VLOOKUP($C109,Data!$A:$O,COLUMNS(Data!$A:L),FALSE)</f>
        <v>0</v>
      </c>
      <c r="O109" s="606">
        <f>VLOOKUP($C109,Data!$A:$O,COLUMNS(Data!$A:M),FALSE)</f>
        <v>348</v>
      </c>
      <c r="P109" s="606">
        <f>VLOOKUP($C109,Data!$A:$O,COLUMNS(Data!$A:N),FALSE)</f>
        <v>489.5</v>
      </c>
      <c r="Q109" s="606">
        <v>0</v>
      </c>
      <c r="R109" s="94"/>
      <c r="S109" s="638">
        <f>SUM(E109:Q109)</f>
        <v>1236.94</v>
      </c>
      <c r="T109" s="94"/>
      <c r="U109" s="94">
        <v>40412.658000000003</v>
      </c>
      <c r="V109" s="94">
        <f>U109-S109</f>
        <v>39175.718000000001</v>
      </c>
      <c r="X109" s="94">
        <f>'FY18-19'!S126</f>
        <v>0</v>
      </c>
      <c r="Y109" s="94">
        <f t="shared" si="46"/>
        <v>-1236.94</v>
      </c>
    </row>
    <row r="110" spans="1:31" s="95" customFormat="1" ht="12" customHeight="1">
      <c r="A110" s="124"/>
      <c r="B110" s="124" t="s">
        <v>186</v>
      </c>
      <c r="C110" s="102"/>
      <c r="D110" s="103"/>
      <c r="E110" s="603">
        <f t="shared" ref="E110:Q110" si="47">SUM(E101:E109)</f>
        <v>154.99</v>
      </c>
      <c r="F110" s="603">
        <f t="shared" si="47"/>
        <v>4032.0800000000004</v>
      </c>
      <c r="G110" s="603">
        <f t="shared" si="47"/>
        <v>2294.9700000000003</v>
      </c>
      <c r="H110" s="603">
        <f t="shared" si="47"/>
        <v>1296.22</v>
      </c>
      <c r="I110" s="603">
        <f t="shared" si="47"/>
        <v>7044.4800000000005</v>
      </c>
      <c r="J110" s="603">
        <f t="shared" si="47"/>
        <v>1153.5</v>
      </c>
      <c r="K110" s="603">
        <f t="shared" si="47"/>
        <v>2005.14</v>
      </c>
      <c r="L110" s="603">
        <f t="shared" si="47"/>
        <v>2836.5</v>
      </c>
      <c r="M110" s="603">
        <f t="shared" si="47"/>
        <v>6844.8099999999995</v>
      </c>
      <c r="N110" s="603">
        <f t="shared" si="47"/>
        <v>22912.99</v>
      </c>
      <c r="O110" s="603">
        <f t="shared" si="47"/>
        <v>69374.590000000011</v>
      </c>
      <c r="P110" s="603">
        <f t="shared" si="47"/>
        <v>37514.269999999997</v>
      </c>
      <c r="Q110" s="603">
        <f t="shared" si="47"/>
        <v>0</v>
      </c>
      <c r="R110" s="94"/>
      <c r="S110" s="626">
        <f>SUM(E110:R110)</f>
        <v>157464.54</v>
      </c>
      <c r="T110" s="113"/>
      <c r="U110" s="216">
        <v>201460.11599999998</v>
      </c>
      <c r="V110" s="216">
        <f>SUM(V101:V109)</f>
        <v>43995.575999999986</v>
      </c>
      <c r="X110" s="216">
        <f>SUM(X101:X109)</f>
        <v>0</v>
      </c>
      <c r="Y110" s="216">
        <f>SUM(Y101:Y109)</f>
        <v>-157464.53999999998</v>
      </c>
    </row>
    <row r="111" spans="1:31" s="95" customFormat="1" ht="12" customHeight="1">
      <c r="A111" s="124"/>
      <c r="B111" s="124" t="s">
        <v>287</v>
      </c>
      <c r="C111" s="126"/>
      <c r="D111" s="126"/>
      <c r="E111" s="606"/>
      <c r="F111" s="606"/>
      <c r="G111" s="606"/>
      <c r="H111" s="606"/>
      <c r="I111" s="606"/>
      <c r="J111" s="606"/>
      <c r="K111" s="606"/>
      <c r="L111" s="606"/>
      <c r="M111" s="606"/>
      <c r="N111" s="606"/>
      <c r="O111" s="606"/>
      <c r="P111" s="606"/>
      <c r="Q111" s="606"/>
      <c r="R111" s="94"/>
      <c r="S111" s="627"/>
      <c r="T111" s="94"/>
      <c r="U111" s="94"/>
      <c r="V111" s="94"/>
      <c r="X111" s="94"/>
      <c r="Y111" s="94"/>
    </row>
    <row r="112" spans="1:31" s="95" customFormat="1" ht="12" customHeight="1">
      <c r="A112" s="124"/>
      <c r="B112" s="124" t="s">
        <v>186</v>
      </c>
      <c r="C112" s="102">
        <v>5601</v>
      </c>
      <c r="D112" s="127" t="s">
        <v>29</v>
      </c>
      <c r="E112" s="606">
        <f>VLOOKUP($C112,Data!$A:$O,COLUMNS(Data!$A:C),FALSE)</f>
        <v>0</v>
      </c>
      <c r="F112" s="606">
        <f>VLOOKUP($C112,Data!$A:$O,COLUMNS(Data!$A:D),FALSE)</f>
        <v>0</v>
      </c>
      <c r="G112" s="606">
        <f>VLOOKUP($C112,Data!$A:$O,COLUMNS(Data!$A:E),FALSE)</f>
        <v>4175</v>
      </c>
      <c r="H112" s="606">
        <f>VLOOKUP($C112,Data!$A:$O,COLUMNS(Data!$A:F),FALSE)</f>
        <v>20087.599999999999</v>
      </c>
      <c r="I112" s="606">
        <f>VLOOKUP($C112,Data!$A:$O,COLUMNS(Data!$A:G),FALSE)</f>
        <v>7526.9</v>
      </c>
      <c r="J112" s="606">
        <f>VLOOKUP($C112,Data!$A:$O,COLUMNS(Data!$A:H),FALSE)</f>
        <v>0</v>
      </c>
      <c r="K112" s="606">
        <f>VLOOKUP($C112,Data!$A:$O,COLUMNS(Data!$A:I),FALSE)</f>
        <v>0</v>
      </c>
      <c r="L112" s="606">
        <f>VLOOKUP($C112,Data!$A:$O,COLUMNS(Data!$A:J),FALSE)</f>
        <v>0</v>
      </c>
      <c r="M112" s="606">
        <f>VLOOKUP($C112,Data!$A:$O,COLUMNS(Data!$A:K),FALSE)</f>
        <v>0</v>
      </c>
      <c r="N112" s="606">
        <f>VLOOKUP($C112,Data!$A:$O,COLUMNS(Data!$A:L),FALSE)</f>
        <v>0</v>
      </c>
      <c r="O112" s="606">
        <f>VLOOKUP($C112,Data!$A:$O,COLUMNS(Data!$A:M),FALSE)</f>
        <v>0</v>
      </c>
      <c r="P112" s="606">
        <f>VLOOKUP($C112,Data!$A:$O,COLUMNS(Data!$A:N),FALSE)</f>
        <v>-126</v>
      </c>
      <c r="Q112" s="606">
        <v>0</v>
      </c>
      <c r="R112" s="94"/>
      <c r="S112" s="638">
        <f t="shared" ref="S112:S117" si="48">SUM(E112:Q112)</f>
        <v>31663.5</v>
      </c>
      <c r="T112" s="94"/>
      <c r="U112" s="94">
        <v>86582.885999999984</v>
      </c>
      <c r="V112" s="94">
        <f t="shared" ref="V112:V117" si="49">U112-S112</f>
        <v>54919.385999999984</v>
      </c>
      <c r="X112" s="94">
        <f>'FY18-19'!S111</f>
        <v>0</v>
      </c>
      <c r="Y112" s="94">
        <f t="shared" ref="Y112:Y117" si="50">X112-S112</f>
        <v>-31663.5</v>
      </c>
    </row>
    <row r="113" spans="1:25" s="95" customFormat="1" ht="12" hidden="1" customHeight="1">
      <c r="A113" s="124"/>
      <c r="B113" s="124" t="s">
        <v>186</v>
      </c>
      <c r="C113" s="102">
        <v>5602</v>
      </c>
      <c r="D113" s="127" t="s">
        <v>30</v>
      </c>
      <c r="E113" s="606">
        <f>VLOOKUP($C113,Data!$A:$O,COLUMNS(Data!$A:C),FALSE)</f>
        <v>0</v>
      </c>
      <c r="F113" s="606">
        <f>VLOOKUP($C113,Data!$A:$O,COLUMNS(Data!$A:D),FALSE)</f>
        <v>0</v>
      </c>
      <c r="G113" s="606">
        <f>VLOOKUP($C113,Data!$A:$O,COLUMNS(Data!$A:E),FALSE)</f>
        <v>0</v>
      </c>
      <c r="H113" s="606">
        <f>VLOOKUP($C113,Data!$A:$O,COLUMNS(Data!$A:F),FALSE)</f>
        <v>0</v>
      </c>
      <c r="I113" s="606">
        <f>VLOOKUP($C113,Data!$A:$O,COLUMNS(Data!$A:G),FALSE)</f>
        <v>0</v>
      </c>
      <c r="J113" s="606">
        <f>VLOOKUP($C113,Data!$A:$O,COLUMNS(Data!$A:H),FALSE)</f>
        <v>0</v>
      </c>
      <c r="K113" s="606">
        <f>VLOOKUP($C113,Data!$A:$O,COLUMNS(Data!$A:I),FALSE)</f>
        <v>0</v>
      </c>
      <c r="L113" s="606">
        <f>VLOOKUP($C113,Data!$A:$O,COLUMNS(Data!$A:J),FALSE)</f>
        <v>0</v>
      </c>
      <c r="M113" s="606">
        <f>VLOOKUP($C113,Data!$A:$O,COLUMNS(Data!$A:K),FALSE)</f>
        <v>0</v>
      </c>
      <c r="N113" s="606">
        <f>VLOOKUP($C113,Data!$A:$O,COLUMNS(Data!$A:L),FALSE)</f>
        <v>0</v>
      </c>
      <c r="O113" s="606">
        <f>VLOOKUP($C113,Data!$A:$O,COLUMNS(Data!$A:M),FALSE)</f>
        <v>0</v>
      </c>
      <c r="P113" s="878">
        <f>VLOOKUP($C113,Data!$A:$O,COLUMNS(Data!$A:N),FALSE)</f>
        <v>0</v>
      </c>
      <c r="Q113" s="606">
        <v>0</v>
      </c>
      <c r="R113" s="94"/>
      <c r="S113" s="638">
        <f t="shared" si="48"/>
        <v>0</v>
      </c>
      <c r="T113" s="94"/>
      <c r="U113" s="94">
        <v>2741.6999999999994</v>
      </c>
      <c r="V113" s="94">
        <f t="shared" si="49"/>
        <v>2741.6999999999994</v>
      </c>
      <c r="X113" s="94">
        <f>'FY18-19'!S112</f>
        <v>0</v>
      </c>
      <c r="Y113" s="94">
        <f t="shared" si="50"/>
        <v>0</v>
      </c>
    </row>
    <row r="114" spans="1:25" s="95" customFormat="1" ht="12" hidden="1" customHeight="1">
      <c r="A114" s="124"/>
      <c r="B114" s="124" t="s">
        <v>186</v>
      </c>
      <c r="C114" s="102">
        <v>5603</v>
      </c>
      <c r="D114" s="127" t="s">
        <v>31</v>
      </c>
      <c r="E114" s="606">
        <f>VLOOKUP($C114,Data!$A:$O,COLUMNS(Data!$A:C),FALSE)</f>
        <v>0</v>
      </c>
      <c r="F114" s="606">
        <f>VLOOKUP($C114,Data!$A:$O,COLUMNS(Data!$A:D),FALSE)</f>
        <v>0</v>
      </c>
      <c r="G114" s="606">
        <f>VLOOKUP($C114,Data!$A:$O,COLUMNS(Data!$A:E),FALSE)</f>
        <v>0</v>
      </c>
      <c r="H114" s="606">
        <f>VLOOKUP($C114,Data!$A:$O,COLUMNS(Data!$A:F),FALSE)</f>
        <v>0</v>
      </c>
      <c r="I114" s="606">
        <f>VLOOKUP($C114,Data!$A:$O,COLUMNS(Data!$A:G),FALSE)</f>
        <v>0</v>
      </c>
      <c r="J114" s="606">
        <f>VLOOKUP($C114,Data!$A:$O,COLUMNS(Data!$A:H),FALSE)</f>
        <v>0</v>
      </c>
      <c r="K114" s="606">
        <f>VLOOKUP($C114,Data!$A:$O,COLUMNS(Data!$A:I),FALSE)</f>
        <v>0</v>
      </c>
      <c r="L114" s="606">
        <f>VLOOKUP($C114,Data!$A:$O,COLUMNS(Data!$A:J),FALSE)</f>
        <v>0</v>
      </c>
      <c r="M114" s="606">
        <f>VLOOKUP($C114,Data!$A:$O,COLUMNS(Data!$A:K),FALSE)</f>
        <v>0</v>
      </c>
      <c r="N114" s="606">
        <f>VLOOKUP($C114,Data!$A:$O,COLUMNS(Data!$A:L),FALSE)</f>
        <v>0</v>
      </c>
      <c r="O114" s="606">
        <f>VLOOKUP($C114,Data!$A:$O,COLUMNS(Data!$A:M),FALSE)</f>
        <v>0</v>
      </c>
      <c r="P114" s="878">
        <f>VLOOKUP($C114,Data!$A:$O,COLUMNS(Data!$A:N),FALSE)</f>
        <v>0</v>
      </c>
      <c r="Q114" s="606">
        <v>0</v>
      </c>
      <c r="R114" s="94"/>
      <c r="S114" s="638">
        <f t="shared" si="48"/>
        <v>0</v>
      </c>
      <c r="T114" s="94"/>
      <c r="U114" s="94">
        <v>0</v>
      </c>
      <c r="V114" s="94">
        <f t="shared" si="49"/>
        <v>0</v>
      </c>
      <c r="X114" s="94">
        <f>'FY18-19'!S113</f>
        <v>0</v>
      </c>
      <c r="Y114" s="94">
        <f t="shared" si="50"/>
        <v>0</v>
      </c>
    </row>
    <row r="115" spans="1:25" s="95" customFormat="1" ht="12" customHeight="1">
      <c r="A115" s="124"/>
      <c r="B115" s="124" t="s">
        <v>186</v>
      </c>
      <c r="C115" s="102">
        <v>5604</v>
      </c>
      <c r="D115" s="127" t="s">
        <v>32</v>
      </c>
      <c r="E115" s="606">
        <f>VLOOKUP($C115,Data!$A:$O,COLUMNS(Data!$A:C),FALSE)</f>
        <v>0</v>
      </c>
      <c r="F115" s="606">
        <f>VLOOKUP($C115,Data!$A:$O,COLUMNS(Data!$A:D),FALSE)</f>
        <v>0</v>
      </c>
      <c r="G115" s="606">
        <f>VLOOKUP($C115,Data!$A:$O,COLUMNS(Data!$A:E),FALSE)</f>
        <v>0</v>
      </c>
      <c r="H115" s="606">
        <f>VLOOKUP($C115,Data!$A:$O,COLUMNS(Data!$A:F),FALSE)</f>
        <v>0</v>
      </c>
      <c r="I115" s="606">
        <f>VLOOKUP($C115,Data!$A:$O,COLUMNS(Data!$A:G),FALSE)</f>
        <v>291</v>
      </c>
      <c r="J115" s="606">
        <f>VLOOKUP($C115,Data!$A:$O,COLUMNS(Data!$A:H),FALSE)</f>
        <v>3174</v>
      </c>
      <c r="K115" s="606">
        <f>VLOOKUP($C115,Data!$A:$O,COLUMNS(Data!$A:I),FALSE)</f>
        <v>7549</v>
      </c>
      <c r="L115" s="606">
        <f>VLOOKUP($C115,Data!$A:$O,COLUMNS(Data!$A:J),FALSE)</f>
        <v>1100</v>
      </c>
      <c r="M115" s="606">
        <f>VLOOKUP($C115,Data!$A:$O,COLUMNS(Data!$A:K),FALSE)</f>
        <v>600</v>
      </c>
      <c r="N115" s="606">
        <f>VLOOKUP($C115,Data!$A:$O,COLUMNS(Data!$A:L),FALSE)</f>
        <v>-2900</v>
      </c>
      <c r="O115" s="606">
        <f>VLOOKUP($C115,Data!$A:$O,COLUMNS(Data!$A:M),FALSE)</f>
        <v>-3649</v>
      </c>
      <c r="P115" s="606">
        <f>VLOOKUP($C115,Data!$A:$O,COLUMNS(Data!$A:N),FALSE)</f>
        <v>-1950</v>
      </c>
      <c r="Q115" s="606">
        <v>0</v>
      </c>
      <c r="R115" s="94"/>
      <c r="S115" s="638">
        <f t="shared" si="48"/>
        <v>4215</v>
      </c>
      <c r="T115" s="94"/>
      <c r="U115" s="94">
        <v>0</v>
      </c>
      <c r="V115" s="94">
        <f t="shared" si="49"/>
        <v>-4215</v>
      </c>
      <c r="X115" s="94">
        <f>'FY18-19'!S114</f>
        <v>0</v>
      </c>
      <c r="Y115" s="94">
        <f t="shared" si="50"/>
        <v>-4215</v>
      </c>
    </row>
    <row r="116" spans="1:25" s="95" customFormat="1" ht="12" hidden="1" customHeight="1">
      <c r="A116" s="124"/>
      <c r="B116" s="124" t="s">
        <v>186</v>
      </c>
      <c r="C116" s="102">
        <v>5605</v>
      </c>
      <c r="D116" s="127" t="s">
        <v>99</v>
      </c>
      <c r="E116" s="606">
        <f>VLOOKUP($C116,Data!$A:$O,COLUMNS(Data!$A:C),FALSE)</f>
        <v>0</v>
      </c>
      <c r="F116" s="606">
        <f>VLOOKUP($C116,Data!$A:$O,COLUMNS(Data!$A:D),FALSE)</f>
        <v>0</v>
      </c>
      <c r="G116" s="606">
        <f>VLOOKUP($C116,Data!$A:$O,COLUMNS(Data!$A:E),FALSE)</f>
        <v>0</v>
      </c>
      <c r="H116" s="606">
        <f>VLOOKUP($C116,Data!$A:$O,COLUMNS(Data!$A:F),FALSE)</f>
        <v>0</v>
      </c>
      <c r="I116" s="606">
        <f>VLOOKUP($C116,Data!$A:$O,COLUMNS(Data!$A:G),FALSE)</f>
        <v>0</v>
      </c>
      <c r="J116" s="606">
        <f>VLOOKUP($C116,Data!$A:$O,COLUMNS(Data!$A:H),FALSE)</f>
        <v>0</v>
      </c>
      <c r="K116" s="606">
        <f>VLOOKUP($C116,Data!$A:$O,COLUMNS(Data!$A:I),FALSE)</f>
        <v>0</v>
      </c>
      <c r="L116" s="606">
        <f>VLOOKUP($C116,Data!$A:$O,COLUMNS(Data!$A:J),FALSE)</f>
        <v>0</v>
      </c>
      <c r="M116" s="606">
        <f>VLOOKUP($C116,Data!$A:$O,COLUMNS(Data!$A:K),FALSE)</f>
        <v>0</v>
      </c>
      <c r="N116" s="606">
        <f>VLOOKUP($C116,Data!$A:$O,COLUMNS(Data!$A:L),FALSE)</f>
        <v>0</v>
      </c>
      <c r="O116" s="606">
        <f>VLOOKUP($C116,Data!$A:$O,COLUMNS(Data!$A:M),FALSE)</f>
        <v>0</v>
      </c>
      <c r="P116" s="606">
        <f>VLOOKUP($C116,Data!$A:$O,COLUMNS(Data!$A:N),FALSE)</f>
        <v>0</v>
      </c>
      <c r="Q116" s="606">
        <v>0</v>
      </c>
      <c r="R116" s="94"/>
      <c r="S116" s="638">
        <f t="shared" si="48"/>
        <v>0</v>
      </c>
      <c r="T116" s="94"/>
      <c r="U116" s="94">
        <v>0</v>
      </c>
      <c r="V116" s="94">
        <f t="shared" si="49"/>
        <v>0</v>
      </c>
      <c r="X116" s="94">
        <f>'FY18-19'!S115</f>
        <v>0</v>
      </c>
      <c r="Y116" s="94">
        <f t="shared" si="50"/>
        <v>0</v>
      </c>
    </row>
    <row r="117" spans="1:25" s="95" customFormat="1" ht="12" customHeight="1">
      <c r="A117" s="124"/>
      <c r="B117" s="124" t="s">
        <v>186</v>
      </c>
      <c r="C117" s="102">
        <v>5610</v>
      </c>
      <c r="D117" s="127" t="s">
        <v>33</v>
      </c>
      <c r="E117" s="606">
        <f>VLOOKUP($C117,Data!$A:$O,COLUMNS(Data!$A:C),FALSE)</f>
        <v>0</v>
      </c>
      <c r="F117" s="606">
        <f>VLOOKUP($C117,Data!$A:$O,COLUMNS(Data!$A:D),FALSE)</f>
        <v>0</v>
      </c>
      <c r="G117" s="606">
        <f>VLOOKUP($C117,Data!$A:$O,COLUMNS(Data!$A:E),FALSE)</f>
        <v>35</v>
      </c>
      <c r="H117" s="606">
        <f>VLOOKUP($C117,Data!$A:$O,COLUMNS(Data!$A:F),FALSE)</f>
        <v>0</v>
      </c>
      <c r="I117" s="606">
        <f>VLOOKUP($C117,Data!$A:$O,COLUMNS(Data!$A:G),FALSE)</f>
        <v>0</v>
      </c>
      <c r="J117" s="606">
        <f>VLOOKUP($C117,Data!$A:$O,COLUMNS(Data!$A:H),FALSE)</f>
        <v>0</v>
      </c>
      <c r="K117" s="606">
        <f>VLOOKUP($C117,Data!$A:$O,COLUMNS(Data!$A:I),FALSE)</f>
        <v>20000</v>
      </c>
      <c r="L117" s="606">
        <f>VLOOKUP($C117,Data!$A:$O,COLUMNS(Data!$A:J),FALSE)</f>
        <v>-35</v>
      </c>
      <c r="M117" s="606">
        <f>VLOOKUP($C117,Data!$A:$O,COLUMNS(Data!$A:K),FALSE)</f>
        <v>0</v>
      </c>
      <c r="N117" s="606">
        <f>VLOOKUP($C117,Data!$A:$O,COLUMNS(Data!$A:L),FALSE)</f>
        <v>0</v>
      </c>
      <c r="O117" s="606">
        <f>VLOOKUP($C117,Data!$A:$O,COLUMNS(Data!$A:M),FALSE)</f>
        <v>0</v>
      </c>
      <c r="P117" s="606">
        <f>VLOOKUP($C117,Data!$A:$O,COLUMNS(Data!$A:N),FALSE)</f>
        <v>0</v>
      </c>
      <c r="Q117" s="606">
        <v>0</v>
      </c>
      <c r="R117" s="94"/>
      <c r="S117" s="638">
        <f t="shared" si="48"/>
        <v>20000</v>
      </c>
      <c r="T117" s="94"/>
      <c r="U117" s="94">
        <v>11542.556999999999</v>
      </c>
      <c r="V117" s="94">
        <f t="shared" si="49"/>
        <v>-8457.4430000000011</v>
      </c>
      <c r="X117" s="94">
        <f>'FY18-19'!S116</f>
        <v>0</v>
      </c>
      <c r="Y117" s="94">
        <f t="shared" si="50"/>
        <v>-20000</v>
      </c>
    </row>
    <row r="118" spans="1:25" s="95" customFormat="1" ht="12" customHeight="1">
      <c r="A118" s="124"/>
      <c r="B118" s="124" t="s">
        <v>186</v>
      </c>
      <c r="C118" s="126"/>
      <c r="D118" s="126"/>
      <c r="E118" s="603">
        <f t="shared" ref="E118:Q118" si="51">SUM(E112:E117)</f>
        <v>0</v>
      </c>
      <c r="F118" s="603">
        <f t="shared" si="51"/>
        <v>0</v>
      </c>
      <c r="G118" s="603">
        <f t="shared" si="51"/>
        <v>4210</v>
      </c>
      <c r="H118" s="603">
        <f t="shared" si="51"/>
        <v>20087.599999999999</v>
      </c>
      <c r="I118" s="603">
        <f t="shared" si="51"/>
        <v>7817.9</v>
      </c>
      <c r="J118" s="603">
        <f t="shared" si="51"/>
        <v>3174</v>
      </c>
      <c r="K118" s="603">
        <f t="shared" si="51"/>
        <v>27549</v>
      </c>
      <c r="L118" s="603">
        <f t="shared" si="51"/>
        <v>1065</v>
      </c>
      <c r="M118" s="603">
        <f t="shared" si="51"/>
        <v>600</v>
      </c>
      <c r="N118" s="603">
        <f t="shared" si="51"/>
        <v>-2900</v>
      </c>
      <c r="O118" s="603">
        <f t="shared" si="51"/>
        <v>-3649</v>
      </c>
      <c r="P118" s="603">
        <f t="shared" si="51"/>
        <v>-2076</v>
      </c>
      <c r="Q118" s="603">
        <f t="shared" si="51"/>
        <v>0</v>
      </c>
      <c r="R118" s="94"/>
      <c r="S118" s="626">
        <f>SUM(E118:R118)</f>
        <v>55878.5</v>
      </c>
      <c r="T118" s="94"/>
      <c r="U118" s="216">
        <v>100867.14299999998</v>
      </c>
      <c r="V118" s="216">
        <f>SUM(V112:V117)</f>
        <v>44988.642999999982</v>
      </c>
      <c r="X118" s="216">
        <f>SUM(X112:X117)</f>
        <v>0</v>
      </c>
      <c r="Y118" s="216">
        <f>SUM(Y112:Y117)</f>
        <v>-55878.5</v>
      </c>
    </row>
    <row r="119" spans="1:25" s="95" customFormat="1" ht="12" customHeight="1">
      <c r="A119" s="124"/>
      <c r="B119" s="124" t="s">
        <v>285</v>
      </c>
      <c r="C119" s="126"/>
      <c r="D119" s="126"/>
      <c r="E119" s="606"/>
      <c r="F119" s="606"/>
      <c r="G119" s="606"/>
      <c r="H119" s="606"/>
      <c r="I119" s="606"/>
      <c r="J119" s="606"/>
      <c r="K119" s="606"/>
      <c r="L119" s="606"/>
      <c r="M119" s="606"/>
      <c r="N119" s="606"/>
      <c r="O119" s="606"/>
      <c r="P119" s="606"/>
      <c r="Q119" s="606"/>
      <c r="R119" s="94"/>
      <c r="S119" s="627"/>
      <c r="T119" s="94"/>
      <c r="U119" s="94"/>
      <c r="V119" s="94"/>
      <c r="X119" s="94"/>
      <c r="Y119" s="94"/>
    </row>
    <row r="120" spans="1:25" s="95" customFormat="1" ht="12" customHeight="1">
      <c r="A120" s="124"/>
      <c r="B120" s="124" t="s">
        <v>186</v>
      </c>
      <c r="C120" s="102">
        <v>5801</v>
      </c>
      <c r="D120" s="127" t="s">
        <v>92</v>
      </c>
      <c r="E120" s="606">
        <f>VLOOKUP($C120,Data!$A:$O,COLUMNS(Data!$A:C),FALSE)</f>
        <v>0</v>
      </c>
      <c r="F120" s="606">
        <f>VLOOKUP($C120,Data!$A:$O,COLUMNS(Data!$A:D),FALSE)</f>
        <v>0</v>
      </c>
      <c r="G120" s="606">
        <f>VLOOKUP($C120,Data!$A:$O,COLUMNS(Data!$A:E),FALSE)</f>
        <v>0</v>
      </c>
      <c r="H120" s="606">
        <f>VLOOKUP($C120,Data!$A:$O,COLUMNS(Data!$A:F),FALSE)</f>
        <v>700</v>
      </c>
      <c r="I120" s="606">
        <f>VLOOKUP($C120,Data!$A:$O,COLUMNS(Data!$A:G),FALSE)</f>
        <v>0</v>
      </c>
      <c r="J120" s="606">
        <f>VLOOKUP($C120,Data!$A:$O,COLUMNS(Data!$A:H),FALSE)</f>
        <v>0</v>
      </c>
      <c r="K120" s="606">
        <f>VLOOKUP($C120,Data!$A:$O,COLUMNS(Data!$A:I),FALSE)</f>
        <v>0</v>
      </c>
      <c r="L120" s="606">
        <f>VLOOKUP($C120,Data!$A:$O,COLUMNS(Data!$A:J),FALSE)</f>
        <v>0</v>
      </c>
      <c r="M120" s="606">
        <f>VLOOKUP($C120,Data!$A:$O,COLUMNS(Data!$A:K),FALSE)</f>
        <v>0</v>
      </c>
      <c r="N120" s="606">
        <f>VLOOKUP($C120,Data!$A:$O,COLUMNS(Data!$A:L),FALSE)</f>
        <v>900</v>
      </c>
      <c r="O120" s="606">
        <f>VLOOKUP($C120,Data!$A:$O,COLUMNS(Data!$A:M),FALSE)</f>
        <v>0</v>
      </c>
      <c r="P120" s="606">
        <f>VLOOKUP($C120,Data!$A:$O,COLUMNS(Data!$A:N),FALSE)</f>
        <v>26912.9</v>
      </c>
      <c r="Q120" s="606">
        <v>0</v>
      </c>
      <c r="R120" s="94"/>
      <c r="S120" s="638">
        <f t="shared" ref="S120:S133" si="52">SUM(E120:Q120)</f>
        <v>28512.9</v>
      </c>
      <c r="T120" s="94"/>
      <c r="U120" s="94">
        <v>0</v>
      </c>
      <c r="V120" s="94">
        <f t="shared" ref="V120:V133" si="53">U120-S120</f>
        <v>-28512.9</v>
      </c>
      <c r="X120" s="94">
        <f>'FY18-19'!S99</f>
        <v>0</v>
      </c>
      <c r="Y120" s="94">
        <f t="shared" ref="Y120:Y134" si="54">X120-S120</f>
        <v>-28512.9</v>
      </c>
    </row>
    <row r="121" spans="1:25" s="95" customFormat="1" ht="12" hidden="1" customHeight="1">
      <c r="A121" s="124"/>
      <c r="B121" s="124" t="s">
        <v>186</v>
      </c>
      <c r="C121" s="102">
        <v>5802</v>
      </c>
      <c r="D121" s="127" t="s">
        <v>170</v>
      </c>
      <c r="E121" s="606">
        <f>VLOOKUP($C121,Data!$A:$O,COLUMNS(Data!$A:C),FALSE)</f>
        <v>0</v>
      </c>
      <c r="F121" s="606">
        <f>VLOOKUP($C121,Data!$A:$O,COLUMNS(Data!$A:D),FALSE)</f>
        <v>0</v>
      </c>
      <c r="G121" s="606">
        <f>VLOOKUP($C121,Data!$A:$O,COLUMNS(Data!$A:E),FALSE)</f>
        <v>0</v>
      </c>
      <c r="H121" s="606">
        <f>VLOOKUP($C121,Data!$A:$O,COLUMNS(Data!$A:F),FALSE)</f>
        <v>0</v>
      </c>
      <c r="I121" s="606">
        <f>VLOOKUP($C121,Data!$A:$O,COLUMNS(Data!$A:G),FALSE)</f>
        <v>0</v>
      </c>
      <c r="J121" s="606">
        <f>VLOOKUP($C121,Data!$A:$O,COLUMNS(Data!$A:H),FALSE)</f>
        <v>0</v>
      </c>
      <c r="K121" s="606">
        <f>VLOOKUP($C121,Data!$A:$O,COLUMNS(Data!$A:I),FALSE)</f>
        <v>0</v>
      </c>
      <c r="L121" s="606">
        <f>VLOOKUP($C121,Data!$A:$O,COLUMNS(Data!$A:J),FALSE)</f>
        <v>0</v>
      </c>
      <c r="M121" s="606">
        <f>VLOOKUP($C121,Data!$A:$O,COLUMNS(Data!$A:K),FALSE)</f>
        <v>0</v>
      </c>
      <c r="N121" s="606">
        <f>VLOOKUP($C121,Data!$A:$O,COLUMNS(Data!$A:L),FALSE)</f>
        <v>0</v>
      </c>
      <c r="O121" s="606">
        <f>VLOOKUP($C121,Data!$A:$O,COLUMNS(Data!$A:M),FALSE)</f>
        <v>0</v>
      </c>
      <c r="P121" s="606">
        <v>0</v>
      </c>
      <c r="Q121" s="606">
        <v>0</v>
      </c>
      <c r="R121" s="94"/>
      <c r="S121" s="638">
        <f t="shared" si="52"/>
        <v>0</v>
      </c>
      <c r="T121" s="94"/>
      <c r="U121" s="94">
        <v>17327.543999999998</v>
      </c>
      <c r="V121" s="94">
        <f t="shared" si="53"/>
        <v>17327.543999999998</v>
      </c>
      <c r="X121" s="94">
        <f>'FY18-19'!S100</f>
        <v>0</v>
      </c>
      <c r="Y121" s="94">
        <f t="shared" si="54"/>
        <v>0</v>
      </c>
    </row>
    <row r="122" spans="1:25" s="95" customFormat="1" ht="12" customHeight="1">
      <c r="A122" s="124"/>
      <c r="B122" s="124" t="s">
        <v>186</v>
      </c>
      <c r="C122" s="102">
        <v>5803</v>
      </c>
      <c r="D122" s="127" t="s">
        <v>93</v>
      </c>
      <c r="E122" s="606">
        <f>VLOOKUP($C122,Data!$A:$O,COLUMNS(Data!$A:C),FALSE)</f>
        <v>3447.69</v>
      </c>
      <c r="F122" s="606">
        <f>VLOOKUP($C122,Data!$A:$O,COLUMNS(Data!$A:D),FALSE)</f>
        <v>360</v>
      </c>
      <c r="G122" s="606">
        <f>VLOOKUP($C122,Data!$A:$O,COLUMNS(Data!$A:E),FALSE)</f>
        <v>440</v>
      </c>
      <c r="H122" s="606">
        <f>VLOOKUP($C122,Data!$A:$O,COLUMNS(Data!$A:F),FALSE)</f>
        <v>1521</v>
      </c>
      <c r="I122" s="606">
        <f>VLOOKUP($C122,Data!$A:$O,COLUMNS(Data!$A:G),FALSE)</f>
        <v>0</v>
      </c>
      <c r="J122" s="606">
        <f>VLOOKUP($C122,Data!$A:$O,COLUMNS(Data!$A:H),FALSE)</f>
        <v>275</v>
      </c>
      <c r="K122" s="606">
        <f>VLOOKUP($C122,Data!$A:$O,COLUMNS(Data!$A:I),FALSE)</f>
        <v>1295.0999999999999</v>
      </c>
      <c r="L122" s="606">
        <f>VLOOKUP($C122,Data!$A:$O,COLUMNS(Data!$A:J),FALSE)</f>
        <v>986.21</v>
      </c>
      <c r="M122" s="606">
        <f>VLOOKUP($C122,Data!$A:$O,COLUMNS(Data!$A:K),FALSE)</f>
        <v>3540.65</v>
      </c>
      <c r="N122" s="606">
        <f>VLOOKUP($C122,Data!$A:$O,COLUMNS(Data!$A:L),FALSE)</f>
        <v>6190</v>
      </c>
      <c r="O122" s="606">
        <f>VLOOKUP($C122,Data!$A:$O,COLUMNS(Data!$A:M),FALSE)</f>
        <v>308</v>
      </c>
      <c r="P122" s="606">
        <f>VLOOKUP($C122,Data!$A:$O,COLUMNS(Data!$A:N),FALSE)</f>
        <v>44661.87</v>
      </c>
      <c r="Q122" s="606">
        <v>0</v>
      </c>
      <c r="R122" s="94"/>
      <c r="S122" s="638">
        <f t="shared" si="52"/>
        <v>63025.520000000004</v>
      </c>
      <c r="T122" s="94"/>
      <c r="U122" s="94">
        <v>57712.784999999996</v>
      </c>
      <c r="V122" s="94">
        <f t="shared" si="53"/>
        <v>-5312.7350000000079</v>
      </c>
      <c r="X122" s="94">
        <f>'FY18-19'!S101</f>
        <v>0</v>
      </c>
      <c r="Y122" s="94">
        <f t="shared" si="54"/>
        <v>-63025.520000000004</v>
      </c>
    </row>
    <row r="123" spans="1:25" s="95" customFormat="1" ht="12" customHeight="1">
      <c r="A123" s="124"/>
      <c r="B123" s="124" t="s">
        <v>186</v>
      </c>
      <c r="C123" s="102">
        <v>5804</v>
      </c>
      <c r="D123" s="127" t="s">
        <v>35</v>
      </c>
      <c r="E123" s="606">
        <f>VLOOKUP($C123,Data!$A:$O,COLUMNS(Data!$A:C),FALSE)</f>
        <v>315</v>
      </c>
      <c r="F123" s="606">
        <f>VLOOKUP($C123,Data!$A:$O,COLUMNS(Data!$A:D),FALSE)</f>
        <v>0</v>
      </c>
      <c r="G123" s="606">
        <f>VLOOKUP($C123,Data!$A:$O,COLUMNS(Data!$A:E),FALSE)</f>
        <v>0</v>
      </c>
      <c r="H123" s="606">
        <f>VLOOKUP($C123,Data!$A:$O,COLUMNS(Data!$A:F),FALSE)</f>
        <v>159.84</v>
      </c>
      <c r="I123" s="606">
        <f>VLOOKUP($C123,Data!$A:$O,COLUMNS(Data!$A:G),FALSE)</f>
        <v>8690</v>
      </c>
      <c r="J123" s="606">
        <f>VLOOKUP($C123,Data!$A:$O,COLUMNS(Data!$A:H),FALSE)</f>
        <v>0</v>
      </c>
      <c r="K123" s="606">
        <f>VLOOKUP($C123,Data!$A:$O,COLUMNS(Data!$A:I),FALSE)</f>
        <v>5548</v>
      </c>
      <c r="L123" s="606">
        <f>VLOOKUP($C123,Data!$A:$O,COLUMNS(Data!$A:J),FALSE)</f>
        <v>0</v>
      </c>
      <c r="M123" s="606">
        <f>VLOOKUP($C123,Data!$A:$O,COLUMNS(Data!$A:K),FALSE)</f>
        <v>0</v>
      </c>
      <c r="N123" s="606">
        <f>VLOOKUP($C123,Data!$A:$O,COLUMNS(Data!$A:L),FALSE)</f>
        <v>132.55000000000001</v>
      </c>
      <c r="O123" s="606">
        <f>VLOOKUP($C123,Data!$A:$O,COLUMNS(Data!$A:M),FALSE)</f>
        <v>122.5</v>
      </c>
      <c r="P123" s="606">
        <f>VLOOKUP($C123,Data!$A:$O,COLUMNS(Data!$A:N),FALSE)</f>
        <v>18184</v>
      </c>
      <c r="Q123" s="606">
        <v>0</v>
      </c>
      <c r="R123" s="94"/>
      <c r="S123" s="638">
        <f t="shared" si="52"/>
        <v>33151.89</v>
      </c>
      <c r="T123" s="94"/>
      <c r="U123" s="94">
        <v>58288.542000000009</v>
      </c>
      <c r="V123" s="94">
        <f t="shared" si="53"/>
        <v>25136.652000000009</v>
      </c>
      <c r="X123" s="94">
        <f>'FY18-19'!S102</f>
        <v>0</v>
      </c>
      <c r="Y123" s="94">
        <f t="shared" si="54"/>
        <v>-33151.89</v>
      </c>
    </row>
    <row r="124" spans="1:25" s="95" customFormat="1" ht="12" customHeight="1">
      <c r="A124" s="124"/>
      <c r="B124" s="124" t="s">
        <v>186</v>
      </c>
      <c r="C124" s="102">
        <v>5805</v>
      </c>
      <c r="D124" s="127" t="s">
        <v>94</v>
      </c>
      <c r="E124" s="606">
        <f>VLOOKUP($C124,Data!$A:$O,COLUMNS(Data!$A:C),FALSE)</f>
        <v>750</v>
      </c>
      <c r="F124" s="606">
        <f>VLOOKUP($C124,Data!$A:$O,COLUMNS(Data!$A:D),FALSE)</f>
        <v>500</v>
      </c>
      <c r="G124" s="606">
        <f>VLOOKUP($C124,Data!$A:$O,COLUMNS(Data!$A:E),FALSE)</f>
        <v>0</v>
      </c>
      <c r="H124" s="606">
        <f>VLOOKUP($C124,Data!$A:$O,COLUMNS(Data!$A:F),FALSE)</f>
        <v>2848</v>
      </c>
      <c r="I124" s="606">
        <f>VLOOKUP($C124,Data!$A:$O,COLUMNS(Data!$A:G),FALSE)</f>
        <v>0</v>
      </c>
      <c r="J124" s="606">
        <f>VLOOKUP($C124,Data!$A:$O,COLUMNS(Data!$A:H),FALSE)</f>
        <v>1500</v>
      </c>
      <c r="K124" s="606">
        <f>VLOOKUP($C124,Data!$A:$O,COLUMNS(Data!$A:I),FALSE)</f>
        <v>1000</v>
      </c>
      <c r="L124" s="606">
        <f>VLOOKUP($C124,Data!$A:$O,COLUMNS(Data!$A:J),FALSE)</f>
        <v>852</v>
      </c>
      <c r="M124" s="606">
        <f>VLOOKUP($C124,Data!$A:$O,COLUMNS(Data!$A:K),FALSE)</f>
        <v>1250</v>
      </c>
      <c r="N124" s="606">
        <f>VLOOKUP($C124,Data!$A:$O,COLUMNS(Data!$A:L),FALSE)</f>
        <v>8750</v>
      </c>
      <c r="O124" s="606">
        <f>VLOOKUP($C124,Data!$A:$O,COLUMNS(Data!$A:M),FALSE)</f>
        <v>0</v>
      </c>
      <c r="P124" s="606">
        <f>VLOOKUP($C124,Data!$A:$O,COLUMNS(Data!$A:N),FALSE)</f>
        <v>2100</v>
      </c>
      <c r="Q124" s="606">
        <v>0</v>
      </c>
      <c r="R124" s="94"/>
      <c r="S124" s="638">
        <f t="shared" si="52"/>
        <v>19550</v>
      </c>
      <c r="T124" s="94"/>
      <c r="U124" s="94">
        <v>41125.500000000007</v>
      </c>
      <c r="V124" s="94">
        <f t="shared" si="53"/>
        <v>21575.500000000007</v>
      </c>
      <c r="X124" s="94">
        <f>'FY18-19'!S103</f>
        <v>0</v>
      </c>
      <c r="Y124" s="94">
        <f t="shared" si="54"/>
        <v>-19550</v>
      </c>
    </row>
    <row r="125" spans="1:25" s="95" customFormat="1" ht="12" customHeight="1">
      <c r="A125" s="124"/>
      <c r="B125" s="124" t="s">
        <v>186</v>
      </c>
      <c r="C125" s="102">
        <f>'Multi-Year'!D125</f>
        <v>5806</v>
      </c>
      <c r="D125" s="127" t="s">
        <v>81</v>
      </c>
      <c r="E125" s="606">
        <f>VLOOKUP($C125,Data!$A:$O,COLUMNS(Data!$A:C),FALSE)</f>
        <v>27157.200000000001</v>
      </c>
      <c r="F125" s="606">
        <f>VLOOKUP($C125,Data!$A:$O,COLUMNS(Data!$A:D),FALSE)</f>
        <v>44496.39</v>
      </c>
      <c r="G125" s="606">
        <f>VLOOKUP($C125,Data!$A:$O,COLUMNS(Data!$A:E),FALSE)</f>
        <v>66104.86</v>
      </c>
      <c r="H125" s="606">
        <f>VLOOKUP($C125,Data!$A:$O,COLUMNS(Data!$A:F),FALSE)</f>
        <v>15421.05</v>
      </c>
      <c r="I125" s="606">
        <f>VLOOKUP($C125,Data!$A:$O,COLUMNS(Data!$A:G),FALSE)</f>
        <v>16892.79</v>
      </c>
      <c r="J125" s="606">
        <f>VLOOKUP($C125,Data!$A:$O,COLUMNS(Data!$A:H),FALSE)</f>
        <v>5475.82</v>
      </c>
      <c r="K125" s="606">
        <f>VLOOKUP($C125,Data!$A:$O,COLUMNS(Data!$A:I),FALSE)</f>
        <v>6759.64</v>
      </c>
      <c r="L125" s="606">
        <f>VLOOKUP($C125,Data!$A:$O,COLUMNS(Data!$A:J),FALSE)</f>
        <v>17783.38</v>
      </c>
      <c r="M125" s="606">
        <f>VLOOKUP($C125,Data!$A:$O,COLUMNS(Data!$A:K),FALSE)</f>
        <v>2882.97</v>
      </c>
      <c r="N125" s="606">
        <f>VLOOKUP($C125,Data!$A:$O,COLUMNS(Data!$A:L),FALSE)</f>
        <v>1365.68</v>
      </c>
      <c r="O125" s="606">
        <f>VLOOKUP($C125,Data!$A:$O,COLUMNS(Data!$A:M),FALSE)</f>
        <v>22180.74</v>
      </c>
      <c r="P125" s="606">
        <f>VLOOKUP($C125,Data!$A:$O,COLUMNS(Data!$A:N),FALSE)</f>
        <v>1974.98</v>
      </c>
      <c r="Q125" s="606">
        <v>0</v>
      </c>
      <c r="R125" s="94"/>
      <c r="S125" s="638">
        <f>SUM(E125:Q125)</f>
        <v>228495.50000000003</v>
      </c>
      <c r="T125" s="94"/>
      <c r="U125" s="94">
        <v>733675.5</v>
      </c>
      <c r="V125" s="94">
        <f>U125-S125</f>
        <v>505180</v>
      </c>
      <c r="X125" s="94">
        <f>'FY18-19'!S84</f>
        <v>0</v>
      </c>
      <c r="Y125" s="94">
        <f t="shared" si="54"/>
        <v>-228495.50000000003</v>
      </c>
    </row>
    <row r="126" spans="1:25" s="95" customFormat="1" ht="12" customHeight="1">
      <c r="A126" s="124"/>
      <c r="B126" s="124" t="s">
        <v>186</v>
      </c>
      <c r="C126" s="102">
        <f>'Multi-Year'!D126</f>
        <v>5807</v>
      </c>
      <c r="D126" s="127" t="s">
        <v>41</v>
      </c>
      <c r="E126" s="606">
        <f>VLOOKUP($C126,Data!$A:$O,COLUMNS(Data!$A:C),FALSE)</f>
        <v>0</v>
      </c>
      <c r="F126" s="606">
        <f>VLOOKUP($C126,Data!$A:$O,COLUMNS(Data!$A:D),FALSE)</f>
        <v>24</v>
      </c>
      <c r="G126" s="606">
        <f>VLOOKUP($C126,Data!$A:$O,COLUMNS(Data!$A:E),FALSE)</f>
        <v>339.05</v>
      </c>
      <c r="H126" s="606">
        <f>VLOOKUP($C126,Data!$A:$O,COLUMNS(Data!$A:F),FALSE)</f>
        <v>884.88</v>
      </c>
      <c r="I126" s="606">
        <f>VLOOKUP($C126,Data!$A:$O,COLUMNS(Data!$A:G),FALSE)</f>
        <v>3.77</v>
      </c>
      <c r="J126" s="606">
        <f>VLOOKUP($C126,Data!$A:$O,COLUMNS(Data!$A:H),FALSE)</f>
        <v>0</v>
      </c>
      <c r="K126" s="606">
        <f>VLOOKUP($C126,Data!$A:$O,COLUMNS(Data!$A:I),FALSE)</f>
        <v>0</v>
      </c>
      <c r="L126" s="606">
        <f>VLOOKUP($C126,Data!$A:$O,COLUMNS(Data!$A:J),FALSE)</f>
        <v>0</v>
      </c>
      <c r="M126" s="606">
        <f>VLOOKUP($C126,Data!$A:$O,COLUMNS(Data!$A:K),FALSE)</f>
        <v>50</v>
      </c>
      <c r="N126" s="606">
        <f>VLOOKUP($C126,Data!$A:$O,COLUMNS(Data!$A:L),FALSE)</f>
        <v>0</v>
      </c>
      <c r="O126" s="606">
        <f>VLOOKUP($C126,Data!$A:$O,COLUMNS(Data!$A:M),FALSE)</f>
        <v>124.35</v>
      </c>
      <c r="P126" s="606">
        <f>VLOOKUP($C126,Data!$A:$O,COLUMNS(Data!$A:N),FALSE)</f>
        <v>75.650000000000006</v>
      </c>
      <c r="Q126" s="606">
        <v>0</v>
      </c>
      <c r="R126" s="94"/>
      <c r="S126" s="638">
        <f>SUM(E126:Q126)</f>
        <v>1501.7</v>
      </c>
      <c r="T126" s="94"/>
      <c r="U126" s="94">
        <v>2303.0279999999998</v>
      </c>
      <c r="V126" s="94">
        <f>U126-S126</f>
        <v>801.32799999999975</v>
      </c>
      <c r="X126" s="94">
        <f>'FY18-19'!S129</f>
        <v>0</v>
      </c>
      <c r="Y126" s="94">
        <f t="shared" si="54"/>
        <v>-1501.7</v>
      </c>
    </row>
    <row r="127" spans="1:25" s="95" customFormat="1" ht="12" customHeight="1">
      <c r="A127" s="124"/>
      <c r="B127" s="124" t="s">
        <v>186</v>
      </c>
      <c r="C127" s="102">
        <f>'Multi-Year'!D127</f>
        <v>5808</v>
      </c>
      <c r="D127" s="127" t="s">
        <v>42</v>
      </c>
      <c r="E127" s="606">
        <f>VLOOKUP($C127,Data!$A:$O,COLUMNS(Data!$A:C),FALSE)</f>
        <v>0</v>
      </c>
      <c r="F127" s="606">
        <f>VLOOKUP($C127,Data!$A:$O,COLUMNS(Data!$A:D),FALSE)</f>
        <v>0</v>
      </c>
      <c r="G127" s="606">
        <f>VLOOKUP($C127,Data!$A:$O,COLUMNS(Data!$A:E),FALSE)</f>
        <v>0</v>
      </c>
      <c r="H127" s="606">
        <f>VLOOKUP($C127,Data!$A:$O,COLUMNS(Data!$A:F),FALSE)</f>
        <v>0</v>
      </c>
      <c r="I127" s="606">
        <f>VLOOKUP($C127,Data!$A:$O,COLUMNS(Data!$A:G),FALSE)</f>
        <v>230.71</v>
      </c>
      <c r="J127" s="606">
        <f>VLOOKUP($C127,Data!$A:$O,COLUMNS(Data!$A:H),FALSE)</f>
        <v>33.93</v>
      </c>
      <c r="K127" s="606">
        <f>VLOOKUP($C127,Data!$A:$O,COLUMNS(Data!$A:I),FALSE)</f>
        <v>1.49</v>
      </c>
      <c r="L127" s="606">
        <f>VLOOKUP($C127,Data!$A:$O,COLUMNS(Data!$A:J),FALSE)</f>
        <v>457.85</v>
      </c>
      <c r="M127" s="606">
        <f>VLOOKUP($C127,Data!$A:$O,COLUMNS(Data!$A:K),FALSE)</f>
        <v>70.11</v>
      </c>
      <c r="N127" s="606">
        <f>VLOOKUP($C127,Data!$A:$O,COLUMNS(Data!$A:L),FALSE)</f>
        <v>5.2</v>
      </c>
      <c r="O127" s="606">
        <f>VLOOKUP($C127,Data!$A:$O,COLUMNS(Data!$A:M),FALSE)</f>
        <v>0</v>
      </c>
      <c r="P127" s="606">
        <f>VLOOKUP($C127,Data!$A:$O,COLUMNS(Data!$A:N),FALSE)</f>
        <v>0</v>
      </c>
      <c r="Q127" s="606">
        <v>0</v>
      </c>
      <c r="R127" s="94"/>
      <c r="S127" s="638">
        <f>SUM(E127:Q127)</f>
        <v>799.29000000000008</v>
      </c>
      <c r="T127" s="94"/>
      <c r="U127" s="94">
        <v>3454.5420000000008</v>
      </c>
      <c r="V127" s="94">
        <f>U127-S127</f>
        <v>2655.2520000000009</v>
      </c>
      <c r="X127" s="94">
        <f>'FY18-19'!S127</f>
        <v>0</v>
      </c>
      <c r="Y127" s="94">
        <f t="shared" si="54"/>
        <v>-799.29000000000008</v>
      </c>
    </row>
    <row r="128" spans="1:25" s="95" customFormat="1" ht="12" customHeight="1">
      <c r="A128" s="124"/>
      <c r="B128" s="124" t="s">
        <v>186</v>
      </c>
      <c r="C128" s="102">
        <f>'Multi-Year'!D128</f>
        <v>5809</v>
      </c>
      <c r="D128" s="127" t="s">
        <v>43</v>
      </c>
      <c r="E128" s="606">
        <f>VLOOKUP($C128,Data!$A:$O,COLUMNS(Data!$A:C),FALSE)</f>
        <v>160</v>
      </c>
      <c r="F128" s="606">
        <f>VLOOKUP($C128,Data!$A:$O,COLUMNS(Data!$A:D),FALSE)</f>
        <v>60</v>
      </c>
      <c r="G128" s="606">
        <f>VLOOKUP($C128,Data!$A:$O,COLUMNS(Data!$A:E),FALSE)</f>
        <v>0</v>
      </c>
      <c r="H128" s="606">
        <f>VLOOKUP($C128,Data!$A:$O,COLUMNS(Data!$A:F),FALSE)</f>
        <v>0</v>
      </c>
      <c r="I128" s="606">
        <f>VLOOKUP($C128,Data!$A:$O,COLUMNS(Data!$A:G),FALSE)</f>
        <v>545.96</v>
      </c>
      <c r="J128" s="606">
        <f>VLOOKUP($C128,Data!$A:$O,COLUMNS(Data!$A:H),FALSE)</f>
        <v>1820</v>
      </c>
      <c r="K128" s="606">
        <f>VLOOKUP($C128,Data!$A:$O,COLUMNS(Data!$A:I),FALSE)</f>
        <v>0</v>
      </c>
      <c r="L128" s="606">
        <f>VLOOKUP($C128,Data!$A:$O,COLUMNS(Data!$A:J),FALSE)</f>
        <v>31642.48</v>
      </c>
      <c r="M128" s="606">
        <f>VLOOKUP($C128,Data!$A:$O,COLUMNS(Data!$A:K),FALSE)</f>
        <v>21.71</v>
      </c>
      <c r="N128" s="606">
        <f>VLOOKUP($C128,Data!$A:$O,COLUMNS(Data!$A:L),FALSE)</f>
        <v>0</v>
      </c>
      <c r="O128" s="606">
        <f>VLOOKUP($C128,Data!$A:$O,COLUMNS(Data!$A:M),FALSE)</f>
        <v>35.979999999999997</v>
      </c>
      <c r="P128" s="606">
        <f>VLOOKUP($C128,Data!$A:$O,COLUMNS(Data!$A:N),FALSE)</f>
        <v>420</v>
      </c>
      <c r="Q128" s="606">
        <v>0</v>
      </c>
      <c r="R128" s="94"/>
      <c r="S128" s="638">
        <f>SUM(E128:Q128)</f>
        <v>34706.130000000005</v>
      </c>
      <c r="T128" s="94"/>
      <c r="U128" s="94">
        <v>13708.500000000002</v>
      </c>
      <c r="V128" s="94">
        <f>U128-S128</f>
        <v>-20997.630000000005</v>
      </c>
      <c r="X128" s="94">
        <f>'FY18-19'!S128</f>
        <v>0</v>
      </c>
      <c r="Y128" s="94">
        <f t="shared" si="54"/>
        <v>-34706.130000000005</v>
      </c>
    </row>
    <row r="129" spans="1:25" s="95" customFormat="1" ht="12" customHeight="1">
      <c r="A129" s="124"/>
      <c r="B129" s="124" t="s">
        <v>186</v>
      </c>
      <c r="C129" s="102">
        <v>5810</v>
      </c>
      <c r="D129" s="127" t="s">
        <v>26</v>
      </c>
      <c r="E129" s="606">
        <f>VLOOKUP($C129,Data!$A:$O,COLUMNS(Data!$A:C),FALSE)</f>
        <v>0</v>
      </c>
      <c r="F129" s="606">
        <f>VLOOKUP($C129,Data!$A:$O,COLUMNS(Data!$A:D),FALSE)</f>
        <v>0</v>
      </c>
      <c r="G129" s="606">
        <f>VLOOKUP($C129,Data!$A:$O,COLUMNS(Data!$A:E),FALSE)</f>
        <v>0</v>
      </c>
      <c r="H129" s="606">
        <f>VLOOKUP($C129,Data!$A:$O,COLUMNS(Data!$A:F),FALSE)</f>
        <v>0</v>
      </c>
      <c r="I129" s="606">
        <f>VLOOKUP($C129,Data!$A:$O,COLUMNS(Data!$A:G),FALSE)</f>
        <v>0</v>
      </c>
      <c r="J129" s="606">
        <f>VLOOKUP($C129,Data!$A:$O,COLUMNS(Data!$A:H),FALSE)</f>
        <v>0</v>
      </c>
      <c r="K129" s="606">
        <f>VLOOKUP($C129,Data!$A:$O,COLUMNS(Data!$A:I),FALSE)</f>
        <v>0</v>
      </c>
      <c r="L129" s="606">
        <f>VLOOKUP($C129,Data!$A:$O,COLUMNS(Data!$A:J),FALSE)</f>
        <v>0</v>
      </c>
      <c r="M129" s="606">
        <f>VLOOKUP($C129,Data!$A:$O,COLUMNS(Data!$A:K),FALSE)</f>
        <v>0</v>
      </c>
      <c r="N129" s="606">
        <f>VLOOKUP($C129,Data!$A:$O,COLUMNS(Data!$A:L),FALSE)</f>
        <v>0</v>
      </c>
      <c r="O129" s="606">
        <f>VLOOKUP($C129,Data!$A:$O,COLUMNS(Data!$A:M),FALSE)</f>
        <v>2094.5</v>
      </c>
      <c r="P129" s="606">
        <f>VLOOKUP($C129,Data!$A:$O,COLUMNS(Data!$A:N),FALSE)</f>
        <v>2456.5</v>
      </c>
      <c r="Q129" s="606">
        <v>0</v>
      </c>
      <c r="R129" s="94"/>
      <c r="S129" s="638">
        <f t="shared" si="52"/>
        <v>4551</v>
      </c>
      <c r="T129" s="94"/>
      <c r="U129" s="94">
        <v>0</v>
      </c>
      <c r="V129" s="94">
        <f t="shared" si="53"/>
        <v>-4551</v>
      </c>
      <c r="X129" s="94">
        <f>'FY18-19'!S104</f>
        <v>0</v>
      </c>
      <c r="Y129" s="94">
        <f t="shared" si="54"/>
        <v>-4551</v>
      </c>
    </row>
    <row r="130" spans="1:25" s="95" customFormat="1" ht="12" customHeight="1">
      <c r="A130" s="124"/>
      <c r="B130" s="124" t="s">
        <v>186</v>
      </c>
      <c r="C130" s="102">
        <v>5811</v>
      </c>
      <c r="D130" s="127" t="s">
        <v>27</v>
      </c>
      <c r="E130" s="606">
        <f>VLOOKUP($C130,Data!$A:$O,COLUMNS(Data!$A:C),FALSE)</f>
        <v>0</v>
      </c>
      <c r="F130" s="606">
        <f>VLOOKUP($C130,Data!$A:$O,COLUMNS(Data!$A:D),FALSE)</f>
        <v>0</v>
      </c>
      <c r="G130" s="606">
        <f>VLOOKUP($C130,Data!$A:$O,COLUMNS(Data!$A:E),FALSE)</f>
        <v>272442.03000000003</v>
      </c>
      <c r="H130" s="606">
        <f>VLOOKUP($C130,Data!$A:$O,COLUMNS(Data!$A:F),FALSE)</f>
        <v>90814.01</v>
      </c>
      <c r="I130" s="606">
        <f>VLOOKUP($C130,Data!$A:$O,COLUMNS(Data!$A:G),FALSE)</f>
        <v>90814.12</v>
      </c>
      <c r="J130" s="606">
        <f>VLOOKUP($C130,Data!$A:$O,COLUMNS(Data!$A:H),FALSE)</f>
        <v>90814</v>
      </c>
      <c r="K130" s="606">
        <f>VLOOKUP($C130,Data!$A:$O,COLUMNS(Data!$A:I),FALSE)</f>
        <v>90814</v>
      </c>
      <c r="L130" s="606">
        <f>VLOOKUP($C130,Data!$A:$O,COLUMNS(Data!$A:J),FALSE)</f>
        <v>77289</v>
      </c>
      <c r="M130" s="606">
        <f>VLOOKUP($C130,Data!$A:$O,COLUMNS(Data!$A:K),FALSE)</f>
        <v>74411</v>
      </c>
      <c r="N130" s="606">
        <f>VLOOKUP($C130,Data!$A:$O,COLUMNS(Data!$A:L),FALSE)</f>
        <v>89087.5</v>
      </c>
      <c r="O130" s="606">
        <f>VLOOKUP($C130,Data!$A:$O,COLUMNS(Data!$A:M),FALSE)</f>
        <v>89148</v>
      </c>
      <c r="P130" s="606">
        <f>VLOOKUP($C130,Data!$A:$O,COLUMNS(Data!$A:N),FALSE)</f>
        <v>89298</v>
      </c>
      <c r="Q130" s="606">
        <v>0</v>
      </c>
      <c r="R130" s="94"/>
      <c r="S130" s="638">
        <f t="shared" si="52"/>
        <v>1054931.6600000001</v>
      </c>
      <c r="T130" s="94"/>
      <c r="U130" s="94">
        <v>921355.02453749988</v>
      </c>
      <c r="V130" s="94">
        <f t="shared" si="53"/>
        <v>-133576.63546250027</v>
      </c>
      <c r="X130" s="94">
        <f>'FY18-19'!S105</f>
        <v>0</v>
      </c>
      <c r="Y130" s="94">
        <f t="shared" si="54"/>
        <v>-1054931.6600000001</v>
      </c>
    </row>
    <row r="131" spans="1:25" s="95" customFormat="1" ht="12" customHeight="1">
      <c r="A131" s="124"/>
      <c r="B131" s="124" t="s">
        <v>186</v>
      </c>
      <c r="C131" s="102">
        <v>5812</v>
      </c>
      <c r="D131" s="127" t="s">
        <v>95</v>
      </c>
      <c r="E131" s="606">
        <f>VLOOKUP($C131,Data!$A:$O,COLUMNS(Data!$A:C),FALSE)</f>
        <v>0</v>
      </c>
      <c r="F131" s="606">
        <f>VLOOKUP($C131,Data!$A:$O,COLUMNS(Data!$A:D),FALSE)</f>
        <v>0</v>
      </c>
      <c r="G131" s="606">
        <f>VLOOKUP($C131,Data!$A:$O,COLUMNS(Data!$A:E),FALSE)</f>
        <v>0</v>
      </c>
      <c r="H131" s="606">
        <f>VLOOKUP($C131,Data!$A:$O,COLUMNS(Data!$A:F),FALSE)</f>
        <v>200000</v>
      </c>
      <c r="I131" s="606">
        <f>VLOOKUP($C131,Data!$A:$O,COLUMNS(Data!$A:G),FALSE)</f>
        <v>0</v>
      </c>
      <c r="J131" s="606">
        <f>VLOOKUP($C131,Data!$A:$O,COLUMNS(Data!$A:H),FALSE)</f>
        <v>0</v>
      </c>
      <c r="K131" s="606">
        <f>VLOOKUP($C131,Data!$A:$O,COLUMNS(Data!$A:I),FALSE)</f>
        <v>0</v>
      </c>
      <c r="L131" s="606">
        <f>VLOOKUP($C131,Data!$A:$O,COLUMNS(Data!$A:J),FALSE)</f>
        <v>0</v>
      </c>
      <c r="M131" s="606">
        <f>VLOOKUP($C131,Data!$A:$O,COLUMNS(Data!$A:K),FALSE)</f>
        <v>0</v>
      </c>
      <c r="N131" s="606">
        <f>VLOOKUP($C131,Data!$A:$O,COLUMNS(Data!$A:L),FALSE)</f>
        <v>0</v>
      </c>
      <c r="O131" s="606">
        <f>VLOOKUP($C131,Data!$A:$O,COLUMNS(Data!$A:M),FALSE)</f>
        <v>667396</v>
      </c>
      <c r="P131" s="606">
        <f>VLOOKUP($C131,Data!$A:$O,COLUMNS(Data!$A:N),FALSE)</f>
        <v>68.430000000000007</v>
      </c>
      <c r="Q131" s="606">
        <f>S19*'Revenue Inputs'!$D$10-SUM(E131:P131)</f>
        <v>0</v>
      </c>
      <c r="R131" s="94"/>
      <c r="S131" s="638">
        <f t="shared" si="52"/>
        <v>867464.43</v>
      </c>
      <c r="T131" s="94"/>
      <c r="U131" s="94">
        <v>725494.84717499977</v>
      </c>
      <c r="V131" s="94">
        <f t="shared" si="53"/>
        <v>-141969.58282500028</v>
      </c>
      <c r="X131" s="94">
        <f>'FY18-19'!S106</f>
        <v>0</v>
      </c>
      <c r="Y131" s="94">
        <f t="shared" si="54"/>
        <v>-867464.43</v>
      </c>
    </row>
    <row r="132" spans="1:25" s="95" customFormat="1" ht="12" hidden="1" customHeight="1">
      <c r="A132" s="124"/>
      <c r="B132" s="124" t="s">
        <v>186</v>
      </c>
      <c r="C132" s="102">
        <v>5813</v>
      </c>
      <c r="D132" s="127" t="s">
        <v>243</v>
      </c>
      <c r="E132" s="606">
        <f>VLOOKUP($C132,Data!$A:$O,COLUMNS(Data!$A:C),FALSE)</f>
        <v>0</v>
      </c>
      <c r="F132" s="606">
        <f>VLOOKUP($C132,Data!$A:$O,COLUMNS(Data!$A:D),FALSE)</f>
        <v>0</v>
      </c>
      <c r="G132" s="606">
        <f>VLOOKUP($C132,Data!$A:$O,COLUMNS(Data!$A:E),FALSE)</f>
        <v>0</v>
      </c>
      <c r="H132" s="606">
        <f>VLOOKUP($C132,Data!$A:$O,COLUMNS(Data!$A:F),FALSE)</f>
        <v>0</v>
      </c>
      <c r="I132" s="606">
        <f>VLOOKUP($C132,Data!$A:$O,COLUMNS(Data!$A:G),FALSE)</f>
        <v>0</v>
      </c>
      <c r="J132" s="606">
        <f>VLOOKUP($C132,Data!$A:$O,COLUMNS(Data!$A:H),FALSE)</f>
        <v>0</v>
      </c>
      <c r="K132" s="606">
        <f>VLOOKUP($C132,Data!$A:$O,COLUMNS(Data!$A:I),FALSE)</f>
        <v>0</v>
      </c>
      <c r="L132" s="606">
        <f>VLOOKUP($C132,Data!$A:$O,COLUMNS(Data!$A:J),FALSE)</f>
        <v>0</v>
      </c>
      <c r="M132" s="606">
        <f>VLOOKUP($C132,Data!$A:$O,COLUMNS(Data!$A:K),FALSE)</f>
        <v>0</v>
      </c>
      <c r="N132" s="606">
        <f>VLOOKUP($C132,Data!$A:$O,COLUMNS(Data!$A:L),FALSE)</f>
        <v>0</v>
      </c>
      <c r="O132" s="606">
        <f>VLOOKUP($C132,Data!$A:$O,COLUMNS(Data!$A:M),FALSE)</f>
        <v>0</v>
      </c>
      <c r="P132" s="606">
        <f>VLOOKUP($C132,Data!$A:$O,COLUMNS(Data!$A:N),FALSE)</f>
        <v>0</v>
      </c>
      <c r="Q132" s="606">
        <f>'Expense Details'!$I$280/4</f>
        <v>0</v>
      </c>
      <c r="R132" s="94"/>
      <c r="S132" s="638">
        <f t="shared" si="52"/>
        <v>0</v>
      </c>
      <c r="T132" s="94"/>
      <c r="U132" s="94">
        <v>0</v>
      </c>
      <c r="V132" s="94">
        <f t="shared" si="53"/>
        <v>0</v>
      </c>
      <c r="X132" s="94">
        <f>'FY18-19'!S107</f>
        <v>0</v>
      </c>
      <c r="Y132" s="94">
        <f t="shared" si="54"/>
        <v>0</v>
      </c>
    </row>
    <row r="133" spans="1:25" s="95" customFormat="1" ht="12" customHeight="1">
      <c r="A133" s="124"/>
      <c r="B133" s="124" t="s">
        <v>186</v>
      </c>
      <c r="C133" s="102">
        <v>5814</v>
      </c>
      <c r="D133" s="127" t="s">
        <v>336</v>
      </c>
      <c r="E133" s="606">
        <f>VLOOKUP($C133,Data!$A:$O,COLUMNS(Data!$A:C),FALSE)</f>
        <v>0</v>
      </c>
      <c r="F133" s="606">
        <f>VLOOKUP($C133,Data!$A:$O,COLUMNS(Data!$A:D),FALSE)</f>
        <v>0</v>
      </c>
      <c r="G133" s="606">
        <f>VLOOKUP($C133,Data!$A:$O,COLUMNS(Data!$A:E),FALSE)</f>
        <v>0</v>
      </c>
      <c r="H133" s="606">
        <f>VLOOKUP($C133,Data!$A:$O,COLUMNS(Data!$A:F),FALSE)</f>
        <v>0</v>
      </c>
      <c r="I133" s="606">
        <f>VLOOKUP($C133,Data!$A:$O,COLUMNS(Data!$A:G),FALSE)</f>
        <v>0</v>
      </c>
      <c r="J133" s="606">
        <f>VLOOKUP($C133,Data!$A:$O,COLUMNS(Data!$A:H),FALSE)</f>
        <v>0</v>
      </c>
      <c r="K133" s="606">
        <f>VLOOKUP($C133,Data!$A:$O,COLUMNS(Data!$A:I),FALSE)</f>
        <v>0</v>
      </c>
      <c r="L133" s="606">
        <f>VLOOKUP($C133,Data!$A:$O,COLUMNS(Data!$A:J),FALSE)</f>
        <v>0</v>
      </c>
      <c r="M133" s="606">
        <f>VLOOKUP($C133,Data!$A:$O,COLUMNS(Data!$A:K),FALSE)</f>
        <v>0</v>
      </c>
      <c r="N133" s="606">
        <f>VLOOKUP($C133,Data!$A:$O,COLUMNS(Data!$A:L),FALSE)</f>
        <v>0</v>
      </c>
      <c r="O133" s="606">
        <f>VLOOKUP($C133,Data!$A:$O,COLUMNS(Data!$A:M),FALSE)</f>
        <v>0</v>
      </c>
      <c r="P133" s="606">
        <f>VLOOKUP($C133,Data!$A:$O,COLUMNS(Data!$A:N),FALSE)</f>
        <v>88491.56</v>
      </c>
      <c r="Q133" s="606">
        <v>0</v>
      </c>
      <c r="R133" s="94"/>
      <c r="S133" s="638">
        <f t="shared" si="52"/>
        <v>88491.56</v>
      </c>
      <c r="T133" s="94"/>
      <c r="U133" s="94">
        <v>126556.87199999999</v>
      </c>
      <c r="V133" s="94">
        <f t="shared" si="53"/>
        <v>38065.311999999991</v>
      </c>
      <c r="X133" s="94">
        <f>'FY18-19'!S108</f>
        <v>0</v>
      </c>
      <c r="Y133" s="94">
        <f t="shared" si="54"/>
        <v>-88491.56</v>
      </c>
    </row>
    <row r="134" spans="1:25" s="95" customFormat="1" ht="12" hidden="1" customHeight="1">
      <c r="A134" s="124"/>
      <c r="B134" s="124" t="s">
        <v>186</v>
      </c>
      <c r="C134" s="102">
        <f>'Multi-Year'!D134</f>
        <v>5815</v>
      </c>
      <c r="D134" s="127" t="s">
        <v>316</v>
      </c>
      <c r="E134" s="606">
        <f>VLOOKUP($C134,Data!$A:$O,COLUMNS(Data!$A:C),FALSE)</f>
        <v>0</v>
      </c>
      <c r="F134" s="606">
        <f>VLOOKUP($C134,Data!$A:$O,COLUMNS(Data!$A:D),FALSE)</f>
        <v>0</v>
      </c>
      <c r="G134" s="606">
        <f>VLOOKUP($C134,Data!$A:$O,COLUMNS(Data!$A:E),FALSE)</f>
        <v>0</v>
      </c>
      <c r="H134" s="606">
        <f>VLOOKUP($C134,Data!$A:$O,COLUMNS(Data!$A:F),FALSE)</f>
        <v>0</v>
      </c>
      <c r="I134" s="606">
        <f>VLOOKUP($C134,Data!$A:$O,COLUMNS(Data!$A:G),FALSE)</f>
        <v>0</v>
      </c>
      <c r="J134" s="606">
        <f>VLOOKUP($C134,Data!$A:$O,COLUMNS(Data!$A:H),FALSE)</f>
        <v>0</v>
      </c>
      <c r="K134" s="606">
        <f>VLOOKUP($C134,Data!$A:$O,COLUMNS(Data!$A:I),FALSE)</f>
        <v>0</v>
      </c>
      <c r="L134" s="606">
        <f>VLOOKUP($C134,Data!$A:$O,COLUMNS(Data!$A:J),FALSE)</f>
        <v>0</v>
      </c>
      <c r="M134" s="606">
        <f>VLOOKUP($C134,Data!$A:$O,COLUMNS(Data!$A:K),FALSE)</f>
        <v>0</v>
      </c>
      <c r="N134" s="606">
        <f>VLOOKUP($C134,Data!$A:$O,COLUMNS(Data!$A:L),FALSE)</f>
        <v>413.84</v>
      </c>
      <c r="O134" s="606">
        <f>VLOOKUP($C134,Data!$A:$O,COLUMNS(Data!$A:M),FALSE)</f>
        <v>0</v>
      </c>
      <c r="P134" s="606">
        <f>VLOOKUP($C134,Data!$A:$O,COLUMNS(Data!$A:N),FALSE)</f>
        <v>0</v>
      </c>
      <c r="Q134" s="606">
        <v>0</v>
      </c>
      <c r="R134" s="94"/>
      <c r="S134" s="638">
        <f>SUM(E134:Q134)</f>
        <v>413.84</v>
      </c>
      <c r="T134" s="94"/>
      <c r="U134" s="94">
        <v>23085.113999999998</v>
      </c>
      <c r="V134" s="94">
        <f>U134-S134</f>
        <v>22671.273999999998</v>
      </c>
      <c r="X134" s="94">
        <f>'FY18-19'!S130</f>
        <v>0</v>
      </c>
      <c r="Y134" s="94">
        <f t="shared" si="54"/>
        <v>-413.84</v>
      </c>
    </row>
    <row r="135" spans="1:25" s="95" customFormat="1" ht="12" hidden="1" customHeight="1">
      <c r="A135" s="124"/>
      <c r="B135" s="124"/>
      <c r="C135" s="102">
        <f>'Multi-Year'!D135</f>
        <v>5820</v>
      </c>
      <c r="D135" s="127" t="s">
        <v>515</v>
      </c>
      <c r="E135" s="606">
        <f>VLOOKUP($C135,Data!$A:$O,COLUMNS(Data!$A:C),FALSE)</f>
        <v>0</v>
      </c>
      <c r="F135" s="606">
        <f>VLOOKUP($C135,Data!$A:$O,COLUMNS(Data!$A:D),FALSE)</f>
        <v>0</v>
      </c>
      <c r="G135" s="606">
        <v>0</v>
      </c>
      <c r="H135" s="606">
        <v>0</v>
      </c>
      <c r="I135" s="606">
        <v>0</v>
      </c>
      <c r="J135" s="606">
        <v>0</v>
      </c>
      <c r="K135" s="606">
        <f>VLOOKUP($C135,Data!$A:$O,COLUMNS(Data!$A:I),FALSE)</f>
        <v>0</v>
      </c>
      <c r="L135" s="606">
        <v>0</v>
      </c>
      <c r="M135" s="606">
        <v>0</v>
      </c>
      <c r="N135" s="606">
        <v>0</v>
      </c>
      <c r="O135" s="606">
        <v>0</v>
      </c>
      <c r="P135" s="606">
        <f>'Expense Details'!I292</f>
        <v>0</v>
      </c>
      <c r="Q135" s="606"/>
      <c r="R135" s="94"/>
      <c r="S135" s="638">
        <f>SUM(E135:Q135)</f>
        <v>0</v>
      </c>
      <c r="T135" s="94"/>
      <c r="U135" s="94">
        <v>0</v>
      </c>
      <c r="V135" s="94">
        <f>U135-S135</f>
        <v>0</v>
      </c>
      <c r="X135" s="94"/>
      <c r="Y135" s="94"/>
    </row>
    <row r="136" spans="1:25" s="95" customFormat="1" ht="12" customHeight="1">
      <c r="A136" s="124"/>
      <c r="B136" s="124" t="s">
        <v>186</v>
      </c>
      <c r="C136" s="126"/>
      <c r="D136" s="126"/>
      <c r="E136" s="603">
        <f t="shared" ref="E136:Q136" si="55">SUM(E120:E135)</f>
        <v>31829.89</v>
      </c>
      <c r="F136" s="603">
        <f t="shared" si="55"/>
        <v>45440.39</v>
      </c>
      <c r="G136" s="603">
        <f t="shared" si="55"/>
        <v>339325.94000000006</v>
      </c>
      <c r="H136" s="603">
        <f t="shared" si="55"/>
        <v>312348.78000000003</v>
      </c>
      <c r="I136" s="603">
        <f>SUM(I120:I135)</f>
        <v>117177.34999999999</v>
      </c>
      <c r="J136" s="603">
        <f t="shared" si="55"/>
        <v>99918.75</v>
      </c>
      <c r="K136" s="603">
        <f t="shared" si="55"/>
        <v>105418.23</v>
      </c>
      <c r="L136" s="603">
        <f t="shared" si="55"/>
        <v>129010.92</v>
      </c>
      <c r="M136" s="603">
        <f t="shared" si="55"/>
        <v>82226.44</v>
      </c>
      <c r="N136" s="603">
        <f t="shared" si="55"/>
        <v>106844.76999999999</v>
      </c>
      <c r="O136" s="603">
        <f t="shared" si="55"/>
        <v>781410.07000000007</v>
      </c>
      <c r="P136" s="603">
        <f t="shared" si="55"/>
        <v>274643.89</v>
      </c>
      <c r="Q136" s="603">
        <f t="shared" si="55"/>
        <v>0</v>
      </c>
      <c r="R136" s="94"/>
      <c r="S136" s="626">
        <f>SUM(E136:R136)</f>
        <v>2425595.4200000004</v>
      </c>
      <c r="T136" s="94"/>
      <c r="U136" s="216">
        <v>2724087.7987124999</v>
      </c>
      <c r="V136" s="216">
        <f>SUM(V120:V135)</f>
        <v>298492.37871249934</v>
      </c>
      <c r="X136" s="216">
        <f>SUM(X120:X135)</f>
        <v>0</v>
      </c>
      <c r="Y136" s="216">
        <f>SUM(Y120:Y135)</f>
        <v>-2425595.4200000004</v>
      </c>
    </row>
    <row r="137" spans="1:25" s="95" customFormat="1" ht="12" customHeight="1">
      <c r="A137" s="124"/>
      <c r="B137" s="124" t="s">
        <v>107</v>
      </c>
      <c r="C137" s="102"/>
      <c r="D137" s="103"/>
      <c r="E137" s="606"/>
      <c r="F137" s="606"/>
      <c r="G137" s="606"/>
      <c r="H137" s="606"/>
      <c r="I137" s="606"/>
      <c r="J137" s="606"/>
      <c r="K137" s="606"/>
      <c r="L137" s="606"/>
      <c r="M137" s="606"/>
      <c r="N137" s="606"/>
      <c r="O137" s="606"/>
      <c r="P137" s="606"/>
      <c r="Q137" s="606"/>
      <c r="R137" s="94"/>
      <c r="S137" s="627"/>
      <c r="T137" s="94"/>
      <c r="U137" s="94"/>
      <c r="V137" s="94"/>
      <c r="X137" s="94"/>
      <c r="Y137" s="94"/>
    </row>
    <row r="138" spans="1:25" s="95" customFormat="1" ht="12" customHeight="1">
      <c r="A138" s="124"/>
      <c r="B138" s="124" t="s">
        <v>186</v>
      </c>
      <c r="C138" s="102">
        <v>6900</v>
      </c>
      <c r="D138" s="103" t="s">
        <v>44</v>
      </c>
      <c r="E138" s="606">
        <f>VLOOKUP($C138,Data!$A:$O,COLUMNS(Data!$A:C),FALSE)</f>
        <v>0</v>
      </c>
      <c r="F138" s="606">
        <f>VLOOKUP($C138,Data!$A:$O,COLUMNS(Data!$A:D),FALSE)</f>
        <v>0</v>
      </c>
      <c r="G138" s="606">
        <f>VLOOKUP($C138,Data!$A:$O,COLUMNS(Data!$A:E),FALSE)</f>
        <v>0</v>
      </c>
      <c r="H138" s="606">
        <f>VLOOKUP($C138,Data!$A:$O,COLUMNS(Data!$A:F),FALSE)</f>
        <v>0</v>
      </c>
      <c r="I138" s="606">
        <f>VLOOKUP($C138,Data!$A:$O,COLUMNS(Data!$A:G),FALSE)</f>
        <v>0</v>
      </c>
      <c r="J138" s="606">
        <f>VLOOKUP($C138,Data!$A:$O,COLUMNS(Data!$A:H),FALSE)</f>
        <v>0</v>
      </c>
      <c r="K138" s="606">
        <f>VLOOKUP($C138,Data!$A:$O,COLUMNS(Data!$A:I),FALSE)</f>
        <v>100</v>
      </c>
      <c r="L138" s="606">
        <f>VLOOKUP($C138,Data!$A:$O,COLUMNS(Data!$A:J),FALSE)</f>
        <v>50</v>
      </c>
      <c r="M138" s="606">
        <f>VLOOKUP($C138,Data!$A:$O,COLUMNS(Data!$A:K),FALSE)</f>
        <v>50</v>
      </c>
      <c r="N138" s="606">
        <f>VLOOKUP($C138,Data!$A:$O,COLUMNS(Data!$A:L),FALSE)</f>
        <v>50</v>
      </c>
      <c r="O138" s="606">
        <f>VLOOKUP($C138,Data!$A:$O,COLUMNS(Data!$A:M),FALSE)</f>
        <v>50</v>
      </c>
      <c r="P138" s="606">
        <f>VLOOKUP($C138,Data!$A:$O,COLUMNS(Data!$A:N),FALSE)</f>
        <v>50</v>
      </c>
      <c r="Q138" s="606">
        <v>0</v>
      </c>
      <c r="R138" s="94"/>
      <c r="S138" s="638">
        <f t="shared" ref="S138" si="56">SUM(E138:Q138)</f>
        <v>350</v>
      </c>
      <c r="T138" s="94"/>
      <c r="U138" s="94">
        <v>0</v>
      </c>
      <c r="V138" s="94">
        <f t="shared" ref="V138" si="57">U138-S138</f>
        <v>-350</v>
      </c>
      <c r="X138" s="94">
        <f>'FY18-19'!S137</f>
        <v>0</v>
      </c>
      <c r="Y138" s="94">
        <f>X138-S138</f>
        <v>-350</v>
      </c>
    </row>
    <row r="139" spans="1:25" s="95" customFormat="1" ht="12" customHeight="1">
      <c r="A139" s="124"/>
      <c r="B139" s="124" t="s">
        <v>186</v>
      </c>
      <c r="C139" s="126"/>
      <c r="D139" s="126"/>
      <c r="E139" s="603">
        <f t="shared" ref="E139:Q139" si="58">SUM(E138:E138)</f>
        <v>0</v>
      </c>
      <c r="F139" s="603">
        <f t="shared" si="58"/>
        <v>0</v>
      </c>
      <c r="G139" s="603">
        <f t="shared" si="58"/>
        <v>0</v>
      </c>
      <c r="H139" s="603">
        <f t="shared" si="58"/>
        <v>0</v>
      </c>
      <c r="I139" s="603">
        <f t="shared" si="58"/>
        <v>0</v>
      </c>
      <c r="J139" s="603">
        <f t="shared" si="58"/>
        <v>0</v>
      </c>
      <c r="K139" s="603">
        <f t="shared" si="58"/>
        <v>100</v>
      </c>
      <c r="L139" s="603">
        <f t="shared" si="58"/>
        <v>50</v>
      </c>
      <c r="M139" s="603">
        <f t="shared" si="58"/>
        <v>50</v>
      </c>
      <c r="N139" s="603">
        <f t="shared" si="58"/>
        <v>50</v>
      </c>
      <c r="O139" s="603">
        <f t="shared" si="58"/>
        <v>50</v>
      </c>
      <c r="P139" s="603">
        <f t="shared" si="58"/>
        <v>50</v>
      </c>
      <c r="Q139" s="603">
        <f t="shared" si="58"/>
        <v>0</v>
      </c>
      <c r="R139" s="94"/>
      <c r="S139" s="626">
        <f>SUM(E139:R139)</f>
        <v>350</v>
      </c>
      <c r="T139" s="113"/>
      <c r="U139" s="216">
        <v>0</v>
      </c>
      <c r="V139" s="216">
        <f>V138</f>
        <v>-350</v>
      </c>
      <c r="X139" s="216">
        <f>X138</f>
        <v>0</v>
      </c>
      <c r="Y139" s="216">
        <f>Y138</f>
        <v>-350</v>
      </c>
    </row>
    <row r="140" spans="1:25" s="95" customFormat="1" ht="12" customHeight="1">
      <c r="A140" s="124"/>
      <c r="B140" s="124" t="s">
        <v>5</v>
      </c>
      <c r="C140" s="102"/>
      <c r="D140" s="103"/>
      <c r="E140" s="606"/>
      <c r="F140" s="606"/>
      <c r="G140" s="606"/>
      <c r="H140" s="606"/>
      <c r="I140" s="606"/>
      <c r="J140" s="606"/>
      <c r="K140" s="606"/>
      <c r="L140" s="606"/>
      <c r="M140" s="606"/>
      <c r="N140" s="606"/>
      <c r="O140" s="606"/>
      <c r="P140" s="606"/>
      <c r="Q140" s="606"/>
      <c r="R140" s="94"/>
      <c r="S140" s="627"/>
      <c r="T140" s="94"/>
      <c r="U140" s="94"/>
      <c r="V140" s="94"/>
      <c r="X140" s="94"/>
      <c r="Y140" s="94"/>
    </row>
    <row r="141" spans="1:25" s="95" customFormat="1" ht="12" customHeight="1">
      <c r="A141" s="124"/>
      <c r="B141" s="124" t="s">
        <v>186</v>
      </c>
      <c r="C141" s="102">
        <v>7438</v>
      </c>
      <c r="D141" s="103" t="s">
        <v>45</v>
      </c>
      <c r="E141" s="606">
        <f>VLOOKUP($C141,Data!$A:$O,COLUMNS(Data!$A:C),FALSE)</f>
        <v>0</v>
      </c>
      <c r="F141" s="606">
        <f>VLOOKUP($C141,Data!$A:$O,COLUMNS(Data!$A:D),FALSE)</f>
        <v>0</v>
      </c>
      <c r="G141" s="606">
        <f>VLOOKUP($C141,Data!$A:$O,COLUMNS(Data!$A:E),FALSE)</f>
        <v>156202</v>
      </c>
      <c r="H141" s="606">
        <f>VLOOKUP($C141,Data!$A:$O,COLUMNS(Data!$A:F),FALSE)</f>
        <v>0</v>
      </c>
      <c r="I141" s="606">
        <f>VLOOKUP($C141,Data!$A:$O,COLUMNS(Data!$A:G),FALSE)</f>
        <v>168678</v>
      </c>
      <c r="J141" s="606">
        <f>VLOOKUP($C141,Data!$A:$O,COLUMNS(Data!$A:H),FALSE)</f>
        <v>209230</v>
      </c>
      <c r="K141" s="606">
        <f>VLOOKUP($C141,Data!$A:$O,COLUMNS(Data!$A:I),FALSE)</f>
        <v>0</v>
      </c>
      <c r="L141" s="606">
        <f>VLOOKUP($C141,Data!$A:$O,COLUMNS(Data!$A:J),FALSE)</f>
        <v>117924</v>
      </c>
      <c r="M141" s="606">
        <f>VLOOKUP($C141,Data!$A:$O,COLUMNS(Data!$A:K),FALSE)</f>
        <v>0</v>
      </c>
      <c r="N141" s="606">
        <f>VLOOKUP($C141,Data!$A:$O,COLUMNS(Data!$A:L),FALSE)</f>
        <v>0</v>
      </c>
      <c r="O141" s="606">
        <f>VLOOKUP($C141,Data!$A:$O,COLUMNS(Data!$A:M),FALSE)</f>
        <v>161149</v>
      </c>
      <c r="P141" s="606">
        <f>VLOOKUP($C141,Data!$A:$O,COLUMNS(Data!$A:N),FALSE)</f>
        <v>0</v>
      </c>
      <c r="Q141" s="606">
        <v>0</v>
      </c>
      <c r="R141" s="94"/>
      <c r="S141" s="638">
        <f t="shared" ref="S141" si="59">SUM(E141:Q141)</f>
        <v>813183</v>
      </c>
      <c r="T141" s="94"/>
      <c r="U141" s="94">
        <v>224000</v>
      </c>
      <c r="V141" s="94">
        <f t="shared" ref="V141" si="60">U141-S141</f>
        <v>-589183</v>
      </c>
      <c r="X141" s="94">
        <f>'FY18-19'!S140</f>
        <v>0</v>
      </c>
      <c r="Y141" s="94">
        <f>X141-S141</f>
        <v>-813183</v>
      </c>
    </row>
    <row r="142" spans="1:25" s="95" customFormat="1" ht="12" customHeight="1">
      <c r="A142" s="124"/>
      <c r="B142" s="124"/>
      <c r="C142" s="126"/>
      <c r="D142" s="126"/>
      <c r="E142" s="603">
        <f t="shared" ref="E142:Q142" si="61">SUM(E141:E141)</f>
        <v>0</v>
      </c>
      <c r="F142" s="603">
        <f t="shared" si="61"/>
        <v>0</v>
      </c>
      <c r="G142" s="603">
        <f t="shared" si="61"/>
        <v>156202</v>
      </c>
      <c r="H142" s="603">
        <f t="shared" si="61"/>
        <v>0</v>
      </c>
      <c r="I142" s="603">
        <f t="shared" si="61"/>
        <v>168678</v>
      </c>
      <c r="J142" s="603">
        <f t="shared" si="61"/>
        <v>209230</v>
      </c>
      <c r="K142" s="603">
        <f t="shared" si="61"/>
        <v>0</v>
      </c>
      <c r="L142" s="603">
        <f t="shared" si="61"/>
        <v>117924</v>
      </c>
      <c r="M142" s="603">
        <f t="shared" si="61"/>
        <v>0</v>
      </c>
      <c r="N142" s="603">
        <f t="shared" si="61"/>
        <v>0</v>
      </c>
      <c r="O142" s="603">
        <f t="shared" si="61"/>
        <v>161149</v>
      </c>
      <c r="P142" s="603">
        <f t="shared" si="61"/>
        <v>0</v>
      </c>
      <c r="Q142" s="603">
        <f t="shared" si="61"/>
        <v>0</v>
      </c>
      <c r="R142" s="94"/>
      <c r="S142" s="626">
        <f>SUM(E142:R142)</f>
        <v>813183</v>
      </c>
      <c r="T142" s="113"/>
      <c r="U142" s="216">
        <v>224000</v>
      </c>
      <c r="V142" s="216">
        <f>V141</f>
        <v>-589183</v>
      </c>
      <c r="X142" s="216">
        <f>X141</f>
        <v>0</v>
      </c>
      <c r="Y142" s="216">
        <f>Y141</f>
        <v>-813183</v>
      </c>
    </row>
    <row r="143" spans="1:25" s="95" customFormat="1" ht="12" customHeight="1">
      <c r="A143" s="124"/>
      <c r="B143" s="124"/>
      <c r="C143" s="126"/>
      <c r="D143" s="126"/>
      <c r="E143" s="606"/>
      <c r="F143" s="606"/>
      <c r="G143" s="606"/>
      <c r="H143" s="606"/>
      <c r="I143" s="606"/>
      <c r="J143" s="606"/>
      <c r="K143" s="606"/>
      <c r="L143" s="606"/>
      <c r="M143" s="606"/>
      <c r="N143" s="606"/>
      <c r="O143" s="606"/>
      <c r="P143" s="606"/>
      <c r="Q143" s="606"/>
      <c r="R143" s="94"/>
      <c r="S143" s="627"/>
      <c r="T143" s="94"/>
      <c r="U143" s="94"/>
      <c r="V143" s="94"/>
      <c r="X143" s="94"/>
      <c r="Y143" s="94"/>
    </row>
    <row r="144" spans="1:25" s="112" customFormat="1" ht="12" customHeight="1">
      <c r="A144" s="91" t="s">
        <v>6</v>
      </c>
      <c r="B144" s="91"/>
      <c r="C144" s="91"/>
      <c r="D144" s="91"/>
      <c r="E144" s="607">
        <f t="shared" ref="E144:Q144" si="62">E142+E139+E110+E118+E136+E99+E90+E79+E69+E62</f>
        <v>875230.70000000007</v>
      </c>
      <c r="F144" s="607">
        <f t="shared" si="62"/>
        <v>1553773.5</v>
      </c>
      <c r="G144" s="607">
        <f t="shared" si="62"/>
        <v>3150028.3899999997</v>
      </c>
      <c r="H144" s="607">
        <f t="shared" si="62"/>
        <v>2737781.36</v>
      </c>
      <c r="I144" s="607">
        <f>I142+I139+I110+I118+I136+I99+I90+I79+I69+I62</f>
        <v>1601566.2699999998</v>
      </c>
      <c r="J144" s="607">
        <f t="shared" si="62"/>
        <v>3229891.95</v>
      </c>
      <c r="K144" s="607">
        <f t="shared" si="62"/>
        <v>2443092.8000000003</v>
      </c>
      <c r="L144" s="607">
        <f t="shared" si="62"/>
        <v>2349711.5</v>
      </c>
      <c r="M144" s="607">
        <f t="shared" si="62"/>
        <v>2216540.77</v>
      </c>
      <c r="N144" s="607">
        <f>N142+N139+N110+N118+N136+N99+N90+N79+N69+N62</f>
        <v>2321584.4399999995</v>
      </c>
      <c r="O144" s="607">
        <f t="shared" si="62"/>
        <v>3260389.68</v>
      </c>
      <c r="P144" s="607">
        <f t="shared" si="62"/>
        <v>4072564.3</v>
      </c>
      <c r="Q144" s="607">
        <f t="shared" si="62"/>
        <v>0</v>
      </c>
      <c r="R144" s="113"/>
      <c r="S144" s="626">
        <f>S142+S139+S110+S118+S136+S99+S90+S79+S69+S62</f>
        <v>29812155.659999996</v>
      </c>
      <c r="T144" s="113"/>
      <c r="U144" s="216">
        <v>25165109.70905</v>
      </c>
      <c r="V144" s="216">
        <f>V142+V139+V110+V118+V136+V99+V90+V79+V69+V62</f>
        <v>-4647045.9509500023</v>
      </c>
      <c r="W144" s="95"/>
      <c r="X144" s="216">
        <f>X142+X139+X110+X118+X136+X99+X90+X79+X69+X62</f>
        <v>0</v>
      </c>
      <c r="Y144" s="216">
        <f>Y142+Y139+Y110+Y118+Y136+Y99+Y90+Y79+Y69+Y62</f>
        <v>-29812155.659999996</v>
      </c>
    </row>
    <row r="145" spans="1:25" s="95" customFormat="1" ht="12" customHeight="1">
      <c r="E145" s="606"/>
      <c r="F145" s="606"/>
      <c r="G145" s="606"/>
      <c r="H145" s="606"/>
      <c r="I145" s="606"/>
      <c r="J145" s="606"/>
      <c r="K145" s="606"/>
      <c r="L145" s="606"/>
      <c r="M145" s="606"/>
      <c r="N145" s="606"/>
      <c r="O145" s="606"/>
      <c r="P145" s="606"/>
      <c r="Q145" s="606"/>
      <c r="R145" s="94"/>
      <c r="S145" s="627"/>
      <c r="T145" s="113"/>
      <c r="U145" s="113"/>
      <c r="V145" s="113"/>
      <c r="X145" s="113"/>
      <c r="Y145" s="113"/>
    </row>
    <row r="146" spans="1:25" s="128" customFormat="1" ht="12" customHeight="1" thickBot="1">
      <c r="A146" s="128" t="s">
        <v>46</v>
      </c>
      <c r="E146" s="608">
        <f>E52-E144</f>
        <v>-875230.70000000007</v>
      </c>
      <c r="F146" s="608">
        <f t="shared" ref="F146:T146" si="63">F52-F144</f>
        <v>-1553773.5</v>
      </c>
      <c r="G146" s="608">
        <f t="shared" si="63"/>
        <v>-3150028.3899999997</v>
      </c>
      <c r="H146" s="608">
        <f t="shared" si="63"/>
        <v>9180797.6400000006</v>
      </c>
      <c r="I146" s="608">
        <f t="shared" si="63"/>
        <v>-1601566.2699999998</v>
      </c>
      <c r="J146" s="608">
        <f t="shared" si="63"/>
        <v>-3229891.95</v>
      </c>
      <c r="K146" s="608">
        <f t="shared" si="63"/>
        <v>4092081.1999999997</v>
      </c>
      <c r="L146" s="608">
        <f t="shared" si="63"/>
        <v>-2349711.5</v>
      </c>
      <c r="M146" s="608">
        <f>M52-M144</f>
        <v>7117461.2300000004</v>
      </c>
      <c r="N146" s="608">
        <f t="shared" si="63"/>
        <v>-1698015.2699999996</v>
      </c>
      <c r="O146" s="608">
        <f t="shared" si="63"/>
        <v>-2938628.68</v>
      </c>
      <c r="P146" s="608">
        <f t="shared" si="63"/>
        <v>-1295130.7399999998</v>
      </c>
      <c r="Q146" s="608">
        <f t="shared" si="63"/>
        <v>0</v>
      </c>
      <c r="R146" s="113">
        <f t="shared" si="63"/>
        <v>0</v>
      </c>
      <c r="S146" s="631">
        <f t="shared" si="63"/>
        <v>1698363.070000004</v>
      </c>
      <c r="T146" s="113">
        <f t="shared" si="63"/>
        <v>0</v>
      </c>
      <c r="U146" s="129">
        <v>1159319.5634499937</v>
      </c>
      <c r="V146" s="129">
        <f>V52+V144</f>
        <v>539043.50655000377</v>
      </c>
      <c r="W146" s="95"/>
      <c r="X146" s="129">
        <f>X52-X144</f>
        <v>0</v>
      </c>
      <c r="Y146" s="129">
        <f>Y52+Y144</f>
        <v>1698363.070000004</v>
      </c>
    </row>
    <row r="147" spans="1:25" s="95" customFormat="1" ht="12" customHeight="1" thickTop="1">
      <c r="E147" s="606"/>
      <c r="F147" s="606"/>
      <c r="G147" s="606"/>
      <c r="H147" s="606"/>
      <c r="I147" s="606"/>
      <c r="J147" s="606"/>
      <c r="K147" s="606"/>
      <c r="L147" s="606"/>
      <c r="M147" s="606"/>
      <c r="N147" s="606"/>
      <c r="O147" s="606"/>
      <c r="P147" s="606"/>
      <c r="Q147" s="606"/>
      <c r="R147" s="94"/>
      <c r="S147" s="1054">
        <f>S146/S144</f>
        <v>5.6968811291924007E-2</v>
      </c>
      <c r="T147" s="94"/>
      <c r="U147" s="94"/>
      <c r="V147" s="94"/>
      <c r="X147" s="94"/>
      <c r="Y147" s="94"/>
    </row>
    <row r="148" spans="1:25" s="95" customFormat="1" ht="12" customHeight="1" thickBot="1">
      <c r="A148" s="112" t="s">
        <v>47</v>
      </c>
      <c r="E148" s="606"/>
      <c r="F148" s="606"/>
      <c r="G148" s="606"/>
      <c r="H148" s="606"/>
      <c r="I148" s="606"/>
      <c r="J148" s="1028"/>
      <c r="K148" s="606"/>
      <c r="L148" s="606"/>
      <c r="M148" s="606"/>
      <c r="N148" s="606"/>
      <c r="O148" s="606"/>
      <c r="P148" s="606"/>
      <c r="Q148" s="606"/>
      <c r="R148" s="94"/>
      <c r="S148" s="633"/>
      <c r="T148" s="94"/>
      <c r="U148" s="94"/>
      <c r="V148" s="94"/>
      <c r="X148" s="94"/>
      <c r="Y148" s="94"/>
    </row>
    <row r="149" spans="1:25" s="112" customFormat="1" ht="12" customHeight="1" thickBot="1">
      <c r="C149" s="95" t="s">
        <v>46</v>
      </c>
      <c r="D149" s="95"/>
      <c r="E149" s="606">
        <f t="shared" ref="E149:Q149" si="64">E146</f>
        <v>-875230.70000000007</v>
      </c>
      <c r="F149" s="1028">
        <f t="shared" si="64"/>
        <v>-1553773.5</v>
      </c>
      <c r="G149" s="606">
        <f t="shared" si="64"/>
        <v>-3150028.3899999997</v>
      </c>
      <c r="H149" s="606">
        <f t="shared" si="64"/>
        <v>9180797.6400000006</v>
      </c>
      <c r="I149" s="606">
        <f t="shared" si="64"/>
        <v>-1601566.2699999998</v>
      </c>
      <c r="J149" s="606">
        <f t="shared" si="64"/>
        <v>-3229891.95</v>
      </c>
      <c r="K149" s="606">
        <f t="shared" si="64"/>
        <v>4092081.1999999997</v>
      </c>
      <c r="L149" s="606">
        <f t="shared" si="64"/>
        <v>-2349711.5</v>
      </c>
      <c r="M149" s="606">
        <f t="shared" si="64"/>
        <v>7117461.2300000004</v>
      </c>
      <c r="N149" s="606">
        <f t="shared" si="64"/>
        <v>-1698015.2699999996</v>
      </c>
      <c r="O149" s="606">
        <f t="shared" si="64"/>
        <v>-2938628.68</v>
      </c>
      <c r="P149" s="606">
        <f t="shared" si="64"/>
        <v>-1295130.7399999998</v>
      </c>
      <c r="Q149" s="606">
        <f t="shared" si="64"/>
        <v>0</v>
      </c>
      <c r="R149" s="94"/>
      <c r="S149" s="627">
        <f>SUM(E149:R149)</f>
        <v>1698363.0700000012</v>
      </c>
      <c r="T149" s="113"/>
      <c r="U149" s="929" t="s">
        <v>624</v>
      </c>
      <c r="V149" s="929" t="s">
        <v>625</v>
      </c>
      <c r="W149" s="95"/>
      <c r="X149" s="113"/>
      <c r="Y149" s="113"/>
    </row>
    <row r="150" spans="1:25" s="95" customFormat="1" ht="12" customHeight="1" thickBot="1">
      <c r="B150" s="95" t="s">
        <v>186</v>
      </c>
      <c r="C150" s="95" t="s">
        <v>48</v>
      </c>
      <c r="E150" s="606"/>
      <c r="F150" s="1028"/>
      <c r="G150" s="606"/>
      <c r="H150" s="606"/>
      <c r="I150" s="606"/>
      <c r="J150" s="606"/>
      <c r="K150" s="606"/>
      <c r="L150" s="606"/>
      <c r="M150" s="606"/>
      <c r="N150" s="606"/>
      <c r="O150" s="606"/>
      <c r="P150" s="606"/>
      <c r="Q150" s="606"/>
      <c r="R150" s="94"/>
      <c r="S150" s="627"/>
      <c r="T150" s="94"/>
      <c r="U150" s="930">
        <f>+AC185</f>
        <v>0.46014121027506183</v>
      </c>
      <c r="V150" s="931">
        <f>+AC183</f>
        <v>0.84045053675319159</v>
      </c>
      <c r="X150" s="113"/>
      <c r="Y150" s="113"/>
    </row>
    <row r="151" spans="1:25" s="95" customFormat="1" ht="12" customHeight="1" thickBot="1">
      <c r="B151" s="95" t="s">
        <v>186</v>
      </c>
      <c r="D151" s="130" t="s">
        <v>289</v>
      </c>
      <c r="E151" s="606">
        <f t="shared" ref="E151:Q151" si="65">+E138</f>
        <v>0</v>
      </c>
      <c r="F151" s="1028">
        <f t="shared" si="65"/>
        <v>0</v>
      </c>
      <c r="G151" s="606">
        <f t="shared" si="65"/>
        <v>0</v>
      </c>
      <c r="H151" s="606">
        <f t="shared" si="65"/>
        <v>0</v>
      </c>
      <c r="I151" s="606">
        <f t="shared" si="65"/>
        <v>0</v>
      </c>
      <c r="J151" s="606">
        <f t="shared" si="65"/>
        <v>0</v>
      </c>
      <c r="K151" s="606">
        <f t="shared" si="65"/>
        <v>100</v>
      </c>
      <c r="L151" s="606">
        <f t="shared" si="65"/>
        <v>50</v>
      </c>
      <c r="M151" s="606">
        <f t="shared" si="65"/>
        <v>50</v>
      </c>
      <c r="N151" s="606">
        <f t="shared" si="65"/>
        <v>50</v>
      </c>
      <c r="O151" s="606">
        <f t="shared" si="65"/>
        <v>50</v>
      </c>
      <c r="P151" s="606">
        <f t="shared" si="65"/>
        <v>50</v>
      </c>
      <c r="Q151" s="606">
        <f t="shared" si="65"/>
        <v>0</v>
      </c>
      <c r="R151" s="94"/>
      <c r="S151" s="627">
        <f>SUM(E151:R151)</f>
        <v>350</v>
      </c>
      <c r="T151" s="94"/>
      <c r="U151" s="932">
        <f>(S62+S93+S79)-((S$52-S$50)*40%)</f>
        <v>2429297.6179999989</v>
      </c>
      <c r="V151" s="933">
        <f>((S62+S79+S99+S90+S102+S123+S125+S64)-((S52-S50)*80%))</f>
        <v>1290149.6960000023</v>
      </c>
      <c r="X151" s="66"/>
      <c r="Y151" s="66"/>
    </row>
    <row r="152" spans="1:25" s="95" customFormat="1" ht="12" customHeight="1">
      <c r="B152" s="95" t="s">
        <v>186</v>
      </c>
      <c r="D152" s="130" t="s">
        <v>290</v>
      </c>
      <c r="E152" s="606">
        <f>'FY18-19'!Q15+'FY18-19'!Q17+'FY18-19'!Q16+'FY18-19'!Q18+'FY18-19'!Q21+'FY18-19'!Q23+'FY18-19'!Q33+'FY18-19'!Q34</f>
        <v>0</v>
      </c>
      <c r="F152" s="1028">
        <f>'FY18-19'!Q24+'FY18-19'!Q25+'FY18-19'!Q26</f>
        <v>0</v>
      </c>
      <c r="G152" s="606">
        <v>0</v>
      </c>
      <c r="H152" s="606">
        <f>'FY18-19'!Q37+'FY18-19'!Q35</f>
        <v>0</v>
      </c>
      <c r="I152" s="606">
        <v>0</v>
      </c>
      <c r="J152" s="606"/>
      <c r="K152" s="606">
        <v>0</v>
      </c>
      <c r="L152" s="606">
        <v>0</v>
      </c>
      <c r="M152" s="606">
        <v>0</v>
      </c>
      <c r="N152" s="606">
        <v>-137645.17000000001</v>
      </c>
      <c r="O152" s="606">
        <v>101596</v>
      </c>
      <c r="P152" s="606">
        <v>-2294286.56</v>
      </c>
      <c r="Q152" s="606">
        <f>-Q52</f>
        <v>0</v>
      </c>
      <c r="R152" s="94"/>
      <c r="S152" s="627">
        <f t="shared" ref="S152:S166" si="66">SUM(E152:R152)</f>
        <v>-2330335.73</v>
      </c>
      <c r="T152" s="94"/>
      <c r="U152" s="113"/>
      <c r="V152" s="113"/>
      <c r="X152" s="113"/>
      <c r="Y152" s="113"/>
    </row>
    <row r="153" spans="1:25" s="95" customFormat="1" ht="12" customHeight="1">
      <c r="B153" s="95" t="s">
        <v>186</v>
      </c>
      <c r="D153" s="130" t="s">
        <v>297</v>
      </c>
      <c r="E153" s="606">
        <v>0</v>
      </c>
      <c r="F153" s="1028">
        <v>0</v>
      </c>
      <c r="G153" s="606">
        <f>9701100-G164</f>
        <v>0</v>
      </c>
      <c r="H153" s="606">
        <v>-92.31</v>
      </c>
      <c r="I153" s="606">
        <f>-4284807.69-I164-I165</f>
        <v>92.309999998658895</v>
      </c>
      <c r="J153" s="606">
        <f>5205000-J164</f>
        <v>0</v>
      </c>
      <c r="K153" s="606">
        <v>-100</v>
      </c>
      <c r="L153" s="606">
        <f>-2824390-L164-L165</f>
        <v>610</v>
      </c>
      <c r="M153" s="606">
        <f>-7797520-M164-M165</f>
        <v>-255183</v>
      </c>
      <c r="N153" s="606">
        <v>-24670</v>
      </c>
      <c r="O153" s="606">
        <f>4399906.99-O164</f>
        <v>-5093.0099999997765</v>
      </c>
      <c r="P153" s="606">
        <v>-4374526.99</v>
      </c>
      <c r="Q153" s="606">
        <v>0</v>
      </c>
      <c r="R153" s="94"/>
      <c r="S153" s="627">
        <f t="shared" si="66"/>
        <v>-4658963.0000000009</v>
      </c>
      <c r="T153" s="94"/>
      <c r="V153" s="113"/>
      <c r="W153" s="113"/>
    </row>
    <row r="154" spans="1:25" s="95" customFormat="1" ht="12" customHeight="1" thickBot="1">
      <c r="B154" s="95" t="s">
        <v>186</v>
      </c>
      <c r="D154" s="130" t="s">
        <v>233</v>
      </c>
      <c r="E154" s="606">
        <v>552510</v>
      </c>
      <c r="F154" s="1028">
        <v>1533972.85</v>
      </c>
      <c r="G154" s="606">
        <v>-6669700.6200000001</v>
      </c>
      <c r="H154" s="606">
        <v>75775.66</v>
      </c>
      <c r="I154" s="606">
        <v>256143.13</v>
      </c>
      <c r="J154" s="606">
        <v>-383761.59</v>
      </c>
      <c r="K154" s="606">
        <v>-1354189.98</v>
      </c>
      <c r="L154" s="606">
        <v>81831.44</v>
      </c>
      <c r="M154" s="606">
        <v>464013.82</v>
      </c>
      <c r="N154" s="606">
        <v>157922.67000000001</v>
      </c>
      <c r="O154" s="606">
        <v>527536.18999999994</v>
      </c>
      <c r="P154" s="606">
        <v>-507073.41</v>
      </c>
      <c r="Q154" s="606">
        <v>0</v>
      </c>
      <c r="R154" s="94"/>
      <c r="S154" s="627">
        <f t="shared" si="66"/>
        <v>-5265019.839999998</v>
      </c>
      <c r="T154" s="94"/>
      <c r="U154" s="113"/>
      <c r="V154" s="113"/>
      <c r="X154" s="113"/>
      <c r="Y154" s="113"/>
    </row>
    <row r="155" spans="1:25" s="95" customFormat="1" ht="12" customHeight="1" thickBot="1">
      <c r="B155" s="95" t="s">
        <v>186</v>
      </c>
      <c r="D155" s="130" t="s">
        <v>291</v>
      </c>
      <c r="E155" s="606">
        <v>0</v>
      </c>
      <c r="F155" s="1028">
        <v>-78219.48</v>
      </c>
      <c r="G155" s="606">
        <v>56660</v>
      </c>
      <c r="H155" s="606">
        <v>-66902.37</v>
      </c>
      <c r="I155" s="606">
        <v>70242.37</v>
      </c>
      <c r="J155" s="606">
        <v>0</v>
      </c>
      <c r="K155" s="606">
        <v>-135000</v>
      </c>
      <c r="L155" s="606">
        <v>-129382.52</v>
      </c>
      <c r="M155" s="606">
        <v>155167.42000000001</v>
      </c>
      <c r="N155" s="606">
        <v>56026.87</v>
      </c>
      <c r="O155" s="606">
        <v>21047.39</v>
      </c>
      <c r="P155" s="606">
        <v>41967.45</v>
      </c>
      <c r="Q155" s="606">
        <v>0</v>
      </c>
      <c r="R155" s="94"/>
      <c r="S155" s="627">
        <f t="shared" si="66"/>
        <v>-8392.8699999999953</v>
      </c>
      <c r="T155" s="94"/>
      <c r="U155" s="1062" t="s">
        <v>626</v>
      </c>
      <c r="V155" s="1063"/>
      <c r="X155" s="113"/>
      <c r="Y155" s="113"/>
    </row>
    <row r="156" spans="1:25" s="95" customFormat="1" ht="12" customHeight="1" thickBot="1">
      <c r="B156" s="95" t="s">
        <v>186</v>
      </c>
      <c r="D156" s="130" t="s">
        <v>292</v>
      </c>
      <c r="E156" s="606">
        <v>0</v>
      </c>
      <c r="F156" s="1028">
        <v>0</v>
      </c>
      <c r="G156" s="606">
        <v>0</v>
      </c>
      <c r="H156" s="606">
        <v>0</v>
      </c>
      <c r="I156" s="606">
        <v>0</v>
      </c>
      <c r="J156" s="606">
        <v>0</v>
      </c>
      <c r="K156" s="606">
        <v>0</v>
      </c>
      <c r="L156" s="606">
        <v>0</v>
      </c>
      <c r="M156" s="606">
        <v>0</v>
      </c>
      <c r="N156" s="606">
        <v>0</v>
      </c>
      <c r="O156" s="606">
        <v>0</v>
      </c>
      <c r="P156" s="606">
        <v>-79132.160000000003</v>
      </c>
      <c r="Q156" s="606">
        <v>0</v>
      </c>
      <c r="R156" s="94"/>
      <c r="S156" s="627">
        <f t="shared" si="66"/>
        <v>-79132.160000000003</v>
      </c>
      <c r="T156" s="94"/>
      <c r="U156" s="934"/>
      <c r="V156" s="935"/>
      <c r="X156" s="113"/>
      <c r="Y156" s="113"/>
    </row>
    <row r="157" spans="1:25" s="95" customFormat="1" ht="12" customHeight="1" thickBot="1">
      <c r="B157" s="95" t="s">
        <v>186</v>
      </c>
      <c r="D157" s="130" t="s">
        <v>293</v>
      </c>
      <c r="E157" s="606">
        <f>-'FY18-19'!Q143</f>
        <v>0</v>
      </c>
      <c r="F157" s="1028">
        <v>81611.39</v>
      </c>
      <c r="G157" s="606">
        <v>39730.36</v>
      </c>
      <c r="H157" s="606">
        <v>19674.02</v>
      </c>
      <c r="I157" s="606">
        <v>51089.34</v>
      </c>
      <c r="J157" s="606">
        <v>-178961.01</v>
      </c>
      <c r="K157" s="606">
        <v>164884.07999999999</v>
      </c>
      <c r="L157" s="606">
        <v>-12331.32</v>
      </c>
      <c r="M157" s="606">
        <v>-90882.67</v>
      </c>
      <c r="N157" s="606">
        <v>61516.21</v>
      </c>
      <c r="O157" s="606">
        <v>160567.96</v>
      </c>
      <c r="P157" s="606">
        <v>34148.379999999997</v>
      </c>
      <c r="Q157" s="606">
        <f>Q144</f>
        <v>0</v>
      </c>
      <c r="R157" s="94"/>
      <c r="S157" s="627">
        <f t="shared" si="66"/>
        <v>331046.74</v>
      </c>
      <c r="T157" s="94"/>
      <c r="U157" s="934">
        <f>D4/SUM('Payroll 19-20'!E7:E59,'Payroll 19-20'!E78:E98)</f>
        <v>23.057681159420291</v>
      </c>
      <c r="V157" s="935" t="s">
        <v>627</v>
      </c>
      <c r="X157" s="113"/>
      <c r="Y157" s="113"/>
    </row>
    <row r="158" spans="1:25" s="95" customFormat="1" ht="12" customHeight="1">
      <c r="B158" s="95" t="s">
        <v>186</v>
      </c>
      <c r="D158" s="130" t="s">
        <v>294</v>
      </c>
      <c r="E158" s="606">
        <v>327720.52</v>
      </c>
      <c r="F158" s="1028">
        <v>308100.05</v>
      </c>
      <c r="G158" s="606">
        <v>106388.18</v>
      </c>
      <c r="H158" s="606">
        <v>251304.31</v>
      </c>
      <c r="I158" s="606">
        <v>-659613.85</v>
      </c>
      <c r="J158" s="606">
        <v>16618.37</v>
      </c>
      <c r="K158" s="606">
        <v>80681.279999999999</v>
      </c>
      <c r="L158" s="606">
        <v>-11887.37</v>
      </c>
      <c r="M158" s="606">
        <v>-9418.7800000000007</v>
      </c>
      <c r="N158" s="606">
        <v>-88289.69</v>
      </c>
      <c r="O158" s="606">
        <v>84858.42</v>
      </c>
      <c r="P158" s="606">
        <v>2480641.9700000002</v>
      </c>
      <c r="Q158" s="606">
        <f>Q145</f>
        <v>0</v>
      </c>
      <c r="R158" s="94"/>
      <c r="S158" s="627">
        <f t="shared" si="66"/>
        <v>2887103.41</v>
      </c>
      <c r="T158" s="94"/>
      <c r="U158" s="113"/>
      <c r="V158" s="113"/>
      <c r="X158" s="113"/>
      <c r="Y158" s="113"/>
    </row>
    <row r="159" spans="1:25" s="95" customFormat="1" ht="12" customHeight="1">
      <c r="B159" s="95" t="s">
        <v>186</v>
      </c>
      <c r="D159" s="130" t="s">
        <v>234</v>
      </c>
      <c r="E159" s="606">
        <v>0</v>
      </c>
      <c r="F159" s="1028">
        <v>0</v>
      </c>
      <c r="G159" s="606">
        <v>0</v>
      </c>
      <c r="H159" s="606">
        <v>0</v>
      </c>
      <c r="I159" s="606">
        <v>0</v>
      </c>
      <c r="J159" s="606">
        <v>0</v>
      </c>
      <c r="K159" s="606">
        <v>0</v>
      </c>
      <c r="L159" s="606">
        <v>0</v>
      </c>
      <c r="M159" s="606">
        <v>0</v>
      </c>
      <c r="N159" s="606">
        <v>0</v>
      </c>
      <c r="O159" s="606">
        <v>0</v>
      </c>
      <c r="P159" s="606">
        <v>4405000</v>
      </c>
      <c r="Q159" s="606">
        <v>0</v>
      </c>
      <c r="R159" s="94"/>
      <c r="S159" s="627">
        <f t="shared" si="66"/>
        <v>4405000</v>
      </c>
      <c r="T159" s="94"/>
      <c r="U159" s="113"/>
      <c r="V159" s="113"/>
      <c r="X159" s="113"/>
      <c r="Y159" s="113"/>
    </row>
    <row r="160" spans="1:25" s="95" customFormat="1" ht="11" customHeight="1">
      <c r="B160" s="95" t="s">
        <v>186</v>
      </c>
      <c r="C160" s="95" t="s">
        <v>49</v>
      </c>
      <c r="D160" s="130"/>
      <c r="E160" s="606"/>
      <c r="F160" s="1028"/>
      <c r="G160" s="606"/>
      <c r="H160" s="606"/>
      <c r="I160" s="606"/>
      <c r="J160" s="606"/>
      <c r="K160" s="606"/>
      <c r="L160" s="606"/>
      <c r="M160" s="606"/>
      <c r="N160" s="606"/>
      <c r="O160" s="606"/>
      <c r="P160" s="606"/>
      <c r="Q160" s="606"/>
      <c r="R160" s="94"/>
      <c r="S160" s="627"/>
      <c r="T160" s="94"/>
      <c r="U160" s="113"/>
      <c r="V160" s="113"/>
      <c r="X160" s="113"/>
      <c r="Y160" s="113"/>
    </row>
    <row r="161" spans="1:31" s="95" customFormat="1" ht="11" customHeight="1">
      <c r="B161" s="95" t="s">
        <v>186</v>
      </c>
      <c r="D161" s="130" t="s">
        <v>296</v>
      </c>
      <c r="E161" s="606">
        <v>0</v>
      </c>
      <c r="F161" s="1028">
        <v>0</v>
      </c>
      <c r="G161" s="606">
        <v>0</v>
      </c>
      <c r="H161" s="606">
        <v>0</v>
      </c>
      <c r="I161" s="606">
        <v>0</v>
      </c>
      <c r="J161" s="606">
        <v>-15000</v>
      </c>
      <c r="K161" s="606">
        <v>0</v>
      </c>
      <c r="L161" s="606">
        <v>0</v>
      </c>
      <c r="M161" s="606">
        <v>0</v>
      </c>
      <c r="N161" s="606">
        <v>0</v>
      </c>
      <c r="O161" s="606">
        <v>0</v>
      </c>
      <c r="P161" s="606">
        <v>0</v>
      </c>
      <c r="Q161" s="606">
        <v>0</v>
      </c>
      <c r="R161" s="94"/>
      <c r="S161" s="627">
        <f t="shared" si="66"/>
        <v>-15000</v>
      </c>
      <c r="T161" s="94"/>
      <c r="U161" s="113"/>
      <c r="V161" s="113"/>
      <c r="X161" s="113"/>
      <c r="Y161" s="113"/>
    </row>
    <row r="162" spans="1:31" s="95" customFormat="1" ht="12" hidden="1" customHeight="1">
      <c r="D162" s="95" t="s">
        <v>295</v>
      </c>
      <c r="E162" s="606">
        <v>0</v>
      </c>
      <c r="F162" s="1028">
        <v>0</v>
      </c>
      <c r="G162" s="606">
        <v>0</v>
      </c>
      <c r="H162" s="606">
        <v>0</v>
      </c>
      <c r="I162" s="606">
        <v>0</v>
      </c>
      <c r="J162" s="606">
        <v>0</v>
      </c>
      <c r="K162" s="606">
        <v>0</v>
      </c>
      <c r="L162" s="606">
        <v>0</v>
      </c>
      <c r="M162" s="606">
        <v>0</v>
      </c>
      <c r="N162" s="606">
        <v>0</v>
      </c>
      <c r="O162" s="606">
        <v>0</v>
      </c>
      <c r="P162" s="606">
        <v>0</v>
      </c>
      <c r="Q162" s="606">
        <v>0</v>
      </c>
      <c r="R162" s="94"/>
      <c r="S162" s="627">
        <f t="shared" si="66"/>
        <v>0</v>
      </c>
      <c r="T162" s="94"/>
      <c r="U162" s="113"/>
      <c r="V162" s="113"/>
      <c r="X162" s="113"/>
      <c r="Y162" s="113"/>
    </row>
    <row r="163" spans="1:31" s="95" customFormat="1" ht="12" customHeight="1">
      <c r="C163" s="95" t="s">
        <v>50</v>
      </c>
      <c r="E163" s="606"/>
      <c r="F163" s="1028"/>
      <c r="G163" s="606"/>
      <c r="H163" s="606"/>
      <c r="I163" s="606"/>
      <c r="J163" s="606"/>
      <c r="K163" s="606"/>
      <c r="L163" s="606"/>
      <c r="M163" s="606"/>
      <c r="N163" s="606"/>
      <c r="O163" s="606"/>
      <c r="P163" s="606"/>
      <c r="Q163" s="606"/>
      <c r="R163" s="94"/>
      <c r="S163" s="627"/>
      <c r="T163" s="94"/>
      <c r="U163" s="113"/>
      <c r="V163" s="113"/>
      <c r="X163" s="113"/>
      <c r="Y163" s="113"/>
    </row>
    <row r="164" spans="1:31" s="95" customFormat="1" ht="12" customHeight="1">
      <c r="D164" s="95" t="s">
        <v>317</v>
      </c>
      <c r="E164" s="606">
        <v>0</v>
      </c>
      <c r="F164" s="606">
        <v>0</v>
      </c>
      <c r="G164" s="606">
        <v>9701100</v>
      </c>
      <c r="H164" s="606">
        <v>0</v>
      </c>
      <c r="I164" s="606">
        <v>5416200</v>
      </c>
      <c r="J164" s="606">
        <v>5205000</v>
      </c>
      <c r="K164" s="606">
        <v>0</v>
      </c>
      <c r="L164" s="606">
        <v>2591200</v>
      </c>
      <c r="M164" s="606">
        <f>P15*0.9</f>
        <v>253863</v>
      </c>
      <c r="N164" s="606">
        <v>0</v>
      </c>
      <c r="O164" s="606">
        <f>1159200+1159200+2086600</f>
        <v>4405000</v>
      </c>
      <c r="P164" s="918">
        <v>0</v>
      </c>
      <c r="Q164" s="606">
        <v>0</v>
      </c>
      <c r="R164" s="94"/>
      <c r="S164" s="627">
        <f t="shared" si="66"/>
        <v>27572363</v>
      </c>
      <c r="T164" s="94"/>
      <c r="U164" s="113"/>
      <c r="V164" s="113"/>
      <c r="X164" s="113"/>
      <c r="Y164" s="113"/>
    </row>
    <row r="165" spans="1:31" s="1051" customFormat="1" ht="12" customHeight="1">
      <c r="D165" s="1051" t="s">
        <v>318</v>
      </c>
      <c r="E165" s="918">
        <v>0</v>
      </c>
      <c r="F165" s="918">
        <v>0</v>
      </c>
      <c r="G165" s="918">
        <v>0</v>
      </c>
      <c r="H165" s="918">
        <v>0</v>
      </c>
      <c r="I165" s="918">
        <f>-G164</f>
        <v>-9701100</v>
      </c>
      <c r="J165" s="918">
        <v>0</v>
      </c>
      <c r="K165" s="918">
        <v>0</v>
      </c>
      <c r="L165" s="918">
        <f>-I164</f>
        <v>-5416200</v>
      </c>
      <c r="M165" s="918">
        <v>-7796200</v>
      </c>
      <c r="N165" s="918">
        <v>0</v>
      </c>
      <c r="O165" s="918"/>
      <c r="P165" s="918">
        <v>0</v>
      </c>
      <c r="Q165" s="918">
        <v>0</v>
      </c>
      <c r="R165" s="917"/>
      <c r="S165" s="1052">
        <f t="shared" si="66"/>
        <v>-22913500</v>
      </c>
      <c r="T165" s="917"/>
      <c r="U165" s="1053"/>
      <c r="V165" s="1053"/>
      <c r="X165" s="1053"/>
      <c r="Y165" s="1053"/>
    </row>
    <row r="166" spans="1:31" s="95" customFormat="1" ht="12" customHeight="1">
      <c r="D166" s="95" t="s">
        <v>552</v>
      </c>
      <c r="E166" s="606">
        <f>E177</f>
        <v>0</v>
      </c>
      <c r="F166" s="606">
        <f t="shared" ref="F166:O166" si="67">F177</f>
        <v>0</v>
      </c>
      <c r="G166" s="606">
        <f t="shared" si="67"/>
        <v>0</v>
      </c>
      <c r="H166" s="606">
        <f t="shared" si="67"/>
        <v>0</v>
      </c>
      <c r="I166" s="606">
        <f t="shared" si="67"/>
        <v>0</v>
      </c>
      <c r="J166" s="606">
        <f t="shared" si="67"/>
        <v>0</v>
      </c>
      <c r="K166" s="606">
        <f t="shared" si="67"/>
        <v>0</v>
      </c>
      <c r="L166" s="606">
        <f t="shared" si="67"/>
        <v>0</v>
      </c>
      <c r="M166" s="606">
        <f t="shared" si="67"/>
        <v>0</v>
      </c>
      <c r="N166" s="606">
        <f t="shared" si="67"/>
        <v>0</v>
      </c>
      <c r="O166" s="606">
        <f t="shared" si="67"/>
        <v>0</v>
      </c>
      <c r="P166" s="918">
        <v>2052725</v>
      </c>
      <c r="Q166" s="606">
        <v>0</v>
      </c>
      <c r="R166" s="94"/>
      <c r="S166" s="627">
        <f t="shared" si="66"/>
        <v>2052725</v>
      </c>
      <c r="T166" s="94"/>
      <c r="U166" s="113"/>
      <c r="V166" s="113"/>
      <c r="X166" s="113"/>
      <c r="Y166" s="113"/>
    </row>
    <row r="167" spans="1:31" s="95" customFormat="1" ht="12" customHeight="1">
      <c r="D167" s="95" t="s">
        <v>553</v>
      </c>
      <c r="E167" s="924">
        <f>E178</f>
        <v>0</v>
      </c>
      <c r="F167" s="924">
        <f t="shared" ref="F167:P167" si="68">F178</f>
        <v>0</v>
      </c>
      <c r="G167" s="924">
        <f t="shared" si="68"/>
        <v>0</v>
      </c>
      <c r="H167" s="924">
        <f t="shared" si="68"/>
        <v>0</v>
      </c>
      <c r="I167" s="924">
        <f t="shared" si="68"/>
        <v>0</v>
      </c>
      <c r="J167" s="924">
        <f t="shared" si="68"/>
        <v>0</v>
      </c>
      <c r="K167" s="924">
        <f t="shared" si="68"/>
        <v>0</v>
      </c>
      <c r="L167" s="924">
        <f t="shared" si="68"/>
        <v>0</v>
      </c>
      <c r="M167" s="924">
        <f t="shared" si="68"/>
        <v>0</v>
      </c>
      <c r="N167" s="924">
        <f t="shared" si="68"/>
        <v>0</v>
      </c>
      <c r="O167" s="924">
        <f t="shared" si="68"/>
        <v>0</v>
      </c>
      <c r="P167" s="924">
        <f t="shared" si="68"/>
        <v>0</v>
      </c>
      <c r="Q167" s="606">
        <v>0</v>
      </c>
      <c r="R167" s="94"/>
      <c r="S167" s="627">
        <f t="shared" ref="S167" si="69">SUM(E167:R167)</f>
        <v>0</v>
      </c>
      <c r="T167" s="94"/>
      <c r="U167" s="113"/>
      <c r="V167" s="113"/>
      <c r="X167" s="113"/>
      <c r="Y167" s="113"/>
    </row>
    <row r="168" spans="1:31" s="95" customFormat="1" ht="12" customHeight="1">
      <c r="E168" s="606"/>
      <c r="F168" s="606"/>
      <c r="G168" s="606"/>
      <c r="H168" s="606"/>
      <c r="I168" s="606"/>
      <c r="J168" s="606"/>
      <c r="K168" s="606"/>
      <c r="L168" s="606"/>
      <c r="M168" s="606"/>
      <c r="N168" s="606"/>
      <c r="O168" s="606"/>
      <c r="P168" s="606"/>
      <c r="Q168" s="94"/>
      <c r="R168" s="94"/>
      <c r="S168" s="131"/>
      <c r="T168" s="94"/>
      <c r="U168" s="113"/>
      <c r="V168" s="113"/>
      <c r="X168" s="113"/>
      <c r="Y168" s="113"/>
    </row>
    <row r="169" spans="1:31" s="95" customFormat="1" ht="12" customHeight="1">
      <c r="B169" s="95" t="s">
        <v>51</v>
      </c>
      <c r="E169" s="606">
        <f t="shared" ref="E169:P169" si="70">SUBTOTAL(9,E149:E168)</f>
        <v>4999.8199999999488</v>
      </c>
      <c r="F169" s="606">
        <f t="shared" si="70"/>
        <v>291691.31000000006</v>
      </c>
      <c r="G169" s="606">
        <f t="shared" si="70"/>
        <v>84149.529999999329</v>
      </c>
      <c r="H169" s="606">
        <f t="shared" si="70"/>
        <v>9460556.9500000011</v>
      </c>
      <c r="I169" s="606">
        <f t="shared" si="70"/>
        <v>-6168512.9700000007</v>
      </c>
      <c r="J169" s="606">
        <f t="shared" si="70"/>
        <v>1414003.8200000003</v>
      </c>
      <c r="K169" s="606">
        <f t="shared" si="70"/>
        <v>2848456.5799999996</v>
      </c>
      <c r="L169" s="606">
        <f t="shared" si="70"/>
        <v>-5245821.2699999996</v>
      </c>
      <c r="M169" s="606">
        <f t="shared" si="70"/>
        <v>-161128.97999999952</v>
      </c>
      <c r="N169" s="606">
        <f t="shared" si="70"/>
        <v>-1673104.3799999994</v>
      </c>
      <c r="O169" s="606">
        <f t="shared" si="70"/>
        <v>2356934.27</v>
      </c>
      <c r="P169" s="606">
        <f t="shared" si="70"/>
        <v>464382.94000000134</v>
      </c>
      <c r="Q169" s="94"/>
      <c r="R169" s="94"/>
      <c r="S169" s="94"/>
      <c r="T169" s="94"/>
      <c r="U169" s="94"/>
      <c r="V169" s="94"/>
      <c r="X169" s="94"/>
      <c r="Y169" s="94"/>
    </row>
    <row r="170" spans="1:31" s="95" customFormat="1" ht="12" customHeight="1" thickBot="1">
      <c r="E170" s="606"/>
      <c r="F170" s="606"/>
      <c r="G170" s="606"/>
      <c r="H170" s="606"/>
      <c r="I170" s="606"/>
      <c r="J170" s="606"/>
      <c r="K170" s="606"/>
      <c r="L170" s="606"/>
      <c r="M170" s="606"/>
      <c r="N170" s="606"/>
      <c r="O170" s="606"/>
      <c r="P170" s="606"/>
      <c r="Q170" s="94"/>
      <c r="R170" s="94"/>
      <c r="S170" s="94"/>
      <c r="T170" s="94"/>
      <c r="U170" s="94"/>
      <c r="V170" s="94"/>
      <c r="X170" s="94"/>
      <c r="Y170" s="94"/>
    </row>
    <row r="171" spans="1:31" s="95" customFormat="1" ht="12" customHeight="1">
      <c r="B171" s="95" t="s">
        <v>52</v>
      </c>
      <c r="E171" s="924">
        <f>'FY18-19'!P171</f>
        <v>0</v>
      </c>
      <c r="F171" s="924">
        <f>E173+0.18</f>
        <v>4999.9999999999491</v>
      </c>
      <c r="G171" s="924">
        <f t="shared" ref="G171:O171" si="71">F173</f>
        <v>296691.31</v>
      </c>
      <c r="H171" s="924">
        <f t="shared" si="71"/>
        <v>380840.83999999933</v>
      </c>
      <c r="I171" s="924">
        <f t="shared" si="71"/>
        <v>9841397.790000001</v>
      </c>
      <c r="J171" s="924">
        <f t="shared" si="71"/>
        <v>3672884.8200000003</v>
      </c>
      <c r="K171" s="924">
        <f t="shared" si="71"/>
        <v>5086888.6400000006</v>
      </c>
      <c r="L171" s="924">
        <f t="shared" si="71"/>
        <v>7935345.2200000007</v>
      </c>
      <c r="M171" s="924">
        <f t="shared" si="71"/>
        <v>2689523.9500000011</v>
      </c>
      <c r="N171" s="924">
        <f t="shared" si="71"/>
        <v>2528394.9700000016</v>
      </c>
      <c r="O171" s="924">
        <f t="shared" si="71"/>
        <v>855290.59000000218</v>
      </c>
      <c r="P171" s="924">
        <f>O173</f>
        <v>3212224.8600000022</v>
      </c>
      <c r="Q171" s="94"/>
      <c r="R171" s="94"/>
      <c r="S171" s="94"/>
      <c r="T171" s="94"/>
      <c r="U171" s="94"/>
      <c r="V171" s="94"/>
      <c r="X171" s="94"/>
      <c r="Y171" s="94"/>
      <c r="AA171" s="971"/>
      <c r="AB171" s="972"/>
      <c r="AC171" s="973" t="s">
        <v>760</v>
      </c>
      <c r="AD171" s="973" t="s">
        <v>761</v>
      </c>
      <c r="AE171" s="974" t="s">
        <v>762</v>
      </c>
    </row>
    <row r="172" spans="1:31" s="95" customFormat="1" ht="12" customHeight="1">
      <c r="E172" s="606"/>
      <c r="F172" s="606"/>
      <c r="G172" s="606"/>
      <c r="H172" s="606"/>
      <c r="I172" s="606"/>
      <c r="J172" s="606"/>
      <c r="K172" s="606"/>
      <c r="L172" s="606"/>
      <c r="M172" s="606"/>
      <c r="N172" s="606"/>
      <c r="O172" s="606"/>
      <c r="P172" s="606"/>
      <c r="Q172" s="94"/>
      <c r="R172" s="94"/>
      <c r="S172" s="94"/>
      <c r="T172" s="94"/>
      <c r="U172" s="94"/>
      <c r="V172" s="94"/>
      <c r="X172" s="94"/>
      <c r="Y172" s="94"/>
      <c r="AA172" s="975"/>
      <c r="AB172" s="976" t="s">
        <v>763</v>
      </c>
      <c r="AC172" s="977">
        <f>SUM(S62)-SUM(S60*0.25)</f>
        <v>10297073.464999998</v>
      </c>
      <c r="AD172" s="977">
        <f>+S62-AC172</f>
        <v>315615.68500000052</v>
      </c>
      <c r="AE172" s="978">
        <f>+S69</f>
        <v>444477.83</v>
      </c>
    </row>
    <row r="173" spans="1:31" s="112" customFormat="1" ht="12" customHeight="1" thickBot="1">
      <c r="B173" s="112" t="s">
        <v>53</v>
      </c>
      <c r="E173" s="608">
        <f>E169+E171</f>
        <v>4999.8199999999488</v>
      </c>
      <c r="F173" s="608">
        <f>F169+F171</f>
        <v>296691.31</v>
      </c>
      <c r="G173" s="608">
        <f t="shared" ref="G173:O173" si="72">G169+G171</f>
        <v>380840.83999999933</v>
      </c>
      <c r="H173" s="608">
        <f t="shared" si="72"/>
        <v>9841397.790000001</v>
      </c>
      <c r="I173" s="608">
        <f t="shared" si="72"/>
        <v>3672884.8200000003</v>
      </c>
      <c r="J173" s="608">
        <f>J169+J171</f>
        <v>5086888.6400000006</v>
      </c>
      <c r="K173" s="608">
        <f t="shared" si="72"/>
        <v>7935345.2200000007</v>
      </c>
      <c r="L173" s="608">
        <f t="shared" si="72"/>
        <v>2689523.9500000011</v>
      </c>
      <c r="M173" s="608">
        <f>M169+M171</f>
        <v>2528394.9700000016</v>
      </c>
      <c r="N173" s="608">
        <f t="shared" si="72"/>
        <v>855290.59000000218</v>
      </c>
      <c r="O173" s="608">
        <f t="shared" si="72"/>
        <v>3212224.8600000022</v>
      </c>
      <c r="P173" s="608">
        <f>P169+P171</f>
        <v>3676607.8000000035</v>
      </c>
      <c r="Q173" s="113"/>
      <c r="R173" s="113"/>
      <c r="S173" s="113"/>
      <c r="T173" s="113"/>
      <c r="U173" s="113"/>
      <c r="V173" s="113"/>
      <c r="X173" s="113"/>
      <c r="Y173" s="113"/>
      <c r="AA173" s="975"/>
      <c r="AB173" s="976" t="s">
        <v>764</v>
      </c>
      <c r="AC173" s="977">
        <f>+S93</f>
        <v>1240799.3899999999</v>
      </c>
      <c r="AD173" s="977"/>
      <c r="AE173" s="979"/>
    </row>
    <row r="174" spans="1:31" s="423" customFormat="1" ht="12" customHeight="1" thickTop="1">
      <c r="A174" s="422"/>
      <c r="B174" s="422"/>
      <c r="D174" s="582">
        <v>0.15</v>
      </c>
      <c r="E174" s="424">
        <f t="shared" ref="E174:P174" si="73">$S$144*$D$174</f>
        <v>4471823.3489999995</v>
      </c>
      <c r="F174" s="424">
        <f t="shared" si="73"/>
        <v>4471823.3489999995</v>
      </c>
      <c r="G174" s="424">
        <f t="shared" si="73"/>
        <v>4471823.3489999995</v>
      </c>
      <c r="H174" s="424">
        <f t="shared" si="73"/>
        <v>4471823.3489999995</v>
      </c>
      <c r="I174" s="424">
        <f t="shared" si="73"/>
        <v>4471823.3489999995</v>
      </c>
      <c r="J174" s="424">
        <f t="shared" si="73"/>
        <v>4471823.3489999995</v>
      </c>
      <c r="K174" s="424">
        <f t="shared" si="73"/>
        <v>4471823.3489999995</v>
      </c>
      <c r="L174" s="424">
        <f t="shared" si="73"/>
        <v>4471823.3489999995</v>
      </c>
      <c r="M174" s="424">
        <f t="shared" si="73"/>
        <v>4471823.3489999995</v>
      </c>
      <c r="N174" s="424">
        <f t="shared" si="73"/>
        <v>4471823.3489999995</v>
      </c>
      <c r="O174" s="424">
        <f t="shared" si="73"/>
        <v>4471823.3489999995</v>
      </c>
      <c r="P174" s="424">
        <f t="shared" si="73"/>
        <v>4471823.3489999995</v>
      </c>
      <c r="Q174" s="424"/>
      <c r="R174" s="424"/>
      <c r="S174" s="425"/>
      <c r="T174" s="424"/>
      <c r="U174" s="424"/>
      <c r="V174" s="424"/>
      <c r="X174" s="424"/>
      <c r="Y174" s="424"/>
      <c r="AA174" s="975"/>
      <c r="AB174" s="976" t="s">
        <v>765</v>
      </c>
      <c r="AC174" s="977">
        <v>0</v>
      </c>
      <c r="AD174" s="977"/>
      <c r="AE174" s="980"/>
    </row>
    <row r="175" spans="1:31" s="95" customFormat="1" ht="12" customHeight="1">
      <c r="A175" s="112"/>
      <c r="B175" s="112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131"/>
      <c r="T175" s="94"/>
      <c r="U175" s="94"/>
      <c r="V175" s="94"/>
      <c r="X175" s="94"/>
      <c r="Y175" s="94"/>
      <c r="AA175" s="975"/>
      <c r="AB175" s="976" t="s">
        <v>3</v>
      </c>
      <c r="AC175" s="977">
        <f>SUM(AC172/SUM(S62+S69))*S79</f>
        <v>2961415.3698172076</v>
      </c>
      <c r="AD175" s="977">
        <f>SUM(AD172/SUM(S62+S69))*S79</f>
        <v>90770.36729817951</v>
      </c>
      <c r="AE175" s="981">
        <f>SUM(AE172/(S62+S69))*S79</f>
        <v>127830.83288461321</v>
      </c>
    </row>
    <row r="176" spans="1:31" s="95" customFormat="1" ht="12" customHeight="1">
      <c r="A176" s="112"/>
      <c r="B176" s="112"/>
      <c r="D176" s="95" t="s">
        <v>557</v>
      </c>
      <c r="E176" s="315">
        <v>0</v>
      </c>
      <c r="F176" s="315">
        <f>E179</f>
        <v>0</v>
      </c>
      <c r="G176" s="315">
        <f t="shared" ref="G176:P176" si="74">F179</f>
        <v>0</v>
      </c>
      <c r="H176" s="315">
        <f t="shared" si="74"/>
        <v>0</v>
      </c>
      <c r="I176" s="315">
        <f t="shared" si="74"/>
        <v>0</v>
      </c>
      <c r="J176" s="315">
        <f t="shared" si="74"/>
        <v>0</v>
      </c>
      <c r="K176" s="315">
        <f t="shared" si="74"/>
        <v>0</v>
      </c>
      <c r="L176" s="315">
        <f t="shared" si="74"/>
        <v>0</v>
      </c>
      <c r="M176" s="315">
        <f t="shared" si="74"/>
        <v>0</v>
      </c>
      <c r="N176" s="315">
        <f t="shared" si="74"/>
        <v>0</v>
      </c>
      <c r="O176" s="315">
        <f t="shared" si="74"/>
        <v>0</v>
      </c>
      <c r="P176" s="315">
        <f t="shared" si="74"/>
        <v>0</v>
      </c>
      <c r="Q176" s="94"/>
      <c r="R176" s="94"/>
      <c r="S176" s="131"/>
      <c r="T176" s="94"/>
      <c r="U176" s="94"/>
      <c r="V176" s="94"/>
      <c r="X176" s="94"/>
      <c r="Y176" s="94"/>
      <c r="AA176" s="982"/>
      <c r="AB176" s="983" t="s">
        <v>74</v>
      </c>
      <c r="AC176" s="984">
        <f>SUM(AC172:AC175)</f>
        <v>14499288.224817205</v>
      </c>
      <c r="AD176" s="984">
        <f t="shared" ref="AD176:AE176" si="75">SUM(AD172:AD175)</f>
        <v>406386.05229818006</v>
      </c>
      <c r="AE176" s="985">
        <f t="shared" si="75"/>
        <v>572308.66288461327</v>
      </c>
    </row>
    <row r="177" spans="1:31" s="95" customFormat="1" ht="12" customHeight="1">
      <c r="A177" s="112"/>
      <c r="B177" s="112"/>
      <c r="D177" s="95" t="s">
        <v>558</v>
      </c>
      <c r="E177" s="316">
        <v>0</v>
      </c>
      <c r="F177" s="316">
        <v>0</v>
      </c>
      <c r="G177" s="316">
        <v>0</v>
      </c>
      <c r="H177" s="316">
        <v>0</v>
      </c>
      <c r="I177" s="316">
        <v>0</v>
      </c>
      <c r="J177" s="316">
        <v>0</v>
      </c>
      <c r="K177" s="316">
        <v>0</v>
      </c>
      <c r="L177" s="316">
        <v>0</v>
      </c>
      <c r="M177" s="316">
        <v>0</v>
      </c>
      <c r="N177" s="316">
        <v>0</v>
      </c>
      <c r="O177" s="316">
        <v>0</v>
      </c>
      <c r="P177" s="316">
        <v>0</v>
      </c>
      <c r="Q177" s="94"/>
      <c r="R177" s="94"/>
      <c r="S177" s="131"/>
      <c r="T177" s="94"/>
      <c r="U177" s="94"/>
      <c r="V177" s="94"/>
      <c r="X177" s="94"/>
      <c r="Y177" s="94"/>
      <c r="AA177" s="986"/>
      <c r="AB177" s="987"/>
      <c r="AC177" s="988" t="s">
        <v>766</v>
      </c>
      <c r="AD177" s="989"/>
      <c r="AE177" s="990"/>
    </row>
    <row r="178" spans="1:31" s="95" customFormat="1" ht="12" customHeight="1">
      <c r="D178" s="95" t="s">
        <v>559</v>
      </c>
      <c r="E178" s="316">
        <f>-E176</f>
        <v>0</v>
      </c>
      <c r="F178" s="316">
        <v>0</v>
      </c>
      <c r="G178" s="316">
        <v>0</v>
      </c>
      <c r="H178" s="316">
        <v>0</v>
      </c>
      <c r="I178" s="316">
        <v>0</v>
      </c>
      <c r="J178" s="316">
        <v>0</v>
      </c>
      <c r="K178" s="316">
        <v>0</v>
      </c>
      <c r="L178" s="316">
        <v>0</v>
      </c>
      <c r="M178" s="316">
        <v>0</v>
      </c>
      <c r="N178" s="316">
        <v>0</v>
      </c>
      <c r="O178" s="316">
        <v>0</v>
      </c>
      <c r="P178" s="316">
        <f>-$E$177/2</f>
        <v>0</v>
      </c>
      <c r="Q178" s="138"/>
      <c r="R178" s="138"/>
      <c r="S178" s="139"/>
      <c r="T178" s="138"/>
      <c r="U178" s="94"/>
      <c r="V178" s="94"/>
      <c r="X178" s="94"/>
      <c r="Y178" s="94"/>
      <c r="AA178" s="991"/>
      <c r="AB178" s="992" t="s">
        <v>767</v>
      </c>
      <c r="AC178" s="993">
        <f>SUM(S90-S86-S85)</f>
        <v>3785355.5599999996</v>
      </c>
      <c r="AD178" s="994"/>
      <c r="AE178" s="990"/>
    </row>
    <row r="179" spans="1:31" s="95" customFormat="1" ht="12" customHeight="1">
      <c r="D179" s="95" t="s">
        <v>560</v>
      </c>
      <c r="E179" s="94">
        <f>SUM(E176:E178)</f>
        <v>0</v>
      </c>
      <c r="F179" s="94">
        <f>SUM(F176:F178)</f>
        <v>0</v>
      </c>
      <c r="G179" s="94">
        <f t="shared" ref="G179:P179" si="76">SUM(G176:G178)</f>
        <v>0</v>
      </c>
      <c r="H179" s="94">
        <f t="shared" si="76"/>
        <v>0</v>
      </c>
      <c r="I179" s="94">
        <f t="shared" si="76"/>
        <v>0</v>
      </c>
      <c r="J179" s="94">
        <f t="shared" si="76"/>
        <v>0</v>
      </c>
      <c r="K179" s="94">
        <f t="shared" si="76"/>
        <v>0</v>
      </c>
      <c r="L179" s="94">
        <f t="shared" si="76"/>
        <v>0</v>
      </c>
      <c r="M179" s="94">
        <f t="shared" si="76"/>
        <v>0</v>
      </c>
      <c r="N179" s="94">
        <f t="shared" si="76"/>
        <v>0</v>
      </c>
      <c r="O179" s="94">
        <f t="shared" si="76"/>
        <v>0</v>
      </c>
      <c r="P179" s="94">
        <f t="shared" si="76"/>
        <v>0</v>
      </c>
      <c r="Q179" s="138"/>
      <c r="R179" s="138"/>
      <c r="S179" s="139"/>
      <c r="T179" s="138"/>
      <c r="U179" s="94"/>
      <c r="V179" s="94"/>
      <c r="X179" s="94"/>
      <c r="Y179" s="94"/>
      <c r="AA179" s="991"/>
      <c r="AB179" s="992" t="str">
        <f>+D97</f>
        <v>Other Educational Consultants</v>
      </c>
      <c r="AC179" s="993">
        <f>+S97</f>
        <v>3665769.97</v>
      </c>
      <c r="AD179" s="994"/>
      <c r="AE179" s="990"/>
    </row>
    <row r="180" spans="1:31" s="95" customFormat="1" ht="12" customHeight="1"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9"/>
      <c r="T180" s="138"/>
      <c r="U180" s="94"/>
      <c r="V180" s="94"/>
      <c r="X180" s="94"/>
      <c r="Y180" s="94"/>
      <c r="AA180" s="991"/>
      <c r="AB180" s="995" t="s">
        <v>549</v>
      </c>
      <c r="AC180" s="993">
        <f>+S98</f>
        <v>3325428.41</v>
      </c>
      <c r="AD180" s="994"/>
      <c r="AE180" s="990"/>
    </row>
    <row r="181" spans="1:31" s="95" customFormat="1" ht="12" customHeight="1"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8"/>
      <c r="R181" s="138"/>
      <c r="S181" s="139"/>
      <c r="T181" s="138"/>
      <c r="U181" s="94"/>
      <c r="V181" s="94"/>
      <c r="X181" s="94"/>
      <c r="Y181" s="94"/>
      <c r="AA181" s="996"/>
      <c r="AB181" s="992" t="s">
        <v>81</v>
      </c>
      <c r="AC181" s="993">
        <f>+S125</f>
        <v>228495.50000000003</v>
      </c>
      <c r="AD181" s="994"/>
      <c r="AE181" s="990"/>
    </row>
    <row r="182" spans="1:31" s="95" customFormat="1" ht="12" customHeight="1" thickBot="1">
      <c r="E182" s="137"/>
      <c r="F182" s="137"/>
      <c r="G182" s="137"/>
      <c r="H182" s="137"/>
      <c r="I182" s="137"/>
      <c r="J182" s="137"/>
      <c r="K182" s="137"/>
      <c r="L182" s="137"/>
      <c r="M182" s="137"/>
      <c r="N182" s="137">
        <f>+N62+N69</f>
        <v>903462.94</v>
      </c>
      <c r="O182" s="137"/>
      <c r="P182" s="137"/>
      <c r="Q182" s="138"/>
      <c r="R182" s="138"/>
      <c r="S182" s="139"/>
      <c r="T182" s="138"/>
      <c r="U182" s="94"/>
      <c r="V182" s="94"/>
      <c r="X182" s="94"/>
      <c r="Y182" s="94"/>
      <c r="AA182" s="997"/>
      <c r="AB182" s="998"/>
      <c r="AC182" s="999">
        <f>+AC176+AD176+AE176+AC178+AC179+AC181+AC180</f>
        <v>26483032.379999999</v>
      </c>
      <c r="AD182" s="994"/>
      <c r="AE182" s="990"/>
    </row>
    <row r="183" spans="1:31" s="95" customFormat="1" ht="12" customHeight="1" thickBot="1">
      <c r="E183" s="138"/>
      <c r="F183" s="138"/>
      <c r="G183" s="138"/>
      <c r="H183" s="138"/>
      <c r="I183" s="138"/>
      <c r="J183" s="138"/>
      <c r="K183" s="138"/>
      <c r="L183" s="138"/>
      <c r="M183" s="138"/>
      <c r="N183" s="138">
        <f>+N182/2</f>
        <v>451731.47</v>
      </c>
      <c r="O183" s="138"/>
      <c r="P183" s="138"/>
      <c r="Q183" s="138"/>
      <c r="R183" s="138"/>
      <c r="S183" s="139"/>
      <c r="T183" s="138"/>
      <c r="U183" s="94"/>
      <c r="V183" s="94"/>
      <c r="X183" s="94"/>
      <c r="Y183" s="94"/>
      <c r="AA183" s="1000"/>
      <c r="AB183" s="1001" t="s">
        <v>768</v>
      </c>
      <c r="AC183" s="1002">
        <f>+AC182/S52</f>
        <v>0.84045053675319159</v>
      </c>
      <c r="AD183" s="1003"/>
      <c r="AE183" s="1004"/>
    </row>
    <row r="184" spans="1:31" s="95" customFormat="1" ht="14" thickBot="1"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9"/>
      <c r="T184" s="138"/>
      <c r="U184" s="94"/>
      <c r="V184" s="94"/>
      <c r="X184" s="94"/>
      <c r="Y184" s="94"/>
      <c r="AA184" s="997"/>
      <c r="AB184" s="1005" t="s">
        <v>769</v>
      </c>
      <c r="AC184" s="1006">
        <f>+AC176</f>
        <v>14499288.224817205</v>
      </c>
      <c r="AD184" s="1007"/>
      <c r="AE184" s="1008"/>
    </row>
    <row r="185" spans="1:31" s="95" customFormat="1" ht="14" thickBot="1"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133"/>
      <c r="T185" s="94"/>
      <c r="U185" s="94"/>
      <c r="V185" s="94"/>
      <c r="X185" s="94"/>
      <c r="Y185" s="94"/>
      <c r="AA185" s="1009"/>
      <c r="AB185" s="1001" t="s">
        <v>768</v>
      </c>
      <c r="AC185" s="999">
        <f>+AC184/S52</f>
        <v>0.46014121027506183</v>
      </c>
      <c r="AD185" s="994"/>
      <c r="AE185" s="990"/>
    </row>
    <row r="186" spans="1:31" ht="13" thickBot="1">
      <c r="A186" s="62"/>
      <c r="B186" s="62"/>
      <c r="S186" s="140"/>
      <c r="U186" s="94"/>
      <c r="V186" s="94"/>
      <c r="X186" s="94"/>
      <c r="Y186" s="94"/>
      <c r="AA186" s="1010"/>
      <c r="AB186" s="1011"/>
      <c r="AC186" s="999"/>
      <c r="AD186" s="994"/>
      <c r="AE186" s="990"/>
    </row>
    <row r="187" spans="1:31" ht="13" thickBot="1">
      <c r="A187" s="62"/>
      <c r="B187" s="62"/>
      <c r="S187" s="140"/>
      <c r="U187" s="94"/>
      <c r="V187" s="94"/>
      <c r="X187" s="94"/>
      <c r="Y187" s="94"/>
      <c r="AB187" s="1012"/>
      <c r="AC187" s="1013"/>
      <c r="AD187" s="1013"/>
      <c r="AE187" s="1014"/>
    </row>
    <row r="188" spans="1:31" ht="13" thickBot="1">
      <c r="A188" s="62"/>
      <c r="B188" s="62"/>
      <c r="S188" s="140"/>
      <c r="U188" s="94"/>
      <c r="V188" s="94"/>
      <c r="X188" s="94"/>
      <c r="Y188" s="94"/>
      <c r="AB188" s="1015"/>
      <c r="AC188" s="1016"/>
      <c r="AD188" s="1016"/>
      <c r="AE188" s="1017"/>
    </row>
    <row r="189" spans="1:31">
      <c r="A189" s="62"/>
      <c r="B189" s="62"/>
      <c r="S189" s="140"/>
    </row>
    <row r="190" spans="1:31">
      <c r="A190" s="62"/>
      <c r="B190" s="62"/>
      <c r="S190" s="140"/>
    </row>
    <row r="191" spans="1:31">
      <c r="A191" s="62"/>
      <c r="B191" s="62"/>
      <c r="S191" s="140"/>
    </row>
  </sheetData>
  <mergeCells count="1">
    <mergeCell ref="U155:V155"/>
  </mergeCells>
  <printOptions horizontalCentered="1"/>
  <pageMargins left="0.15" right="0.15" top="0.35" bottom="0.35" header="0.3" footer="0.3"/>
  <pageSetup scale="59" fitToWidth="2" fitToHeight="4" orientation="landscape" copies="4" r:id="rId1"/>
  <headerFooter alignWithMargins="0">
    <oddFooter xml:space="preserve">&amp;R
</oddFooter>
  </headerFooter>
  <rowBreaks count="1" manualBreakCount="1">
    <brk id="110" max="21" man="1"/>
  </rowBreaks>
  <colBreaks count="1" manualBreakCount="1">
    <brk id="22" max="172" man="1"/>
  </colBreaks>
  <customProperties>
    <customPr name="DrillPoint.Configuration" r:id="rId2"/>
    <customPr name="DrillPoint.FROID" r:id="rId3"/>
    <customPr name="DrillPoint.MIPOrganization" r:id="rId4"/>
    <customPr name="DrillPoint.Mode" r:id="rId5"/>
    <customPr name="DrillPoint.Subsheet" r:id="rId6"/>
    <customPr name="DrillPoint.WorksheetID" r:id="rId7"/>
  </customProperties>
  <drawing r:id="rId8"/>
  <legacy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8C6B-4C5E-4CD4-9646-F5D5C91590C4}">
  <sheetPr>
    <tabColor rgb="FFF55036"/>
  </sheetPr>
  <dimension ref="A1:Q148"/>
  <sheetViews>
    <sheetView zoomScaleNormal="100" workbookViewId="0">
      <selection activeCell="P145" sqref="P145"/>
    </sheetView>
  </sheetViews>
  <sheetFormatPr baseColWidth="10" defaultColWidth="8.83203125" defaultRowHeight="15"/>
  <cols>
    <col min="1" max="1" width="5" bestFit="1" customWidth="1"/>
    <col min="2" max="2" width="53" bestFit="1" customWidth="1"/>
    <col min="3" max="14" width="12.6640625" style="961" customWidth="1"/>
    <col min="15" max="15" width="13.33203125" style="961" bestFit="1" customWidth="1"/>
    <col min="16" max="16" width="11.1640625" bestFit="1" customWidth="1"/>
  </cols>
  <sheetData>
    <row r="1" spans="1:16" s="967" customFormat="1" ht="32">
      <c r="A1" s="966"/>
      <c r="B1" s="966"/>
      <c r="C1" s="1048" t="s">
        <v>587</v>
      </c>
      <c r="D1" s="1048" t="s">
        <v>588</v>
      </c>
      <c r="E1" s="1048" t="s">
        <v>589</v>
      </c>
      <c r="F1" s="1048" t="s">
        <v>590</v>
      </c>
      <c r="G1" s="1048" t="s">
        <v>591</v>
      </c>
      <c r="H1" s="1048" t="s">
        <v>592</v>
      </c>
      <c r="I1" s="1048" t="s">
        <v>643</v>
      </c>
      <c r="J1" s="1048" t="s">
        <v>644</v>
      </c>
      <c r="K1" s="1048" t="s">
        <v>645</v>
      </c>
      <c r="L1" s="1048" t="s">
        <v>646</v>
      </c>
      <c r="M1" s="1048" t="s">
        <v>647</v>
      </c>
      <c r="N1" s="1048" t="s">
        <v>648</v>
      </c>
      <c r="O1" s="964" t="s">
        <v>74</v>
      </c>
      <c r="P1" s="962" t="s">
        <v>505</v>
      </c>
    </row>
    <row r="2" spans="1:16">
      <c r="A2" s="968"/>
      <c r="B2" s="968"/>
      <c r="C2" s="1050"/>
      <c r="D2" s="1050"/>
      <c r="E2" s="1050"/>
      <c r="F2" s="1050"/>
      <c r="G2" s="1050"/>
      <c r="H2" s="1050"/>
      <c r="I2" s="1050"/>
      <c r="J2" s="1050"/>
      <c r="K2" s="1050"/>
      <c r="L2" s="1050"/>
      <c r="M2" s="1050"/>
      <c r="N2" s="1050"/>
      <c r="O2" s="960"/>
      <c r="P2" s="969"/>
    </row>
    <row r="3" spans="1:16">
      <c r="A3" s="968"/>
      <c r="B3" s="968" t="s">
        <v>0</v>
      </c>
      <c r="C3" s="1050"/>
      <c r="D3" s="1050"/>
      <c r="E3" s="1050"/>
      <c r="F3" s="1050"/>
      <c r="G3" s="1050"/>
      <c r="H3" s="1050"/>
      <c r="I3" s="1050"/>
      <c r="J3" s="1050"/>
      <c r="K3" s="1050"/>
      <c r="L3" s="1050"/>
      <c r="M3" s="1050"/>
      <c r="N3" s="1050"/>
      <c r="O3" s="960"/>
      <c r="P3" s="969"/>
    </row>
    <row r="4" spans="1:16">
      <c r="A4" s="970"/>
      <c r="B4" s="968" t="s">
        <v>649</v>
      </c>
      <c r="C4" s="1050"/>
      <c r="D4" s="1050"/>
      <c r="E4" s="1050"/>
      <c r="F4" s="1050"/>
      <c r="G4" s="1050"/>
      <c r="H4" s="1050"/>
      <c r="I4" s="1050"/>
      <c r="J4" s="1050"/>
      <c r="K4" s="1050"/>
      <c r="L4" s="1050"/>
      <c r="M4" s="1050"/>
      <c r="N4" s="1050"/>
      <c r="O4" s="960"/>
      <c r="P4" s="969">
        <f>SUM(C4:N4)-O4</f>
        <v>0</v>
      </c>
    </row>
    <row r="5" spans="1:16">
      <c r="A5" s="970">
        <v>8011</v>
      </c>
      <c r="B5" s="968" t="s">
        <v>650</v>
      </c>
      <c r="C5" s="1050">
        <v>0</v>
      </c>
      <c r="D5" s="1050">
        <v>0</v>
      </c>
      <c r="E5" s="1050">
        <v>0</v>
      </c>
      <c r="F5" s="1050">
        <v>11771579</v>
      </c>
      <c r="G5" s="1050">
        <v>0</v>
      </c>
      <c r="H5" s="1050">
        <v>0</v>
      </c>
      <c r="I5" s="1050">
        <v>6371667</v>
      </c>
      <c r="J5" s="1050">
        <v>0</v>
      </c>
      <c r="K5" s="1050">
        <v>9012241</v>
      </c>
      <c r="L5" s="1050">
        <v>0</v>
      </c>
      <c r="M5" s="1050">
        <v>0</v>
      </c>
      <c r="N5" s="1050">
        <v>282070</v>
      </c>
      <c r="O5" s="960">
        <v>27437557</v>
      </c>
      <c r="P5" s="969">
        <f t="shared" ref="P5:P68" si="0">SUM(C5:N5)-O5</f>
        <v>0</v>
      </c>
    </row>
    <row r="6" spans="1:16">
      <c r="A6" s="970">
        <v>8012</v>
      </c>
      <c r="B6" s="968" t="s">
        <v>651</v>
      </c>
      <c r="C6" s="1050">
        <v>0</v>
      </c>
      <c r="D6" s="1050">
        <v>0</v>
      </c>
      <c r="E6" s="1050">
        <v>0</v>
      </c>
      <c r="F6" s="1050">
        <v>147000</v>
      </c>
      <c r="G6" s="1050">
        <v>0</v>
      </c>
      <c r="H6" s="1050">
        <v>0</v>
      </c>
      <c r="I6" s="1050">
        <v>163507</v>
      </c>
      <c r="J6" s="1050">
        <v>0</v>
      </c>
      <c r="K6" s="1050">
        <v>0</v>
      </c>
      <c r="L6" s="1050">
        <v>164163</v>
      </c>
      <c r="M6" s="1050">
        <v>0</v>
      </c>
      <c r="N6" s="1050">
        <v>161694</v>
      </c>
      <c r="O6" s="960">
        <v>636364</v>
      </c>
      <c r="P6" s="969">
        <f t="shared" si="0"/>
        <v>0</v>
      </c>
    </row>
    <row r="7" spans="1:16">
      <c r="A7" s="970">
        <v>8019</v>
      </c>
      <c r="B7" s="968" t="s">
        <v>652</v>
      </c>
      <c r="C7" s="1041">
        <v>0</v>
      </c>
      <c r="D7" s="1041">
        <v>0</v>
      </c>
      <c r="E7" s="1041">
        <v>0</v>
      </c>
      <c r="F7" s="1041">
        <v>0</v>
      </c>
      <c r="G7" s="1041">
        <v>0</v>
      </c>
      <c r="H7" s="1041">
        <v>0</v>
      </c>
      <c r="I7" s="1041">
        <v>0</v>
      </c>
      <c r="J7" s="1041">
        <v>0</v>
      </c>
      <c r="K7" s="1041">
        <v>0</v>
      </c>
      <c r="L7" s="1041">
        <v>0</v>
      </c>
      <c r="M7" s="1041">
        <v>0</v>
      </c>
      <c r="N7" s="1041">
        <v>0</v>
      </c>
      <c r="O7" s="963">
        <v>0</v>
      </c>
      <c r="P7" s="969">
        <f t="shared" si="0"/>
        <v>0</v>
      </c>
    </row>
    <row r="8" spans="1:16">
      <c r="A8" s="968">
        <v>8096</v>
      </c>
      <c r="B8" s="968" t="s">
        <v>653</v>
      </c>
      <c r="C8" s="1050">
        <v>0</v>
      </c>
      <c r="D8" s="1050">
        <v>0</v>
      </c>
      <c r="E8" s="1050">
        <v>0</v>
      </c>
      <c r="F8" s="1050">
        <v>0</v>
      </c>
      <c r="G8" s="1050">
        <v>0</v>
      </c>
      <c r="H8" s="1050">
        <v>0</v>
      </c>
      <c r="I8" s="1050">
        <v>0</v>
      </c>
      <c r="J8" s="1050">
        <v>0</v>
      </c>
      <c r="K8" s="1050">
        <v>0</v>
      </c>
      <c r="L8" s="1050">
        <v>0</v>
      </c>
      <c r="M8" s="1050">
        <v>0</v>
      </c>
      <c r="N8" s="1050">
        <v>841560</v>
      </c>
      <c r="O8" s="960">
        <v>841560</v>
      </c>
      <c r="P8" s="969">
        <f t="shared" si="0"/>
        <v>0</v>
      </c>
    </row>
    <row r="9" spans="1:16">
      <c r="A9" s="968"/>
      <c r="B9" s="968" t="s">
        <v>654</v>
      </c>
      <c r="C9" s="1050">
        <v>0</v>
      </c>
      <c r="D9" s="1050">
        <v>0</v>
      </c>
      <c r="E9" s="1050">
        <v>0</v>
      </c>
      <c r="F9" s="1050">
        <v>11918579</v>
      </c>
      <c r="G9" s="1050">
        <v>0</v>
      </c>
      <c r="H9" s="1050">
        <v>0</v>
      </c>
      <c r="I9" s="1050">
        <v>6535174</v>
      </c>
      <c r="J9" s="1050">
        <v>0</v>
      </c>
      <c r="K9" s="1050">
        <v>9012241</v>
      </c>
      <c r="L9" s="1050">
        <v>164163</v>
      </c>
      <c r="M9" s="1050">
        <v>0</v>
      </c>
      <c r="N9" s="1050">
        <v>1285324</v>
      </c>
      <c r="O9" s="960">
        <v>28915481</v>
      </c>
      <c r="P9" s="969">
        <f t="shared" si="0"/>
        <v>0</v>
      </c>
    </row>
    <row r="10" spans="1:16">
      <c r="A10" s="970"/>
      <c r="B10" s="968" t="s">
        <v>593</v>
      </c>
      <c r="C10" s="1050"/>
      <c r="D10" s="1050"/>
      <c r="E10" s="1050"/>
      <c r="F10" s="1050"/>
      <c r="G10" s="1050"/>
      <c r="H10" s="1050"/>
      <c r="I10" s="1050"/>
      <c r="J10" s="1050"/>
      <c r="K10" s="1050"/>
      <c r="L10" s="1050"/>
      <c r="M10" s="1050"/>
      <c r="N10" s="1050"/>
      <c r="O10" s="960"/>
      <c r="P10" s="969">
        <f t="shared" si="0"/>
        <v>0</v>
      </c>
    </row>
    <row r="11" spans="1:16">
      <c r="A11" s="970">
        <v>8181</v>
      </c>
      <c r="B11" s="968" t="s">
        <v>655</v>
      </c>
      <c r="C11" s="1050">
        <v>0</v>
      </c>
      <c r="D11" s="1050">
        <v>0</v>
      </c>
      <c r="E11" s="1050">
        <v>0</v>
      </c>
      <c r="F11" s="1050">
        <v>0</v>
      </c>
      <c r="G11" s="1050">
        <v>0</v>
      </c>
      <c r="H11" s="1050">
        <v>0</v>
      </c>
      <c r="I11" s="1050">
        <v>0</v>
      </c>
      <c r="J11" s="1050">
        <v>0</v>
      </c>
      <c r="K11" s="1050">
        <v>0</v>
      </c>
      <c r="L11" s="1050">
        <v>0</v>
      </c>
      <c r="M11" s="1050">
        <v>0</v>
      </c>
      <c r="N11" s="1050">
        <v>0</v>
      </c>
      <c r="O11" s="960">
        <v>0</v>
      </c>
      <c r="P11" s="969">
        <f t="shared" si="0"/>
        <v>0</v>
      </c>
    </row>
    <row r="12" spans="1:16">
      <c r="A12" s="970">
        <v>8182</v>
      </c>
      <c r="B12" s="968" t="s">
        <v>656</v>
      </c>
      <c r="C12" s="1050">
        <v>0</v>
      </c>
      <c r="D12" s="1050">
        <v>0</v>
      </c>
      <c r="E12" s="1050">
        <v>0</v>
      </c>
      <c r="F12" s="1050">
        <v>0</v>
      </c>
      <c r="G12" s="1050">
        <v>0</v>
      </c>
      <c r="H12" s="1050">
        <v>0</v>
      </c>
      <c r="I12" s="1050">
        <v>0</v>
      </c>
      <c r="J12" s="1050">
        <v>0</v>
      </c>
      <c r="K12" s="1050">
        <v>0</v>
      </c>
      <c r="L12" s="1050">
        <v>0</v>
      </c>
      <c r="M12" s="1050">
        <v>0</v>
      </c>
      <c r="N12" s="1050">
        <v>0</v>
      </c>
      <c r="O12" s="960">
        <v>0</v>
      </c>
      <c r="P12" s="969">
        <f t="shared" si="0"/>
        <v>0</v>
      </c>
    </row>
    <row r="13" spans="1:16">
      <c r="A13" s="970">
        <v>8220</v>
      </c>
      <c r="B13" s="968" t="s">
        <v>657</v>
      </c>
      <c r="C13" s="1050">
        <v>0</v>
      </c>
      <c r="D13" s="1050">
        <v>0</v>
      </c>
      <c r="E13" s="1050">
        <v>0</v>
      </c>
      <c r="F13" s="1050">
        <v>0</v>
      </c>
      <c r="G13" s="1050">
        <v>0</v>
      </c>
      <c r="H13" s="1050">
        <v>0</v>
      </c>
      <c r="I13" s="1050">
        <v>0</v>
      </c>
      <c r="J13" s="1050">
        <v>0</v>
      </c>
      <c r="K13" s="1050">
        <v>0</v>
      </c>
      <c r="L13" s="1050">
        <v>0</v>
      </c>
      <c r="M13" s="1050">
        <v>0</v>
      </c>
      <c r="N13" s="1050">
        <v>0</v>
      </c>
      <c r="O13" s="960">
        <v>0</v>
      </c>
      <c r="P13" s="969">
        <f t="shared" si="0"/>
        <v>0</v>
      </c>
    </row>
    <row r="14" spans="1:16">
      <c r="A14" s="970">
        <v>8290</v>
      </c>
      <c r="B14" s="968" t="s">
        <v>658</v>
      </c>
      <c r="C14" s="1050">
        <v>0</v>
      </c>
      <c r="D14" s="1050">
        <v>0</v>
      </c>
      <c r="E14" s="1050">
        <v>0</v>
      </c>
      <c r="F14" s="1050">
        <v>0</v>
      </c>
      <c r="G14" s="1050">
        <v>0</v>
      </c>
      <c r="H14" s="1050">
        <v>0</v>
      </c>
      <c r="I14" s="1050">
        <v>0</v>
      </c>
      <c r="J14" s="1050">
        <v>0</v>
      </c>
      <c r="K14" s="1050">
        <v>0</v>
      </c>
      <c r="L14" s="1050">
        <v>0</v>
      </c>
      <c r="M14" s="1050">
        <v>0</v>
      </c>
      <c r="N14" s="1050">
        <v>0</v>
      </c>
      <c r="O14" s="960">
        <v>0</v>
      </c>
      <c r="P14" s="969">
        <f t="shared" si="0"/>
        <v>0</v>
      </c>
    </row>
    <row r="15" spans="1:16">
      <c r="A15" s="970">
        <v>8291</v>
      </c>
      <c r="B15" s="968" t="s">
        <v>659</v>
      </c>
      <c r="C15" s="1050">
        <v>0</v>
      </c>
      <c r="D15" s="1050">
        <v>0</v>
      </c>
      <c r="E15" s="1050">
        <v>0</v>
      </c>
      <c r="F15" s="1050">
        <v>0</v>
      </c>
      <c r="G15" s="1050">
        <v>0</v>
      </c>
      <c r="H15" s="1050">
        <v>0</v>
      </c>
      <c r="I15" s="1050">
        <v>0</v>
      </c>
      <c r="J15" s="1050">
        <v>0</v>
      </c>
      <c r="K15" s="1050">
        <v>0</v>
      </c>
      <c r="L15" s="1050">
        <v>0</v>
      </c>
      <c r="M15" s="1050">
        <v>0</v>
      </c>
      <c r="N15" s="1050">
        <v>0</v>
      </c>
      <c r="O15" s="960">
        <v>0</v>
      </c>
      <c r="P15" s="969">
        <f t="shared" si="0"/>
        <v>0</v>
      </c>
    </row>
    <row r="16" spans="1:16">
      <c r="A16" s="970">
        <v>8292</v>
      </c>
      <c r="B16" s="968" t="s">
        <v>660</v>
      </c>
      <c r="C16" s="1050">
        <v>0</v>
      </c>
      <c r="D16" s="1050">
        <v>0</v>
      </c>
      <c r="E16" s="1050">
        <v>0</v>
      </c>
      <c r="F16" s="1050">
        <v>0</v>
      </c>
      <c r="G16" s="1050">
        <v>0</v>
      </c>
      <c r="H16" s="1050">
        <v>0</v>
      </c>
      <c r="I16" s="1050">
        <v>0</v>
      </c>
      <c r="J16" s="1050">
        <v>0</v>
      </c>
      <c r="K16" s="1050">
        <v>0</v>
      </c>
      <c r="L16" s="1050">
        <v>0</v>
      </c>
      <c r="M16" s="1050">
        <v>0</v>
      </c>
      <c r="N16" s="1050">
        <v>0</v>
      </c>
      <c r="O16" s="960">
        <v>0</v>
      </c>
      <c r="P16" s="969">
        <f t="shared" si="0"/>
        <v>0</v>
      </c>
    </row>
    <row r="17" spans="1:16">
      <c r="A17" s="970">
        <v>8293</v>
      </c>
      <c r="B17" s="968" t="s">
        <v>661</v>
      </c>
      <c r="C17" s="1050">
        <v>0</v>
      </c>
      <c r="D17" s="1050">
        <v>0</v>
      </c>
      <c r="E17" s="1050">
        <v>0</v>
      </c>
      <c r="F17" s="1050">
        <v>0</v>
      </c>
      <c r="G17" s="1050">
        <v>0</v>
      </c>
      <c r="H17" s="1050">
        <v>0</v>
      </c>
      <c r="I17" s="1050">
        <v>0</v>
      </c>
      <c r="J17" s="1050">
        <v>0</v>
      </c>
      <c r="K17" s="1050">
        <v>0</v>
      </c>
      <c r="L17" s="1050">
        <v>0</v>
      </c>
      <c r="M17" s="1050">
        <v>0</v>
      </c>
      <c r="N17" s="1050">
        <v>0</v>
      </c>
      <c r="O17" s="960">
        <v>0</v>
      </c>
      <c r="P17" s="969">
        <f t="shared" si="0"/>
        <v>0</v>
      </c>
    </row>
    <row r="18" spans="1:16">
      <c r="A18" s="970">
        <v>8294</v>
      </c>
      <c r="B18" s="968" t="s">
        <v>662</v>
      </c>
      <c r="C18" s="1050">
        <v>0</v>
      </c>
      <c r="D18" s="1050">
        <v>0</v>
      </c>
      <c r="E18" s="1050">
        <v>0</v>
      </c>
      <c r="F18" s="1050">
        <v>0</v>
      </c>
      <c r="G18" s="1050">
        <v>0</v>
      </c>
      <c r="H18" s="1050">
        <v>0</v>
      </c>
      <c r="I18" s="1050">
        <v>0</v>
      </c>
      <c r="J18" s="1050">
        <v>0</v>
      </c>
      <c r="K18" s="1050">
        <v>0</v>
      </c>
      <c r="L18" s="1050">
        <v>0</v>
      </c>
      <c r="M18" s="1050">
        <v>0</v>
      </c>
      <c r="N18" s="1050">
        <v>0</v>
      </c>
      <c r="O18" s="960">
        <v>0</v>
      </c>
      <c r="P18" s="969">
        <f t="shared" si="0"/>
        <v>0</v>
      </c>
    </row>
    <row r="19" spans="1:16">
      <c r="A19" s="970">
        <v>8295</v>
      </c>
      <c r="B19" s="968" t="s">
        <v>663</v>
      </c>
      <c r="C19" s="1041">
        <v>0</v>
      </c>
      <c r="D19" s="1041">
        <v>0</v>
      </c>
      <c r="E19" s="1041">
        <v>0</v>
      </c>
      <c r="F19" s="1041">
        <v>0</v>
      </c>
      <c r="G19" s="1041">
        <v>0</v>
      </c>
      <c r="H19" s="1041">
        <v>0</v>
      </c>
      <c r="I19" s="1041">
        <v>0</v>
      </c>
      <c r="J19" s="1041">
        <v>0</v>
      </c>
      <c r="K19" s="1041">
        <v>0</v>
      </c>
      <c r="L19" s="1041">
        <v>0</v>
      </c>
      <c r="M19" s="1041">
        <v>0</v>
      </c>
      <c r="N19" s="1041">
        <v>0</v>
      </c>
      <c r="O19" s="963">
        <v>0</v>
      </c>
      <c r="P19" s="969">
        <f t="shared" si="0"/>
        <v>0</v>
      </c>
    </row>
    <row r="20" spans="1:16">
      <c r="A20" s="968">
        <v>8296</v>
      </c>
      <c r="B20" s="968" t="s">
        <v>664</v>
      </c>
      <c r="C20" s="1050">
        <v>0</v>
      </c>
      <c r="D20" s="1050">
        <v>0</v>
      </c>
      <c r="E20" s="1050">
        <v>0</v>
      </c>
      <c r="F20" s="1050">
        <v>0</v>
      </c>
      <c r="G20" s="1050">
        <v>0</v>
      </c>
      <c r="H20" s="1050">
        <v>0</v>
      </c>
      <c r="I20" s="1050">
        <v>0</v>
      </c>
      <c r="J20" s="1050">
        <v>0</v>
      </c>
      <c r="K20" s="1050">
        <v>0</v>
      </c>
      <c r="L20" s="1050">
        <v>137645.17000000001</v>
      </c>
      <c r="M20" s="1050">
        <v>0</v>
      </c>
      <c r="N20" s="1050">
        <v>60138.19</v>
      </c>
      <c r="O20" s="960">
        <v>197783.36</v>
      </c>
      <c r="P20" s="969">
        <f t="shared" si="0"/>
        <v>0</v>
      </c>
    </row>
    <row r="21" spans="1:16">
      <c r="A21" s="968"/>
      <c r="B21" s="968" t="s">
        <v>594</v>
      </c>
      <c r="C21" s="1050">
        <v>0</v>
      </c>
      <c r="D21" s="1050">
        <v>0</v>
      </c>
      <c r="E21" s="1050">
        <v>0</v>
      </c>
      <c r="F21" s="1050">
        <v>0</v>
      </c>
      <c r="G21" s="1050">
        <v>0</v>
      </c>
      <c r="H21" s="1050">
        <v>0</v>
      </c>
      <c r="I21" s="1050">
        <v>0</v>
      </c>
      <c r="J21" s="1050">
        <v>0</v>
      </c>
      <c r="K21" s="1050">
        <v>0</v>
      </c>
      <c r="L21" s="1050">
        <v>137645.17000000001</v>
      </c>
      <c r="M21" s="1050">
        <v>0</v>
      </c>
      <c r="N21" s="1050">
        <v>60138.19</v>
      </c>
      <c r="O21" s="960">
        <v>197783.36</v>
      </c>
      <c r="P21" s="969">
        <f t="shared" si="0"/>
        <v>0</v>
      </c>
    </row>
    <row r="22" spans="1:16">
      <c r="A22" s="970"/>
      <c r="B22" s="968" t="s">
        <v>595</v>
      </c>
      <c r="C22" s="1050"/>
      <c r="D22" s="1050"/>
      <c r="E22" s="1050"/>
      <c r="F22" s="1050"/>
      <c r="G22" s="1050"/>
      <c r="H22" s="1050"/>
      <c r="I22" s="1050"/>
      <c r="J22" s="1050"/>
      <c r="K22" s="1050"/>
      <c r="L22" s="1050"/>
      <c r="M22" s="1050"/>
      <c r="N22" s="1050"/>
      <c r="O22" s="960"/>
      <c r="P22" s="969">
        <f t="shared" si="0"/>
        <v>0</v>
      </c>
    </row>
    <row r="23" spans="1:16">
      <c r="A23" s="970">
        <v>8311</v>
      </c>
      <c r="B23" s="968" t="s">
        <v>665</v>
      </c>
      <c r="C23" s="1050">
        <v>0</v>
      </c>
      <c r="D23" s="1050">
        <v>0</v>
      </c>
      <c r="E23" s="1050">
        <v>0</v>
      </c>
      <c r="F23" s="1050">
        <v>0</v>
      </c>
      <c r="G23" s="1050">
        <v>0</v>
      </c>
      <c r="H23" s="1050">
        <v>0</v>
      </c>
      <c r="I23" s="1050">
        <v>0</v>
      </c>
      <c r="J23" s="1050">
        <v>0</v>
      </c>
      <c r="K23" s="1050">
        <v>321761</v>
      </c>
      <c r="L23" s="1050">
        <v>321761</v>
      </c>
      <c r="M23" s="1050">
        <v>321761</v>
      </c>
      <c r="N23" s="1050">
        <v>804548.28</v>
      </c>
      <c r="O23" s="960">
        <v>1769831.28</v>
      </c>
      <c r="P23" s="969">
        <f t="shared" si="0"/>
        <v>0</v>
      </c>
    </row>
    <row r="24" spans="1:16">
      <c r="A24" s="970">
        <v>8520</v>
      </c>
      <c r="B24" s="968" t="s">
        <v>666</v>
      </c>
      <c r="C24" s="1050">
        <v>0</v>
      </c>
      <c r="D24" s="1050">
        <v>0</v>
      </c>
      <c r="E24" s="1050">
        <v>0</v>
      </c>
      <c r="F24" s="1050">
        <v>0</v>
      </c>
      <c r="G24" s="1050">
        <v>0</v>
      </c>
      <c r="H24" s="1050">
        <v>0</v>
      </c>
      <c r="I24" s="1050">
        <v>0</v>
      </c>
      <c r="J24" s="1050">
        <v>0</v>
      </c>
      <c r="K24" s="1050">
        <v>0</v>
      </c>
      <c r="L24" s="1050">
        <v>0</v>
      </c>
      <c r="M24" s="1050">
        <v>0</v>
      </c>
      <c r="N24" s="1050">
        <v>0</v>
      </c>
      <c r="O24" s="960">
        <v>0</v>
      </c>
      <c r="P24" s="969">
        <f t="shared" si="0"/>
        <v>0</v>
      </c>
    </row>
    <row r="25" spans="1:16">
      <c r="A25" s="970">
        <v>8545</v>
      </c>
      <c r="B25" s="968" t="s">
        <v>667</v>
      </c>
      <c r="C25" s="1050">
        <v>0</v>
      </c>
      <c r="D25" s="1050">
        <v>0</v>
      </c>
      <c r="E25" s="1050">
        <v>0</v>
      </c>
      <c r="F25" s="1050">
        <v>0</v>
      </c>
      <c r="G25" s="1050">
        <v>0</v>
      </c>
      <c r="H25" s="1050">
        <v>0</v>
      </c>
      <c r="I25" s="1050">
        <v>0</v>
      </c>
      <c r="J25" s="1050">
        <v>0</v>
      </c>
      <c r="K25" s="1050">
        <v>0</v>
      </c>
      <c r="L25" s="1050">
        <v>0</v>
      </c>
      <c r="M25" s="1050">
        <v>0</v>
      </c>
      <c r="N25" s="1050">
        <v>0</v>
      </c>
      <c r="O25" s="960">
        <v>0</v>
      </c>
      <c r="P25" s="969">
        <f t="shared" si="0"/>
        <v>0</v>
      </c>
    </row>
    <row r="26" spans="1:16">
      <c r="A26" s="970">
        <v>8550</v>
      </c>
      <c r="B26" s="968" t="s">
        <v>668</v>
      </c>
      <c r="C26" s="1050">
        <v>0</v>
      </c>
      <c r="D26" s="1050">
        <v>0</v>
      </c>
      <c r="E26" s="1050">
        <v>0</v>
      </c>
      <c r="F26" s="1050">
        <v>0</v>
      </c>
      <c r="G26" s="1050">
        <v>0</v>
      </c>
      <c r="H26" s="1050">
        <v>0</v>
      </c>
      <c r="I26" s="1050">
        <v>0</v>
      </c>
      <c r="J26" s="1050">
        <v>0</v>
      </c>
      <c r="K26" s="1050">
        <v>0</v>
      </c>
      <c r="L26" s="1050">
        <v>0</v>
      </c>
      <c r="M26" s="1050">
        <v>0</v>
      </c>
      <c r="N26" s="1050">
        <v>0</v>
      </c>
      <c r="O26" s="960">
        <v>0</v>
      </c>
      <c r="P26" s="969">
        <f t="shared" si="0"/>
        <v>0</v>
      </c>
    </row>
    <row r="27" spans="1:16">
      <c r="A27" s="970">
        <v>8560</v>
      </c>
      <c r="B27" s="968" t="s">
        <v>669</v>
      </c>
      <c r="C27" s="1050">
        <v>0</v>
      </c>
      <c r="D27" s="1050">
        <v>0</v>
      </c>
      <c r="E27" s="1050">
        <v>0</v>
      </c>
      <c r="F27" s="1050">
        <v>0</v>
      </c>
      <c r="G27" s="1050">
        <v>0</v>
      </c>
      <c r="H27" s="1050">
        <v>0</v>
      </c>
      <c r="I27" s="1050">
        <v>0</v>
      </c>
      <c r="J27" s="1050">
        <v>0</v>
      </c>
      <c r="K27" s="1050">
        <v>0</v>
      </c>
      <c r="L27" s="1050">
        <v>0</v>
      </c>
      <c r="M27" s="1050">
        <v>0</v>
      </c>
      <c r="N27" s="1050">
        <v>627423.09</v>
      </c>
      <c r="O27" s="960">
        <v>627423.09</v>
      </c>
      <c r="P27" s="969">
        <f t="shared" si="0"/>
        <v>0</v>
      </c>
    </row>
    <row r="28" spans="1:16">
      <c r="A28" s="970">
        <v>8598</v>
      </c>
      <c r="B28" s="968" t="s">
        <v>670</v>
      </c>
      <c r="C28" s="1041">
        <v>0</v>
      </c>
      <c r="D28" s="1041">
        <v>0</v>
      </c>
      <c r="E28" s="1041">
        <v>0</v>
      </c>
      <c r="F28" s="1041">
        <v>0</v>
      </c>
      <c r="G28" s="1041">
        <v>0</v>
      </c>
      <c r="H28" s="1041">
        <v>0</v>
      </c>
      <c r="I28" s="1041">
        <v>0</v>
      </c>
      <c r="J28" s="1041">
        <v>0</v>
      </c>
      <c r="K28" s="1041">
        <v>0</v>
      </c>
      <c r="L28" s="1041">
        <v>0</v>
      </c>
      <c r="M28" s="1041">
        <v>0</v>
      </c>
      <c r="N28" s="1041">
        <v>0</v>
      </c>
      <c r="O28" s="963">
        <v>0</v>
      </c>
      <c r="P28" s="969">
        <f t="shared" si="0"/>
        <v>0</v>
      </c>
    </row>
    <row r="29" spans="1:16">
      <c r="A29" s="968">
        <v>8599</v>
      </c>
      <c r="B29" s="968" t="s">
        <v>671</v>
      </c>
      <c r="C29" s="1050">
        <v>0</v>
      </c>
      <c r="D29" s="1050">
        <v>0</v>
      </c>
      <c r="E29" s="1050">
        <v>0</v>
      </c>
      <c r="F29" s="1050">
        <v>0</v>
      </c>
      <c r="G29" s="1050">
        <v>0</v>
      </c>
      <c r="H29" s="1050">
        <v>0</v>
      </c>
      <c r="I29" s="1050">
        <v>0</v>
      </c>
      <c r="J29" s="1050">
        <v>0</v>
      </c>
      <c r="K29" s="1050">
        <v>0</v>
      </c>
      <c r="L29" s="1050">
        <v>0</v>
      </c>
      <c r="M29" s="1050">
        <v>0</v>
      </c>
      <c r="N29" s="1050">
        <v>0</v>
      </c>
      <c r="O29" s="960">
        <v>0</v>
      </c>
      <c r="P29" s="969">
        <f t="shared" si="0"/>
        <v>0</v>
      </c>
    </row>
    <row r="30" spans="1:16">
      <c r="A30" s="968"/>
      <c r="B30" s="968" t="s">
        <v>596</v>
      </c>
      <c r="C30" s="1050">
        <v>0</v>
      </c>
      <c r="D30" s="1050">
        <v>0</v>
      </c>
      <c r="E30" s="1050">
        <v>0</v>
      </c>
      <c r="F30" s="1050">
        <v>0</v>
      </c>
      <c r="G30" s="1050">
        <v>0</v>
      </c>
      <c r="H30" s="1050">
        <v>0</v>
      </c>
      <c r="I30" s="1050">
        <v>0</v>
      </c>
      <c r="J30" s="1050">
        <v>0</v>
      </c>
      <c r="K30" s="1050">
        <v>321761</v>
      </c>
      <c r="L30" s="1050">
        <v>321761</v>
      </c>
      <c r="M30" s="1050">
        <v>321761</v>
      </c>
      <c r="N30" s="1050">
        <v>1431971.37</v>
      </c>
      <c r="O30" s="960">
        <v>2397254.37</v>
      </c>
      <c r="P30" s="969">
        <f t="shared" si="0"/>
        <v>0</v>
      </c>
    </row>
    <row r="31" spans="1:16">
      <c r="A31" s="970"/>
      <c r="B31" s="968" t="s">
        <v>672</v>
      </c>
      <c r="C31" s="1050"/>
      <c r="D31" s="1050"/>
      <c r="E31" s="1050"/>
      <c r="F31" s="1050"/>
      <c r="G31" s="1050"/>
      <c r="H31" s="1050"/>
      <c r="I31" s="1050"/>
      <c r="J31" s="1050"/>
      <c r="K31" s="1050"/>
      <c r="L31" s="1050"/>
      <c r="M31" s="1050"/>
      <c r="N31" s="1050"/>
      <c r="O31" s="960"/>
      <c r="P31" s="969">
        <f t="shared" si="0"/>
        <v>0</v>
      </c>
    </row>
    <row r="32" spans="1:16">
      <c r="A32" s="970">
        <v>8634</v>
      </c>
      <c r="B32" s="968" t="s">
        <v>673</v>
      </c>
      <c r="C32" s="1050">
        <v>0</v>
      </c>
      <c r="D32" s="1050">
        <v>0</v>
      </c>
      <c r="E32" s="1050">
        <v>0</v>
      </c>
      <c r="F32" s="1050">
        <v>0</v>
      </c>
      <c r="G32" s="1050">
        <v>0</v>
      </c>
      <c r="H32" s="1050">
        <v>0</v>
      </c>
      <c r="I32" s="1050">
        <v>0</v>
      </c>
      <c r="J32" s="1050">
        <v>0</v>
      </c>
      <c r="K32" s="1050">
        <v>0</v>
      </c>
      <c r="L32" s="1050">
        <v>0</v>
      </c>
      <c r="M32" s="1050">
        <v>0</v>
      </c>
      <c r="N32" s="1050">
        <v>0</v>
      </c>
      <c r="O32" s="960">
        <v>0</v>
      </c>
      <c r="P32" s="969">
        <f t="shared" si="0"/>
        <v>0</v>
      </c>
    </row>
    <row r="33" spans="1:16">
      <c r="A33" s="970">
        <v>8650</v>
      </c>
      <c r="B33" s="968" t="s">
        <v>674</v>
      </c>
      <c r="C33" s="1050">
        <v>0</v>
      </c>
      <c r="D33" s="1050">
        <v>0</v>
      </c>
      <c r="E33" s="1050">
        <v>0</v>
      </c>
      <c r="F33" s="1050">
        <v>0</v>
      </c>
      <c r="G33" s="1050">
        <v>0</v>
      </c>
      <c r="H33" s="1050">
        <v>0</v>
      </c>
      <c r="I33" s="1050">
        <v>0</v>
      </c>
      <c r="J33" s="1050">
        <v>0</v>
      </c>
      <c r="K33" s="1050">
        <v>0</v>
      </c>
      <c r="L33" s="1050">
        <v>0</v>
      </c>
      <c r="M33" s="1050">
        <v>0</v>
      </c>
      <c r="N33" s="1050">
        <v>0</v>
      </c>
      <c r="O33" s="960">
        <v>0</v>
      </c>
      <c r="P33" s="969">
        <f t="shared" si="0"/>
        <v>0</v>
      </c>
    </row>
    <row r="34" spans="1:16">
      <c r="A34" s="970">
        <v>8660</v>
      </c>
      <c r="B34" s="968" t="s">
        <v>675</v>
      </c>
      <c r="C34" s="1050">
        <v>0</v>
      </c>
      <c r="D34" s="1050">
        <v>0</v>
      </c>
      <c r="E34" s="1050">
        <v>0</v>
      </c>
      <c r="F34" s="1050">
        <v>0</v>
      </c>
      <c r="G34" s="1050">
        <v>0</v>
      </c>
      <c r="H34" s="1050">
        <v>0</v>
      </c>
      <c r="I34" s="1050">
        <v>0</v>
      </c>
      <c r="J34" s="1050">
        <v>0</v>
      </c>
      <c r="K34" s="1050">
        <v>0</v>
      </c>
      <c r="L34" s="1050">
        <v>0</v>
      </c>
      <c r="M34" s="1050">
        <v>0</v>
      </c>
      <c r="N34" s="1050">
        <v>0</v>
      </c>
      <c r="O34" s="960">
        <v>0</v>
      </c>
      <c r="P34" s="969">
        <f t="shared" si="0"/>
        <v>0</v>
      </c>
    </row>
    <row r="35" spans="1:16">
      <c r="A35" s="970">
        <v>8689</v>
      </c>
      <c r="B35" s="968" t="s">
        <v>676</v>
      </c>
      <c r="C35" s="1050">
        <v>0</v>
      </c>
      <c r="D35" s="1050">
        <v>0</v>
      </c>
      <c r="E35" s="1050">
        <v>0</v>
      </c>
      <c r="F35" s="1050">
        <v>0</v>
      </c>
      <c r="G35" s="1050">
        <v>0</v>
      </c>
      <c r="H35" s="1050">
        <v>0</v>
      </c>
      <c r="I35" s="1050">
        <v>0</v>
      </c>
      <c r="J35" s="1050">
        <v>0</v>
      </c>
      <c r="K35" s="1050">
        <v>0</v>
      </c>
      <c r="L35" s="1050">
        <v>0</v>
      </c>
      <c r="M35" s="1050">
        <v>0</v>
      </c>
      <c r="N35" s="1050">
        <v>0</v>
      </c>
      <c r="O35" s="960">
        <v>0</v>
      </c>
      <c r="P35" s="969">
        <f t="shared" si="0"/>
        <v>0</v>
      </c>
    </row>
    <row r="36" spans="1:16">
      <c r="A36" s="970">
        <v>8698</v>
      </c>
      <c r="B36" s="968" t="s">
        <v>677</v>
      </c>
      <c r="C36" s="1050">
        <v>0</v>
      </c>
      <c r="D36" s="1050">
        <v>0</v>
      </c>
      <c r="E36" s="1050">
        <v>0</v>
      </c>
      <c r="F36" s="1050">
        <v>0</v>
      </c>
      <c r="G36" s="1050">
        <v>0</v>
      </c>
      <c r="H36" s="1050">
        <v>0</v>
      </c>
      <c r="I36" s="1050">
        <v>0</v>
      </c>
      <c r="J36" s="1050">
        <v>0</v>
      </c>
      <c r="K36" s="1050">
        <v>0</v>
      </c>
      <c r="L36" s="1050">
        <v>0</v>
      </c>
      <c r="M36" s="1050">
        <v>0</v>
      </c>
      <c r="N36" s="1050">
        <v>0</v>
      </c>
      <c r="O36" s="960">
        <v>0</v>
      </c>
      <c r="P36" s="969">
        <f t="shared" si="0"/>
        <v>0</v>
      </c>
    </row>
    <row r="37" spans="1:16">
      <c r="A37" s="970">
        <v>8699</v>
      </c>
      <c r="B37" s="968" t="s">
        <v>678</v>
      </c>
      <c r="C37" s="1050">
        <v>0</v>
      </c>
      <c r="D37" s="1050">
        <v>0</v>
      </c>
      <c r="E37" s="1050">
        <v>0</v>
      </c>
      <c r="F37" s="1050">
        <v>0</v>
      </c>
      <c r="G37" s="1050">
        <v>0</v>
      </c>
      <c r="H37" s="1050">
        <v>0</v>
      </c>
      <c r="I37" s="1050">
        <v>0</v>
      </c>
      <c r="J37" s="1050">
        <v>0</v>
      </c>
      <c r="K37" s="1050">
        <v>0</v>
      </c>
      <c r="L37" s="1050">
        <v>0</v>
      </c>
      <c r="M37" s="1050">
        <v>0</v>
      </c>
      <c r="N37" s="1050">
        <v>0</v>
      </c>
      <c r="O37" s="960">
        <v>0</v>
      </c>
      <c r="P37" s="969">
        <f t="shared" si="0"/>
        <v>0</v>
      </c>
    </row>
    <row r="38" spans="1:16">
      <c r="A38" s="970">
        <v>8980</v>
      </c>
      <c r="B38" s="968" t="s">
        <v>679</v>
      </c>
      <c r="C38" s="1050">
        <v>0</v>
      </c>
      <c r="D38" s="1050">
        <v>0</v>
      </c>
      <c r="E38" s="1050">
        <v>0</v>
      </c>
      <c r="F38" s="1050">
        <v>0</v>
      </c>
      <c r="G38" s="1050">
        <v>0</v>
      </c>
      <c r="H38" s="1050">
        <v>0</v>
      </c>
      <c r="I38" s="1050">
        <v>0</v>
      </c>
      <c r="J38" s="1050">
        <v>0</v>
      </c>
      <c r="K38" s="1050">
        <v>0</v>
      </c>
      <c r="L38" s="1050">
        <v>0</v>
      </c>
      <c r="M38" s="1050">
        <v>0</v>
      </c>
      <c r="N38" s="1050">
        <v>0</v>
      </c>
      <c r="O38" s="960">
        <v>0</v>
      </c>
      <c r="P38" s="969">
        <f t="shared" si="0"/>
        <v>0</v>
      </c>
    </row>
    <row r="39" spans="1:16">
      <c r="A39" s="968">
        <v>8990</v>
      </c>
      <c r="B39" s="968" t="s">
        <v>680</v>
      </c>
      <c r="C39" s="1041">
        <v>0</v>
      </c>
      <c r="D39" s="1041">
        <v>0</v>
      </c>
      <c r="E39" s="1041">
        <v>0</v>
      </c>
      <c r="F39" s="1041">
        <v>0</v>
      </c>
      <c r="G39" s="1041">
        <v>0</v>
      </c>
      <c r="H39" s="1041">
        <v>0</v>
      </c>
      <c r="I39" s="1041">
        <v>0</v>
      </c>
      <c r="J39" s="1041">
        <v>0</v>
      </c>
      <c r="K39" s="1041">
        <v>0</v>
      </c>
      <c r="L39" s="1041">
        <v>0</v>
      </c>
      <c r="M39" s="1041">
        <v>0</v>
      </c>
      <c r="N39" s="1041">
        <v>0</v>
      </c>
      <c r="O39" s="963">
        <v>0</v>
      </c>
      <c r="P39" s="969">
        <f t="shared" si="0"/>
        <v>0</v>
      </c>
    </row>
    <row r="40" spans="1:16">
      <c r="A40" s="968"/>
      <c r="B40" s="968" t="s">
        <v>681</v>
      </c>
      <c r="C40" s="1041">
        <v>0</v>
      </c>
      <c r="D40" s="1041">
        <v>0</v>
      </c>
      <c r="E40" s="1041">
        <v>0</v>
      </c>
      <c r="F40" s="1041">
        <v>0</v>
      </c>
      <c r="G40" s="1041">
        <v>0</v>
      </c>
      <c r="H40" s="1041">
        <v>0</v>
      </c>
      <c r="I40" s="1041">
        <v>0</v>
      </c>
      <c r="J40" s="1041">
        <v>0</v>
      </c>
      <c r="K40" s="1041">
        <v>0</v>
      </c>
      <c r="L40" s="1041">
        <v>0</v>
      </c>
      <c r="M40" s="1041">
        <v>0</v>
      </c>
      <c r="N40" s="1041">
        <v>0</v>
      </c>
      <c r="O40" s="963">
        <v>0</v>
      </c>
      <c r="P40" s="969">
        <f t="shared" si="0"/>
        <v>0</v>
      </c>
    </row>
    <row r="41" spans="1:16">
      <c r="A41" s="968"/>
      <c r="B41" s="968" t="s">
        <v>682</v>
      </c>
      <c r="C41" s="1050">
        <v>0</v>
      </c>
      <c r="D41" s="1050">
        <v>0</v>
      </c>
      <c r="E41" s="1050">
        <v>0</v>
      </c>
      <c r="F41" s="1050">
        <v>11918579</v>
      </c>
      <c r="G41" s="1050">
        <v>0</v>
      </c>
      <c r="H41" s="1050">
        <v>0</v>
      </c>
      <c r="I41" s="1050">
        <v>6535174</v>
      </c>
      <c r="J41" s="1050">
        <v>0</v>
      </c>
      <c r="K41" s="1050">
        <v>9334002</v>
      </c>
      <c r="L41" s="1050">
        <v>623569.17000000004</v>
      </c>
      <c r="M41" s="1050">
        <v>321761</v>
      </c>
      <c r="N41" s="1050">
        <v>2777433.56</v>
      </c>
      <c r="O41" s="960">
        <v>31510518.73</v>
      </c>
      <c r="P41" s="969">
        <f t="shared" si="0"/>
        <v>0</v>
      </c>
    </row>
    <row r="42" spans="1:16">
      <c r="A42" s="968"/>
      <c r="B42" s="968"/>
      <c r="C42" s="1050"/>
      <c r="D42" s="1050"/>
      <c r="E42" s="1050"/>
      <c r="F42" s="1050"/>
      <c r="G42" s="1050"/>
      <c r="H42" s="1050"/>
      <c r="I42" s="1050"/>
      <c r="J42" s="1050"/>
      <c r="K42" s="1050"/>
      <c r="L42" s="1050"/>
      <c r="M42" s="1050"/>
      <c r="N42" s="1050"/>
      <c r="O42" s="960"/>
      <c r="P42" s="969">
        <f t="shared" si="0"/>
        <v>0</v>
      </c>
    </row>
    <row r="43" spans="1:16">
      <c r="A43" s="968"/>
      <c r="B43" s="968" t="s">
        <v>2</v>
      </c>
      <c r="C43" s="1050"/>
      <c r="D43" s="1050"/>
      <c r="E43" s="1050"/>
      <c r="F43" s="1050"/>
      <c r="G43" s="1050"/>
      <c r="H43" s="1050"/>
      <c r="I43" s="1050"/>
      <c r="J43" s="1050"/>
      <c r="K43" s="1050"/>
      <c r="L43" s="1050"/>
      <c r="M43" s="1050"/>
      <c r="N43" s="1050"/>
      <c r="O43" s="960"/>
      <c r="P43" s="969">
        <f t="shared" si="0"/>
        <v>0</v>
      </c>
    </row>
    <row r="44" spans="1:16">
      <c r="A44" s="970"/>
      <c r="B44" s="968" t="s">
        <v>597</v>
      </c>
      <c r="C44" s="1050"/>
      <c r="D44" s="1050"/>
      <c r="E44" s="1050"/>
      <c r="F44" s="1050"/>
      <c r="G44" s="1050"/>
      <c r="H44" s="1050"/>
      <c r="I44" s="1050"/>
      <c r="J44" s="1050"/>
      <c r="K44" s="1050"/>
      <c r="L44" s="1050"/>
      <c r="M44" s="1050"/>
      <c r="N44" s="1050"/>
      <c r="O44" s="960"/>
      <c r="P44" s="969">
        <f t="shared" si="0"/>
        <v>0</v>
      </c>
    </row>
    <row r="45" spans="1:16">
      <c r="A45" s="970">
        <v>1100</v>
      </c>
      <c r="B45" s="968" t="s">
        <v>683</v>
      </c>
      <c r="C45" s="1050">
        <v>479432.13</v>
      </c>
      <c r="D45" s="1050">
        <v>689249.89</v>
      </c>
      <c r="E45" s="1050">
        <v>706821.21</v>
      </c>
      <c r="F45" s="1050">
        <v>699989.92</v>
      </c>
      <c r="G45" s="1050">
        <v>67011.399999999994</v>
      </c>
      <c r="H45" s="1050">
        <v>1179802.69</v>
      </c>
      <c r="I45" s="1050">
        <v>648971.17000000004</v>
      </c>
      <c r="J45" s="1050">
        <v>665492.43999999994</v>
      </c>
      <c r="K45" s="1050">
        <v>596455.93000000005</v>
      </c>
      <c r="L45" s="1050">
        <v>618378.99</v>
      </c>
      <c r="M45" s="1050">
        <v>655042.37</v>
      </c>
      <c r="N45" s="1050">
        <v>551079.31000000006</v>
      </c>
      <c r="O45" s="960">
        <v>7557727.4500000002</v>
      </c>
      <c r="P45" s="969">
        <f t="shared" si="0"/>
        <v>0</v>
      </c>
    </row>
    <row r="46" spans="1:16">
      <c r="A46" s="970">
        <v>1170</v>
      </c>
      <c r="B46" s="968" t="s">
        <v>684</v>
      </c>
      <c r="C46" s="1050">
        <v>0</v>
      </c>
      <c r="D46" s="1050">
        <v>0</v>
      </c>
      <c r="E46" s="1050">
        <v>0</v>
      </c>
      <c r="F46" s="1050">
        <v>0</v>
      </c>
      <c r="G46" s="1050">
        <v>0</v>
      </c>
      <c r="H46" s="1050">
        <v>0</v>
      </c>
      <c r="I46" s="1050">
        <v>0</v>
      </c>
      <c r="J46" s="1050">
        <v>0</v>
      </c>
      <c r="K46" s="1050">
        <v>0</v>
      </c>
      <c r="L46" s="1050">
        <v>0</v>
      </c>
      <c r="M46" s="1050">
        <v>0</v>
      </c>
      <c r="N46" s="1050">
        <v>0</v>
      </c>
      <c r="O46" s="960">
        <v>0</v>
      </c>
      <c r="P46" s="969">
        <f t="shared" si="0"/>
        <v>0</v>
      </c>
    </row>
    <row r="47" spans="1:16">
      <c r="A47" s="970">
        <v>1175</v>
      </c>
      <c r="B47" s="968" t="s">
        <v>685</v>
      </c>
      <c r="C47" s="1050">
        <v>17482.34</v>
      </c>
      <c r="D47" s="1050">
        <v>62230.62</v>
      </c>
      <c r="E47" s="1050">
        <v>135604.01</v>
      </c>
      <c r="F47" s="1050">
        <v>147417.39000000001</v>
      </c>
      <c r="G47" s="1050">
        <v>47691.32</v>
      </c>
      <c r="H47" s="1050">
        <v>187042.01</v>
      </c>
      <c r="I47" s="1050">
        <v>131634.64000000001</v>
      </c>
      <c r="J47" s="1050">
        <v>129190.38</v>
      </c>
      <c r="K47" s="1050">
        <v>220577.82</v>
      </c>
      <c r="L47" s="1050">
        <v>119945.36</v>
      </c>
      <c r="M47" s="1050">
        <v>138820.35999999999</v>
      </c>
      <c r="N47" s="1050">
        <v>241472.6</v>
      </c>
      <c r="O47" s="960">
        <v>1579108.85</v>
      </c>
      <c r="P47" s="969">
        <f t="shared" si="0"/>
        <v>0</v>
      </c>
    </row>
    <row r="48" spans="1:16">
      <c r="A48" s="970">
        <v>1200</v>
      </c>
      <c r="B48" s="968" t="s">
        <v>686</v>
      </c>
      <c r="C48" s="1050">
        <v>2427.08</v>
      </c>
      <c r="D48" s="1050">
        <v>23403.49</v>
      </c>
      <c r="E48" s="1050">
        <v>25091.34</v>
      </c>
      <c r="F48" s="1050">
        <v>25341.34</v>
      </c>
      <c r="G48" s="1050">
        <v>21358.41</v>
      </c>
      <c r="H48" s="1050">
        <v>19786.68</v>
      </c>
      <c r="I48" s="1050">
        <v>18820.96</v>
      </c>
      <c r="J48" s="1050">
        <v>12060.92</v>
      </c>
      <c r="K48" s="1050">
        <v>12060.92</v>
      </c>
      <c r="L48" s="1050">
        <v>13465.61</v>
      </c>
      <c r="M48" s="1050">
        <v>19786.68</v>
      </c>
      <c r="N48" s="1050">
        <v>19786.68</v>
      </c>
      <c r="O48" s="960">
        <v>213390.11</v>
      </c>
      <c r="P48" s="969">
        <f t="shared" si="0"/>
        <v>0</v>
      </c>
    </row>
    <row r="49" spans="1:16">
      <c r="A49" s="970">
        <v>1300</v>
      </c>
      <c r="B49" s="968" t="s">
        <v>687</v>
      </c>
      <c r="C49" s="1050">
        <v>70374.98</v>
      </c>
      <c r="D49" s="1050">
        <v>79087.47</v>
      </c>
      <c r="E49" s="1050">
        <v>108616.64</v>
      </c>
      <c r="F49" s="1050">
        <v>102183.32</v>
      </c>
      <c r="G49" s="1050">
        <v>64583.06</v>
      </c>
      <c r="H49" s="1050">
        <v>140477.35999999999</v>
      </c>
      <c r="I49" s="1050">
        <v>108633.34</v>
      </c>
      <c r="J49" s="1050">
        <v>93816.66</v>
      </c>
      <c r="K49" s="1050">
        <v>115002.09</v>
      </c>
      <c r="L49" s="1050">
        <v>117958.34</v>
      </c>
      <c r="M49" s="1050">
        <v>120059.34</v>
      </c>
      <c r="N49" s="1050">
        <v>141670.14000000001</v>
      </c>
      <c r="O49" s="960">
        <v>1262462.74</v>
      </c>
      <c r="P49" s="969">
        <f t="shared" si="0"/>
        <v>0</v>
      </c>
    </row>
    <row r="50" spans="1:16">
      <c r="A50" s="970">
        <v>1900</v>
      </c>
      <c r="B50" s="968" t="s">
        <v>688</v>
      </c>
      <c r="C50" s="1050">
        <v>0</v>
      </c>
      <c r="D50" s="1050">
        <v>0</v>
      </c>
      <c r="E50" s="1050">
        <v>0</v>
      </c>
      <c r="F50" s="1050">
        <v>0</v>
      </c>
      <c r="G50" s="1050">
        <v>0</v>
      </c>
      <c r="H50" s="1050">
        <v>0</v>
      </c>
      <c r="I50" s="1050">
        <v>0</v>
      </c>
      <c r="J50" s="1050">
        <v>0</v>
      </c>
      <c r="K50" s="1050">
        <v>0</v>
      </c>
      <c r="L50" s="1050">
        <v>0</v>
      </c>
      <c r="M50" s="1050">
        <v>0</v>
      </c>
      <c r="N50" s="1050">
        <v>0</v>
      </c>
      <c r="O50" s="960">
        <v>0</v>
      </c>
      <c r="P50" s="969">
        <f t="shared" si="0"/>
        <v>0</v>
      </c>
    </row>
    <row r="51" spans="1:16">
      <c r="A51" s="970">
        <v>2100</v>
      </c>
      <c r="B51" s="968" t="s">
        <v>689</v>
      </c>
      <c r="C51" s="1050">
        <v>7719.76</v>
      </c>
      <c r="D51" s="1050">
        <v>21016.15</v>
      </c>
      <c r="E51" s="1050">
        <v>23143.88</v>
      </c>
      <c r="F51" s="1050">
        <v>24735.21</v>
      </c>
      <c r="G51" s="1050">
        <v>22165.39</v>
      </c>
      <c r="H51" s="1050">
        <v>57848.54</v>
      </c>
      <c r="I51" s="1050">
        <v>32985.57</v>
      </c>
      <c r="J51" s="1050">
        <v>56946.5</v>
      </c>
      <c r="K51" s="1050">
        <v>22930.18</v>
      </c>
      <c r="L51" s="1050">
        <v>21822.17</v>
      </c>
      <c r="M51" s="1050">
        <v>13932.52</v>
      </c>
      <c r="N51" s="1050">
        <v>16465.05</v>
      </c>
      <c r="O51" s="960">
        <v>321710.92</v>
      </c>
      <c r="P51" s="969">
        <f t="shared" si="0"/>
        <v>0</v>
      </c>
    </row>
    <row r="52" spans="1:16">
      <c r="A52" s="970">
        <v>2200</v>
      </c>
      <c r="B52" s="968" t="s">
        <v>690</v>
      </c>
      <c r="C52" s="1050">
        <v>0</v>
      </c>
      <c r="D52" s="1050">
        <v>0</v>
      </c>
      <c r="E52" s="1050">
        <v>0</v>
      </c>
      <c r="F52" s="1050">
        <v>0</v>
      </c>
      <c r="G52" s="1050">
        <v>0</v>
      </c>
      <c r="H52" s="1050">
        <v>0</v>
      </c>
      <c r="I52" s="1050">
        <v>0</v>
      </c>
      <c r="J52" s="1050">
        <v>0</v>
      </c>
      <c r="K52" s="1050">
        <v>0</v>
      </c>
      <c r="L52" s="1050">
        <v>0</v>
      </c>
      <c r="M52" s="1050">
        <v>2318.7800000000002</v>
      </c>
      <c r="N52" s="1050">
        <v>3924.1</v>
      </c>
      <c r="O52" s="960">
        <v>6242.88</v>
      </c>
      <c r="P52" s="969">
        <f t="shared" si="0"/>
        <v>0</v>
      </c>
    </row>
    <row r="53" spans="1:16">
      <c r="A53" s="970">
        <v>2300</v>
      </c>
      <c r="B53" s="968" t="s">
        <v>691</v>
      </c>
      <c r="C53" s="1050">
        <v>0</v>
      </c>
      <c r="D53" s="1050">
        <v>0</v>
      </c>
      <c r="E53" s="1050">
        <v>0</v>
      </c>
      <c r="F53" s="1050">
        <v>0</v>
      </c>
      <c r="G53" s="1050">
        <v>0</v>
      </c>
      <c r="H53" s="1050">
        <v>0</v>
      </c>
      <c r="I53" s="1050">
        <v>0</v>
      </c>
      <c r="J53" s="1050">
        <v>0</v>
      </c>
      <c r="K53" s="1050">
        <v>0</v>
      </c>
      <c r="L53" s="1050">
        <v>0</v>
      </c>
      <c r="M53" s="1050">
        <v>24441.96</v>
      </c>
      <c r="N53" s="1050">
        <v>41583.300000000003</v>
      </c>
      <c r="O53" s="960">
        <v>66025.259999999995</v>
      </c>
      <c r="P53" s="969">
        <f t="shared" si="0"/>
        <v>0</v>
      </c>
    </row>
    <row r="54" spans="1:16">
      <c r="A54" s="970">
        <v>2400</v>
      </c>
      <c r="B54" s="968" t="s">
        <v>692</v>
      </c>
      <c r="C54" s="1041">
        <v>0</v>
      </c>
      <c r="D54" s="1041">
        <v>0</v>
      </c>
      <c r="E54" s="1041">
        <v>0</v>
      </c>
      <c r="F54" s="1041">
        <v>0</v>
      </c>
      <c r="G54" s="1041">
        <v>0</v>
      </c>
      <c r="H54" s="1041">
        <v>0</v>
      </c>
      <c r="I54" s="1041">
        <v>0</v>
      </c>
      <c r="J54" s="1041">
        <v>2307.7600000000002</v>
      </c>
      <c r="K54" s="1041">
        <v>5077.07</v>
      </c>
      <c r="L54" s="1041">
        <v>8402.0300000000007</v>
      </c>
      <c r="M54" s="1041">
        <v>5607.73</v>
      </c>
      <c r="N54" s="1041">
        <v>3215.34</v>
      </c>
      <c r="O54" s="963">
        <v>24609.93</v>
      </c>
      <c r="P54" s="969">
        <f t="shared" si="0"/>
        <v>0</v>
      </c>
    </row>
    <row r="55" spans="1:16">
      <c r="A55" s="968">
        <v>2900</v>
      </c>
      <c r="B55" s="968" t="s">
        <v>693</v>
      </c>
      <c r="C55" s="1050">
        <v>0</v>
      </c>
      <c r="D55" s="1050">
        <v>0</v>
      </c>
      <c r="E55" s="1050">
        <v>0</v>
      </c>
      <c r="F55" s="1050">
        <v>0</v>
      </c>
      <c r="G55" s="1050">
        <v>0</v>
      </c>
      <c r="H55" s="1050">
        <v>0</v>
      </c>
      <c r="I55" s="1050">
        <v>0</v>
      </c>
      <c r="J55" s="1050">
        <v>0</v>
      </c>
      <c r="K55" s="1050">
        <v>0</v>
      </c>
      <c r="L55" s="1050">
        <v>3490.44</v>
      </c>
      <c r="M55" s="1050">
        <v>8178.08</v>
      </c>
      <c r="N55" s="1050">
        <v>14220.32</v>
      </c>
      <c r="O55" s="960">
        <v>25888.84</v>
      </c>
      <c r="P55" s="969">
        <f t="shared" si="0"/>
        <v>0</v>
      </c>
    </row>
    <row r="56" spans="1:16">
      <c r="A56" s="968"/>
      <c r="B56" s="968" t="s">
        <v>598</v>
      </c>
      <c r="C56" s="1050">
        <v>577436.29</v>
      </c>
      <c r="D56" s="1050">
        <v>874987.62</v>
      </c>
      <c r="E56" s="1050">
        <v>999277.08</v>
      </c>
      <c r="F56" s="1050">
        <v>999667.18</v>
      </c>
      <c r="G56" s="1050">
        <v>222809.58</v>
      </c>
      <c r="H56" s="1050">
        <v>1584957.28</v>
      </c>
      <c r="I56" s="1050">
        <v>941045.68</v>
      </c>
      <c r="J56" s="1050">
        <v>959814.66</v>
      </c>
      <c r="K56" s="1050">
        <v>972104.01</v>
      </c>
      <c r="L56" s="1050">
        <v>903462.94</v>
      </c>
      <c r="M56" s="1050">
        <v>988187.82</v>
      </c>
      <c r="N56" s="1050">
        <v>1033416.84</v>
      </c>
      <c r="O56" s="960">
        <v>11057166.98</v>
      </c>
      <c r="P56" s="969">
        <f t="shared" si="0"/>
        <v>0</v>
      </c>
    </row>
    <row r="57" spans="1:16">
      <c r="A57" s="970"/>
      <c r="B57" s="968" t="s">
        <v>599</v>
      </c>
      <c r="C57" s="1050"/>
      <c r="D57" s="1050"/>
      <c r="E57" s="1050"/>
      <c r="F57" s="1050"/>
      <c r="G57" s="1050"/>
      <c r="H57" s="1050"/>
      <c r="I57" s="1050"/>
      <c r="J57" s="1050"/>
      <c r="K57" s="1050"/>
      <c r="L57" s="1050"/>
      <c r="M57" s="1050"/>
      <c r="N57" s="1050"/>
      <c r="O57" s="960"/>
      <c r="P57" s="969">
        <f t="shared" si="0"/>
        <v>0</v>
      </c>
    </row>
    <row r="58" spans="1:16">
      <c r="A58" s="970">
        <v>3101</v>
      </c>
      <c r="B58" s="968" t="s">
        <v>694</v>
      </c>
      <c r="C58" s="1050">
        <v>96131.96</v>
      </c>
      <c r="D58" s="1050">
        <v>143626.23999999999</v>
      </c>
      <c r="E58" s="1050">
        <v>163919.47</v>
      </c>
      <c r="F58" s="1050">
        <v>164433.09</v>
      </c>
      <c r="G58" s="1050">
        <v>34466.71</v>
      </c>
      <c r="H58" s="1050">
        <v>256393.57</v>
      </c>
      <c r="I58" s="1050">
        <v>153790.60999999999</v>
      </c>
      <c r="J58" s="1050">
        <v>151319.35999999999</v>
      </c>
      <c r="K58" s="1050">
        <v>147256.84</v>
      </c>
      <c r="L58" s="1050">
        <v>145861.60999999999</v>
      </c>
      <c r="M58" s="1050">
        <v>156166.53</v>
      </c>
      <c r="N58" s="1050">
        <v>148786.53</v>
      </c>
      <c r="O58" s="960">
        <v>1762152.52</v>
      </c>
      <c r="P58" s="969">
        <f t="shared" si="0"/>
        <v>0</v>
      </c>
    </row>
    <row r="59" spans="1:16">
      <c r="A59" s="970">
        <v>3202</v>
      </c>
      <c r="B59" s="968" t="s">
        <v>695</v>
      </c>
      <c r="C59" s="1050">
        <v>0</v>
      </c>
      <c r="D59" s="1050">
        <v>0</v>
      </c>
      <c r="E59" s="1050">
        <v>0</v>
      </c>
      <c r="F59" s="1050">
        <v>0</v>
      </c>
      <c r="G59" s="1050">
        <v>0</v>
      </c>
      <c r="H59" s="1050">
        <v>0</v>
      </c>
      <c r="I59" s="1050">
        <v>0</v>
      </c>
      <c r="J59" s="1050">
        <v>0</v>
      </c>
      <c r="K59" s="1050">
        <v>0</v>
      </c>
      <c r="L59" s="1050">
        <v>0</v>
      </c>
      <c r="M59" s="1050">
        <v>0</v>
      </c>
      <c r="N59" s="1050">
        <v>0</v>
      </c>
      <c r="O59" s="960">
        <v>0</v>
      </c>
      <c r="P59" s="969">
        <f t="shared" si="0"/>
        <v>0</v>
      </c>
    </row>
    <row r="60" spans="1:16">
      <c r="A60" s="970">
        <v>3301</v>
      </c>
      <c r="B60" s="968" t="s">
        <v>696</v>
      </c>
      <c r="C60" s="1050">
        <v>525.37</v>
      </c>
      <c r="D60" s="1050">
        <v>1423.54</v>
      </c>
      <c r="E60" s="1050">
        <v>1523.34</v>
      </c>
      <c r="F60" s="1050">
        <v>1494.61</v>
      </c>
      <c r="G60" s="1050">
        <v>1335.26</v>
      </c>
      <c r="H60" s="1050">
        <v>3434.02</v>
      </c>
      <c r="I60" s="1050">
        <v>1987.17</v>
      </c>
      <c r="J60" s="1050">
        <v>3506.46</v>
      </c>
      <c r="K60" s="1050">
        <v>1687.1</v>
      </c>
      <c r="L60" s="1050">
        <v>2053.9699999999998</v>
      </c>
      <c r="M60" s="1050">
        <v>3908.22</v>
      </c>
      <c r="N60" s="1050">
        <v>4874.72</v>
      </c>
      <c r="O60" s="960">
        <v>27753.78</v>
      </c>
      <c r="P60" s="969">
        <f t="shared" si="0"/>
        <v>0</v>
      </c>
    </row>
    <row r="61" spans="1:16">
      <c r="A61" s="970">
        <v>3302</v>
      </c>
      <c r="B61" s="968" t="s">
        <v>697</v>
      </c>
      <c r="C61" s="1050">
        <v>0</v>
      </c>
      <c r="D61" s="1050">
        <v>0</v>
      </c>
      <c r="E61" s="1050">
        <v>0</v>
      </c>
      <c r="F61" s="1050">
        <v>0</v>
      </c>
      <c r="G61" s="1050">
        <v>0</v>
      </c>
      <c r="H61" s="1050">
        <v>0</v>
      </c>
      <c r="I61" s="1050">
        <v>0</v>
      </c>
      <c r="J61" s="1050">
        <v>0</v>
      </c>
      <c r="K61" s="1050">
        <v>0</v>
      </c>
      <c r="L61" s="1050">
        <v>0</v>
      </c>
      <c r="M61" s="1050">
        <v>0</v>
      </c>
      <c r="N61" s="1050">
        <v>0</v>
      </c>
      <c r="O61" s="960">
        <v>0</v>
      </c>
      <c r="P61" s="969">
        <f t="shared" si="0"/>
        <v>0</v>
      </c>
    </row>
    <row r="62" spans="1:16">
      <c r="A62" s="970">
        <v>3311</v>
      </c>
      <c r="B62" s="968" t="s">
        <v>698</v>
      </c>
      <c r="C62" s="1050">
        <v>8129.08</v>
      </c>
      <c r="D62" s="1050">
        <v>12411.04</v>
      </c>
      <c r="E62" s="1050">
        <v>14074.54</v>
      </c>
      <c r="F62" s="1050">
        <v>14094.86</v>
      </c>
      <c r="G62" s="1050">
        <v>3469.49</v>
      </c>
      <c r="H62" s="1050">
        <v>22053.95</v>
      </c>
      <c r="I62" s="1050">
        <v>13316.47</v>
      </c>
      <c r="J62" s="1050">
        <v>13558.05</v>
      </c>
      <c r="K62" s="1050">
        <v>13789.14</v>
      </c>
      <c r="L62" s="1050">
        <v>12782.28</v>
      </c>
      <c r="M62" s="1050">
        <v>13487.04</v>
      </c>
      <c r="N62" s="1050">
        <v>14742.15</v>
      </c>
      <c r="O62" s="960">
        <v>155908.09</v>
      </c>
      <c r="P62" s="969">
        <f t="shared" si="0"/>
        <v>0</v>
      </c>
    </row>
    <row r="63" spans="1:16">
      <c r="A63" s="970">
        <v>3312</v>
      </c>
      <c r="B63" s="968" t="s">
        <v>699</v>
      </c>
      <c r="C63" s="1050">
        <v>0</v>
      </c>
      <c r="D63" s="1050">
        <v>0</v>
      </c>
      <c r="E63" s="1050">
        <v>0</v>
      </c>
      <c r="F63" s="1050">
        <v>0</v>
      </c>
      <c r="G63" s="1050">
        <v>0</v>
      </c>
      <c r="H63" s="1050">
        <v>0</v>
      </c>
      <c r="I63" s="1050">
        <v>0</v>
      </c>
      <c r="J63" s="1050">
        <v>0</v>
      </c>
      <c r="K63" s="1050">
        <v>0</v>
      </c>
      <c r="L63" s="1050">
        <v>0</v>
      </c>
      <c r="M63" s="1050">
        <v>0</v>
      </c>
      <c r="N63" s="1050">
        <v>0</v>
      </c>
      <c r="O63" s="960">
        <v>0</v>
      </c>
      <c r="P63" s="969">
        <f t="shared" si="0"/>
        <v>0</v>
      </c>
    </row>
    <row r="64" spans="1:16">
      <c r="A64" s="970">
        <v>3401</v>
      </c>
      <c r="B64" s="968" t="s">
        <v>700</v>
      </c>
      <c r="C64" s="1050">
        <v>-17892.919999999998</v>
      </c>
      <c r="D64" s="1050">
        <v>117728.34</v>
      </c>
      <c r="E64" s="1050">
        <v>87837.5</v>
      </c>
      <c r="F64" s="1050">
        <v>100487.59</v>
      </c>
      <c r="G64" s="1050">
        <v>106804.84</v>
      </c>
      <c r="H64" s="1050">
        <v>103343.95</v>
      </c>
      <c r="I64" s="1050">
        <v>96817.71</v>
      </c>
      <c r="J64" s="1050">
        <v>90235.61</v>
      </c>
      <c r="K64" s="1050">
        <v>94322.04</v>
      </c>
      <c r="L64" s="1050">
        <v>93395.33</v>
      </c>
      <c r="M64" s="1050">
        <v>95834.65</v>
      </c>
      <c r="N64" s="1050">
        <v>113008.47</v>
      </c>
      <c r="O64" s="960">
        <v>1081923.1100000001</v>
      </c>
      <c r="P64" s="969">
        <f t="shared" si="0"/>
        <v>0</v>
      </c>
    </row>
    <row r="65" spans="1:16">
      <c r="A65" s="970">
        <v>3402</v>
      </c>
      <c r="B65" s="968" t="s">
        <v>701</v>
      </c>
      <c r="C65" s="1050">
        <v>0</v>
      </c>
      <c r="D65" s="1050">
        <v>0</v>
      </c>
      <c r="E65" s="1050">
        <v>0</v>
      </c>
      <c r="F65" s="1050">
        <v>0</v>
      </c>
      <c r="G65" s="1050">
        <v>0</v>
      </c>
      <c r="H65" s="1050">
        <v>0</v>
      </c>
      <c r="I65" s="1050">
        <v>0</v>
      </c>
      <c r="J65" s="1050">
        <v>0</v>
      </c>
      <c r="K65" s="1050">
        <v>0</v>
      </c>
      <c r="L65" s="1050">
        <v>0</v>
      </c>
      <c r="M65" s="1050">
        <v>0</v>
      </c>
      <c r="N65" s="1050">
        <v>0</v>
      </c>
      <c r="O65" s="960">
        <v>0</v>
      </c>
      <c r="P65" s="969">
        <f t="shared" si="0"/>
        <v>0</v>
      </c>
    </row>
    <row r="66" spans="1:16">
      <c r="A66" s="970">
        <v>3501</v>
      </c>
      <c r="B66" s="968" t="s">
        <v>702</v>
      </c>
      <c r="C66" s="1050">
        <v>18577.21</v>
      </c>
      <c r="D66" s="1050">
        <v>15791.71</v>
      </c>
      <c r="E66" s="1050">
        <v>5328.29</v>
      </c>
      <c r="F66" s="1050">
        <v>2553.88</v>
      </c>
      <c r="G66" s="1050">
        <v>-5802.54</v>
      </c>
      <c r="H66" s="1050">
        <v>5730.33</v>
      </c>
      <c r="I66" s="1050">
        <v>29468.07</v>
      </c>
      <c r="J66" s="1050">
        <v>7530.28</v>
      </c>
      <c r="K66" s="1050">
        <v>1048.9000000000001</v>
      </c>
      <c r="L66" s="1050">
        <v>2845.26</v>
      </c>
      <c r="M66" s="1050">
        <v>2367.4899999999998</v>
      </c>
      <c r="N66" s="1050">
        <v>-1123.97</v>
      </c>
      <c r="O66" s="960">
        <v>84314.91</v>
      </c>
      <c r="P66" s="969">
        <f t="shared" si="0"/>
        <v>0</v>
      </c>
    </row>
    <row r="67" spans="1:16">
      <c r="A67" s="970">
        <v>3502</v>
      </c>
      <c r="B67" s="968" t="s">
        <v>703</v>
      </c>
      <c r="C67" s="1050">
        <v>0</v>
      </c>
      <c r="D67" s="1050">
        <v>0</v>
      </c>
      <c r="E67" s="1050">
        <v>0</v>
      </c>
      <c r="F67" s="1050">
        <v>0</v>
      </c>
      <c r="G67" s="1050">
        <v>0</v>
      </c>
      <c r="H67" s="1050">
        <v>0</v>
      </c>
      <c r="I67" s="1050">
        <v>0</v>
      </c>
      <c r="J67" s="1050">
        <v>0</v>
      </c>
      <c r="K67" s="1050">
        <v>0</v>
      </c>
      <c r="L67" s="1050">
        <v>0</v>
      </c>
      <c r="M67" s="1050">
        <v>0</v>
      </c>
      <c r="N67" s="1050">
        <v>0</v>
      </c>
      <c r="O67" s="960">
        <v>0</v>
      </c>
      <c r="P67" s="969">
        <f t="shared" si="0"/>
        <v>0</v>
      </c>
    </row>
    <row r="68" spans="1:16">
      <c r="A68" s="970">
        <v>3601</v>
      </c>
      <c r="B68" s="968" t="s">
        <v>704</v>
      </c>
      <c r="C68" s="1050">
        <v>0</v>
      </c>
      <c r="D68" s="1050">
        <v>15627.04</v>
      </c>
      <c r="E68" s="1050">
        <v>7813.52</v>
      </c>
      <c r="F68" s="1050">
        <v>7813.52</v>
      </c>
      <c r="G68" s="1050">
        <v>7813.52</v>
      </c>
      <c r="H68" s="1050">
        <v>7813.52</v>
      </c>
      <c r="I68" s="1050">
        <v>7974.22</v>
      </c>
      <c r="J68" s="1050">
        <v>7813.52</v>
      </c>
      <c r="K68" s="1050">
        <v>7813.52</v>
      </c>
      <c r="L68" s="1050">
        <v>4582.4799999999996</v>
      </c>
      <c r="M68" s="1050">
        <v>8106.72</v>
      </c>
      <c r="N68" s="1050">
        <v>-15092.88</v>
      </c>
      <c r="O68" s="960">
        <v>68078.7</v>
      </c>
      <c r="P68" s="969">
        <f t="shared" si="0"/>
        <v>0</v>
      </c>
    </row>
    <row r="69" spans="1:16">
      <c r="A69" s="970">
        <v>3602</v>
      </c>
      <c r="B69" s="968" t="s">
        <v>705</v>
      </c>
      <c r="C69" s="1050">
        <v>0</v>
      </c>
      <c r="D69" s="1050">
        <v>0</v>
      </c>
      <c r="E69" s="1050">
        <v>0</v>
      </c>
      <c r="F69" s="1050">
        <v>0</v>
      </c>
      <c r="G69" s="1050">
        <v>0</v>
      </c>
      <c r="H69" s="1050">
        <v>0</v>
      </c>
      <c r="I69" s="1050">
        <v>0</v>
      </c>
      <c r="J69" s="1050">
        <v>0</v>
      </c>
      <c r="K69" s="1050">
        <v>0</v>
      </c>
      <c r="L69" s="1050">
        <v>0</v>
      </c>
      <c r="M69" s="1050">
        <v>0</v>
      </c>
      <c r="N69" s="1050">
        <v>0</v>
      </c>
      <c r="O69" s="960">
        <v>0</v>
      </c>
      <c r="P69" s="969">
        <f t="shared" ref="P69:P132" si="1">SUM(C69:N69)-O69</f>
        <v>0</v>
      </c>
    </row>
    <row r="70" spans="1:16">
      <c r="A70" s="970">
        <v>3901</v>
      </c>
      <c r="B70" s="968" t="s">
        <v>706</v>
      </c>
      <c r="C70" s="1041">
        <v>0</v>
      </c>
      <c r="D70" s="1041">
        <v>0</v>
      </c>
      <c r="E70" s="1041">
        <v>0</v>
      </c>
      <c r="F70" s="1041">
        <v>0</v>
      </c>
      <c r="G70" s="1041">
        <v>-114.54</v>
      </c>
      <c r="H70" s="1041">
        <v>0</v>
      </c>
      <c r="I70" s="1041">
        <v>0</v>
      </c>
      <c r="J70" s="1041">
        <v>0</v>
      </c>
      <c r="K70" s="1041">
        <v>0</v>
      </c>
      <c r="L70" s="1041">
        <v>0</v>
      </c>
      <c r="M70" s="1041">
        <v>0</v>
      </c>
      <c r="N70" s="1041">
        <v>0</v>
      </c>
      <c r="O70" s="963">
        <v>-114.54</v>
      </c>
      <c r="P70" s="969">
        <f t="shared" si="1"/>
        <v>0</v>
      </c>
    </row>
    <row r="71" spans="1:16">
      <c r="A71" s="968">
        <v>3902</v>
      </c>
      <c r="B71" s="968" t="s">
        <v>707</v>
      </c>
      <c r="C71" s="1050">
        <v>0</v>
      </c>
      <c r="D71" s="1050">
        <v>0</v>
      </c>
      <c r="E71" s="1050">
        <v>0</v>
      </c>
      <c r="F71" s="1050">
        <v>0</v>
      </c>
      <c r="G71" s="1050">
        <v>0</v>
      </c>
      <c r="H71" s="1050">
        <v>0</v>
      </c>
      <c r="I71" s="1050">
        <v>0</v>
      </c>
      <c r="J71" s="1050">
        <v>0</v>
      </c>
      <c r="K71" s="1050">
        <v>0</v>
      </c>
      <c r="L71" s="1050">
        <v>0</v>
      </c>
      <c r="M71" s="1050">
        <v>0</v>
      </c>
      <c r="N71" s="1050">
        <v>0</v>
      </c>
      <c r="O71" s="960">
        <v>0</v>
      </c>
      <c r="P71" s="969">
        <f t="shared" si="1"/>
        <v>0</v>
      </c>
    </row>
    <row r="72" spans="1:16">
      <c r="A72" s="968"/>
      <c r="B72" s="968" t="s">
        <v>600</v>
      </c>
      <c r="C72" s="1050">
        <v>105470.7</v>
      </c>
      <c r="D72" s="1050">
        <v>306607.90999999997</v>
      </c>
      <c r="E72" s="1050">
        <v>280496.65999999997</v>
      </c>
      <c r="F72" s="1050">
        <v>290877.55</v>
      </c>
      <c r="G72" s="1050">
        <v>147972.74</v>
      </c>
      <c r="H72" s="1050">
        <v>398769.34</v>
      </c>
      <c r="I72" s="1050">
        <v>303354.25</v>
      </c>
      <c r="J72" s="1050">
        <v>273963.28000000003</v>
      </c>
      <c r="K72" s="1050">
        <v>265917.53999999998</v>
      </c>
      <c r="L72" s="1050">
        <v>261520.93</v>
      </c>
      <c r="M72" s="1050">
        <v>279870.65000000002</v>
      </c>
      <c r="N72" s="1050">
        <v>265195.02</v>
      </c>
      <c r="O72" s="960">
        <v>3180016.57</v>
      </c>
      <c r="P72" s="969">
        <f t="shared" si="1"/>
        <v>0</v>
      </c>
    </row>
    <row r="73" spans="1:16">
      <c r="A73" s="970"/>
      <c r="B73" s="968" t="s">
        <v>601</v>
      </c>
      <c r="C73" s="1050"/>
      <c r="D73" s="1050"/>
      <c r="E73" s="1050"/>
      <c r="F73" s="1050"/>
      <c r="G73" s="1050"/>
      <c r="H73" s="1050"/>
      <c r="I73" s="1050"/>
      <c r="J73" s="1050"/>
      <c r="K73" s="1050"/>
      <c r="L73" s="1050"/>
      <c r="M73" s="1050"/>
      <c r="N73" s="1050"/>
      <c r="O73" s="960"/>
      <c r="P73" s="969">
        <f t="shared" si="1"/>
        <v>0</v>
      </c>
    </row>
    <row r="74" spans="1:16">
      <c r="A74" s="970">
        <v>4100</v>
      </c>
      <c r="B74" s="968" t="s">
        <v>708</v>
      </c>
      <c r="C74" s="1050">
        <v>0</v>
      </c>
      <c r="D74" s="1050">
        <v>0</v>
      </c>
      <c r="E74" s="1050">
        <v>0</v>
      </c>
      <c r="F74" s="1050">
        <v>0</v>
      </c>
      <c r="G74" s="1050">
        <v>0</v>
      </c>
      <c r="H74" s="1050">
        <v>0</v>
      </c>
      <c r="I74" s="1050">
        <v>0</v>
      </c>
      <c r="J74" s="1050">
        <v>0</v>
      </c>
      <c r="K74" s="1050">
        <v>0</v>
      </c>
      <c r="L74" s="1050">
        <v>0</v>
      </c>
      <c r="M74" s="1050">
        <v>0</v>
      </c>
      <c r="N74" s="1050">
        <v>0</v>
      </c>
      <c r="O74" s="960">
        <v>0</v>
      </c>
      <c r="P74" s="969">
        <f t="shared" si="1"/>
        <v>0</v>
      </c>
    </row>
    <row r="75" spans="1:16">
      <c r="A75" s="970">
        <v>4200</v>
      </c>
      <c r="B75" s="968" t="s">
        <v>709</v>
      </c>
      <c r="C75" s="1050">
        <v>0</v>
      </c>
      <c r="D75" s="1050">
        <v>0</v>
      </c>
      <c r="E75" s="1050">
        <v>0</v>
      </c>
      <c r="F75" s="1050">
        <v>0</v>
      </c>
      <c r="G75" s="1050">
        <v>0</v>
      </c>
      <c r="H75" s="1050">
        <v>0</v>
      </c>
      <c r="I75" s="1050">
        <v>0</v>
      </c>
      <c r="J75" s="1050">
        <v>0</v>
      </c>
      <c r="K75" s="1050">
        <v>0</v>
      </c>
      <c r="L75" s="1050">
        <v>0</v>
      </c>
      <c r="M75" s="1050">
        <v>0</v>
      </c>
      <c r="N75" s="1050">
        <v>0</v>
      </c>
      <c r="O75" s="960">
        <v>0</v>
      </c>
      <c r="P75" s="969">
        <f t="shared" si="1"/>
        <v>0</v>
      </c>
    </row>
    <row r="76" spans="1:16">
      <c r="A76" s="970">
        <v>4302</v>
      </c>
      <c r="B76" s="968" t="s">
        <v>710</v>
      </c>
      <c r="C76" s="1050">
        <v>106326.36</v>
      </c>
      <c r="D76" s="1050">
        <v>241668.5</v>
      </c>
      <c r="E76" s="1050">
        <v>319568.2</v>
      </c>
      <c r="F76" s="1050">
        <v>339881.56</v>
      </c>
      <c r="G76" s="1050">
        <v>191029.72</v>
      </c>
      <c r="H76" s="1050">
        <v>169346.81</v>
      </c>
      <c r="I76" s="1050">
        <v>204656.34</v>
      </c>
      <c r="J76" s="1050">
        <v>175260.59</v>
      </c>
      <c r="K76" s="1050">
        <v>212843.72</v>
      </c>
      <c r="L76" s="1050">
        <v>202633.55</v>
      </c>
      <c r="M76" s="1050">
        <v>241987.95</v>
      </c>
      <c r="N76" s="1050">
        <v>346033.87</v>
      </c>
      <c r="O76" s="960">
        <v>2751237.17</v>
      </c>
      <c r="P76" s="969">
        <f t="shared" si="1"/>
        <v>0</v>
      </c>
    </row>
    <row r="77" spans="1:16">
      <c r="A77" s="970">
        <v>4305</v>
      </c>
      <c r="B77" s="968" t="s">
        <v>711</v>
      </c>
      <c r="C77" s="1050">
        <v>10059.290000000001</v>
      </c>
      <c r="D77" s="1050">
        <v>11602.94</v>
      </c>
      <c r="E77" s="1050">
        <v>17069.580000000002</v>
      </c>
      <c r="F77" s="1050">
        <v>10495.68</v>
      </c>
      <c r="G77" s="1050">
        <v>11412.39</v>
      </c>
      <c r="H77" s="1050">
        <v>2132.81</v>
      </c>
      <c r="I77" s="1050">
        <v>13464.23</v>
      </c>
      <c r="J77" s="1050">
        <v>24678.02</v>
      </c>
      <c r="K77" s="1050">
        <v>9835.68</v>
      </c>
      <c r="L77" s="1050">
        <v>11361.64</v>
      </c>
      <c r="M77" s="1050">
        <v>69269.440000000002</v>
      </c>
      <c r="N77" s="1050">
        <v>277690.03999999998</v>
      </c>
      <c r="O77" s="960">
        <v>469071.74</v>
      </c>
      <c r="P77" s="969">
        <f t="shared" si="1"/>
        <v>0</v>
      </c>
    </row>
    <row r="78" spans="1:16">
      <c r="A78" s="970">
        <v>4310</v>
      </c>
      <c r="B78" s="968" t="s">
        <v>712</v>
      </c>
      <c r="C78" s="1050">
        <v>1150.21</v>
      </c>
      <c r="D78" s="1050">
        <v>1868.12</v>
      </c>
      <c r="E78" s="1050">
        <v>1260.97</v>
      </c>
      <c r="F78" s="1050">
        <v>2440.62</v>
      </c>
      <c r="G78" s="1050">
        <v>2108.7399999999998</v>
      </c>
      <c r="H78" s="1050">
        <v>18492.14</v>
      </c>
      <c r="I78" s="1050">
        <v>-12321.65</v>
      </c>
      <c r="J78" s="1050">
        <v>2605.38</v>
      </c>
      <c r="K78" s="1050">
        <v>2107.27</v>
      </c>
      <c r="L78" s="1050">
        <v>2881.23</v>
      </c>
      <c r="M78" s="1050">
        <v>3934.5</v>
      </c>
      <c r="N78" s="1050">
        <v>72912.95</v>
      </c>
      <c r="O78" s="960">
        <v>99440.48</v>
      </c>
      <c r="P78" s="969">
        <f t="shared" si="1"/>
        <v>0</v>
      </c>
    </row>
    <row r="79" spans="1:16">
      <c r="A79" s="970">
        <v>4311</v>
      </c>
      <c r="B79" s="968" t="s">
        <v>713</v>
      </c>
      <c r="C79" s="1050">
        <v>0</v>
      </c>
      <c r="D79" s="1050">
        <v>484.72</v>
      </c>
      <c r="E79" s="1050">
        <v>459.63</v>
      </c>
      <c r="F79" s="1050">
        <v>71.8</v>
      </c>
      <c r="G79" s="1050">
        <v>1594.25</v>
      </c>
      <c r="H79" s="1050">
        <v>0</v>
      </c>
      <c r="I79" s="1050">
        <v>1112.73</v>
      </c>
      <c r="J79" s="1050">
        <v>0</v>
      </c>
      <c r="K79" s="1050">
        <v>1809.74</v>
      </c>
      <c r="L79" s="1050">
        <v>0</v>
      </c>
      <c r="M79" s="1050">
        <v>0</v>
      </c>
      <c r="N79" s="1050">
        <v>0</v>
      </c>
      <c r="O79" s="960">
        <v>5532.87</v>
      </c>
      <c r="P79" s="969">
        <f t="shared" si="1"/>
        <v>0</v>
      </c>
    </row>
    <row r="80" spans="1:16">
      <c r="A80" s="970">
        <v>4312</v>
      </c>
      <c r="B80" s="968" t="s">
        <v>714</v>
      </c>
      <c r="C80" s="1050">
        <v>0</v>
      </c>
      <c r="D80" s="1050">
        <v>0</v>
      </c>
      <c r="E80" s="1050">
        <v>0</v>
      </c>
      <c r="F80" s="1050">
        <v>0</v>
      </c>
      <c r="G80" s="1050">
        <v>0</v>
      </c>
      <c r="H80" s="1050">
        <v>0</v>
      </c>
      <c r="I80" s="1050">
        <v>0</v>
      </c>
      <c r="J80" s="1050">
        <v>0</v>
      </c>
      <c r="K80" s="1050">
        <v>0</v>
      </c>
      <c r="L80" s="1050">
        <v>0</v>
      </c>
      <c r="M80" s="1050">
        <v>0</v>
      </c>
      <c r="N80" s="1050">
        <v>0</v>
      </c>
      <c r="O80" s="960">
        <v>0</v>
      </c>
      <c r="P80" s="969">
        <f t="shared" si="1"/>
        <v>0</v>
      </c>
    </row>
    <row r="81" spans="1:16">
      <c r="A81" s="970">
        <v>4400</v>
      </c>
      <c r="B81" s="968" t="s">
        <v>715</v>
      </c>
      <c r="C81" s="1041">
        <v>0</v>
      </c>
      <c r="D81" s="1041">
        <v>0</v>
      </c>
      <c r="E81" s="1041">
        <v>0</v>
      </c>
      <c r="F81" s="1041">
        <v>0</v>
      </c>
      <c r="G81" s="1041">
        <v>0</v>
      </c>
      <c r="H81" s="1041">
        <v>71294.09</v>
      </c>
      <c r="I81" s="1041">
        <v>79.98</v>
      </c>
      <c r="J81" s="1041">
        <v>19.989999999999998</v>
      </c>
      <c r="K81" s="1041">
        <v>0</v>
      </c>
      <c r="L81" s="1041">
        <v>212.97</v>
      </c>
      <c r="M81" s="1041">
        <v>0</v>
      </c>
      <c r="N81" s="1041">
        <v>368535.9</v>
      </c>
      <c r="O81" s="963">
        <v>440142.93</v>
      </c>
      <c r="P81" s="969">
        <f t="shared" si="1"/>
        <v>0</v>
      </c>
    </row>
    <row r="82" spans="1:16">
      <c r="A82" s="968">
        <v>4700</v>
      </c>
      <c r="B82" s="968" t="s">
        <v>716</v>
      </c>
      <c r="C82" s="1050">
        <v>0</v>
      </c>
      <c r="D82" s="1050">
        <v>0</v>
      </c>
      <c r="E82" s="1050">
        <v>0</v>
      </c>
      <c r="F82" s="1050">
        <v>0</v>
      </c>
      <c r="G82" s="1050">
        <v>0</v>
      </c>
      <c r="H82" s="1050">
        <v>0</v>
      </c>
      <c r="I82" s="1050">
        <v>0</v>
      </c>
      <c r="J82" s="1050">
        <v>0</v>
      </c>
      <c r="K82" s="1050">
        <v>0</v>
      </c>
      <c r="L82" s="1050">
        <v>124903.72</v>
      </c>
      <c r="M82" s="1050">
        <v>0</v>
      </c>
      <c r="N82" s="1050">
        <v>0</v>
      </c>
      <c r="O82" s="960">
        <v>124903.72</v>
      </c>
      <c r="P82" s="969">
        <f t="shared" si="1"/>
        <v>0</v>
      </c>
    </row>
    <row r="83" spans="1:16">
      <c r="A83" s="968"/>
      <c r="B83" s="968" t="s">
        <v>602</v>
      </c>
      <c r="C83" s="1050">
        <v>117535.86</v>
      </c>
      <c r="D83" s="1050">
        <v>255624.28</v>
      </c>
      <c r="E83" s="1050">
        <v>338358.38</v>
      </c>
      <c r="F83" s="1050">
        <v>352889.66</v>
      </c>
      <c r="G83" s="1050">
        <v>206145.1</v>
      </c>
      <c r="H83" s="1050">
        <v>261265.85</v>
      </c>
      <c r="I83" s="1050">
        <v>206991.63</v>
      </c>
      <c r="J83" s="1050">
        <v>202563.98</v>
      </c>
      <c r="K83" s="1050">
        <v>226596.41</v>
      </c>
      <c r="L83" s="1050">
        <v>341993.11</v>
      </c>
      <c r="M83" s="1050">
        <v>315191.89</v>
      </c>
      <c r="N83" s="1050">
        <v>1065172.76</v>
      </c>
      <c r="O83" s="960">
        <v>3890328.91</v>
      </c>
      <c r="P83" s="969">
        <f t="shared" si="1"/>
        <v>0</v>
      </c>
    </row>
    <row r="84" spans="1:16">
      <c r="A84" s="970"/>
      <c r="B84" s="968" t="s">
        <v>603</v>
      </c>
      <c r="C84" s="1050"/>
      <c r="D84" s="1050"/>
      <c r="E84" s="1050"/>
      <c r="F84" s="1050"/>
      <c r="G84" s="1050"/>
      <c r="H84" s="1050"/>
      <c r="I84" s="1050"/>
      <c r="J84" s="1050"/>
      <c r="K84" s="1050"/>
      <c r="L84" s="1050"/>
      <c r="M84" s="1050"/>
      <c r="N84" s="1050"/>
      <c r="O84" s="960"/>
      <c r="P84" s="969">
        <f t="shared" si="1"/>
        <v>0</v>
      </c>
    </row>
    <row r="85" spans="1:16">
      <c r="A85" s="970">
        <v>5101</v>
      </c>
      <c r="B85" s="968" t="s">
        <v>717</v>
      </c>
      <c r="C85" s="1050">
        <v>0</v>
      </c>
      <c r="D85" s="1050">
        <v>0</v>
      </c>
      <c r="E85" s="1050">
        <v>0</v>
      </c>
      <c r="F85" s="1050">
        <v>0</v>
      </c>
      <c r="G85" s="1050">
        <v>0</v>
      </c>
      <c r="H85" s="1050">
        <v>0</v>
      </c>
      <c r="I85" s="1050">
        <v>0</v>
      </c>
      <c r="J85" s="1050">
        <v>0</v>
      </c>
      <c r="K85" s="1050">
        <v>0</v>
      </c>
      <c r="L85" s="1050">
        <v>0</v>
      </c>
      <c r="M85" s="1050">
        <v>0</v>
      </c>
      <c r="N85" s="1050">
        <v>0</v>
      </c>
      <c r="O85" s="960">
        <v>0</v>
      </c>
      <c r="P85" s="969">
        <f t="shared" si="1"/>
        <v>0</v>
      </c>
    </row>
    <row r="86" spans="1:16">
      <c r="A86" s="970">
        <v>5102</v>
      </c>
      <c r="B86" s="968" t="s">
        <v>718</v>
      </c>
      <c r="C86" s="1050">
        <v>975</v>
      </c>
      <c r="D86" s="1050">
        <v>16371.6</v>
      </c>
      <c r="E86" s="1050">
        <v>42936.27</v>
      </c>
      <c r="F86" s="1050">
        <v>52759.09</v>
      </c>
      <c r="G86" s="1050">
        <v>193874.66</v>
      </c>
      <c r="H86" s="1050">
        <v>47016.22</v>
      </c>
      <c r="I86" s="1050">
        <v>146455.12</v>
      </c>
      <c r="J86" s="1050">
        <v>65217.91</v>
      </c>
      <c r="K86" s="1050">
        <v>91623.7</v>
      </c>
      <c r="L86" s="1050">
        <v>188307.75</v>
      </c>
      <c r="M86" s="1050">
        <v>225262.59</v>
      </c>
      <c r="N86" s="1050">
        <v>169999.48</v>
      </c>
      <c r="O86" s="960">
        <v>1240799.3899999999</v>
      </c>
      <c r="P86" s="969">
        <f t="shared" si="1"/>
        <v>0</v>
      </c>
    </row>
    <row r="87" spans="1:16">
      <c r="A87" s="970">
        <v>5103</v>
      </c>
      <c r="B87" s="968" t="s">
        <v>719</v>
      </c>
      <c r="C87" s="1050">
        <v>0</v>
      </c>
      <c r="D87" s="1050">
        <v>0</v>
      </c>
      <c r="E87" s="1050">
        <v>0</v>
      </c>
      <c r="F87" s="1050">
        <v>0</v>
      </c>
      <c r="G87" s="1050">
        <v>0</v>
      </c>
      <c r="H87" s="1050">
        <v>0</v>
      </c>
      <c r="I87" s="1050">
        <v>0</v>
      </c>
      <c r="J87" s="1050">
        <v>0</v>
      </c>
      <c r="K87" s="1050">
        <v>0</v>
      </c>
      <c r="L87" s="1050">
        <v>0</v>
      </c>
      <c r="M87" s="1050">
        <v>0</v>
      </c>
      <c r="N87" s="1050">
        <v>0</v>
      </c>
      <c r="O87" s="960">
        <v>0</v>
      </c>
      <c r="P87" s="969">
        <f t="shared" si="1"/>
        <v>0</v>
      </c>
    </row>
    <row r="88" spans="1:16">
      <c r="A88" s="970">
        <v>5104</v>
      </c>
      <c r="B88" s="968" t="s">
        <v>720</v>
      </c>
      <c r="C88" s="1050">
        <v>0</v>
      </c>
      <c r="D88" s="1050">
        <v>0</v>
      </c>
      <c r="E88" s="1050">
        <v>0</v>
      </c>
      <c r="F88" s="1050">
        <v>0</v>
      </c>
      <c r="G88" s="1050">
        <v>0</v>
      </c>
      <c r="H88" s="1050">
        <v>0</v>
      </c>
      <c r="I88" s="1050">
        <v>0</v>
      </c>
      <c r="J88" s="1050">
        <v>0</v>
      </c>
      <c r="K88" s="1050">
        <v>0</v>
      </c>
      <c r="L88" s="1050">
        <v>0</v>
      </c>
      <c r="M88" s="1050">
        <v>0</v>
      </c>
      <c r="N88" s="1050">
        <v>0</v>
      </c>
      <c r="O88" s="960">
        <v>0</v>
      </c>
      <c r="P88" s="969">
        <f t="shared" si="1"/>
        <v>0</v>
      </c>
    </row>
    <row r="89" spans="1:16">
      <c r="A89" s="970">
        <v>5105</v>
      </c>
      <c r="B89" s="968" t="s">
        <v>721</v>
      </c>
      <c r="C89" s="1050">
        <v>0</v>
      </c>
      <c r="D89" s="1050">
        <v>57.99</v>
      </c>
      <c r="E89" s="1050">
        <v>57.99</v>
      </c>
      <c r="F89" s="1050">
        <v>0</v>
      </c>
      <c r="G89" s="1050">
        <v>0</v>
      </c>
      <c r="H89" s="1050">
        <v>0</v>
      </c>
      <c r="I89" s="1050">
        <v>57.99</v>
      </c>
      <c r="J89" s="1050">
        <v>0</v>
      </c>
      <c r="K89" s="1050">
        <v>0</v>
      </c>
      <c r="L89" s="1050">
        <v>0</v>
      </c>
      <c r="M89" s="1050">
        <v>0</v>
      </c>
      <c r="N89" s="1050">
        <v>0</v>
      </c>
      <c r="O89" s="960">
        <v>173.97</v>
      </c>
      <c r="P89" s="969">
        <f t="shared" si="1"/>
        <v>0</v>
      </c>
    </row>
    <row r="90" spans="1:16">
      <c r="A90" s="970">
        <v>5106</v>
      </c>
      <c r="B90" s="968" t="s">
        <v>722</v>
      </c>
      <c r="C90" s="1041">
        <v>41827.97</v>
      </c>
      <c r="D90" s="1041">
        <v>50651.63</v>
      </c>
      <c r="E90" s="1041">
        <v>91702.45</v>
      </c>
      <c r="F90" s="1041">
        <v>409466.4</v>
      </c>
      <c r="G90" s="1041">
        <v>231657.58</v>
      </c>
      <c r="H90" s="1041">
        <v>326018.01</v>
      </c>
      <c r="I90" s="1041">
        <v>411726.76</v>
      </c>
      <c r="J90" s="1041">
        <v>343317.25</v>
      </c>
      <c r="K90" s="1041">
        <v>326082.86</v>
      </c>
      <c r="L90" s="1041">
        <v>253702.95</v>
      </c>
      <c r="M90" s="1041">
        <v>197255.07</v>
      </c>
      <c r="N90" s="1041">
        <v>982361.04</v>
      </c>
      <c r="O90" s="963">
        <v>3665769.97</v>
      </c>
      <c r="P90" s="969">
        <f t="shared" si="1"/>
        <v>0</v>
      </c>
    </row>
    <row r="91" spans="1:16">
      <c r="A91" s="968">
        <v>5107</v>
      </c>
      <c r="B91" s="968" t="s">
        <v>723</v>
      </c>
      <c r="C91" s="1050">
        <v>0</v>
      </c>
      <c r="D91" s="1050">
        <v>0</v>
      </c>
      <c r="E91" s="1050">
        <v>895166.65</v>
      </c>
      <c r="F91" s="1050">
        <v>298388.88</v>
      </c>
      <c r="G91" s="1050">
        <v>298388.88</v>
      </c>
      <c r="H91" s="1050">
        <v>298389</v>
      </c>
      <c r="I91" s="1050">
        <v>298389</v>
      </c>
      <c r="J91" s="1050">
        <v>253948</v>
      </c>
      <c r="K91" s="1050">
        <v>244495</v>
      </c>
      <c r="L91" s="1050">
        <v>245689</v>
      </c>
      <c r="M91" s="1050">
        <v>246287</v>
      </c>
      <c r="N91" s="1050">
        <v>246287</v>
      </c>
      <c r="O91" s="960">
        <v>3325428.41</v>
      </c>
      <c r="P91" s="969">
        <f t="shared" si="1"/>
        <v>0</v>
      </c>
    </row>
    <row r="92" spans="1:16">
      <c r="A92" s="968"/>
      <c r="B92" s="968" t="s">
        <v>604</v>
      </c>
      <c r="C92" s="1050">
        <v>42802.97</v>
      </c>
      <c r="D92" s="1050">
        <v>67081.22</v>
      </c>
      <c r="E92" s="1050">
        <v>1029863.36</v>
      </c>
      <c r="F92" s="1050">
        <v>760614.37</v>
      </c>
      <c r="G92" s="1050">
        <v>723921.12</v>
      </c>
      <c r="H92" s="1050">
        <v>671423.23</v>
      </c>
      <c r="I92" s="1050">
        <v>856628.87</v>
      </c>
      <c r="J92" s="1050">
        <v>662483.16</v>
      </c>
      <c r="K92" s="1050">
        <v>662201.56000000006</v>
      </c>
      <c r="L92" s="1050">
        <v>687699.7</v>
      </c>
      <c r="M92" s="1050">
        <v>668804.66</v>
      </c>
      <c r="N92" s="1050">
        <v>1398647.52</v>
      </c>
      <c r="O92" s="960">
        <v>8232171.7400000002</v>
      </c>
      <c r="P92" s="969">
        <f t="shared" si="1"/>
        <v>0</v>
      </c>
    </row>
    <row r="93" spans="1:16">
      <c r="A93" s="970"/>
      <c r="B93" s="968" t="s">
        <v>605</v>
      </c>
      <c r="C93" s="1050"/>
      <c r="D93" s="1050"/>
      <c r="E93" s="1050"/>
      <c r="F93" s="1050"/>
      <c r="G93" s="1050"/>
      <c r="H93" s="1050"/>
      <c r="I93" s="1050"/>
      <c r="J93" s="1050"/>
      <c r="K93" s="1050"/>
      <c r="L93" s="1040"/>
      <c r="M93" s="1040"/>
      <c r="N93" s="1040"/>
      <c r="O93" s="960"/>
      <c r="P93" s="969">
        <f t="shared" si="1"/>
        <v>0</v>
      </c>
    </row>
    <row r="94" spans="1:16">
      <c r="A94" s="970">
        <v>5801</v>
      </c>
      <c r="B94" s="968" t="s">
        <v>724</v>
      </c>
      <c r="C94" s="1050">
        <v>0</v>
      </c>
      <c r="D94" s="1050">
        <v>0</v>
      </c>
      <c r="E94" s="1050">
        <v>0</v>
      </c>
      <c r="F94" s="1050">
        <v>700</v>
      </c>
      <c r="G94" s="1050">
        <v>0</v>
      </c>
      <c r="H94" s="1050">
        <v>0</v>
      </c>
      <c r="I94" s="1050">
        <v>0</v>
      </c>
      <c r="J94" s="1050">
        <v>0</v>
      </c>
      <c r="K94" s="1050">
        <v>0</v>
      </c>
      <c r="L94" s="1040">
        <v>900</v>
      </c>
      <c r="M94" s="1040">
        <v>0</v>
      </c>
      <c r="N94" s="1040">
        <v>26912.9</v>
      </c>
      <c r="O94" s="960">
        <v>28512.9</v>
      </c>
      <c r="P94" s="969">
        <f t="shared" si="1"/>
        <v>0</v>
      </c>
    </row>
    <row r="95" spans="1:16">
      <c r="A95" s="970">
        <v>5802</v>
      </c>
      <c r="B95" s="968" t="s">
        <v>725</v>
      </c>
      <c r="C95" s="1050">
        <v>0</v>
      </c>
      <c r="D95" s="1050">
        <v>0</v>
      </c>
      <c r="E95" s="1050">
        <v>0</v>
      </c>
      <c r="F95" s="1050">
        <v>0</v>
      </c>
      <c r="G95" s="1050">
        <v>0</v>
      </c>
      <c r="H95" s="1050">
        <v>0</v>
      </c>
      <c r="I95" s="1050">
        <v>0</v>
      </c>
      <c r="J95" s="1050">
        <v>0</v>
      </c>
      <c r="K95" s="1050">
        <v>0</v>
      </c>
      <c r="L95" s="1040">
        <v>0</v>
      </c>
      <c r="M95" s="1040">
        <v>0</v>
      </c>
      <c r="N95" s="1040">
        <v>0</v>
      </c>
      <c r="O95" s="960">
        <v>0</v>
      </c>
      <c r="P95" s="969">
        <f t="shared" si="1"/>
        <v>0</v>
      </c>
    </row>
    <row r="96" spans="1:16">
      <c r="A96" s="970">
        <v>5803</v>
      </c>
      <c r="B96" s="968" t="s">
        <v>726</v>
      </c>
      <c r="C96" s="1050">
        <v>3447.69</v>
      </c>
      <c r="D96" s="1050">
        <v>360</v>
      </c>
      <c r="E96" s="1050">
        <v>440</v>
      </c>
      <c r="F96" s="1050">
        <v>1521</v>
      </c>
      <c r="G96" s="1050">
        <v>0</v>
      </c>
      <c r="H96" s="1050">
        <v>275</v>
      </c>
      <c r="I96" s="1050">
        <v>1295.0999999999999</v>
      </c>
      <c r="J96" s="1050">
        <v>986.21</v>
      </c>
      <c r="K96" s="1050">
        <v>3540.65</v>
      </c>
      <c r="L96" s="1040">
        <v>6190</v>
      </c>
      <c r="M96" s="1040">
        <v>308</v>
      </c>
      <c r="N96" s="1040">
        <v>44661.87</v>
      </c>
      <c r="O96" s="960">
        <v>63025.52</v>
      </c>
      <c r="P96" s="969">
        <f t="shared" si="1"/>
        <v>0</v>
      </c>
    </row>
    <row r="97" spans="1:16">
      <c r="A97" s="970">
        <v>5804</v>
      </c>
      <c r="B97" s="968" t="s">
        <v>727</v>
      </c>
      <c r="C97" s="1050">
        <v>315</v>
      </c>
      <c r="D97" s="1050">
        <v>0</v>
      </c>
      <c r="E97" s="1050">
        <v>0</v>
      </c>
      <c r="F97" s="1050">
        <v>159.84</v>
      </c>
      <c r="G97" s="1050">
        <v>8690</v>
      </c>
      <c r="H97" s="1050">
        <v>0</v>
      </c>
      <c r="I97" s="1050">
        <v>5548</v>
      </c>
      <c r="J97" s="1050">
        <v>0</v>
      </c>
      <c r="K97" s="1050">
        <v>0</v>
      </c>
      <c r="L97" s="1040">
        <v>132.55000000000001</v>
      </c>
      <c r="M97" s="1040">
        <v>122.5</v>
      </c>
      <c r="N97" s="1040">
        <v>18184</v>
      </c>
      <c r="O97" s="960">
        <v>33151.89</v>
      </c>
      <c r="P97" s="969">
        <f t="shared" si="1"/>
        <v>0</v>
      </c>
    </row>
    <row r="98" spans="1:16">
      <c r="A98" s="970">
        <v>5805</v>
      </c>
      <c r="B98" s="968" t="s">
        <v>728</v>
      </c>
      <c r="C98" s="1050">
        <v>750</v>
      </c>
      <c r="D98" s="1050">
        <v>500</v>
      </c>
      <c r="E98" s="1050">
        <v>0</v>
      </c>
      <c r="F98" s="1050">
        <v>2848</v>
      </c>
      <c r="G98" s="1050">
        <v>0</v>
      </c>
      <c r="H98" s="1050">
        <v>1500</v>
      </c>
      <c r="I98" s="1050">
        <v>1000</v>
      </c>
      <c r="J98" s="1050">
        <v>852</v>
      </c>
      <c r="K98" s="1050">
        <v>1250</v>
      </c>
      <c r="L98" s="1040">
        <v>8750</v>
      </c>
      <c r="M98" s="1040">
        <v>0</v>
      </c>
      <c r="N98" s="1040">
        <v>2100</v>
      </c>
      <c r="O98" s="960">
        <v>19550</v>
      </c>
      <c r="P98" s="969">
        <f t="shared" si="1"/>
        <v>0</v>
      </c>
    </row>
    <row r="99" spans="1:16">
      <c r="A99" s="970">
        <v>5806</v>
      </c>
      <c r="B99" s="968" t="s">
        <v>729</v>
      </c>
      <c r="C99" s="1050">
        <v>27157.200000000001</v>
      </c>
      <c r="D99" s="1050">
        <v>44496.39</v>
      </c>
      <c r="E99" s="1050">
        <v>66104.86</v>
      </c>
      <c r="F99" s="1050">
        <v>15421.05</v>
      </c>
      <c r="G99" s="1050">
        <v>16892.79</v>
      </c>
      <c r="H99" s="1050">
        <v>5475.82</v>
      </c>
      <c r="I99" s="1050">
        <v>6759.64</v>
      </c>
      <c r="J99" s="1050">
        <v>17783.38</v>
      </c>
      <c r="K99" s="1050">
        <v>2882.97</v>
      </c>
      <c r="L99" s="1040">
        <v>1365.68</v>
      </c>
      <c r="M99" s="1040">
        <v>22180.74</v>
      </c>
      <c r="N99" s="1040">
        <v>1974.98</v>
      </c>
      <c r="O99" s="960">
        <v>228495.5</v>
      </c>
      <c r="P99" s="969">
        <f t="shared" si="1"/>
        <v>0</v>
      </c>
    </row>
    <row r="100" spans="1:16">
      <c r="A100" s="970">
        <v>5807</v>
      </c>
      <c r="B100" s="968" t="s">
        <v>730</v>
      </c>
      <c r="C100" s="1050">
        <v>0</v>
      </c>
      <c r="D100" s="1050">
        <v>24</v>
      </c>
      <c r="E100" s="1050">
        <v>339.05</v>
      </c>
      <c r="F100" s="1050">
        <v>884.88</v>
      </c>
      <c r="G100" s="1050">
        <v>3.77</v>
      </c>
      <c r="H100" s="1050">
        <v>0</v>
      </c>
      <c r="I100" s="1050">
        <v>0</v>
      </c>
      <c r="J100" s="1050">
        <v>0</v>
      </c>
      <c r="K100" s="1050">
        <v>50</v>
      </c>
      <c r="L100" s="1040">
        <v>0</v>
      </c>
      <c r="M100" s="1040">
        <v>124.35</v>
      </c>
      <c r="N100" s="1040">
        <v>75.650000000000006</v>
      </c>
      <c r="O100" s="960">
        <v>1501.7</v>
      </c>
      <c r="P100" s="969">
        <f t="shared" si="1"/>
        <v>0</v>
      </c>
    </row>
    <row r="101" spans="1:16">
      <c r="A101" s="970">
        <v>5808</v>
      </c>
      <c r="B101" s="968" t="s">
        <v>731</v>
      </c>
      <c r="C101" s="1050">
        <v>0</v>
      </c>
      <c r="D101" s="1050">
        <v>0</v>
      </c>
      <c r="E101" s="1050">
        <v>0</v>
      </c>
      <c r="F101" s="1050">
        <v>0</v>
      </c>
      <c r="G101" s="1050">
        <v>230.71</v>
      </c>
      <c r="H101" s="1050">
        <v>33.93</v>
      </c>
      <c r="I101" s="1050">
        <v>1.49</v>
      </c>
      <c r="J101" s="1050">
        <v>457.85</v>
      </c>
      <c r="K101" s="1050">
        <v>70.11</v>
      </c>
      <c r="L101" s="1040">
        <v>5.2</v>
      </c>
      <c r="M101" s="1040">
        <v>0</v>
      </c>
      <c r="N101" s="1040">
        <v>0</v>
      </c>
      <c r="O101" s="960">
        <v>799.29</v>
      </c>
      <c r="P101" s="969">
        <f t="shared" si="1"/>
        <v>0</v>
      </c>
    </row>
    <row r="102" spans="1:16">
      <c r="A102" s="970">
        <v>5809</v>
      </c>
      <c r="B102" s="968" t="s">
        <v>732</v>
      </c>
      <c r="C102" s="1050">
        <v>160</v>
      </c>
      <c r="D102" s="1050">
        <v>60</v>
      </c>
      <c r="E102" s="1050">
        <v>0</v>
      </c>
      <c r="F102" s="1050">
        <v>0</v>
      </c>
      <c r="G102" s="1050">
        <v>545.96</v>
      </c>
      <c r="H102" s="1050">
        <v>1820</v>
      </c>
      <c r="I102" s="1050">
        <v>0</v>
      </c>
      <c r="J102" s="1050">
        <v>31642.48</v>
      </c>
      <c r="K102" s="1050">
        <v>21.71</v>
      </c>
      <c r="L102" s="1040">
        <v>0</v>
      </c>
      <c r="M102" s="1040">
        <v>35.979999999999997</v>
      </c>
      <c r="N102" s="1040">
        <v>420</v>
      </c>
      <c r="O102" s="960">
        <v>34706.129999999997</v>
      </c>
      <c r="P102" s="969">
        <f t="shared" si="1"/>
        <v>0</v>
      </c>
    </row>
    <row r="103" spans="1:16">
      <c r="A103" s="970">
        <v>5810</v>
      </c>
      <c r="B103" s="968" t="s">
        <v>733</v>
      </c>
      <c r="C103" s="1050">
        <v>0</v>
      </c>
      <c r="D103" s="1050">
        <v>0</v>
      </c>
      <c r="E103" s="1050">
        <v>0</v>
      </c>
      <c r="F103" s="1050">
        <v>0</v>
      </c>
      <c r="G103" s="1050">
        <v>0</v>
      </c>
      <c r="H103" s="1050">
        <v>0</v>
      </c>
      <c r="I103" s="1050">
        <v>0</v>
      </c>
      <c r="J103" s="1050">
        <v>0</v>
      </c>
      <c r="K103" s="1050">
        <v>0</v>
      </c>
      <c r="L103" s="1040">
        <v>0</v>
      </c>
      <c r="M103" s="1040">
        <v>2094.5</v>
      </c>
      <c r="N103" s="1040">
        <v>2456.5</v>
      </c>
      <c r="O103" s="960">
        <v>4551</v>
      </c>
      <c r="P103" s="969">
        <f t="shared" si="1"/>
        <v>0</v>
      </c>
    </row>
    <row r="104" spans="1:16">
      <c r="A104" s="970">
        <v>5811</v>
      </c>
      <c r="B104" s="968" t="s">
        <v>734</v>
      </c>
      <c r="C104" s="1050">
        <v>0</v>
      </c>
      <c r="D104" s="1050">
        <v>0</v>
      </c>
      <c r="E104" s="1050">
        <v>272442.03000000003</v>
      </c>
      <c r="F104" s="1050">
        <v>90814.01</v>
      </c>
      <c r="G104" s="1050">
        <v>90814.12</v>
      </c>
      <c r="H104" s="1050">
        <v>90814</v>
      </c>
      <c r="I104" s="1050">
        <v>90814</v>
      </c>
      <c r="J104" s="1050">
        <v>77289</v>
      </c>
      <c r="K104" s="1050">
        <v>74411</v>
      </c>
      <c r="L104" s="1040">
        <v>89087.5</v>
      </c>
      <c r="M104" s="1040">
        <v>89148</v>
      </c>
      <c r="N104" s="1040">
        <v>89298</v>
      </c>
      <c r="O104" s="960">
        <v>1054931.6599999999</v>
      </c>
      <c r="P104" s="969">
        <f t="shared" si="1"/>
        <v>0</v>
      </c>
    </row>
    <row r="105" spans="1:16">
      <c r="A105" s="970">
        <v>5812</v>
      </c>
      <c r="B105" s="968" t="s">
        <v>735</v>
      </c>
      <c r="C105" s="1050">
        <v>0</v>
      </c>
      <c r="D105" s="1050">
        <v>0</v>
      </c>
      <c r="E105" s="1050">
        <v>0</v>
      </c>
      <c r="F105" s="1050">
        <v>200000</v>
      </c>
      <c r="G105" s="1050">
        <v>0</v>
      </c>
      <c r="H105" s="1050">
        <v>0</v>
      </c>
      <c r="I105" s="1050">
        <v>0</v>
      </c>
      <c r="J105" s="1050">
        <v>0</v>
      </c>
      <c r="K105" s="1050">
        <v>0</v>
      </c>
      <c r="L105" s="1040">
        <v>0</v>
      </c>
      <c r="M105" s="1040">
        <v>667396</v>
      </c>
      <c r="N105" s="1040">
        <v>68.430000000000007</v>
      </c>
      <c r="O105" s="960">
        <v>867464.43</v>
      </c>
      <c r="P105" s="969">
        <f t="shared" si="1"/>
        <v>0</v>
      </c>
    </row>
    <row r="106" spans="1:16">
      <c r="A106" s="970">
        <v>5813</v>
      </c>
      <c r="B106" s="968" t="s">
        <v>736</v>
      </c>
      <c r="C106" s="1050">
        <v>0</v>
      </c>
      <c r="D106" s="1050">
        <v>0</v>
      </c>
      <c r="E106" s="1050">
        <v>0</v>
      </c>
      <c r="F106" s="1050">
        <v>0</v>
      </c>
      <c r="G106" s="1050">
        <v>0</v>
      </c>
      <c r="H106" s="1050">
        <v>0</v>
      </c>
      <c r="I106" s="1050">
        <v>0</v>
      </c>
      <c r="J106" s="1050">
        <v>0</v>
      </c>
      <c r="K106" s="1050">
        <v>0</v>
      </c>
      <c r="L106" s="1040">
        <v>0</v>
      </c>
      <c r="M106" s="1040">
        <v>0</v>
      </c>
      <c r="N106" s="1040">
        <v>0</v>
      </c>
      <c r="O106" s="960">
        <v>0</v>
      </c>
      <c r="P106" s="969">
        <f t="shared" si="1"/>
        <v>0</v>
      </c>
    </row>
    <row r="107" spans="1:16">
      <c r="A107" s="970">
        <v>5814</v>
      </c>
      <c r="B107" s="968" t="s">
        <v>737</v>
      </c>
      <c r="C107" s="1041">
        <v>0</v>
      </c>
      <c r="D107" s="1041">
        <v>0</v>
      </c>
      <c r="E107" s="1041">
        <v>0</v>
      </c>
      <c r="F107" s="1041">
        <v>0</v>
      </c>
      <c r="G107" s="1041">
        <v>0</v>
      </c>
      <c r="H107" s="1041">
        <v>0</v>
      </c>
      <c r="I107" s="1041">
        <v>0</v>
      </c>
      <c r="J107" s="1041">
        <v>0</v>
      </c>
      <c r="K107" s="1041">
        <v>0</v>
      </c>
      <c r="L107" s="1041">
        <v>0</v>
      </c>
      <c r="M107" s="1041">
        <v>0</v>
      </c>
      <c r="N107" s="1041">
        <v>88491.56</v>
      </c>
      <c r="O107" s="963">
        <v>88491.56</v>
      </c>
      <c r="P107" s="969">
        <f t="shared" si="1"/>
        <v>0</v>
      </c>
    </row>
    <row r="108" spans="1:16">
      <c r="A108" s="968"/>
      <c r="B108" s="968" t="s">
        <v>606</v>
      </c>
      <c r="C108" s="1050">
        <v>31829.89</v>
      </c>
      <c r="D108" s="1050">
        <v>45440.39</v>
      </c>
      <c r="E108" s="1050">
        <v>339325.94</v>
      </c>
      <c r="F108" s="1050">
        <v>312348.78000000003</v>
      </c>
      <c r="G108" s="1050">
        <v>117177.35</v>
      </c>
      <c r="H108" s="1050">
        <v>99918.75</v>
      </c>
      <c r="I108" s="1050">
        <v>105418.23</v>
      </c>
      <c r="J108" s="1050">
        <v>129010.92</v>
      </c>
      <c r="K108" s="1050">
        <v>82226.44</v>
      </c>
      <c r="L108" s="1040">
        <v>106430.93</v>
      </c>
      <c r="M108" s="1040">
        <v>781410.07</v>
      </c>
      <c r="N108" s="1040">
        <v>274643.89</v>
      </c>
      <c r="O108" s="960">
        <v>2425181.58</v>
      </c>
      <c r="P108" s="969">
        <f t="shared" si="1"/>
        <v>0</v>
      </c>
    </row>
    <row r="109" spans="1:16">
      <c r="A109" s="968"/>
      <c r="B109" s="968" t="s">
        <v>738</v>
      </c>
      <c r="C109" s="1050"/>
      <c r="D109" s="1050"/>
      <c r="E109" s="1050"/>
      <c r="F109" s="1050"/>
      <c r="G109" s="1050"/>
      <c r="H109" s="1050"/>
      <c r="I109" s="1050"/>
      <c r="J109" s="1050"/>
      <c r="K109" s="1050"/>
      <c r="L109" s="1050"/>
      <c r="M109" s="1050"/>
      <c r="N109" s="1050"/>
      <c r="O109" s="960"/>
      <c r="P109" s="969">
        <f t="shared" si="1"/>
        <v>0</v>
      </c>
    </row>
    <row r="110" spans="1:16">
      <c r="A110" s="970">
        <v>5601</v>
      </c>
      <c r="B110" s="968" t="s">
        <v>739</v>
      </c>
      <c r="C110" s="1050">
        <v>0</v>
      </c>
      <c r="D110" s="1050">
        <v>0</v>
      </c>
      <c r="E110" s="1050">
        <v>4175</v>
      </c>
      <c r="F110" s="1050">
        <v>20087.599999999999</v>
      </c>
      <c r="G110" s="1050">
        <v>7526.9</v>
      </c>
      <c r="H110" s="1050">
        <v>0</v>
      </c>
      <c r="I110" s="1050">
        <v>0</v>
      </c>
      <c r="J110" s="1050">
        <v>0</v>
      </c>
      <c r="K110" s="1050">
        <v>0</v>
      </c>
      <c r="L110" s="1050">
        <v>0</v>
      </c>
      <c r="M110" s="1050">
        <v>0</v>
      </c>
      <c r="N110" s="1050">
        <v>-126</v>
      </c>
      <c r="O110" s="960">
        <v>31663.5</v>
      </c>
      <c r="P110" s="969">
        <f t="shared" si="1"/>
        <v>0</v>
      </c>
    </row>
    <row r="111" spans="1:16">
      <c r="A111" s="970">
        <v>5602</v>
      </c>
      <c r="B111" s="968" t="s">
        <v>740</v>
      </c>
      <c r="C111" s="1050">
        <v>0</v>
      </c>
      <c r="D111" s="1050">
        <v>0</v>
      </c>
      <c r="E111" s="1050">
        <v>0</v>
      </c>
      <c r="F111" s="1050">
        <v>0</v>
      </c>
      <c r="G111" s="1050">
        <v>0</v>
      </c>
      <c r="H111" s="1050">
        <v>0</v>
      </c>
      <c r="I111" s="1050">
        <v>0</v>
      </c>
      <c r="J111" s="1050">
        <v>0</v>
      </c>
      <c r="K111" s="1050">
        <v>0</v>
      </c>
      <c r="L111" s="1050">
        <v>0</v>
      </c>
      <c r="M111" s="1050">
        <v>0</v>
      </c>
      <c r="N111" s="1050">
        <v>0</v>
      </c>
      <c r="O111" s="960">
        <v>0</v>
      </c>
      <c r="P111" s="969">
        <f t="shared" si="1"/>
        <v>0</v>
      </c>
    </row>
    <row r="112" spans="1:16">
      <c r="A112" s="970">
        <v>5603</v>
      </c>
      <c r="B112" s="968" t="s">
        <v>741</v>
      </c>
      <c r="C112" s="1050">
        <v>0</v>
      </c>
      <c r="D112" s="1050">
        <v>0</v>
      </c>
      <c r="E112" s="1050">
        <v>0</v>
      </c>
      <c r="F112" s="1050">
        <v>0</v>
      </c>
      <c r="G112" s="1050">
        <v>0</v>
      </c>
      <c r="H112" s="1050">
        <v>0</v>
      </c>
      <c r="I112" s="1050">
        <v>0</v>
      </c>
      <c r="J112" s="1050">
        <v>0</v>
      </c>
      <c r="K112" s="1050">
        <v>0</v>
      </c>
      <c r="L112" s="1050">
        <v>0</v>
      </c>
      <c r="M112" s="1050">
        <v>0</v>
      </c>
      <c r="N112" s="1050">
        <v>0</v>
      </c>
      <c r="O112" s="960">
        <v>0</v>
      </c>
      <c r="P112" s="969">
        <f t="shared" si="1"/>
        <v>0</v>
      </c>
    </row>
    <row r="113" spans="1:16">
      <c r="A113" s="970">
        <v>5604</v>
      </c>
      <c r="B113" s="968" t="s">
        <v>742</v>
      </c>
      <c r="C113" s="1050">
        <v>0</v>
      </c>
      <c r="D113" s="1050">
        <v>0</v>
      </c>
      <c r="E113" s="1050">
        <v>0</v>
      </c>
      <c r="F113" s="1050">
        <v>0</v>
      </c>
      <c r="G113" s="1050">
        <v>291</v>
      </c>
      <c r="H113" s="1050">
        <v>3174</v>
      </c>
      <c r="I113" s="1050">
        <v>7549</v>
      </c>
      <c r="J113" s="1050">
        <v>1100</v>
      </c>
      <c r="K113" s="1050">
        <v>600</v>
      </c>
      <c r="L113" s="1050">
        <v>-2900</v>
      </c>
      <c r="M113" s="1050">
        <v>-3649</v>
      </c>
      <c r="N113" s="1050">
        <v>-1950</v>
      </c>
      <c r="O113" s="960">
        <v>4215</v>
      </c>
      <c r="P113" s="969">
        <f t="shared" si="1"/>
        <v>0</v>
      </c>
    </row>
    <row r="114" spans="1:16">
      <c r="A114" s="970">
        <v>5605</v>
      </c>
      <c r="B114" s="968" t="s">
        <v>743</v>
      </c>
      <c r="C114" s="1050">
        <v>0</v>
      </c>
      <c r="D114" s="1050">
        <v>0</v>
      </c>
      <c r="E114" s="1050">
        <v>0</v>
      </c>
      <c r="F114" s="1050">
        <v>0</v>
      </c>
      <c r="G114" s="1050">
        <v>0</v>
      </c>
      <c r="H114" s="1050">
        <v>0</v>
      </c>
      <c r="I114" s="1050">
        <v>0</v>
      </c>
      <c r="J114" s="1050">
        <v>0</v>
      </c>
      <c r="K114" s="1050">
        <v>0</v>
      </c>
      <c r="L114" s="1050">
        <v>0</v>
      </c>
      <c r="M114" s="1050">
        <v>0</v>
      </c>
      <c r="N114" s="1050">
        <v>0</v>
      </c>
      <c r="O114" s="960">
        <v>0</v>
      </c>
      <c r="P114" s="969">
        <f t="shared" si="1"/>
        <v>0</v>
      </c>
    </row>
    <row r="115" spans="1:16">
      <c r="A115" s="970">
        <v>5610</v>
      </c>
      <c r="B115" s="968" t="s">
        <v>744</v>
      </c>
      <c r="C115" s="1041">
        <v>0</v>
      </c>
      <c r="D115" s="1041">
        <v>0</v>
      </c>
      <c r="E115" s="1041">
        <v>35</v>
      </c>
      <c r="F115" s="1041">
        <v>0</v>
      </c>
      <c r="G115" s="1041">
        <v>0</v>
      </c>
      <c r="H115" s="1041">
        <v>0</v>
      </c>
      <c r="I115" s="1041">
        <v>20000</v>
      </c>
      <c r="J115" s="1041">
        <v>-35</v>
      </c>
      <c r="K115" s="1041">
        <v>0</v>
      </c>
      <c r="L115" s="1041">
        <v>0</v>
      </c>
      <c r="M115" s="1041">
        <v>0</v>
      </c>
      <c r="N115" s="1041">
        <v>0</v>
      </c>
      <c r="O115" s="963">
        <v>20000</v>
      </c>
      <c r="P115" s="969">
        <f t="shared" si="1"/>
        <v>0</v>
      </c>
    </row>
    <row r="116" spans="1:16">
      <c r="A116" s="968"/>
      <c r="B116" s="968" t="s">
        <v>745</v>
      </c>
      <c r="C116" s="1050">
        <v>0</v>
      </c>
      <c r="D116" s="1050">
        <v>0</v>
      </c>
      <c r="E116" s="1050">
        <v>4210</v>
      </c>
      <c r="F116" s="1050">
        <v>20087.599999999999</v>
      </c>
      <c r="G116" s="1050">
        <v>7817.9</v>
      </c>
      <c r="H116" s="1050">
        <v>3174</v>
      </c>
      <c r="I116" s="1050">
        <v>27549</v>
      </c>
      <c r="J116" s="1050">
        <v>1065</v>
      </c>
      <c r="K116" s="1050">
        <v>600</v>
      </c>
      <c r="L116" s="1050">
        <v>-2900</v>
      </c>
      <c r="M116" s="1050">
        <v>-3649</v>
      </c>
      <c r="N116" s="1050">
        <v>-2076</v>
      </c>
      <c r="O116" s="960">
        <v>55878.5</v>
      </c>
      <c r="P116" s="969">
        <f t="shared" si="1"/>
        <v>0</v>
      </c>
    </row>
    <row r="117" spans="1:16">
      <c r="A117" s="968"/>
      <c r="B117" s="968" t="s">
        <v>607</v>
      </c>
      <c r="C117" s="1050"/>
      <c r="D117" s="1050"/>
      <c r="E117" s="1050"/>
      <c r="F117" s="1050"/>
      <c r="G117" s="1050"/>
      <c r="H117" s="1050"/>
      <c r="I117" s="1050"/>
      <c r="J117" s="1050"/>
      <c r="K117" s="1050"/>
      <c r="L117" s="1050"/>
      <c r="M117" s="1050"/>
      <c r="N117" s="1050"/>
      <c r="O117" s="960"/>
      <c r="P117" s="969">
        <f t="shared" si="1"/>
        <v>0</v>
      </c>
    </row>
    <row r="118" spans="1:16">
      <c r="A118" s="970">
        <v>5201</v>
      </c>
      <c r="B118" s="968" t="s">
        <v>746</v>
      </c>
      <c r="C118" s="1050">
        <v>0</v>
      </c>
      <c r="D118" s="1050">
        <v>525.84</v>
      </c>
      <c r="E118" s="1050">
        <v>155.44</v>
      </c>
      <c r="F118" s="1050">
        <v>0</v>
      </c>
      <c r="G118" s="1050">
        <v>4913.26</v>
      </c>
      <c r="H118" s="1050">
        <v>-217.53</v>
      </c>
      <c r="I118" s="1050">
        <v>618.92999999999995</v>
      </c>
      <c r="J118" s="1050">
        <v>1290.1500000000001</v>
      </c>
      <c r="K118" s="1050">
        <v>1895.81</v>
      </c>
      <c r="L118" s="1050">
        <v>0</v>
      </c>
      <c r="M118" s="1050">
        <v>0</v>
      </c>
      <c r="N118" s="1050">
        <v>10290</v>
      </c>
      <c r="O118" s="960">
        <v>19471.900000000001</v>
      </c>
      <c r="P118" s="969">
        <f t="shared" si="1"/>
        <v>0</v>
      </c>
    </row>
    <row r="119" spans="1:16">
      <c r="A119" s="970">
        <v>5300</v>
      </c>
      <c r="B119" s="968" t="s">
        <v>747</v>
      </c>
      <c r="C119" s="1050">
        <v>0</v>
      </c>
      <c r="D119" s="1050">
        <v>0</v>
      </c>
      <c r="E119" s="1050">
        <v>0</v>
      </c>
      <c r="F119" s="1050">
        <v>0</v>
      </c>
      <c r="G119" s="1050">
        <v>0</v>
      </c>
      <c r="H119" s="1050">
        <v>0</v>
      </c>
      <c r="I119" s="1050">
        <v>0</v>
      </c>
      <c r="J119" s="1050">
        <v>0</v>
      </c>
      <c r="K119" s="1050">
        <v>0</v>
      </c>
      <c r="L119" s="1050">
        <v>0</v>
      </c>
      <c r="M119" s="1050">
        <v>0</v>
      </c>
      <c r="N119" s="1050">
        <v>0</v>
      </c>
      <c r="O119" s="960">
        <v>0</v>
      </c>
      <c r="P119" s="969">
        <f t="shared" si="1"/>
        <v>0</v>
      </c>
    </row>
    <row r="120" spans="1:16">
      <c r="A120" s="970">
        <v>5400</v>
      </c>
      <c r="B120" s="968" t="s">
        <v>748</v>
      </c>
      <c r="C120" s="1050">
        <v>0</v>
      </c>
      <c r="D120" s="1050">
        <v>2592.44</v>
      </c>
      <c r="E120" s="1050">
        <v>1296.22</v>
      </c>
      <c r="F120" s="1050">
        <v>1296.22</v>
      </c>
      <c r="G120" s="1050">
        <v>1296.22</v>
      </c>
      <c r="H120" s="1050">
        <v>1296.22</v>
      </c>
      <c r="I120" s="1050">
        <v>1296.22</v>
      </c>
      <c r="J120" s="1050">
        <v>1296.22</v>
      </c>
      <c r="K120" s="1050">
        <v>4949</v>
      </c>
      <c r="L120" s="1040">
        <v>22808</v>
      </c>
      <c r="M120" s="1040">
        <v>68955.490000000005</v>
      </c>
      <c r="N120" s="1040">
        <v>26659.78</v>
      </c>
      <c r="O120" s="960">
        <v>133742.03</v>
      </c>
      <c r="P120" s="969">
        <f t="shared" si="1"/>
        <v>0</v>
      </c>
    </row>
    <row r="121" spans="1:16">
      <c r="A121" s="970">
        <v>5501</v>
      </c>
      <c r="B121" s="968" t="s">
        <v>749</v>
      </c>
      <c r="C121" s="1050">
        <v>154.99</v>
      </c>
      <c r="D121" s="1050">
        <v>0</v>
      </c>
      <c r="E121" s="1050">
        <v>0</v>
      </c>
      <c r="F121" s="1050">
        <v>0</v>
      </c>
      <c r="G121" s="1050">
        <v>0</v>
      </c>
      <c r="H121" s="1050">
        <v>0</v>
      </c>
      <c r="I121" s="1050">
        <v>0</v>
      </c>
      <c r="J121" s="1050">
        <v>0</v>
      </c>
      <c r="K121" s="1050">
        <v>0</v>
      </c>
      <c r="L121" s="1050">
        <v>0</v>
      </c>
      <c r="M121" s="1050">
        <v>0</v>
      </c>
      <c r="N121" s="1050">
        <v>0</v>
      </c>
      <c r="O121" s="960">
        <v>154.99</v>
      </c>
      <c r="P121" s="969">
        <f t="shared" si="1"/>
        <v>0</v>
      </c>
    </row>
    <row r="122" spans="1:16">
      <c r="A122" s="970">
        <v>5502</v>
      </c>
      <c r="B122" s="968" t="s">
        <v>750</v>
      </c>
      <c r="C122" s="1050">
        <v>0</v>
      </c>
      <c r="D122" s="1050">
        <v>590</v>
      </c>
      <c r="E122" s="1050">
        <v>500</v>
      </c>
      <c r="F122" s="1050">
        <v>0</v>
      </c>
      <c r="G122" s="1050">
        <v>835</v>
      </c>
      <c r="H122" s="1050">
        <v>0</v>
      </c>
      <c r="I122" s="1050">
        <v>0</v>
      </c>
      <c r="J122" s="1050">
        <v>35</v>
      </c>
      <c r="K122" s="1050">
        <v>0</v>
      </c>
      <c r="L122" s="1050">
        <v>35</v>
      </c>
      <c r="M122" s="1050">
        <v>0</v>
      </c>
      <c r="N122" s="1050">
        <v>0</v>
      </c>
      <c r="O122" s="960">
        <v>1995</v>
      </c>
      <c r="P122" s="969">
        <f t="shared" si="1"/>
        <v>0</v>
      </c>
    </row>
    <row r="123" spans="1:16">
      <c r="A123" s="970">
        <v>5516</v>
      </c>
      <c r="B123" s="968" t="s">
        <v>751</v>
      </c>
      <c r="C123" s="1050">
        <v>0</v>
      </c>
      <c r="D123" s="1050">
        <v>0</v>
      </c>
      <c r="E123" s="1050">
        <v>0</v>
      </c>
      <c r="F123" s="1050">
        <v>0</v>
      </c>
      <c r="G123" s="1050">
        <v>0</v>
      </c>
      <c r="H123" s="1050">
        <v>0</v>
      </c>
      <c r="I123" s="1050">
        <v>0</v>
      </c>
      <c r="J123" s="1050">
        <v>0</v>
      </c>
      <c r="K123" s="1050">
        <v>0</v>
      </c>
      <c r="L123" s="1050">
        <v>0</v>
      </c>
      <c r="M123" s="1050">
        <v>0</v>
      </c>
      <c r="N123" s="1050">
        <v>0</v>
      </c>
      <c r="O123" s="960">
        <v>0</v>
      </c>
      <c r="P123" s="969">
        <f t="shared" si="1"/>
        <v>0</v>
      </c>
    </row>
    <row r="124" spans="1:16">
      <c r="A124" s="970">
        <v>5531</v>
      </c>
      <c r="B124" s="968" t="s">
        <v>752</v>
      </c>
      <c r="C124" s="1050">
        <v>0</v>
      </c>
      <c r="D124" s="1050">
        <v>0</v>
      </c>
      <c r="E124" s="1050">
        <v>0</v>
      </c>
      <c r="F124" s="1050">
        <v>0</v>
      </c>
      <c r="G124" s="1050">
        <v>0</v>
      </c>
      <c r="H124" s="1050">
        <v>0</v>
      </c>
      <c r="I124" s="1050">
        <v>0</v>
      </c>
      <c r="J124" s="1050">
        <v>0</v>
      </c>
      <c r="K124" s="1050">
        <v>0</v>
      </c>
      <c r="L124" s="1050">
        <v>0</v>
      </c>
      <c r="M124" s="1050">
        <v>0</v>
      </c>
      <c r="N124" s="1050">
        <v>0</v>
      </c>
      <c r="O124" s="960">
        <v>0</v>
      </c>
      <c r="P124" s="969">
        <f t="shared" si="1"/>
        <v>0</v>
      </c>
    </row>
    <row r="125" spans="1:16">
      <c r="A125" s="970">
        <v>5540</v>
      </c>
      <c r="B125" s="968" t="s">
        <v>753</v>
      </c>
      <c r="C125" s="1050">
        <v>0</v>
      </c>
      <c r="D125" s="1050">
        <v>0</v>
      </c>
      <c r="E125" s="1050">
        <v>0</v>
      </c>
      <c r="F125" s="1050">
        <v>0</v>
      </c>
      <c r="G125" s="1050">
        <v>0</v>
      </c>
      <c r="H125" s="1050">
        <v>0</v>
      </c>
      <c r="I125" s="1050">
        <v>0</v>
      </c>
      <c r="J125" s="1050">
        <v>0</v>
      </c>
      <c r="K125" s="1050">
        <v>0</v>
      </c>
      <c r="L125" s="1050">
        <v>0</v>
      </c>
      <c r="M125" s="1050">
        <v>0</v>
      </c>
      <c r="N125" s="1050">
        <v>0</v>
      </c>
      <c r="O125" s="960">
        <v>0</v>
      </c>
      <c r="P125" s="969">
        <f t="shared" si="1"/>
        <v>0</v>
      </c>
    </row>
    <row r="126" spans="1:16">
      <c r="A126" s="970">
        <v>5710</v>
      </c>
      <c r="B126" s="968" t="s">
        <v>810</v>
      </c>
      <c r="C126" s="1050">
        <v>0</v>
      </c>
      <c r="D126" s="1050">
        <v>0</v>
      </c>
      <c r="E126" s="1050">
        <v>0</v>
      </c>
      <c r="F126" s="1050">
        <v>0</v>
      </c>
      <c r="G126" s="1050">
        <v>0</v>
      </c>
      <c r="H126" s="1050">
        <v>0</v>
      </c>
      <c r="I126" s="1050">
        <v>0</v>
      </c>
      <c r="J126" s="1050">
        <v>0</v>
      </c>
      <c r="K126" s="1050">
        <v>0</v>
      </c>
      <c r="L126" s="1050">
        <v>0</v>
      </c>
      <c r="M126" s="1050">
        <v>0</v>
      </c>
      <c r="N126" s="1050">
        <v>0</v>
      </c>
      <c r="O126" s="960">
        <v>0</v>
      </c>
      <c r="P126" s="969">
        <f t="shared" si="1"/>
        <v>0</v>
      </c>
    </row>
    <row r="127" spans="1:16">
      <c r="A127" s="970">
        <v>5815</v>
      </c>
      <c r="B127" s="968" t="s">
        <v>754</v>
      </c>
      <c r="C127" s="1050">
        <v>0</v>
      </c>
      <c r="D127" s="1050">
        <v>0</v>
      </c>
      <c r="E127" s="1050">
        <v>0</v>
      </c>
      <c r="F127" s="1050">
        <v>0</v>
      </c>
      <c r="G127" s="1050">
        <v>0</v>
      </c>
      <c r="H127" s="1050">
        <v>0</v>
      </c>
      <c r="I127" s="1050">
        <v>0</v>
      </c>
      <c r="J127" s="1050">
        <v>0</v>
      </c>
      <c r="K127" s="1050">
        <v>0</v>
      </c>
      <c r="L127" s="1040">
        <v>413.84</v>
      </c>
      <c r="M127" s="1040">
        <v>0</v>
      </c>
      <c r="N127" s="1040">
        <v>0</v>
      </c>
      <c r="O127" s="960">
        <v>413.84</v>
      </c>
      <c r="P127" s="969">
        <f t="shared" si="1"/>
        <v>0</v>
      </c>
    </row>
    <row r="128" spans="1:16">
      <c r="A128" s="970">
        <v>5820</v>
      </c>
      <c r="B128" s="968" t="s">
        <v>755</v>
      </c>
      <c r="C128" s="1041">
        <v>0</v>
      </c>
      <c r="D128" s="1041">
        <v>0</v>
      </c>
      <c r="E128" s="1041">
        <v>0</v>
      </c>
      <c r="F128" s="1041">
        <v>0</v>
      </c>
      <c r="G128" s="1041">
        <v>0</v>
      </c>
      <c r="H128" s="1041">
        <v>0</v>
      </c>
      <c r="I128" s="1041">
        <v>0</v>
      </c>
      <c r="J128" s="1041">
        <v>0</v>
      </c>
      <c r="K128" s="1041">
        <v>0</v>
      </c>
      <c r="L128" s="1041">
        <v>0</v>
      </c>
      <c r="M128" s="1041">
        <v>0</v>
      </c>
      <c r="N128" s="1041">
        <v>0</v>
      </c>
      <c r="O128" s="963">
        <v>0</v>
      </c>
      <c r="P128" s="969">
        <f t="shared" si="1"/>
        <v>0</v>
      </c>
    </row>
    <row r="129" spans="1:17">
      <c r="A129" s="968">
        <v>5900</v>
      </c>
      <c r="B129" s="968" t="s">
        <v>756</v>
      </c>
      <c r="C129" s="1050">
        <v>0</v>
      </c>
      <c r="D129" s="1050">
        <v>323.8</v>
      </c>
      <c r="E129" s="1050">
        <v>323.8</v>
      </c>
      <c r="F129" s="1050">
        <v>0</v>
      </c>
      <c r="G129" s="1050">
        <v>0</v>
      </c>
      <c r="H129" s="1050">
        <v>0</v>
      </c>
      <c r="I129" s="1050">
        <v>0</v>
      </c>
      <c r="J129" s="1050">
        <v>0</v>
      </c>
      <c r="K129" s="1050">
        <v>0</v>
      </c>
      <c r="L129" s="1040">
        <v>69.989999999999995</v>
      </c>
      <c r="M129" s="1040">
        <v>71.099999999999994</v>
      </c>
      <c r="N129" s="1040">
        <v>74.989999999999995</v>
      </c>
      <c r="O129" s="960">
        <v>863.68</v>
      </c>
      <c r="P129" s="969">
        <f>SUM(C129:N129)-O129</f>
        <v>0</v>
      </c>
    </row>
    <row r="130" spans="1:17">
      <c r="A130" s="968">
        <v>5901</v>
      </c>
      <c r="B130" s="968" t="s">
        <v>757</v>
      </c>
      <c r="C130" s="1050">
        <v>0</v>
      </c>
      <c r="D130" s="1050">
        <v>0</v>
      </c>
      <c r="E130" s="1050">
        <v>19.510000000000002</v>
      </c>
      <c r="F130" s="1050">
        <v>0</v>
      </c>
      <c r="G130" s="1050">
        <v>0</v>
      </c>
      <c r="H130" s="1050">
        <v>74.81</v>
      </c>
      <c r="I130" s="1050">
        <v>89.99</v>
      </c>
      <c r="J130" s="1050">
        <v>215.13</v>
      </c>
      <c r="K130" s="1050">
        <v>0</v>
      </c>
      <c r="L130" s="1050">
        <v>0</v>
      </c>
      <c r="M130" s="1050">
        <v>348</v>
      </c>
      <c r="N130" s="1050">
        <v>489.5</v>
      </c>
      <c r="O130" s="960">
        <v>1236.94</v>
      </c>
      <c r="P130" s="969">
        <f t="shared" si="1"/>
        <v>0</v>
      </c>
    </row>
    <row r="131" spans="1:17">
      <c r="A131" s="970"/>
      <c r="B131" s="968" t="s">
        <v>608</v>
      </c>
      <c r="C131" s="1041">
        <v>154.99</v>
      </c>
      <c r="D131" s="1041">
        <v>4032.08</v>
      </c>
      <c r="E131" s="1041">
        <v>2294.9699999999998</v>
      </c>
      <c r="F131" s="1041">
        <v>1296.22</v>
      </c>
      <c r="G131" s="1041">
        <v>7044.48</v>
      </c>
      <c r="H131" s="1041">
        <v>1153.5</v>
      </c>
      <c r="I131" s="1041">
        <v>2005.14</v>
      </c>
      <c r="J131" s="1041">
        <v>2836.5</v>
      </c>
      <c r="K131" s="1041">
        <v>6844.81</v>
      </c>
      <c r="L131" s="1041">
        <v>23326.83</v>
      </c>
      <c r="M131" s="1041">
        <v>69374.59</v>
      </c>
      <c r="N131" s="1041">
        <v>37514.269999999997</v>
      </c>
      <c r="O131" s="963">
        <v>157878.38</v>
      </c>
      <c r="P131" s="969">
        <f t="shared" si="1"/>
        <v>0</v>
      </c>
    </row>
    <row r="132" spans="1:17">
      <c r="A132" s="968"/>
      <c r="B132" s="968" t="s">
        <v>609</v>
      </c>
      <c r="C132" s="1050"/>
      <c r="D132" s="1050"/>
      <c r="E132" s="1050"/>
      <c r="F132" s="1050"/>
      <c r="G132" s="1050"/>
      <c r="H132" s="1050"/>
      <c r="I132" s="1050"/>
      <c r="J132" s="1050"/>
      <c r="K132" s="1050"/>
      <c r="L132" s="1050"/>
      <c r="M132" s="1050"/>
      <c r="N132" s="1050"/>
      <c r="O132" s="960"/>
      <c r="P132" s="969">
        <f t="shared" si="1"/>
        <v>0</v>
      </c>
    </row>
    <row r="133" spans="1:17">
      <c r="A133" s="968">
        <v>6900</v>
      </c>
      <c r="B133" s="968" t="s">
        <v>758</v>
      </c>
      <c r="C133" s="1050">
        <v>0</v>
      </c>
      <c r="D133" s="1050">
        <v>0</v>
      </c>
      <c r="E133" s="1050">
        <v>0</v>
      </c>
      <c r="F133" s="1050">
        <v>0</v>
      </c>
      <c r="G133" s="1050">
        <v>0</v>
      </c>
      <c r="H133" s="1050">
        <v>0</v>
      </c>
      <c r="I133" s="1050">
        <v>100</v>
      </c>
      <c r="J133" s="1050">
        <v>50</v>
      </c>
      <c r="K133" s="1050">
        <v>50</v>
      </c>
      <c r="L133" s="1050">
        <v>50</v>
      </c>
      <c r="M133" s="1050">
        <v>50</v>
      </c>
      <c r="N133" s="1050">
        <v>50</v>
      </c>
      <c r="O133" s="960">
        <v>350</v>
      </c>
      <c r="P133" s="969">
        <f t="shared" ref="P133:P139" si="2">SUM(C133:N133)-O133</f>
        <v>0</v>
      </c>
    </row>
    <row r="134" spans="1:17">
      <c r="A134" s="970"/>
      <c r="B134" s="968" t="s">
        <v>610</v>
      </c>
      <c r="C134" s="1041">
        <v>0</v>
      </c>
      <c r="D134" s="1041">
        <v>0</v>
      </c>
      <c r="E134" s="1041">
        <v>0</v>
      </c>
      <c r="F134" s="1041">
        <v>0</v>
      </c>
      <c r="G134" s="1041">
        <v>0</v>
      </c>
      <c r="H134" s="1041">
        <v>0</v>
      </c>
      <c r="I134" s="1041">
        <v>100</v>
      </c>
      <c r="J134" s="1041">
        <v>50</v>
      </c>
      <c r="K134" s="1041">
        <v>50</v>
      </c>
      <c r="L134" s="1041">
        <v>50</v>
      </c>
      <c r="M134" s="1041">
        <v>50</v>
      </c>
      <c r="N134" s="1041">
        <v>50</v>
      </c>
      <c r="O134" s="963">
        <v>350</v>
      </c>
      <c r="P134" s="969">
        <f t="shared" si="2"/>
        <v>0</v>
      </c>
    </row>
    <row r="135" spans="1:17">
      <c r="A135" s="968"/>
      <c r="B135" s="968" t="s">
        <v>611</v>
      </c>
      <c r="C135" s="1041"/>
      <c r="D135" s="1041"/>
      <c r="E135" s="1041"/>
      <c r="F135" s="1041"/>
      <c r="G135" s="1041"/>
      <c r="H135" s="1041"/>
      <c r="I135" s="1041"/>
      <c r="J135" s="1041"/>
      <c r="K135" s="1041"/>
      <c r="L135" s="1041"/>
      <c r="M135" s="1041"/>
      <c r="N135" s="1041"/>
      <c r="O135" s="963"/>
      <c r="P135" s="969">
        <f t="shared" si="2"/>
        <v>0</v>
      </c>
    </row>
    <row r="136" spans="1:17">
      <c r="A136" s="968">
        <v>7438</v>
      </c>
      <c r="B136" s="968" t="s">
        <v>759</v>
      </c>
      <c r="C136" s="1041">
        <v>0</v>
      </c>
      <c r="D136" s="1041">
        <v>0</v>
      </c>
      <c r="E136" s="1041">
        <v>156202</v>
      </c>
      <c r="F136" s="1041">
        <v>0</v>
      </c>
      <c r="G136" s="1041">
        <v>168678</v>
      </c>
      <c r="H136" s="1041">
        <v>209230</v>
      </c>
      <c r="I136" s="1041">
        <v>0</v>
      </c>
      <c r="J136" s="1041">
        <v>117924</v>
      </c>
      <c r="K136" s="1041">
        <v>0</v>
      </c>
      <c r="L136" s="1049">
        <v>0</v>
      </c>
      <c r="M136" s="1049">
        <v>161149</v>
      </c>
      <c r="N136" s="1049">
        <v>0</v>
      </c>
      <c r="O136" s="963">
        <v>813183</v>
      </c>
      <c r="P136" s="969">
        <f t="shared" si="2"/>
        <v>0</v>
      </c>
    </row>
    <row r="137" spans="1:17">
      <c r="A137" s="968"/>
      <c r="B137" s="968" t="s">
        <v>612</v>
      </c>
      <c r="C137" s="1050">
        <v>0</v>
      </c>
      <c r="D137" s="1050">
        <v>0</v>
      </c>
      <c r="E137" s="1050">
        <v>156202</v>
      </c>
      <c r="F137" s="1050">
        <v>0</v>
      </c>
      <c r="G137" s="1050">
        <v>168678</v>
      </c>
      <c r="H137" s="1050">
        <v>209230</v>
      </c>
      <c r="I137" s="1050">
        <v>0</v>
      </c>
      <c r="J137" s="1050">
        <v>117924</v>
      </c>
      <c r="K137" s="1050">
        <v>0</v>
      </c>
      <c r="L137" s="1050">
        <v>0</v>
      </c>
      <c r="M137" s="1050">
        <v>161149</v>
      </c>
      <c r="N137" s="1050">
        <v>0</v>
      </c>
      <c r="O137" s="960">
        <v>813183</v>
      </c>
      <c r="P137" s="969">
        <f t="shared" si="2"/>
        <v>0</v>
      </c>
    </row>
    <row r="138" spans="1:17">
      <c r="B138" s="923" t="s">
        <v>613</v>
      </c>
      <c r="C138" s="1039">
        <v>875230.7</v>
      </c>
      <c r="D138" s="1039">
        <v>1553773.5</v>
      </c>
      <c r="E138" s="1039">
        <v>3150028.39</v>
      </c>
      <c r="F138" s="1039">
        <v>2737781.36</v>
      </c>
      <c r="G138" s="1039">
        <v>1601566.27</v>
      </c>
      <c r="H138" s="1039">
        <v>3229891.95</v>
      </c>
      <c r="I138" s="1039">
        <v>2443092.7999999998</v>
      </c>
      <c r="J138" s="1039">
        <v>2349711.5</v>
      </c>
      <c r="K138" s="1039">
        <v>2216540.77</v>
      </c>
      <c r="L138" s="1039">
        <v>2321584.44</v>
      </c>
      <c r="M138" s="1039">
        <v>3260389.68</v>
      </c>
      <c r="N138" s="1039">
        <v>4072564.3</v>
      </c>
      <c r="O138" s="959">
        <v>29812155.66</v>
      </c>
      <c r="P138" s="969">
        <f t="shared" si="2"/>
        <v>0</v>
      </c>
    </row>
    <row r="139" spans="1:17">
      <c r="B139" s="923"/>
      <c r="C139" s="1045"/>
      <c r="D139" s="1045"/>
      <c r="E139" s="1045"/>
      <c r="F139" s="1045"/>
      <c r="G139" s="1045"/>
      <c r="H139" s="1045"/>
      <c r="I139" s="1045"/>
      <c r="J139" s="1045"/>
      <c r="K139" s="1045"/>
      <c r="L139" s="1045"/>
      <c r="M139" s="1045"/>
      <c r="N139" s="1045"/>
      <c r="O139" s="965"/>
      <c r="P139" s="969">
        <f t="shared" si="2"/>
        <v>0</v>
      </c>
    </row>
    <row r="140" spans="1:17">
      <c r="B140" s="923" t="s">
        <v>614</v>
      </c>
      <c r="C140" s="1047">
        <v>-875230.7</v>
      </c>
      <c r="D140" s="1047">
        <v>-2429004.2000000002</v>
      </c>
      <c r="E140" s="1046">
        <v>-5579032.5899999999</v>
      </c>
      <c r="F140" s="1046">
        <v>3601765.05</v>
      </c>
      <c r="G140" s="1046">
        <v>2000198.78</v>
      </c>
      <c r="H140" s="1046">
        <v>-1229693.17</v>
      </c>
      <c r="I140" s="1047">
        <v>2862388.03</v>
      </c>
      <c r="J140" s="1047">
        <v>512676.53</v>
      </c>
      <c r="K140" s="1047">
        <v>7630137.7599999998</v>
      </c>
      <c r="L140" s="1047">
        <v>5932122.4900000002</v>
      </c>
      <c r="M140" s="1047">
        <v>2993493.81</v>
      </c>
      <c r="N140" s="1047">
        <v>1698363.07</v>
      </c>
      <c r="O140" s="969">
        <v>1698363.07</v>
      </c>
      <c r="P140" s="969"/>
      <c r="Q140" s="969"/>
    </row>
    <row r="141" spans="1:17">
      <c r="B141" s="923"/>
      <c r="C141" s="1044"/>
      <c r="D141" s="1044"/>
      <c r="E141" s="1044"/>
      <c r="F141" s="1044"/>
      <c r="G141" s="1044"/>
      <c r="H141" s="1044"/>
      <c r="I141" s="1046"/>
      <c r="J141" s="1046"/>
      <c r="K141" s="1045"/>
      <c r="L141" s="1046"/>
      <c r="M141" s="1046"/>
      <c r="N141" s="1046"/>
      <c r="P141" s="969"/>
    </row>
    <row r="142" spans="1:17">
      <c r="B142" s="923"/>
      <c r="C142" s="1046"/>
      <c r="D142" s="1046"/>
      <c r="E142" s="1046"/>
      <c r="F142" s="1046"/>
      <c r="G142" s="1046"/>
      <c r="H142" s="1046"/>
      <c r="I142" s="1046"/>
      <c r="J142" s="1046"/>
      <c r="K142" s="1046"/>
      <c r="L142" s="1046"/>
      <c r="M142" s="1046"/>
      <c r="N142" s="1046"/>
      <c r="P142" s="969"/>
    </row>
    <row r="143" spans="1:17">
      <c r="C143" s="1046"/>
      <c r="D143" s="1046"/>
      <c r="E143" s="1046"/>
      <c r="F143" s="1046"/>
      <c r="G143" s="1046"/>
      <c r="H143" s="1046"/>
      <c r="I143" s="1046"/>
      <c r="J143" s="1046"/>
      <c r="K143" s="1046"/>
      <c r="L143" s="1046"/>
      <c r="M143" s="1046"/>
      <c r="N143" s="1046"/>
      <c r="P143" s="969"/>
    </row>
    <row r="144" spans="1:17">
      <c r="C144" s="1046"/>
      <c r="D144" s="1046"/>
      <c r="E144" s="1046"/>
      <c r="F144" s="1046"/>
      <c r="G144" s="1046"/>
      <c r="H144" s="1046"/>
      <c r="I144" s="1046"/>
      <c r="J144" s="1046"/>
      <c r="K144" s="1046"/>
      <c r="L144" s="1046"/>
      <c r="M144" s="1046"/>
      <c r="N144" s="1046"/>
      <c r="P144" s="969"/>
    </row>
    <row r="145" spans="3:14">
      <c r="C145" s="1046"/>
      <c r="D145" s="1046"/>
      <c r="E145" s="1046"/>
      <c r="F145" s="1046"/>
      <c r="G145" s="1046"/>
      <c r="H145" s="1046"/>
      <c r="I145" s="1046"/>
      <c r="J145" s="1046"/>
      <c r="K145" s="1046"/>
      <c r="L145" s="1046"/>
      <c r="M145" s="1046"/>
      <c r="N145" s="1046"/>
    </row>
    <row r="146" spans="3:14">
      <c r="C146" s="1046"/>
      <c r="D146" s="1046"/>
      <c r="E146" s="1043"/>
      <c r="F146" s="1043"/>
      <c r="G146" s="1043"/>
      <c r="H146" s="1046"/>
      <c r="I146" s="1046"/>
      <c r="J146" s="1046"/>
      <c r="K146" s="1047"/>
      <c r="L146" s="1046"/>
      <c r="M146" s="1046"/>
      <c r="N146" s="1046"/>
    </row>
    <row r="147" spans="3:14">
      <c r="C147" s="1042"/>
      <c r="D147" s="1042"/>
      <c r="E147" s="1046"/>
      <c r="F147" s="1046"/>
      <c r="G147" s="1046"/>
      <c r="H147" s="1046"/>
      <c r="I147" s="1042"/>
      <c r="J147" s="1042"/>
      <c r="K147" s="1042"/>
      <c r="L147" s="1042"/>
      <c r="M147" s="1042"/>
      <c r="N147" s="1042"/>
    </row>
    <row r="148" spans="3:14">
      <c r="C148" s="1044"/>
      <c r="D148" s="1044"/>
      <c r="E148" s="1044"/>
      <c r="F148" s="1044"/>
      <c r="G148" s="1044"/>
      <c r="H148" s="1044"/>
      <c r="I148" s="1042"/>
      <c r="J148" s="1042"/>
      <c r="K148" s="1046"/>
      <c r="L148" s="1042"/>
      <c r="M148" s="1042"/>
      <c r="N148" s="1042"/>
    </row>
  </sheetData>
  <pageMargins left="0.7" right="0.7" top="0.75" bottom="0.75" header="0.3" footer="0.3"/>
  <pageSetup orientation="portrait" horizontalDpi="1200" verticalDpi="1200" r:id="rId1"/>
  <customProperties>
    <customPr name="DrillPoint.Configuration" r:id="rId2"/>
    <customPr name="DrillPoint.FROID" r:id="rId3"/>
    <customPr name="DrillPoint.MIPOrganization" r:id="rId4"/>
    <customPr name="DrillPoint.Mode" r:id="rId5"/>
    <customPr name="DrillPoint.Subsheet" r:id="rId6"/>
    <customPr name="DrillPoint.WorksheetID" r:id="rId7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85"/>
  <sheetViews>
    <sheetView view="pageBreakPreview" zoomScaleNormal="85" zoomScaleSheetLayoutView="100" workbookViewId="0">
      <pane xSplit="4" ySplit="4" topLeftCell="E114" activePane="bottomRight" state="frozen"/>
      <selection activeCell="L156" sqref="L156"/>
      <selection pane="topRight" activeCell="L156" sqref="L156"/>
      <selection pane="bottomLeft" activeCell="L156" sqref="L156"/>
      <selection pane="bottomRight" activeCell="Q152" sqref="Q152"/>
    </sheetView>
  </sheetViews>
  <sheetFormatPr baseColWidth="10" defaultColWidth="8.83203125" defaultRowHeight="15"/>
  <cols>
    <col min="1" max="1" width="2.5" style="54" customWidth="1"/>
    <col min="2" max="2" width="1.6640625" style="54" customWidth="1"/>
    <col min="3" max="3" width="5.33203125" style="62" customWidth="1"/>
    <col min="4" max="4" width="22.6640625" style="62" customWidth="1"/>
    <col min="5" max="6" width="9.5" style="63" bestFit="1" customWidth="1"/>
    <col min="7" max="7" width="9.83203125" style="63" bestFit="1" customWidth="1"/>
    <col min="8" max="9" width="9.5" style="63" bestFit="1" customWidth="1"/>
    <col min="10" max="11" width="9.83203125" style="63" bestFit="1" customWidth="1"/>
    <col min="12" max="17" width="9.5" style="63" bestFit="1" customWidth="1"/>
    <col min="18" max="18" width="1.6640625" style="63" customWidth="1"/>
    <col min="19" max="19" width="9.6640625" style="59" customWidth="1"/>
    <col min="20" max="20" width="1.83203125" style="63" customWidth="1"/>
    <col min="21" max="22" width="9.6640625" style="63" customWidth="1"/>
    <col min="23" max="23" width="13.33203125" style="55" customWidth="1"/>
    <col min="24" max="24" width="8.83203125" customWidth="1"/>
    <col min="25" max="26" width="8.83203125" style="188" customWidth="1"/>
    <col min="27" max="28" width="8.83203125" style="188"/>
    <col min="29" max="16384" width="8.83203125" style="62"/>
  </cols>
  <sheetData>
    <row r="1" spans="1:24" s="54" customFormat="1" ht="21">
      <c r="A1" s="678" t="str">
        <f>'Revenue Inputs'!$C$3</f>
        <v>Granite Mountain Charter School</v>
      </c>
      <c r="E1" s="55"/>
      <c r="F1" s="55"/>
      <c r="G1" s="55"/>
      <c r="H1" s="55"/>
      <c r="I1" s="55"/>
      <c r="J1" s="55"/>
      <c r="K1" s="55"/>
      <c r="L1" s="55"/>
      <c r="M1" s="221"/>
      <c r="N1" s="221"/>
      <c r="O1" s="221"/>
      <c r="P1" s="221"/>
      <c r="Q1" s="221"/>
      <c r="R1" s="221"/>
      <c r="S1" s="222"/>
      <c r="T1" s="221"/>
      <c r="U1" s="221"/>
      <c r="V1" s="55"/>
      <c r="W1" s="55"/>
    </row>
    <row r="2" spans="1:24" s="54" customFormat="1">
      <c r="A2" s="56" t="s">
        <v>399</v>
      </c>
      <c r="B2" s="57"/>
      <c r="C2" s="57"/>
      <c r="D2" s="57"/>
      <c r="E2" s="58"/>
      <c r="F2" s="55"/>
      <c r="G2" s="55"/>
      <c r="H2" s="55"/>
      <c r="I2" s="55"/>
      <c r="J2" s="55"/>
      <c r="K2" s="55"/>
      <c r="L2" s="55"/>
      <c r="M2" s="55"/>
      <c r="N2" s="55"/>
      <c r="O2" s="55"/>
      <c r="R2" s="59"/>
      <c r="S2" s="59"/>
      <c r="V2" s="60"/>
      <c r="W2" s="55"/>
    </row>
    <row r="3" spans="1:24" ht="13.5" customHeight="1">
      <c r="A3" s="61" t="str">
        <f>'FY19-20'!A3</f>
        <v>Revised 08/06/20</v>
      </c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674"/>
      <c r="P3" s="674"/>
      <c r="Q3" s="674"/>
      <c r="R3" s="59"/>
      <c r="S3" s="674"/>
      <c r="V3" s="64"/>
      <c r="X3" s="188"/>
    </row>
    <row r="4" spans="1:24" s="67" customFormat="1" ht="29.5" customHeight="1">
      <c r="C4" s="374" t="s">
        <v>280</v>
      </c>
      <c r="D4" s="372">
        <f>LCFF!J23</f>
        <v>3161.4799999999996</v>
      </c>
      <c r="E4" s="679">
        <v>44013</v>
      </c>
      <c r="F4" s="679">
        <f t="shared" ref="F4:P4" si="0">E4+31</f>
        <v>44044</v>
      </c>
      <c r="G4" s="679">
        <f t="shared" si="0"/>
        <v>44075</v>
      </c>
      <c r="H4" s="679">
        <f t="shared" si="0"/>
        <v>44106</v>
      </c>
      <c r="I4" s="679">
        <f t="shared" si="0"/>
        <v>44137</v>
      </c>
      <c r="J4" s="679">
        <f t="shared" si="0"/>
        <v>44168</v>
      </c>
      <c r="K4" s="679">
        <f t="shared" si="0"/>
        <v>44199</v>
      </c>
      <c r="L4" s="679">
        <f t="shared" si="0"/>
        <v>44230</v>
      </c>
      <c r="M4" s="679">
        <f t="shared" si="0"/>
        <v>44261</v>
      </c>
      <c r="N4" s="679">
        <f t="shared" si="0"/>
        <v>44292</v>
      </c>
      <c r="O4" s="679">
        <f t="shared" si="0"/>
        <v>44323</v>
      </c>
      <c r="P4" s="679">
        <f t="shared" si="0"/>
        <v>44354</v>
      </c>
      <c r="Q4" s="680" t="s">
        <v>345</v>
      </c>
      <c r="R4" s="65"/>
      <c r="S4" s="675" t="s">
        <v>396</v>
      </c>
      <c r="T4" s="66"/>
      <c r="U4" s="680" t="s">
        <v>254</v>
      </c>
      <c r="V4" s="680" t="s">
        <v>383</v>
      </c>
    </row>
    <row r="5" spans="1:24" s="293" customFormat="1" ht="12" customHeight="1">
      <c r="A5" s="286" t="s">
        <v>258</v>
      </c>
      <c r="B5" s="286"/>
      <c r="C5" s="287"/>
      <c r="D5" s="287"/>
      <c r="E5" s="288">
        <v>0.05</v>
      </c>
      <c r="F5" s="289">
        <v>0.05</v>
      </c>
      <c r="G5" s="289">
        <v>0.09</v>
      </c>
      <c r="H5" s="289">
        <v>0.09</v>
      </c>
      <c r="I5" s="289">
        <v>0.09</v>
      </c>
      <c r="J5" s="289">
        <v>0.09</v>
      </c>
      <c r="K5" s="510">
        <v>0.09</v>
      </c>
      <c r="L5" s="590">
        <v>0.2</v>
      </c>
      <c r="M5" s="510">
        <v>0.19999999999999998</v>
      </c>
      <c r="N5" s="510">
        <v>0.19999999999999998</v>
      </c>
      <c r="O5" s="591">
        <v>0.19999999999999998</v>
      </c>
      <c r="P5" s="510">
        <v>0.19999999999999998</v>
      </c>
      <c r="Q5" s="609">
        <v>0</v>
      </c>
      <c r="R5" s="290"/>
      <c r="S5" s="621"/>
      <c r="T5" s="55"/>
      <c r="U5" s="280"/>
      <c r="V5" s="280"/>
      <c r="W5" s="291"/>
    </row>
    <row r="6" spans="1:24" s="293" customFormat="1" ht="12" customHeight="1">
      <c r="A6" s="286" t="s">
        <v>7</v>
      </c>
      <c r="B6" s="286"/>
      <c r="C6" s="287"/>
      <c r="D6" s="287"/>
      <c r="E6" s="288">
        <v>0</v>
      </c>
      <c r="F6" s="289">
        <v>0</v>
      </c>
      <c r="G6" s="289">
        <v>0.37</v>
      </c>
      <c r="H6" s="289">
        <v>0</v>
      </c>
      <c r="I6" s="289">
        <v>0</v>
      </c>
      <c r="J6" s="289">
        <v>0.18</v>
      </c>
      <c r="K6" s="289">
        <v>0</v>
      </c>
      <c r="L6" s="294" t="s">
        <v>229</v>
      </c>
      <c r="M6" s="295" t="s">
        <v>229</v>
      </c>
      <c r="N6" s="295" t="s">
        <v>229</v>
      </c>
      <c r="O6" s="296" t="s">
        <v>229</v>
      </c>
      <c r="P6" s="510" t="s">
        <v>229</v>
      </c>
      <c r="Q6" s="609" t="s">
        <v>229</v>
      </c>
      <c r="R6" s="290"/>
      <c r="S6" s="621"/>
      <c r="T6" s="292"/>
      <c r="U6" s="290"/>
      <c r="V6" s="290"/>
      <c r="W6" s="291"/>
    </row>
    <row r="7" spans="1:24" s="302" customFormat="1" ht="12" customHeight="1">
      <c r="A7" s="286" t="s">
        <v>8</v>
      </c>
      <c r="B7" s="297"/>
      <c r="C7" s="298"/>
      <c r="D7" s="298"/>
      <c r="E7" s="299">
        <v>0.06</v>
      </c>
      <c r="F7" s="300">
        <v>0.12</v>
      </c>
      <c r="G7" s="300">
        <v>0.08</v>
      </c>
      <c r="H7" s="300">
        <v>0.08</v>
      </c>
      <c r="I7" s="300">
        <v>0.08</v>
      </c>
      <c r="J7" s="300">
        <v>0.08</v>
      </c>
      <c r="K7" s="510">
        <v>0.08</v>
      </c>
      <c r="L7" s="294">
        <v>0.33333333333333331</v>
      </c>
      <c r="M7" s="295">
        <v>0.16666666666666666</v>
      </c>
      <c r="N7" s="295">
        <v>0.16666666666666666</v>
      </c>
      <c r="O7" s="296">
        <v>0.16666666666666666</v>
      </c>
      <c r="P7" s="295">
        <v>0.16666666666666666</v>
      </c>
      <c r="Q7" s="610">
        <v>0</v>
      </c>
      <c r="R7" s="301"/>
      <c r="S7" s="621"/>
      <c r="U7" s="301"/>
      <c r="V7" s="301"/>
      <c r="W7" s="291"/>
    </row>
    <row r="8" spans="1:24" s="302" customFormat="1" ht="12" customHeight="1">
      <c r="A8" s="286" t="s">
        <v>281</v>
      </c>
      <c r="B8" s="297"/>
      <c r="C8" s="298"/>
      <c r="D8" s="298"/>
      <c r="E8" s="299">
        <v>0</v>
      </c>
      <c r="F8" s="300">
        <v>0</v>
      </c>
      <c r="G8" s="300">
        <v>0.26</v>
      </c>
      <c r="H8" s="300">
        <v>0.08</v>
      </c>
      <c r="I8" s="300">
        <v>0.08</v>
      </c>
      <c r="J8" s="300">
        <v>0.08</v>
      </c>
      <c r="K8" s="510">
        <v>0.08</v>
      </c>
      <c r="L8" s="294" t="s">
        <v>229</v>
      </c>
      <c r="M8" s="295" t="s">
        <v>229</v>
      </c>
      <c r="N8" s="295" t="s">
        <v>229</v>
      </c>
      <c r="O8" s="296" t="s">
        <v>229</v>
      </c>
      <c r="P8" s="510" t="s">
        <v>229</v>
      </c>
      <c r="Q8" s="609" t="s">
        <v>229</v>
      </c>
      <c r="R8" s="301"/>
      <c r="S8" s="621"/>
      <c r="U8" s="301"/>
      <c r="V8" s="301"/>
      <c r="W8" s="291"/>
    </row>
    <row r="9" spans="1:24" s="302" customFormat="1" ht="12" customHeight="1">
      <c r="A9" s="286" t="s">
        <v>142</v>
      </c>
      <c r="B9" s="286"/>
      <c r="C9" s="298"/>
      <c r="D9" s="298"/>
      <c r="E9" s="473">
        <v>0.05</v>
      </c>
      <c r="F9" s="474">
        <v>0.05</v>
      </c>
      <c r="G9" s="474">
        <v>0.09</v>
      </c>
      <c r="H9" s="474">
        <v>0.09</v>
      </c>
      <c r="I9" s="474">
        <v>0.09</v>
      </c>
      <c r="J9" s="474">
        <v>0.09</v>
      </c>
      <c r="K9" s="474">
        <v>0.09</v>
      </c>
      <c r="L9" s="473">
        <v>0.2</v>
      </c>
      <c r="M9" s="474">
        <v>0.2</v>
      </c>
      <c r="N9" s="474">
        <v>0.2</v>
      </c>
      <c r="O9" s="511">
        <v>0.2</v>
      </c>
      <c r="P9" s="474">
        <v>0.2</v>
      </c>
      <c r="Q9" s="611">
        <v>0</v>
      </c>
      <c r="R9" s="290"/>
      <c r="S9" s="621"/>
      <c r="U9" s="290"/>
      <c r="V9" s="290"/>
      <c r="W9" s="291"/>
    </row>
    <row r="10" spans="1:24" s="95" customFormat="1" ht="12" customHeight="1">
      <c r="A10" s="91"/>
      <c r="B10" s="91"/>
      <c r="C10" s="91"/>
      <c r="D10" s="91"/>
      <c r="E10" s="92"/>
      <c r="F10" s="92"/>
      <c r="G10" s="92"/>
      <c r="H10" s="92"/>
      <c r="I10" s="92"/>
      <c r="J10" s="92"/>
      <c r="K10" s="92"/>
      <c r="L10" s="303"/>
      <c r="M10" s="303"/>
      <c r="N10" s="303"/>
      <c r="O10" s="303"/>
      <c r="P10" s="303"/>
      <c r="Q10" s="612"/>
      <c r="R10" s="303"/>
      <c r="S10" s="622"/>
      <c r="T10" s="303"/>
      <c r="W10" s="1064"/>
    </row>
    <row r="11" spans="1:24" s="95" customFormat="1" ht="12" customHeight="1">
      <c r="A11" s="96" t="s">
        <v>9</v>
      </c>
      <c r="B11" s="96"/>
      <c r="C11" s="97"/>
      <c r="D11" s="98"/>
      <c r="E11" s="304"/>
      <c r="F11" s="304" t="s">
        <v>25</v>
      </c>
      <c r="G11" s="304"/>
      <c r="H11" s="304"/>
      <c r="I11" s="304"/>
      <c r="J11" s="304"/>
      <c r="K11" s="304"/>
      <c r="L11" s="305"/>
      <c r="M11" s="305"/>
      <c r="N11" s="305"/>
      <c r="O11" s="305"/>
      <c r="P11" s="305"/>
      <c r="Q11" s="613"/>
      <c r="R11" s="305"/>
      <c r="S11" s="623"/>
      <c r="T11" s="305"/>
      <c r="U11" s="375" t="s">
        <v>280</v>
      </c>
      <c r="V11" s="372">
        <f>'FY19-20'!D4</f>
        <v>3181.96</v>
      </c>
      <c r="W11" s="1064"/>
    </row>
    <row r="12" spans="1:24" s="95" customFormat="1" ht="12" customHeight="1">
      <c r="A12" s="96"/>
      <c r="B12" s="96" t="s">
        <v>255</v>
      </c>
      <c r="C12" s="97"/>
      <c r="D12" s="98"/>
      <c r="E12" s="304"/>
      <c r="F12" s="304"/>
      <c r="G12" s="304"/>
      <c r="H12" s="304"/>
      <c r="I12" s="304"/>
      <c r="J12" s="304"/>
      <c r="K12" s="304"/>
      <c r="L12" s="306"/>
      <c r="M12" s="306"/>
      <c r="N12" s="306"/>
      <c r="O12" s="306"/>
      <c r="P12" s="306"/>
      <c r="Q12" s="614"/>
      <c r="R12" s="306"/>
      <c r="S12" s="624"/>
      <c r="T12" s="306"/>
      <c r="W12" s="1064"/>
    </row>
    <row r="13" spans="1:24" s="95" customFormat="1" ht="12" hidden="1" customHeight="1">
      <c r="A13" s="114"/>
      <c r="B13" s="114" t="s">
        <v>186</v>
      </c>
      <c r="C13" s="115"/>
      <c r="D13" s="116" t="s">
        <v>176</v>
      </c>
      <c r="E13" s="118">
        <f>(LCFF!$J$25*(LCFF!J47*(1-'Revenue Inputs'!$D$9)-'Revenue Inputs'!$G$31))*D6</f>
        <v>0</v>
      </c>
      <c r="F13" s="118">
        <f>(LCFF!$J$25*(LCFF!J47*(1-'Revenue Inputs'!$D$9)-'Revenue Inputs'!$G$31))*E6</f>
        <v>0</v>
      </c>
      <c r="G13" s="118">
        <f>(LCFF!$J$25*(LCFF!J47*(1-'Revenue Inputs'!$D$9)-'Revenue Inputs'!$G$31))*F6</f>
        <v>0</v>
      </c>
      <c r="H13" s="118">
        <f>(LCFF!$J$25*(LCFF!J47*(1-'Revenue Inputs'!$D$9)-'Revenue Inputs'!$G$31))*G6</f>
        <v>0</v>
      </c>
      <c r="I13" s="118">
        <f>(LCFF!$J$25*(LCFF!J47*(1-'Revenue Inputs'!$D$9)-'Revenue Inputs'!$G$31))*H6</f>
        <v>0</v>
      </c>
      <c r="J13" s="118">
        <f>(LCFF!$J$25*(LCFF!J47*(1-'Revenue Inputs'!$D$9)-'Revenue Inputs'!$G$31))*I6</f>
        <v>0</v>
      </c>
      <c r="K13" s="118">
        <f>(LCFF!$J$25*(LCFF!J47*(1-'Revenue Inputs'!$D$9)-'Revenue Inputs'!$G$31))*J6</f>
        <v>0</v>
      </c>
      <c r="L13" s="118">
        <f>(LCFF!$J$25*(LCFF!J47*(1-'Revenue Inputs'!$D$9)-'Revenue Inputs'!$G$31))*K6</f>
        <v>0</v>
      </c>
      <c r="M13" s="117"/>
      <c r="N13" s="117"/>
      <c r="O13" s="117"/>
      <c r="P13" s="117"/>
      <c r="Q13" s="599"/>
      <c r="R13" s="310"/>
      <c r="S13" s="311">
        <f>SUM(E13:Q13)</f>
        <v>0</v>
      </c>
      <c r="T13" s="310"/>
      <c r="U13" s="339">
        <f>'FY19-20'!S13</f>
        <v>18143246</v>
      </c>
      <c r="V13" s="339">
        <f>S13-U13</f>
        <v>-18143246</v>
      </c>
      <c r="W13" s="304"/>
    </row>
    <row r="14" spans="1:24" s="112" customFormat="1" ht="12" hidden="1" customHeight="1">
      <c r="A14" s="114"/>
      <c r="B14" s="114" t="s">
        <v>186</v>
      </c>
      <c r="C14" s="115"/>
      <c r="D14" s="116" t="s">
        <v>177</v>
      </c>
      <c r="E14" s="118">
        <v>0</v>
      </c>
      <c r="F14" s="118">
        <f>((LCFF!$J$47-'Revenue Inputs'!$G$31-('Multi-Year'!$J$16/'Multi-Year'!$J$11))*LCFF!$H$23)*E5</f>
        <v>1402643.0923801053</v>
      </c>
      <c r="G14" s="118">
        <f>((LCFF!$J$47-'Revenue Inputs'!$G$31-('Multi-Year'!$J$16/'Multi-Year'!$J$11))*LCFF!$H$23)*F5</f>
        <v>1402643.0923801053</v>
      </c>
      <c r="H14" s="118">
        <f>((LCFF!$J$47-'Revenue Inputs'!$G$31-('Multi-Year'!$J$16/'Multi-Year'!$J$11))*LCFF!$H$23)*G5</f>
        <v>2524757.566284189</v>
      </c>
      <c r="I14" s="118">
        <f>((LCFF!$J$47-'Revenue Inputs'!$G$31-('Multi-Year'!$J$16/'Multi-Year'!$J$11))*LCFF!$H$23)*H5</f>
        <v>2524757.566284189</v>
      </c>
      <c r="J14" s="118">
        <f>((LCFF!$J$47-'Revenue Inputs'!$G$31-('Multi-Year'!$J$16/'Multi-Year'!$J$11))*LCFF!$H$23)*I5</f>
        <v>2524757.566284189</v>
      </c>
      <c r="K14" s="118">
        <f>((LCFF!$J$47-'Revenue Inputs'!$G$31-('Multi-Year'!$J$16/'Multi-Year'!$J$11))*LCFF!$H$23)*J5</f>
        <v>2524757.566284189</v>
      </c>
      <c r="L14" s="118">
        <f>((LCFF!$J$47-'Revenue Inputs'!$G$31-('Multi-Year'!$J$16/'Multi-Year'!$J$11))*LCFF!$H$23)*K5</f>
        <v>2524757.566284189</v>
      </c>
      <c r="M14" s="117">
        <f>(LCFF!J46-$S$16-$S$18-SUM($E$13:$L$14))*L5</f>
        <v>2497606.9103280506</v>
      </c>
      <c r="N14" s="117">
        <f>(LCFF!J46-$S$16-$S$18-SUM($E$13:$L$14))*M5</f>
        <v>2497606.9103280506</v>
      </c>
      <c r="O14" s="117">
        <f>(LCFF!J46-$S$16-$S$18-SUM($E$13:$L$14))*N5</f>
        <v>2497606.9103280506</v>
      </c>
      <c r="P14" s="117">
        <f>(LCFF!J46-$S$16-$S$18-SUM($E$13:$L$14))*O5</f>
        <v>2497606.9103280506</v>
      </c>
      <c r="Q14" s="599">
        <f>LCFF!J46-S16-S18-SUM(E13:P14)</f>
        <v>2497606.9103280567</v>
      </c>
      <c r="R14" s="312"/>
      <c r="S14" s="311">
        <f>SUM(E14:Q14)</f>
        <v>27917108.56782141</v>
      </c>
      <c r="T14" s="312"/>
      <c r="U14" s="339">
        <f>'FY19-20'!S14</f>
        <v>9295594.5574906021</v>
      </c>
      <c r="V14" s="339">
        <f>S14-U14</f>
        <v>18621514.010330807</v>
      </c>
      <c r="W14" s="304"/>
    </row>
    <row r="15" spans="1:24" s="112" customFormat="1" ht="12" customHeight="1">
      <c r="A15" s="109"/>
      <c r="B15" s="109" t="s">
        <v>186</v>
      </c>
      <c r="C15" s="102">
        <v>8011</v>
      </c>
      <c r="D15" s="104" t="s">
        <v>258</v>
      </c>
      <c r="E15" s="94">
        <f t="shared" ref="E15:Q15" si="1">SUM(E13:E14)</f>
        <v>0</v>
      </c>
      <c r="F15" s="94">
        <f t="shared" si="1"/>
        <v>1402643.0923801053</v>
      </c>
      <c r="G15" s="94">
        <f t="shared" si="1"/>
        <v>1402643.0923801053</v>
      </c>
      <c r="H15" s="94">
        <f t="shared" si="1"/>
        <v>2524757.566284189</v>
      </c>
      <c r="I15" s="94">
        <f t="shared" si="1"/>
        <v>2524757.566284189</v>
      </c>
      <c r="J15" s="94">
        <f t="shared" si="1"/>
        <v>2524757.566284189</v>
      </c>
      <c r="K15" s="94">
        <f t="shared" si="1"/>
        <v>2524757.566284189</v>
      </c>
      <c r="L15" s="94">
        <f t="shared" si="1"/>
        <v>2524757.566284189</v>
      </c>
      <c r="M15" s="94">
        <f t="shared" si="1"/>
        <v>2497606.9103280506</v>
      </c>
      <c r="N15" s="94">
        <f t="shared" si="1"/>
        <v>2497606.9103280506</v>
      </c>
      <c r="O15" s="94">
        <f t="shared" si="1"/>
        <v>2497606.9103280506</v>
      </c>
      <c r="P15" s="94">
        <f t="shared" si="1"/>
        <v>2497606.9103280506</v>
      </c>
      <c r="Q15" s="606">
        <f t="shared" si="1"/>
        <v>2497606.9103280567</v>
      </c>
      <c r="R15" s="304"/>
      <c r="S15" s="625">
        <f>SUM(E15:Q15)</f>
        <v>27917108.56782141</v>
      </c>
      <c r="T15" s="304"/>
      <c r="U15" s="94">
        <f>'FY19-20'!S15</f>
        <v>27437557</v>
      </c>
      <c r="V15" s="94">
        <f>S15-U15</f>
        <v>479551.56782140955</v>
      </c>
      <c r="W15" s="309"/>
    </row>
    <row r="16" spans="1:24" s="112" customFormat="1" ht="12" customHeight="1">
      <c r="A16" s="109"/>
      <c r="B16" s="109" t="s">
        <v>186</v>
      </c>
      <c r="C16" s="102">
        <v>8012</v>
      </c>
      <c r="D16" s="104" t="s">
        <v>257</v>
      </c>
      <c r="E16" s="94">
        <v>0</v>
      </c>
      <c r="F16" s="94">
        <v>0</v>
      </c>
      <c r="G16" s="94">
        <v>0</v>
      </c>
      <c r="H16" s="94">
        <f>'Multi-Year'!H16*0.25</f>
        <v>159091</v>
      </c>
      <c r="I16" s="94">
        <v>0</v>
      </c>
      <c r="J16" s="94">
        <v>0</v>
      </c>
      <c r="K16" s="94">
        <f>'Multi-Year'!H16*0.25</f>
        <v>159091</v>
      </c>
      <c r="L16" s="94">
        <v>0</v>
      </c>
      <c r="M16" s="94">
        <v>0</v>
      </c>
      <c r="N16" s="94">
        <f>'Multi-Year'!J16*0.75-SUM('FY20-21'!E16:M16)</f>
        <v>156039.99999999988</v>
      </c>
      <c r="O16" s="94">
        <v>0</v>
      </c>
      <c r="P16" s="94">
        <v>0</v>
      </c>
      <c r="Q16" s="606">
        <f>'Multi-Year'!J16-SUM('FY20-21'!E16:P16)</f>
        <v>158074</v>
      </c>
      <c r="R16" s="304"/>
      <c r="S16" s="625">
        <f t="shared" ref="S16:S18" si="2">SUM(E16:Q16)</f>
        <v>632295.99999999988</v>
      </c>
      <c r="T16" s="304"/>
      <c r="U16" s="94">
        <f>'FY19-20'!S16</f>
        <v>636364</v>
      </c>
      <c r="V16" s="94">
        <f>S16-U16</f>
        <v>-4068.0000000001164</v>
      </c>
      <c r="W16" s="309"/>
    </row>
    <row r="17" spans="1:23" s="112" customFormat="1" ht="12" customHeight="1">
      <c r="A17" s="109"/>
      <c r="B17" s="109" t="s">
        <v>186</v>
      </c>
      <c r="C17" s="102">
        <v>8019</v>
      </c>
      <c r="D17" s="104" t="s">
        <v>259</v>
      </c>
      <c r="E17" s="94">
        <f>IF('FY19-20'!$S17&gt;0,'FY19-20'!E17/'FY19-20'!$S17*'Multi-Year'!$J17,0)+IF('FY19-20'!$S17&lt;0,'FY19-20'!E17/'FY19-20'!$S17*'Multi-Year'!$J17,0)</f>
        <v>0</v>
      </c>
      <c r="F17" s="94">
        <f>IF('FY19-20'!$S17&gt;0,'FY19-20'!F17/'FY19-20'!$S17*'Multi-Year'!$J17,0)+IF('FY19-20'!$S17&lt;0,'FY19-20'!F17/'FY19-20'!$S17*'Multi-Year'!$J17,0)</f>
        <v>0</v>
      </c>
      <c r="G17" s="94">
        <f>IF('FY19-20'!$S17&gt;0,'FY19-20'!G17/'FY19-20'!$S17*'Multi-Year'!$J17,0)+IF('FY19-20'!$S17&lt;0,'FY19-20'!G17/'FY19-20'!$S17*'Multi-Year'!$J17,0)</f>
        <v>0</v>
      </c>
      <c r="H17" s="94">
        <f>IF('FY19-20'!$S17&gt;0,'FY19-20'!H17/'FY19-20'!$S17*'Multi-Year'!$J17,0)+IF('FY19-20'!$S17&lt;0,'FY19-20'!H17/'FY19-20'!$S17*'Multi-Year'!$J17,0)</f>
        <v>0</v>
      </c>
      <c r="I17" s="94">
        <f>IF('FY19-20'!$S17&gt;0,'FY19-20'!I17/'FY19-20'!$S17*'Multi-Year'!$J17,0)+IF('FY19-20'!$S17&lt;0,'FY19-20'!I17/'FY19-20'!$S17*'Multi-Year'!$J17,0)</f>
        <v>0</v>
      </c>
      <c r="J17" s="94">
        <f>IF('FY19-20'!$S17&gt;0,'FY19-20'!J17/'FY19-20'!$S17*'Multi-Year'!$J17,0)+IF('FY19-20'!$S17&lt;0,'FY19-20'!J17/'FY19-20'!$S17*'Multi-Year'!$J17,0)</f>
        <v>0</v>
      </c>
      <c r="K17" s="94">
        <f>IF('FY19-20'!$S17&gt;0,'FY19-20'!K17/'FY19-20'!$S17*'Multi-Year'!$J17,0)+IF('FY19-20'!$S17&lt;0,'FY19-20'!K17/'FY19-20'!$S17*'Multi-Year'!$J17,0)</f>
        <v>0</v>
      </c>
      <c r="L17" s="94">
        <f>IF('FY19-20'!$S17&gt;0,'FY19-20'!L17/'FY19-20'!$S17*'Multi-Year'!$J17,0)+IF('FY19-20'!$S17&lt;0,'FY19-20'!L17/'FY19-20'!$S17*'Multi-Year'!$J17,0)</f>
        <v>0</v>
      </c>
      <c r="M17" s="94">
        <f>IF('FY19-20'!$S17&gt;0,'FY19-20'!M17/'FY19-20'!$S17*'Multi-Year'!$J17,0)+IF('FY19-20'!$S17&lt;0,'FY19-20'!M17/'FY19-20'!$S17*'Multi-Year'!$J17,0)</f>
        <v>0</v>
      </c>
      <c r="N17" s="94">
        <f>IF('FY19-20'!$S17&gt;0,'FY19-20'!N17/'FY19-20'!$S17*'Multi-Year'!$J17,0)+IF('FY19-20'!$S17&lt;0,'FY19-20'!N17/'FY19-20'!$S17*'Multi-Year'!$J17,0)</f>
        <v>0</v>
      </c>
      <c r="O17" s="94">
        <f>IF('FY19-20'!$S17&gt;0,'FY19-20'!O17/'FY19-20'!$S17*'Multi-Year'!$J17,0)+IF('FY19-20'!$S17&lt;0,'FY19-20'!O17/'FY19-20'!$S17*'Multi-Year'!$J17,0)</f>
        <v>0</v>
      </c>
      <c r="P17" s="94">
        <f>IF('FY19-20'!$S17&gt;0,'FY19-20'!P17/'FY19-20'!$S17*'Multi-Year'!$J17,0)+IF('FY19-20'!$S17&lt;0,'FY19-20'!P17/'FY19-20'!$S17*'Multi-Year'!$J17,0)</f>
        <v>0</v>
      </c>
      <c r="Q17" s="606">
        <f>IF('FY19-20'!$S17&gt;0,'FY19-20'!Q17/'FY19-20'!$S17*'Multi-Year'!$J17,0)+IF('FY19-20'!$S17&lt;0,'FY19-20'!Q17/'FY19-20'!$S17*'Multi-Year'!$J17,0)</f>
        <v>0</v>
      </c>
      <c r="R17" s="92"/>
      <c r="S17" s="625">
        <f t="shared" si="2"/>
        <v>0</v>
      </c>
      <c r="T17" s="92"/>
      <c r="U17" s="94">
        <f>'FY19-20'!S17</f>
        <v>0</v>
      </c>
      <c r="V17" s="94">
        <f t="shared" ref="V17" si="3">S17-U17</f>
        <v>0</v>
      </c>
      <c r="W17" s="309"/>
    </row>
    <row r="18" spans="1:23" s="112" customFormat="1" ht="12" customHeight="1">
      <c r="A18" s="109"/>
      <c r="B18" s="109" t="s">
        <v>186</v>
      </c>
      <c r="C18" s="102">
        <v>8096</v>
      </c>
      <c r="D18" s="103" t="s">
        <v>8</v>
      </c>
      <c r="E18" s="356">
        <f>(E$7*(LCFF!$J$23-LCFF!$J$25)*('Multi-Year'!$J18/LCFF!$J$23))+(E$8*(LCFF!$J$25)*('Multi-Year'!$J18/LCFF!$J$23))</f>
        <v>50168.608822235343</v>
      </c>
      <c r="F18" s="356">
        <f>(F$7*(LCFF!$J$23-LCFF!$J$25)*('Multi-Year'!$J18/LCFF!$J$23))+(F$8*(LCFF!$J$25)*('Multi-Year'!$J18/LCFF!$J$23))</f>
        <v>100337.21764447069</v>
      </c>
      <c r="G18" s="356">
        <f>(G$7*(LCFF!$J$23-LCFF!$J$25)*('Multi-Year'!$J18/LCFF!$J$23))+(G$8*(LCFF!$J$25)*('Multi-Year'!$J18/LCFF!$J$23))</f>
        <v>66891.478429647119</v>
      </c>
      <c r="H18" s="356">
        <f>(H$7*(LCFF!$J$23-LCFF!$J$25)*('Multi-Year'!$J18/LCFF!$J$23))+(H$8*(LCFF!$J$25)*('Multi-Year'!$J18/LCFF!$J$23))</f>
        <v>66891.478429647119</v>
      </c>
      <c r="I18" s="356">
        <f>(I$7*(LCFF!$J$23-LCFF!$J$25)*('Multi-Year'!$J18/LCFF!$J$23))+(I$8*(LCFF!$J$25)*('Multi-Year'!$J18/LCFF!$J$23))</f>
        <v>66891.478429647119</v>
      </c>
      <c r="J18" s="356">
        <f>(J$7*(LCFF!$J$23-LCFF!$J$25)*('Multi-Year'!$J18/LCFF!$J$23))+(J$8*(LCFF!$J$25)*('Multi-Year'!$J18/LCFF!$J$23))</f>
        <v>66891.478429647119</v>
      </c>
      <c r="K18" s="356">
        <f>(K$7*(LCFF!$J$23-LCFF!$J$25)*('Multi-Year'!$J18/LCFF!$J$23))+(K$8*(LCFF!$J$25)*('Multi-Year'!$J18/LCFF!$J$23))</f>
        <v>66891.478429647119</v>
      </c>
      <c r="L18" s="94">
        <f>('Multi-Year'!$J18-SUM('FY20-21'!$E18:$K18))*'FY20-21'!L$7</f>
        <v>117060.08725188249</v>
      </c>
      <c r="M18" s="94">
        <f>('Multi-Year'!$J18-SUM('FY20-21'!$E18:$K18))*'FY20-21'!M$7</f>
        <v>58530.043625941245</v>
      </c>
      <c r="N18" s="94">
        <f>('Multi-Year'!$J18-SUM('FY20-21'!$E18:$K18))*'FY20-21'!N$7</f>
        <v>58530.043625941245</v>
      </c>
      <c r="O18" s="94">
        <f>('Multi-Year'!$J18-SUM('FY20-21'!$E18:$K18))*'FY20-21'!O$7</f>
        <v>58530.043625941245</v>
      </c>
      <c r="P18" s="94">
        <f>('Multi-Year'!$J18-SUM('FY20-21'!$E18:$K18))*'FY20-21'!P$7</f>
        <v>58530.043625941245</v>
      </c>
      <c r="Q18" s="606">
        <f>'Multi-Year'!J18-SUM('FY20-21'!E18:P18)</f>
        <v>0</v>
      </c>
      <c r="R18" s="304"/>
      <c r="S18" s="625">
        <f t="shared" si="2"/>
        <v>836143.48037058918</v>
      </c>
      <c r="T18" s="304"/>
      <c r="U18" s="94">
        <f>'FY19-20'!S18</f>
        <v>841560</v>
      </c>
      <c r="V18" s="94">
        <f>S18-U18</f>
        <v>-5416.5196294108173</v>
      </c>
      <c r="W18" s="313"/>
    </row>
    <row r="19" spans="1:23" s="95" customFormat="1" ht="12" customHeight="1">
      <c r="A19" s="96"/>
      <c r="B19" s="96" t="s">
        <v>186</v>
      </c>
      <c r="C19" s="102"/>
      <c r="D19" s="103"/>
      <c r="E19" s="215">
        <f>SUM(E15:E18)</f>
        <v>50168.608822235343</v>
      </c>
      <c r="F19" s="215">
        <f t="shared" ref="F19:Q19" si="4">SUM(F15:F18)</f>
        <v>1502980.310024576</v>
      </c>
      <c r="G19" s="215">
        <f t="shared" si="4"/>
        <v>1469534.5708097524</v>
      </c>
      <c r="H19" s="215">
        <f t="shared" si="4"/>
        <v>2750740.0447138362</v>
      </c>
      <c r="I19" s="215">
        <f t="shared" si="4"/>
        <v>2591649.0447138362</v>
      </c>
      <c r="J19" s="215">
        <f t="shared" si="4"/>
        <v>2591649.0447138362</v>
      </c>
      <c r="K19" s="215">
        <f t="shared" si="4"/>
        <v>2750740.0447138362</v>
      </c>
      <c r="L19" s="215">
        <f t="shared" si="4"/>
        <v>2641817.6535360715</v>
      </c>
      <c r="M19" s="215">
        <f t="shared" si="4"/>
        <v>2556136.9539539916</v>
      </c>
      <c r="N19" s="215">
        <f t="shared" si="4"/>
        <v>2712176.9539539916</v>
      </c>
      <c r="O19" s="215">
        <f t="shared" si="4"/>
        <v>2556136.9539539916</v>
      </c>
      <c r="P19" s="215">
        <f t="shared" si="4"/>
        <v>2556136.9539539916</v>
      </c>
      <c r="Q19" s="603">
        <f t="shared" si="4"/>
        <v>2655680.9103280567</v>
      </c>
      <c r="R19" s="306"/>
      <c r="S19" s="626">
        <f>SUM(E19:R19)</f>
        <v>29385548.048192006</v>
      </c>
      <c r="T19" s="306"/>
      <c r="U19" s="216">
        <f>SUM(U15:U18)</f>
        <v>28915481</v>
      </c>
      <c r="V19" s="216">
        <f>SUM(V15:V18)</f>
        <v>470067.04819199862</v>
      </c>
      <c r="W19" s="214"/>
    </row>
    <row r="20" spans="1:23" s="95" customFormat="1" ht="12.5" customHeight="1">
      <c r="A20" s="91"/>
      <c r="B20" s="91" t="s">
        <v>282</v>
      </c>
      <c r="C20" s="91"/>
      <c r="D20" s="91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602"/>
      <c r="R20" s="92"/>
      <c r="S20" s="627"/>
      <c r="T20" s="92"/>
      <c r="U20" s="92"/>
      <c r="V20" s="92"/>
      <c r="W20" s="214"/>
    </row>
    <row r="21" spans="1:23" s="95" customFormat="1" ht="12" customHeight="1">
      <c r="A21" s="91"/>
      <c r="B21" s="91" t="s">
        <v>186</v>
      </c>
      <c r="C21" s="102">
        <v>8181</v>
      </c>
      <c r="D21" s="105" t="s">
        <v>315</v>
      </c>
      <c r="E21" s="94">
        <v>0</v>
      </c>
      <c r="F21" s="356">
        <f>LCFF!$H$23*'Revenue Inputs'!$G$7*'FY20-21'!E$9+LCFF!$J$25*'Revenue Inputs'!$G$7*'FY20-21'!E$8</f>
        <v>16546.192000000003</v>
      </c>
      <c r="G21" s="356">
        <f>LCFF!$H$23*'Revenue Inputs'!$G$7*'FY20-21'!F$9+LCFF!$J$25*'Revenue Inputs'!$G$7*'FY20-21'!F$8</f>
        <v>16546.192000000003</v>
      </c>
      <c r="H21" s="356">
        <f>LCFF!$H$23*'Revenue Inputs'!$G$7*'FY20-21'!G$9+LCFF!$J$25*'Revenue Inputs'!$G$7*'FY20-21'!G$8</f>
        <v>29783.1456</v>
      </c>
      <c r="I21" s="356">
        <f>LCFF!$H$23*'Revenue Inputs'!$G$7*'FY20-21'!H$9+LCFF!$J$25*'Revenue Inputs'!$G$7*'FY20-21'!H$8</f>
        <v>29783.1456</v>
      </c>
      <c r="J21" s="356">
        <f>LCFF!$H$23*'Revenue Inputs'!$G$7*'FY20-21'!I$9+LCFF!$J$25*'Revenue Inputs'!$G$7*'FY20-21'!I$8</f>
        <v>29783.1456</v>
      </c>
      <c r="K21" s="356">
        <f>LCFF!$H$23*'Revenue Inputs'!$G$7*'FY20-21'!J$9+LCFF!$J$25*'Revenue Inputs'!$G$7*'FY20-21'!J$8</f>
        <v>29783.1456</v>
      </c>
      <c r="L21" s="356">
        <f>LCFF!$H$23*'Revenue Inputs'!$G$7*'FY20-21'!K$9+LCFF!$J$25*'Revenue Inputs'!$G$7*'FY20-21'!K$8</f>
        <v>29783.1456</v>
      </c>
      <c r="M21" s="356">
        <f>(LCFF!$J$23*'Revenue Inputs'!$G$7-SUM($E$21:$L$21))*'FY20-21'!L$9</f>
        <v>29357.161599999989</v>
      </c>
      <c r="N21" s="356">
        <f>(LCFF!$J$23*'Revenue Inputs'!$G$7-SUM($E$21:$L$21))*'FY20-21'!M$9</f>
        <v>29357.161599999989</v>
      </c>
      <c r="O21" s="356">
        <f>(LCFF!$J$23*'Revenue Inputs'!$G$7-SUM($E$21:$L$21))*'FY20-21'!N$9</f>
        <v>29357.161599999989</v>
      </c>
      <c r="P21" s="356">
        <f>(LCFF!$J$23*'Revenue Inputs'!$G$7-SUM($E$21:$L$21))*'FY20-21'!O$9</f>
        <v>29357.161599999989</v>
      </c>
      <c r="Q21" s="606">
        <f>'Multi-Year'!J21-SUM('FY20-21'!E21:P21)</f>
        <v>29357.161599999992</v>
      </c>
      <c r="R21" s="304"/>
      <c r="S21" s="625">
        <f t="shared" ref="S21:S29" si="5">SUM(E21:Q21)</f>
        <v>328793.91999999993</v>
      </c>
      <c r="T21" s="304"/>
      <c r="U21" s="94">
        <f>'FY19-20'!S21</f>
        <v>0</v>
      </c>
      <c r="V21" s="94">
        <f t="shared" ref="V21:V52" si="6">S21-U21</f>
        <v>328793.91999999993</v>
      </c>
      <c r="W21" s="106"/>
    </row>
    <row r="22" spans="1:23" s="95" customFormat="1" ht="12" customHeight="1">
      <c r="A22" s="91"/>
      <c r="B22" s="91" t="s">
        <v>186</v>
      </c>
      <c r="C22" s="102">
        <v>8182</v>
      </c>
      <c r="D22" s="105" t="s">
        <v>270</v>
      </c>
      <c r="E22" s="94">
        <f>IF('FY19-20'!$S22&gt;0,'FY19-20'!E22/'FY19-20'!$S22*'Multi-Year'!$J22,0)+IF('FY19-20'!$S22&lt;0,'FY19-20'!E22/'FY19-20'!$S22*'Multi-Year'!$J22,0)</f>
        <v>0</v>
      </c>
      <c r="F22" s="94">
        <f>IF('FY19-20'!$S22&gt;0,'FY19-20'!F22/'FY19-20'!$S22*'Multi-Year'!$J22,0)+IF('FY19-20'!$S22&lt;0,'FY19-20'!F22/'FY19-20'!$S22*'Multi-Year'!$J22,0)</f>
        <v>0</v>
      </c>
      <c r="G22" s="94">
        <f>IF('FY19-20'!$S22&gt;0,'FY19-20'!G22/'FY19-20'!$S22*'Multi-Year'!$J22,0)+IF('FY19-20'!$S22&lt;0,'FY19-20'!G22/'FY19-20'!$S22*'Multi-Year'!$J22,0)</f>
        <v>0</v>
      </c>
      <c r="H22" s="94">
        <f>IF('FY19-20'!$S22&gt;0,'FY19-20'!H22/'FY19-20'!$S22*'Multi-Year'!$J22,0)+IF('FY19-20'!$S22&lt;0,'FY19-20'!H22/'FY19-20'!$S22*'Multi-Year'!$J22,0)</f>
        <v>0</v>
      </c>
      <c r="I22" s="94">
        <f>IF('FY19-20'!$S22&gt;0,'FY19-20'!I22/'FY19-20'!$S22*'Multi-Year'!$J22,0)+IF('FY19-20'!$S22&lt;0,'FY19-20'!I22/'FY19-20'!$S22*'Multi-Year'!$J22,0)</f>
        <v>0</v>
      </c>
      <c r="J22" s="94">
        <f>IF('FY19-20'!$S22&gt;0,'FY19-20'!J22/'FY19-20'!$S22*'Multi-Year'!$J22,0)+IF('FY19-20'!$S22&lt;0,'FY19-20'!J22/'FY19-20'!$S22*'Multi-Year'!$J22,0)</f>
        <v>0</v>
      </c>
      <c r="K22" s="94">
        <f>IF('FY19-20'!$S22&gt;0,'FY19-20'!K22/'FY19-20'!$S22*'Multi-Year'!$J22,0)+IF('FY19-20'!$S22&lt;0,'FY19-20'!K22/'FY19-20'!$S22*'Multi-Year'!$J22,0)</f>
        <v>0</v>
      </c>
      <c r="L22" s="94">
        <f>IF('FY19-20'!$S22&gt;0,'FY19-20'!L22/'FY19-20'!$S22*'Multi-Year'!$J22,0)+IF('FY19-20'!$S22&lt;0,'FY19-20'!L22/'FY19-20'!$S22*'Multi-Year'!$J22,0)</f>
        <v>0</v>
      </c>
      <c r="M22" s="94">
        <f>IF('FY19-20'!$S22&gt;0,'FY19-20'!M22/'FY19-20'!$S22*'Multi-Year'!$J22,0)+IF('FY19-20'!$S22&lt;0,'FY19-20'!M22/'FY19-20'!$S22*'Multi-Year'!$J22,0)</f>
        <v>0</v>
      </c>
      <c r="N22" s="94">
        <f>IF('FY19-20'!$S22&gt;0,'FY19-20'!N22/'FY19-20'!$S22*'Multi-Year'!$J22,0)+IF('FY19-20'!$S22&lt;0,'FY19-20'!N22/'FY19-20'!$S22*'Multi-Year'!$J22,0)</f>
        <v>0</v>
      </c>
      <c r="O22" s="94">
        <f>IF('FY19-20'!$S22&gt;0,'FY19-20'!O22/'FY19-20'!$S22*'Multi-Year'!$J22,0)+IF('FY19-20'!$S22&lt;0,'FY19-20'!O22/'FY19-20'!$S22*'Multi-Year'!$J22,0)</f>
        <v>0</v>
      </c>
      <c r="P22" s="94">
        <f>IF('FY19-20'!$S22&gt;0,'FY19-20'!P22/'FY19-20'!$S22*'Multi-Year'!$J22,0)+IF('FY19-20'!$S22&lt;0,'FY19-20'!P22/'FY19-20'!$S22*'Multi-Year'!$J22,0)</f>
        <v>0</v>
      </c>
      <c r="Q22" s="606">
        <f>IF('FY19-20'!$S22&gt;0,'FY19-20'!Q22/'FY19-20'!$S22*'Multi-Year'!$J22,0)+IF('FY19-20'!$S22&lt;0,'FY19-20'!Q22/'FY19-20'!$S22*'Multi-Year'!$J22,0)</f>
        <v>0</v>
      </c>
      <c r="R22" s="304"/>
      <c r="S22" s="625">
        <f t="shared" si="5"/>
        <v>0</v>
      </c>
      <c r="T22" s="304"/>
      <c r="U22" s="94">
        <f>'FY19-20'!S22</f>
        <v>0</v>
      </c>
      <c r="V22" s="94">
        <f t="shared" ref="V22" si="7">S22-U22</f>
        <v>0</v>
      </c>
      <c r="W22" s="106"/>
    </row>
    <row r="23" spans="1:23" s="95" customFormat="1" ht="12" customHeight="1">
      <c r="A23" s="91"/>
      <c r="B23" s="91" t="s">
        <v>186</v>
      </c>
      <c r="C23" s="102">
        <v>8220</v>
      </c>
      <c r="D23" s="103" t="s">
        <v>12</v>
      </c>
      <c r="E23" s="94">
        <v>0</v>
      </c>
      <c r="F23" s="94">
        <v>0</v>
      </c>
      <c r="G23" s="94">
        <f>'Multi-Year'!$J23*0.05</f>
        <v>0</v>
      </c>
      <c r="H23" s="94">
        <f>'Multi-Year'!$J23*0.05</f>
        <v>0</v>
      </c>
      <c r="I23" s="94">
        <f>'Multi-Year'!$J23*0.1</f>
        <v>0</v>
      </c>
      <c r="J23" s="94">
        <f>'Multi-Year'!$J23*0.1</f>
        <v>0</v>
      </c>
      <c r="K23" s="94">
        <f>'Multi-Year'!$J23*0.1</f>
        <v>0</v>
      </c>
      <c r="L23" s="94">
        <f>'Multi-Year'!$J23*0.1</f>
        <v>0</v>
      </c>
      <c r="M23" s="94">
        <f>'Multi-Year'!$J23*0.1</f>
        <v>0</v>
      </c>
      <c r="N23" s="94">
        <f>'Multi-Year'!$J23*0.1</f>
        <v>0</v>
      </c>
      <c r="O23" s="94">
        <f>'Multi-Year'!$J23*0.1</f>
        <v>0</v>
      </c>
      <c r="P23" s="94">
        <f>'Multi-Year'!$J23*0.1</f>
        <v>0</v>
      </c>
      <c r="Q23" s="606">
        <f>'Multi-Year'!J23-SUM('FY20-21'!E23:P23)</f>
        <v>0</v>
      </c>
      <c r="R23" s="92"/>
      <c r="S23" s="625">
        <f t="shared" si="5"/>
        <v>0</v>
      </c>
      <c r="T23" s="92"/>
      <c r="U23" s="94">
        <f>'FY19-20'!S23</f>
        <v>0</v>
      </c>
      <c r="V23" s="94">
        <f t="shared" si="6"/>
        <v>0</v>
      </c>
      <c r="W23" s="214"/>
    </row>
    <row r="24" spans="1:23" s="95" customFormat="1" ht="12" customHeight="1">
      <c r="A24" s="91"/>
      <c r="B24" s="91" t="s">
        <v>186</v>
      </c>
      <c r="C24" s="102">
        <v>8290</v>
      </c>
      <c r="D24" s="103" t="s">
        <v>116</v>
      </c>
      <c r="E24" s="94">
        <v>0</v>
      </c>
      <c r="F24" s="94">
        <v>0</v>
      </c>
      <c r="G24" s="94">
        <f>'Multi-Year'!$J24*0.25</f>
        <v>0</v>
      </c>
      <c r="H24" s="94">
        <v>0</v>
      </c>
      <c r="I24" s="94">
        <v>0</v>
      </c>
      <c r="J24" s="94">
        <f>'Multi-Year'!$J24*0.25</f>
        <v>0</v>
      </c>
      <c r="K24" s="94">
        <v>0</v>
      </c>
      <c r="L24" s="94">
        <v>0</v>
      </c>
      <c r="M24" s="94">
        <f>'Multi-Year'!$J24*0.25</f>
        <v>0</v>
      </c>
      <c r="N24" s="94">
        <v>0</v>
      </c>
      <c r="O24" s="94">
        <v>0</v>
      </c>
      <c r="P24" s="94">
        <v>0</v>
      </c>
      <c r="Q24" s="606">
        <f>'Multi-Year'!J24-SUM('FY20-21'!E24:P24)</f>
        <v>0</v>
      </c>
      <c r="R24" s="107"/>
      <c r="S24" s="625">
        <f t="shared" si="5"/>
        <v>0</v>
      </c>
      <c r="T24" s="107"/>
      <c r="U24" s="94">
        <f>'FY19-20'!S24</f>
        <v>0</v>
      </c>
      <c r="V24" s="94">
        <f t="shared" si="6"/>
        <v>0</v>
      </c>
      <c r="W24" s="214"/>
    </row>
    <row r="25" spans="1:23" s="95" customFormat="1" ht="12" customHeight="1">
      <c r="A25" s="91"/>
      <c r="B25" s="91" t="s">
        <v>186</v>
      </c>
      <c r="C25" s="102">
        <v>8291</v>
      </c>
      <c r="D25" s="103" t="s">
        <v>117</v>
      </c>
      <c r="E25" s="94">
        <f>IF('FY19-20'!E25&gt;0,'FY19-20'!E25/'FY19-20'!$S25*'Multi-Year'!$J25,0)</f>
        <v>0</v>
      </c>
      <c r="F25" s="94">
        <f>IF('FY19-20'!F25&gt;0,'FY19-20'!F25/'FY19-20'!$S25*'Multi-Year'!$J25,0)</f>
        <v>0</v>
      </c>
      <c r="G25" s="94">
        <f>'Multi-Year'!$J25*0.25</f>
        <v>0</v>
      </c>
      <c r="H25" s="94">
        <f>IF('FY19-20'!H25&gt;0,'FY19-20'!H25/'FY19-20'!$S25*'Multi-Year'!$J25,0)</f>
        <v>0</v>
      </c>
      <c r="I25" s="94">
        <f>IF('FY19-20'!I25&gt;0,'FY19-20'!I25/'FY19-20'!$S25*'Multi-Year'!$J25,0)</f>
        <v>0</v>
      </c>
      <c r="J25" s="94">
        <f>'Multi-Year'!$J25*0.25</f>
        <v>0</v>
      </c>
      <c r="K25" s="94">
        <f>IF('FY19-20'!K25&gt;0,'FY19-20'!K25/'FY19-20'!$S25*'Multi-Year'!$J25,0)</f>
        <v>0</v>
      </c>
      <c r="L25" s="94">
        <f>IF('FY19-20'!L25&gt;0,'FY19-20'!L25/'FY19-20'!$S25*'Multi-Year'!$J25,0)</f>
        <v>0</v>
      </c>
      <c r="M25" s="94">
        <f>'Multi-Year'!$J25*0.25</f>
        <v>0</v>
      </c>
      <c r="N25" s="94">
        <f>IF('FY19-20'!N25&gt;0,'FY19-20'!N25/'FY19-20'!$S25*'Multi-Year'!$J25,0)</f>
        <v>0</v>
      </c>
      <c r="O25" s="94">
        <f>IF('FY19-20'!O25&gt;0,'FY19-20'!O25/'FY19-20'!$S25*'Multi-Year'!$J25,0)</f>
        <v>0</v>
      </c>
      <c r="P25" s="94">
        <v>0</v>
      </c>
      <c r="Q25" s="606">
        <f>'Multi-Year'!J25-SUM('FY20-21'!E25:P25)</f>
        <v>0</v>
      </c>
      <c r="R25" s="92"/>
      <c r="S25" s="625">
        <f t="shared" si="5"/>
        <v>0</v>
      </c>
      <c r="T25" s="92"/>
      <c r="U25" s="94">
        <f>'FY19-20'!S25</f>
        <v>0</v>
      </c>
      <c r="V25" s="94">
        <f t="shared" si="6"/>
        <v>0</v>
      </c>
      <c r="W25" s="214"/>
    </row>
    <row r="26" spans="1:23" s="95" customFormat="1" ht="12" customHeight="1">
      <c r="A26" s="91"/>
      <c r="B26" s="91" t="s">
        <v>186</v>
      </c>
      <c r="C26" s="102">
        <v>8293</v>
      </c>
      <c r="D26" s="103" t="s">
        <v>118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f>'Multi-Year'!J26</f>
        <v>0</v>
      </c>
      <c r="Q26" s="606">
        <f>'Multi-Year'!J26-SUM('FY20-21'!E26:P26)</f>
        <v>0</v>
      </c>
      <c r="R26" s="92"/>
      <c r="S26" s="625">
        <f t="shared" si="5"/>
        <v>0</v>
      </c>
      <c r="T26" s="92"/>
      <c r="U26" s="94">
        <f>'FY19-20'!S26</f>
        <v>0</v>
      </c>
      <c r="V26" s="94">
        <f t="shared" si="6"/>
        <v>0</v>
      </c>
      <c r="W26" s="214"/>
    </row>
    <row r="27" spans="1:23" s="95" customFormat="1" ht="12" customHeight="1">
      <c r="A27" s="91"/>
      <c r="B27" s="91" t="s">
        <v>186</v>
      </c>
      <c r="C27" s="102">
        <v>8294</v>
      </c>
      <c r="D27" s="108" t="s">
        <v>263</v>
      </c>
      <c r="E27" s="94">
        <v>0</v>
      </c>
      <c r="F27" s="94">
        <v>0</v>
      </c>
      <c r="G27" s="94">
        <f>'Multi-Year'!$J27*0.25</f>
        <v>0</v>
      </c>
      <c r="H27" s="94">
        <v>0</v>
      </c>
      <c r="I27" s="94">
        <v>0</v>
      </c>
      <c r="J27" s="94">
        <f>'Multi-Year'!$J27*0.25</f>
        <v>0</v>
      </c>
      <c r="K27" s="94">
        <v>0</v>
      </c>
      <c r="L27" s="94">
        <v>0</v>
      </c>
      <c r="M27" s="94">
        <f>'Multi-Year'!$J27*0.25</f>
        <v>0</v>
      </c>
      <c r="N27" s="94">
        <v>0</v>
      </c>
      <c r="O27" s="94">
        <v>0</v>
      </c>
      <c r="P27" s="94">
        <f>'Multi-Year'!$J27*0.25</f>
        <v>0</v>
      </c>
      <c r="Q27" s="606">
        <f>'Multi-Year'!J27-SUM('FY20-21'!E27:P27)</f>
        <v>0</v>
      </c>
      <c r="R27" s="92"/>
      <c r="S27" s="625">
        <f t="shared" si="5"/>
        <v>0</v>
      </c>
      <c r="T27" s="92"/>
      <c r="U27" s="94">
        <f>'FY19-20'!S27</f>
        <v>0</v>
      </c>
      <c r="V27" s="94">
        <f t="shared" si="6"/>
        <v>0</v>
      </c>
      <c r="W27" s="214"/>
    </row>
    <row r="28" spans="1:23" s="95" customFormat="1" ht="12" customHeight="1">
      <c r="A28" s="91"/>
      <c r="B28" s="91" t="s">
        <v>186</v>
      </c>
      <c r="C28" s="102">
        <v>8295</v>
      </c>
      <c r="D28" s="103" t="s">
        <v>264</v>
      </c>
      <c r="E28" s="94">
        <f>'Multi-Year'!$J$28/12</f>
        <v>0</v>
      </c>
      <c r="F28" s="94">
        <f>'Multi-Year'!$J$28/12</f>
        <v>0</v>
      </c>
      <c r="G28" s="94">
        <f>'Multi-Year'!$J$28/12</f>
        <v>0</v>
      </c>
      <c r="H28" s="94">
        <f>'Multi-Year'!$J$28/12</f>
        <v>0</v>
      </c>
      <c r="I28" s="94">
        <f>'Multi-Year'!$J$28/12</f>
        <v>0</v>
      </c>
      <c r="J28" s="94">
        <f>'Multi-Year'!$J$28/12</f>
        <v>0</v>
      </c>
      <c r="K28" s="94">
        <f>'Multi-Year'!$J$28/12</f>
        <v>0</v>
      </c>
      <c r="L28" s="94">
        <f>'Multi-Year'!$J$28/12</f>
        <v>0</v>
      </c>
      <c r="M28" s="94">
        <f>'Multi-Year'!$J$28/12</f>
        <v>0</v>
      </c>
      <c r="N28" s="94">
        <f>'Multi-Year'!$J$28/12</f>
        <v>0</v>
      </c>
      <c r="O28" s="94">
        <f>'Multi-Year'!$J$28/12</f>
        <v>0</v>
      </c>
      <c r="P28" s="94">
        <f>'Multi-Year'!$J$28/12</f>
        <v>0</v>
      </c>
      <c r="Q28" s="606">
        <f>'Multi-Year'!J28-SUM('FY20-21'!E28:P28)</f>
        <v>0</v>
      </c>
      <c r="R28" s="92"/>
      <c r="S28" s="625">
        <f t="shared" si="5"/>
        <v>0</v>
      </c>
      <c r="T28" s="92"/>
      <c r="U28" s="94">
        <f>'FY19-20'!S28</f>
        <v>0</v>
      </c>
      <c r="V28" s="94">
        <f t="shared" si="6"/>
        <v>0</v>
      </c>
      <c r="W28" s="214"/>
    </row>
    <row r="29" spans="1:23" s="95" customFormat="1" ht="12" customHeight="1">
      <c r="A29" s="91"/>
      <c r="B29" s="91" t="s">
        <v>186</v>
      </c>
      <c r="C29" s="102">
        <v>8296</v>
      </c>
      <c r="D29" s="103" t="s">
        <v>133</v>
      </c>
      <c r="E29" s="94">
        <f>IF('FY19-20'!$S29&gt;0,'FY19-20'!E29/'FY19-20'!$S29*'Multi-Year'!$J29,0)+IF('FY19-20'!$S29&lt;0,'FY19-20'!E29/'FY19-20'!$S29*'Multi-Year'!$J29,0)</f>
        <v>0</v>
      </c>
      <c r="F29" s="94">
        <f>IF('FY19-20'!$S29&gt;0,'FY19-20'!F29/'FY19-20'!$S29*'Multi-Year'!$J29,0)+IF('FY19-20'!$S29&lt;0,'FY19-20'!F29/'FY19-20'!$S29*'Multi-Year'!$J29,0)</f>
        <v>0</v>
      </c>
      <c r="G29" s="94">
        <f>IF('FY19-20'!$S29&gt;0,'FY19-20'!G29/'FY19-20'!$S29*'Multi-Year'!$J29,0)+IF('FY19-20'!$S29&lt;0,'FY19-20'!G29/'FY19-20'!$S29*'Multi-Year'!$J29,0)</f>
        <v>0</v>
      </c>
      <c r="H29" s="94">
        <f>IF('FY19-20'!$S29&gt;0,'FY19-20'!H29/'FY19-20'!$S29*'Multi-Year'!$J29,0)+IF('FY19-20'!$S29&lt;0,'FY19-20'!H29/'FY19-20'!$S29*'Multi-Year'!$J29,0)</f>
        <v>0</v>
      </c>
      <c r="I29" s="94">
        <f>IF('FY19-20'!$S29&gt;0,'FY19-20'!I29/'FY19-20'!$S29*'Multi-Year'!$J29,0)+IF('FY19-20'!$S29&lt;0,'FY19-20'!I29/'FY19-20'!$S29*'Multi-Year'!$J29,0)</f>
        <v>0</v>
      </c>
      <c r="J29" s="94">
        <f>IF('FY19-20'!$S29&gt;0,'FY19-20'!J29/'FY19-20'!$S29*'Multi-Year'!$J29,0)+IF('FY19-20'!$S29&lt;0,'FY19-20'!J29/'FY19-20'!$S29*'Multi-Year'!$J29,0)</f>
        <v>0</v>
      </c>
      <c r="K29" s="94">
        <f>IF('FY19-20'!$S29&gt;0,'FY19-20'!K29/'FY19-20'!$S29*'Multi-Year'!$J29,0)+IF('FY19-20'!$S29&lt;0,'FY19-20'!K29/'FY19-20'!$S29*'Multi-Year'!$J29,0)</f>
        <v>0</v>
      </c>
      <c r="L29" s="94">
        <f>IF('FY19-20'!$S29&gt;0,'FY19-20'!L29/'FY19-20'!$S29*'Multi-Year'!$J29,0)+IF('FY19-20'!$S29&lt;0,'FY19-20'!L29/'FY19-20'!$S29*'Multi-Year'!$J29,0)</f>
        <v>0</v>
      </c>
      <c r="M29" s="94">
        <f>IF('FY19-20'!$S29&gt;0,'FY19-20'!M29/'FY19-20'!$S29*'Multi-Year'!$J29,0)+IF('FY19-20'!$S29&lt;0,'FY19-20'!M29/'FY19-20'!$S29*'Multi-Year'!$J29,0)</f>
        <v>0</v>
      </c>
      <c r="N29" s="94">
        <f>IF('FY19-20'!$S29&gt;0,'FY19-20'!N29/'FY19-20'!$S29*'Multi-Year'!$J29,0)+IF('FY19-20'!$S29&lt;0,'FY19-20'!N29/'FY19-20'!$S29*'Multi-Year'!$J29,0)</f>
        <v>136759.2465183723</v>
      </c>
      <c r="O29" s="94">
        <f>IF('FY19-20'!$S29&gt;0,'FY19-20'!O29/'FY19-20'!$S29*'Multi-Year'!$J29,0)+IF('FY19-20'!$S29&lt;0,'FY19-20'!O29/'FY19-20'!$S29*'Multi-Year'!$J29,0)</f>
        <v>0</v>
      </c>
      <c r="P29" s="94">
        <f>IF('FY19-20'!$S29&gt;0,'FY19-20'!P29/'FY19-20'!$S29*'Multi-Year'!$J29,0)+IF('FY19-20'!$S29&lt;0,'FY19-20'!P29/'FY19-20'!$S29*'Multi-Year'!$J29,0)</f>
        <v>59751.123496586995</v>
      </c>
      <c r="Q29" s="606">
        <f>IF('FY19-20'!$S29&gt;0,'FY19-20'!Q29/'FY19-20'!$S29*'Multi-Year'!$J29,0)+IF('FY19-20'!$S29&lt;0,'FY19-20'!Q29/'FY19-20'!$S29*'Multi-Year'!$J29,0)</f>
        <v>0</v>
      </c>
      <c r="R29" s="92"/>
      <c r="S29" s="625">
        <f t="shared" si="5"/>
        <v>196510.37001495931</v>
      </c>
      <c r="T29" s="92"/>
      <c r="U29" s="94">
        <f>'FY19-20'!S29</f>
        <v>197783.36000000002</v>
      </c>
      <c r="V29" s="94">
        <f t="shared" si="6"/>
        <v>-1272.9899850407091</v>
      </c>
      <c r="W29" s="214"/>
    </row>
    <row r="30" spans="1:23" s="95" customFormat="1" ht="12" customHeight="1">
      <c r="A30" s="91"/>
      <c r="B30" s="91"/>
      <c r="C30" s="102">
        <v>8299</v>
      </c>
      <c r="D30" s="103" t="s">
        <v>385</v>
      </c>
      <c r="E30" s="94">
        <f>IF('FY19-20'!$S30&gt;0,'FY19-20'!E30/'FY19-20'!$S30*'Multi-Year'!$J30,0)+IF('FY19-20'!$S30&lt;0,'FY19-20'!E30/'FY19-20'!$S30*'Multi-Year'!$J30,0)</f>
        <v>0</v>
      </c>
      <c r="F30" s="94">
        <f>IF('FY19-20'!$S30&gt;0,'FY19-20'!F30/'FY19-20'!$S30*'Multi-Year'!$J30,0)+IF('FY19-20'!$S30&lt;0,'FY19-20'!F30/'FY19-20'!$S30*'Multi-Year'!$J30,0)</f>
        <v>0</v>
      </c>
      <c r="G30" s="94">
        <f>IF('FY19-20'!$S30&gt;0,'FY19-20'!G30/'FY19-20'!$S30*'Multi-Year'!$J30,0)+IF('FY19-20'!$S30&lt;0,'FY19-20'!G30/'FY19-20'!$S30*'Multi-Year'!$J30,0)</f>
        <v>0</v>
      </c>
      <c r="H30" s="94">
        <f>IF('FY19-20'!$S30&gt;0,'FY19-20'!H30/'FY19-20'!$S30*'Multi-Year'!$J30,0)+IF('FY19-20'!$S30&lt;0,'FY19-20'!H30/'FY19-20'!$S30*'Multi-Year'!$J30,0)</f>
        <v>0</v>
      </c>
      <c r="I30" s="94">
        <f>IF('FY19-20'!$S30&gt;0,'FY19-20'!I30/'FY19-20'!$S30*'Multi-Year'!$J30,0)+IF('FY19-20'!$S30&lt;0,'FY19-20'!I30/'FY19-20'!$S30*'Multi-Year'!$J30,0)</f>
        <v>0</v>
      </c>
      <c r="J30" s="94">
        <f>IF('FY19-20'!$S30&gt;0,'FY19-20'!J30/'FY19-20'!$S30*'Multi-Year'!$J30,0)+IF('FY19-20'!$S30&lt;0,'FY19-20'!J30/'FY19-20'!$S30*'Multi-Year'!$J30,0)</f>
        <v>0</v>
      </c>
      <c r="K30" s="94">
        <f>IF('FY19-20'!$S30&gt;0,'FY19-20'!K30/'FY19-20'!$S30*'Multi-Year'!$J30,0)+IF('FY19-20'!$S30&lt;0,'FY19-20'!K30/'FY19-20'!$S30*'Multi-Year'!$J30,0)</f>
        <v>0</v>
      </c>
      <c r="L30" s="94">
        <f>IF('FY19-20'!$S30&gt;0,'FY19-20'!L30/'FY19-20'!$S30*'Multi-Year'!$J30,0)+IF('FY19-20'!$S30&lt;0,'FY19-20'!L30/'FY19-20'!$S30*'Multi-Year'!$J30,0)</f>
        <v>0</v>
      </c>
      <c r="M30" s="94">
        <f>IF('FY19-20'!$S30&gt;0,'FY19-20'!M30/'FY19-20'!$S30*'Multi-Year'!$J30,0)+IF('FY19-20'!$S30&lt;0,'FY19-20'!M30/'FY19-20'!$S30*'Multi-Year'!$J30,0)</f>
        <v>0</v>
      </c>
      <c r="N30" s="94">
        <f>IF('FY19-20'!$S30&gt;0,'FY19-20'!N30/'FY19-20'!$S30*'Multi-Year'!$J30,0)+IF('FY19-20'!$S30&lt;0,'FY19-20'!N30/'FY19-20'!$S30*'Multi-Year'!$J30,0)</f>
        <v>0</v>
      </c>
      <c r="O30" s="94">
        <f>IF('FY19-20'!$S30&gt;0,'FY19-20'!O30/'FY19-20'!$S30*'Multi-Year'!$J30,0)+IF('FY19-20'!$S30&lt;0,'FY19-20'!O30/'FY19-20'!$S30*'Multi-Year'!$J30,0)</f>
        <v>0</v>
      </c>
      <c r="P30" s="94">
        <f>IF('FY19-20'!$S30&gt;0,'FY19-20'!P30/'FY19-20'!$S30*'Multi-Year'!$J30,0)+IF('FY19-20'!$S30&lt;0,'FY19-20'!P30/'FY19-20'!$S30*'Multi-Year'!$J30,0)</f>
        <v>0</v>
      </c>
      <c r="Q30" s="606">
        <f>IF('FY19-20'!$S30&gt;0,'FY19-20'!Q30/'FY19-20'!$S30*'Multi-Year'!$J30,0)+IF('FY19-20'!$S30&lt;0,'FY19-20'!Q30/'FY19-20'!$S30*'Multi-Year'!$J30,0)</f>
        <v>0</v>
      </c>
      <c r="R30" s="92"/>
      <c r="S30" s="625">
        <f t="shared" ref="S30" si="8">SUM(E30:Q30)</f>
        <v>0</v>
      </c>
      <c r="T30" s="92"/>
      <c r="U30" s="94">
        <f>'FY19-20'!S30</f>
        <v>0</v>
      </c>
      <c r="V30" s="94">
        <f t="shared" ref="V30" si="9">S30-U30</f>
        <v>0</v>
      </c>
      <c r="W30" s="214"/>
    </row>
    <row r="31" spans="1:23" s="112" customFormat="1" ht="12" customHeight="1">
      <c r="A31" s="109"/>
      <c r="B31" s="109" t="s">
        <v>186</v>
      </c>
      <c r="C31" s="109"/>
      <c r="D31" s="110"/>
      <c r="E31" s="307">
        <f>SUM(E21:E30)</f>
        <v>0</v>
      </c>
      <c r="F31" s="307">
        <f t="shared" ref="F31:P31" si="10">SUM(F21:F30)</f>
        <v>16546.192000000003</v>
      </c>
      <c r="G31" s="307">
        <f t="shared" si="10"/>
        <v>16546.192000000003</v>
      </c>
      <c r="H31" s="307">
        <f t="shared" si="10"/>
        <v>29783.1456</v>
      </c>
      <c r="I31" s="307">
        <f t="shared" si="10"/>
        <v>29783.1456</v>
      </c>
      <c r="J31" s="307">
        <f t="shared" si="10"/>
        <v>29783.1456</v>
      </c>
      <c r="K31" s="307">
        <f t="shared" si="10"/>
        <v>29783.1456</v>
      </c>
      <c r="L31" s="307">
        <f t="shared" si="10"/>
        <v>29783.1456</v>
      </c>
      <c r="M31" s="307">
        <f t="shared" si="10"/>
        <v>29357.161599999989</v>
      </c>
      <c r="N31" s="307">
        <f t="shared" si="10"/>
        <v>166116.40811837229</v>
      </c>
      <c r="O31" s="307">
        <f t="shared" si="10"/>
        <v>29357.161599999989</v>
      </c>
      <c r="P31" s="307">
        <f t="shared" si="10"/>
        <v>89108.285096586987</v>
      </c>
      <c r="Q31" s="615">
        <f>SUM(Q21:Q30)</f>
        <v>29357.161599999992</v>
      </c>
      <c r="R31" s="304"/>
      <c r="S31" s="628">
        <f>SUM(S21:S30)</f>
        <v>525304.29001495917</v>
      </c>
      <c r="T31" s="304"/>
      <c r="U31" s="308">
        <f>SUM(U21:U30)</f>
        <v>197783.36000000002</v>
      </c>
      <c r="V31" s="308">
        <f>SUM(V21:V30)</f>
        <v>327520.93001495919</v>
      </c>
      <c r="W31" s="95"/>
    </row>
    <row r="32" spans="1:23" s="95" customFormat="1" ht="12" customHeight="1">
      <c r="A32" s="91"/>
      <c r="B32" s="96" t="s">
        <v>168</v>
      </c>
      <c r="C32" s="91"/>
      <c r="D32" s="91"/>
      <c r="E32" s="304"/>
      <c r="F32" s="304"/>
      <c r="G32" s="304"/>
      <c r="H32" s="304"/>
      <c r="I32" s="304"/>
      <c r="J32" s="304"/>
      <c r="K32" s="304"/>
      <c r="L32" s="306"/>
      <c r="M32" s="306"/>
      <c r="N32" s="306"/>
      <c r="O32" s="306"/>
      <c r="P32" s="306"/>
      <c r="Q32" s="614"/>
      <c r="R32" s="306"/>
      <c r="S32" s="624"/>
      <c r="T32" s="306"/>
      <c r="U32" s="306"/>
      <c r="V32" s="306"/>
      <c r="W32" s="214"/>
    </row>
    <row r="33" spans="1:23" s="95" customFormat="1" ht="12" customHeight="1">
      <c r="A33" s="91"/>
      <c r="B33" s="91" t="s">
        <v>186</v>
      </c>
      <c r="C33" s="102">
        <v>8311</v>
      </c>
      <c r="D33" s="105" t="s">
        <v>261</v>
      </c>
      <c r="E33" s="94">
        <v>0</v>
      </c>
      <c r="F33" s="356">
        <f>LCFF!$H$23*'Revenue Inputs'!$G$18*'FY20-21'!E$9+LCFF!$J$25*'Revenue Inputs'!$G$18*'FY20-21'!E$8</f>
        <v>80780.467506293018</v>
      </c>
      <c r="G33" s="356">
        <f>LCFF!$H$23*'Revenue Inputs'!$G$18*'FY20-21'!F$9+LCFF!$J$25*'Revenue Inputs'!$G$18*'FY20-21'!F$8</f>
        <v>80780.467506293018</v>
      </c>
      <c r="H33" s="356">
        <f>LCFF!$H$23*'Revenue Inputs'!$G$18*'FY20-21'!G$9+LCFF!$J$25*'Revenue Inputs'!$G$18*'FY20-21'!G$8</f>
        <v>145404.84151132742</v>
      </c>
      <c r="I33" s="356">
        <f>LCFF!$H$23*'Revenue Inputs'!$G$18*'FY20-21'!H$9+LCFF!$J$25*'Revenue Inputs'!$G$18*'FY20-21'!H$8</f>
        <v>145404.84151132742</v>
      </c>
      <c r="J33" s="356">
        <f>LCFF!$H$23*'Revenue Inputs'!$G$18*'FY20-21'!I$9+LCFF!$J$25*'Revenue Inputs'!$G$18*'FY20-21'!I$8</f>
        <v>145404.84151132742</v>
      </c>
      <c r="K33" s="356">
        <f>LCFF!$H$23*'Revenue Inputs'!$G$18*'FY20-21'!J$9+LCFF!$J$25*'Revenue Inputs'!$G$18*'FY20-21'!J$8</f>
        <v>145404.84151132742</v>
      </c>
      <c r="L33" s="356">
        <f>LCFF!$H$23*'Revenue Inputs'!$G$18*'FY20-21'!K$9+LCFF!$J$25*'Revenue Inputs'!$G$18*'FY20-21'!K$8</f>
        <v>145404.84151132742</v>
      </c>
      <c r="M33" s="356">
        <f>(LCFF!$J$23*'Revenue Inputs'!$G$18-SUM($E$33:$L$33))*'FY20-21'!L$9</f>
        <v>143325.1372101685</v>
      </c>
      <c r="N33" s="356">
        <f>(LCFF!$J$23*'Revenue Inputs'!$G$18-SUM($E$33:$L$33))*'FY20-21'!M$9</f>
        <v>143325.1372101685</v>
      </c>
      <c r="O33" s="356">
        <f>(LCFF!$J$23*'Revenue Inputs'!$G$18-SUM($E$33:$L$33))*'FY20-21'!N$9</f>
        <v>143325.1372101685</v>
      </c>
      <c r="P33" s="356">
        <f>(LCFF!$J$23*'Revenue Inputs'!$G$18-SUM($E$33:$L$33))*'FY20-21'!O$9</f>
        <v>143325.1372101685</v>
      </c>
      <c r="Q33" s="616">
        <f>'Multi-Year'!J33-SUM('FY20-21'!E33:P33)</f>
        <v>143325.13721016864</v>
      </c>
      <c r="R33" s="304"/>
      <c r="S33" s="625">
        <f t="shared" ref="S33:S39" si="11">SUM(E33:Q33)</f>
        <v>1605210.8286200657</v>
      </c>
      <c r="T33" s="304"/>
      <c r="U33" s="94">
        <f>'FY19-20'!S33</f>
        <v>1769831.28</v>
      </c>
      <c r="V33" s="94">
        <f t="shared" si="6"/>
        <v>-164620.45137993433</v>
      </c>
      <c r="W33" s="304"/>
    </row>
    <row r="34" spans="1:23" s="95" customFormat="1" ht="12" customHeight="1">
      <c r="A34" s="91"/>
      <c r="B34" s="91" t="s">
        <v>186</v>
      </c>
      <c r="C34" s="102">
        <v>8520</v>
      </c>
      <c r="D34" s="103" t="s">
        <v>121</v>
      </c>
      <c r="E34" s="94">
        <v>0</v>
      </c>
      <c r="F34" s="94">
        <v>0</v>
      </c>
      <c r="G34" s="94">
        <f>'Multi-Year'!$J34*0.05</f>
        <v>0</v>
      </c>
      <c r="H34" s="94">
        <f>'Multi-Year'!$J34*0.05</f>
        <v>0</v>
      </c>
      <c r="I34" s="94">
        <f>'Multi-Year'!$J34*0.1</f>
        <v>0</v>
      </c>
      <c r="J34" s="94">
        <f>'Multi-Year'!$J34*0.1</f>
        <v>0</v>
      </c>
      <c r="K34" s="94">
        <f>'Multi-Year'!$J34*0.1</f>
        <v>0</v>
      </c>
      <c r="L34" s="94">
        <f>'Multi-Year'!$J34*0.1</f>
        <v>0</v>
      </c>
      <c r="M34" s="94">
        <f>'Multi-Year'!$J34*0.1</f>
        <v>0</v>
      </c>
      <c r="N34" s="94">
        <f>'Multi-Year'!$J34*0.1</f>
        <v>0</v>
      </c>
      <c r="O34" s="94">
        <f>'Multi-Year'!$J34*0.1</f>
        <v>0</v>
      </c>
      <c r="P34" s="94">
        <f>'Multi-Year'!$J34*0.1</f>
        <v>0</v>
      </c>
      <c r="Q34" s="606">
        <f>'Multi-Year'!J34-SUM('FY20-21'!E34:P34)</f>
        <v>0</v>
      </c>
      <c r="R34" s="92"/>
      <c r="S34" s="625">
        <f t="shared" si="11"/>
        <v>0</v>
      </c>
      <c r="T34" s="92"/>
      <c r="U34" s="94">
        <f>'FY19-20'!S34</f>
        <v>0</v>
      </c>
      <c r="V34" s="94">
        <f t="shared" si="6"/>
        <v>0</v>
      </c>
      <c r="W34" s="214"/>
    </row>
    <row r="35" spans="1:23" s="95" customFormat="1" ht="12" customHeight="1">
      <c r="A35" s="91"/>
      <c r="B35" s="91" t="s">
        <v>186</v>
      </c>
      <c r="C35" s="102">
        <v>8545</v>
      </c>
      <c r="D35" s="103" t="s">
        <v>260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f>'Multi-Year'!$J35*0.5</f>
        <v>0</v>
      </c>
      <c r="L35" s="94">
        <v>0</v>
      </c>
      <c r="M35" s="94">
        <v>0</v>
      </c>
      <c r="N35" s="94">
        <v>0</v>
      </c>
      <c r="O35" s="94">
        <f>'Multi-Year'!$J35*0.25</f>
        <v>0</v>
      </c>
      <c r="P35" s="94">
        <v>0</v>
      </c>
      <c r="Q35" s="606">
        <f>'Multi-Year'!J35-SUM('FY20-21'!E35:P35)</f>
        <v>0</v>
      </c>
      <c r="R35" s="92"/>
      <c r="S35" s="625">
        <f t="shared" si="11"/>
        <v>0</v>
      </c>
      <c r="T35" s="92"/>
      <c r="U35" s="94">
        <f>'FY19-20'!S35</f>
        <v>0</v>
      </c>
      <c r="V35" s="94" t="s">
        <v>25</v>
      </c>
      <c r="W35" s="214"/>
    </row>
    <row r="36" spans="1:23" s="95" customFormat="1" ht="12" customHeight="1">
      <c r="A36" s="91"/>
      <c r="B36" s="91" t="s">
        <v>186</v>
      </c>
      <c r="C36" s="102">
        <v>8550</v>
      </c>
      <c r="D36" s="103" t="s">
        <v>262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f>'Multi-Year'!J36</f>
        <v>65775.486799999999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606">
        <f>'Multi-Year'!J36-SUM('FY20-21'!E36:P36)</f>
        <v>0</v>
      </c>
      <c r="R36" s="92"/>
      <c r="S36" s="625">
        <f t="shared" si="11"/>
        <v>65775.486799999999</v>
      </c>
      <c r="T36" s="92"/>
      <c r="U36" s="94">
        <f>'FY19-20'!S36</f>
        <v>0</v>
      </c>
      <c r="V36" s="94">
        <f t="shared" ref="V36" si="12">S36-U36</f>
        <v>65775.486799999999</v>
      </c>
      <c r="W36" s="214"/>
    </row>
    <row r="37" spans="1:23" s="95" customFormat="1" ht="12" customHeight="1">
      <c r="A37" s="109"/>
      <c r="B37" s="109" t="s">
        <v>186</v>
      </c>
      <c r="C37" s="102">
        <v>8560</v>
      </c>
      <c r="D37" s="103" t="s">
        <v>120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f>'Multi-Year'!$J37*0.25</f>
        <v>155846.20411422517</v>
      </c>
      <c r="L37" s="94">
        <v>0</v>
      </c>
      <c r="M37" s="94">
        <v>0</v>
      </c>
      <c r="N37" s="94">
        <f>'Multi-Year'!$J37*0.25</f>
        <v>155846.20411422517</v>
      </c>
      <c r="O37" s="94">
        <v>0</v>
      </c>
      <c r="P37" s="94">
        <v>0</v>
      </c>
      <c r="Q37" s="606">
        <f>'Multi-Year'!J37-SUM('FY20-21'!E37:P37)</f>
        <v>311692.40822845034</v>
      </c>
      <c r="R37" s="92"/>
      <c r="S37" s="625">
        <f t="shared" si="11"/>
        <v>623384.81645690068</v>
      </c>
      <c r="T37" s="92"/>
      <c r="U37" s="94">
        <f>'FY19-20'!S37</f>
        <v>627423.09</v>
      </c>
      <c r="V37" s="94">
        <f t="shared" si="6"/>
        <v>-4038.2735430992907</v>
      </c>
      <c r="W37" s="214"/>
    </row>
    <row r="38" spans="1:23" s="95" customFormat="1" ht="12" customHeight="1">
      <c r="A38" s="109"/>
      <c r="B38" s="109" t="s">
        <v>186</v>
      </c>
      <c r="C38" s="102">
        <v>8598</v>
      </c>
      <c r="D38" s="103" t="s">
        <v>242</v>
      </c>
      <c r="E38" s="94">
        <f>IF('FY19-20'!$S38&gt;0,'FY19-20'!E38/'FY19-20'!$S38*'Multi-Year'!$J38,0)+IF('FY19-20'!$S38&lt;0,'FY19-20'!E38/'FY19-20'!$S38*'Multi-Year'!$J38,0)</f>
        <v>0</v>
      </c>
      <c r="F38" s="94">
        <f>IF('FY19-20'!$S38&gt;0,'FY19-20'!F38/'FY19-20'!$S38*'Multi-Year'!$J38,0)+IF('FY19-20'!$S38&lt;0,'FY19-20'!F38/'FY19-20'!$S38*'Multi-Year'!$J38,0)</f>
        <v>0</v>
      </c>
      <c r="G38" s="94">
        <f>IF('FY19-20'!$S38&gt;0,'FY19-20'!G38/'FY19-20'!$S38*'Multi-Year'!$J38,0)+IF('FY19-20'!$S38&lt;0,'FY19-20'!G38/'FY19-20'!$S38*'Multi-Year'!$J38,0)</f>
        <v>0</v>
      </c>
      <c r="H38" s="94">
        <f>IF('FY19-20'!$S38&gt;0,'FY19-20'!H38/'FY19-20'!$S38*'Multi-Year'!$J38,0)+IF('FY19-20'!$S38&lt;0,'FY19-20'!H38/'FY19-20'!$S38*'Multi-Year'!$J38,0)</f>
        <v>0</v>
      </c>
      <c r="I38" s="94">
        <f>IF('FY19-20'!$S38&gt;0,'FY19-20'!I38/'FY19-20'!$S38*'Multi-Year'!$J38,0)+IF('FY19-20'!$S38&lt;0,'FY19-20'!I38/'FY19-20'!$S38*'Multi-Year'!$J38,0)</f>
        <v>0</v>
      </c>
      <c r="J38" s="94">
        <f>IF('FY19-20'!$S38&gt;0,'FY19-20'!J38/'FY19-20'!$S38*'Multi-Year'!$J38,0)+IF('FY19-20'!$S38&lt;0,'FY19-20'!J38/'FY19-20'!$S38*'Multi-Year'!$J38,0)</f>
        <v>0</v>
      </c>
      <c r="K38" s="94">
        <f>IF('FY19-20'!$S38&gt;0,'FY19-20'!K38/'FY19-20'!$S38*'Multi-Year'!$J38,0)+IF('FY19-20'!$S38&lt;0,'FY19-20'!K38/'FY19-20'!$S38*'Multi-Year'!$J38,0)</f>
        <v>0</v>
      </c>
      <c r="L38" s="94">
        <f>IF('FY19-20'!$S38&gt;0,'FY19-20'!L38/'FY19-20'!$S38*'Multi-Year'!$J38,0)+IF('FY19-20'!$S38&lt;0,'FY19-20'!L38/'FY19-20'!$S38*'Multi-Year'!$J38,0)</f>
        <v>0</v>
      </c>
      <c r="M38" s="94">
        <f>IF('FY19-20'!$S38&gt;0,'FY19-20'!M38/'FY19-20'!$S38*'Multi-Year'!$J38,0)+IF('FY19-20'!$S38&lt;0,'FY19-20'!M38/'FY19-20'!$S38*'Multi-Year'!$J38,0)</f>
        <v>0</v>
      </c>
      <c r="N38" s="94">
        <f>IF('FY19-20'!$S38&gt;0,'FY19-20'!N38/'FY19-20'!$S38*'Multi-Year'!$J38,0)+IF('FY19-20'!$S38&lt;0,'FY19-20'!N38/'FY19-20'!$S38*'Multi-Year'!$J38,0)</f>
        <v>0</v>
      </c>
      <c r="O38" s="94">
        <f>IF('FY19-20'!$S38&gt;0,'FY19-20'!O38/'FY19-20'!$S38*'Multi-Year'!$J38,0)+IF('FY19-20'!$S38&lt;0,'FY19-20'!O38/'FY19-20'!$S38*'Multi-Year'!$J38,0)</f>
        <v>0</v>
      </c>
      <c r="P38" s="94">
        <f>IF('FY19-20'!$S38&gt;0,'FY19-20'!P38/'FY19-20'!$S38*'Multi-Year'!$J38,0)+IF('FY19-20'!$S38&lt;0,'FY19-20'!P38/'FY19-20'!$S38*'Multi-Year'!$J38,0)</f>
        <v>0</v>
      </c>
      <c r="Q38" s="606">
        <f>IF('FY19-20'!$S38&gt;0,'FY19-20'!Q38/'FY19-20'!$S38*'Multi-Year'!$J38,0)+IF('FY19-20'!$S38&lt;0,'FY19-20'!Q38/'FY19-20'!$S38*'Multi-Year'!$J38,0)</f>
        <v>0</v>
      </c>
      <c r="R38" s="92"/>
      <c r="S38" s="625">
        <f t="shared" si="11"/>
        <v>0</v>
      </c>
      <c r="T38" s="92"/>
      <c r="U38" s="94">
        <f>'FY19-20'!S38</f>
        <v>0</v>
      </c>
      <c r="V38" s="94">
        <f t="shared" ref="V38" si="13">S38-U38</f>
        <v>0</v>
      </c>
      <c r="W38" s="214"/>
    </row>
    <row r="39" spans="1:23" s="95" customFormat="1" ht="12" customHeight="1">
      <c r="A39" s="91"/>
      <c r="B39" s="91" t="s">
        <v>186</v>
      </c>
      <c r="C39" s="102">
        <v>8599</v>
      </c>
      <c r="D39" s="103" t="s">
        <v>168</v>
      </c>
      <c r="E39" s="94">
        <v>0</v>
      </c>
      <c r="F39" s="94">
        <v>0</v>
      </c>
      <c r="G39" s="94">
        <v>0</v>
      </c>
      <c r="H39" s="94">
        <v>0</v>
      </c>
      <c r="I39" s="94">
        <f>'Multi-Year'!$J$39*0.65</f>
        <v>0</v>
      </c>
      <c r="J39" s="94">
        <v>0</v>
      </c>
      <c r="K39" s="94">
        <v>0</v>
      </c>
      <c r="L39" s="94">
        <v>0</v>
      </c>
      <c r="M39" s="94">
        <v>0</v>
      </c>
      <c r="N39" s="94">
        <f>'Multi-Year'!$J$39*0.25</f>
        <v>0</v>
      </c>
      <c r="O39" s="94">
        <v>0</v>
      </c>
      <c r="P39" s="94">
        <v>0</v>
      </c>
      <c r="Q39" s="606">
        <f>'Multi-Year'!J39-SUM('FY20-21'!E39:P39)</f>
        <v>0</v>
      </c>
      <c r="R39" s="92"/>
      <c r="S39" s="625">
        <f t="shared" si="11"/>
        <v>0</v>
      </c>
      <c r="T39" s="92"/>
      <c r="U39" s="94">
        <f>'FY19-20'!S39</f>
        <v>0</v>
      </c>
      <c r="V39" s="94">
        <f t="shared" si="6"/>
        <v>0</v>
      </c>
      <c r="W39" s="214"/>
    </row>
    <row r="40" spans="1:23" s="112" customFormat="1" ht="12" customHeight="1">
      <c r="A40" s="109"/>
      <c r="B40" s="109" t="s">
        <v>186</v>
      </c>
      <c r="C40" s="109"/>
      <c r="D40" s="110"/>
      <c r="E40" s="307">
        <f>SUM(E33:E39)</f>
        <v>0</v>
      </c>
      <c r="F40" s="307">
        <f t="shared" ref="F40:P40" si="14">SUM(F33:F39)</f>
        <v>80780.467506293018</v>
      </c>
      <c r="G40" s="307">
        <f t="shared" si="14"/>
        <v>80780.467506293018</v>
      </c>
      <c r="H40" s="307">
        <f t="shared" si="14"/>
        <v>145404.84151132742</v>
      </c>
      <c r="I40" s="307">
        <f t="shared" si="14"/>
        <v>145404.84151132742</v>
      </c>
      <c r="J40" s="307">
        <f t="shared" si="14"/>
        <v>211180.32831132744</v>
      </c>
      <c r="K40" s="307">
        <f t="shared" si="14"/>
        <v>301251.04562555259</v>
      </c>
      <c r="L40" s="307">
        <f t="shared" si="14"/>
        <v>145404.84151132742</v>
      </c>
      <c r="M40" s="307">
        <f t="shared" si="14"/>
        <v>143325.1372101685</v>
      </c>
      <c r="N40" s="307">
        <f t="shared" si="14"/>
        <v>299171.34132439364</v>
      </c>
      <c r="O40" s="307">
        <f t="shared" si="14"/>
        <v>143325.1372101685</v>
      </c>
      <c r="P40" s="307">
        <f t="shared" si="14"/>
        <v>143325.1372101685</v>
      </c>
      <c r="Q40" s="615">
        <f>SUM(Q33:Q39)</f>
        <v>455017.54543861898</v>
      </c>
      <c r="R40" s="304"/>
      <c r="S40" s="626">
        <f>SUM(E40:R40)</f>
        <v>2294371.131876966</v>
      </c>
      <c r="T40" s="304"/>
      <c r="U40" s="307">
        <f>SUM(U33:U39)</f>
        <v>2397254.37</v>
      </c>
      <c r="V40" s="307">
        <f>SUM(V33:V39)</f>
        <v>-102883.23812303362</v>
      </c>
      <c r="W40" s="214"/>
    </row>
    <row r="41" spans="1:23" s="112" customFormat="1" ht="12" customHeight="1">
      <c r="A41" s="109"/>
      <c r="B41" s="120" t="s">
        <v>283</v>
      </c>
      <c r="C41" s="102"/>
      <c r="D41" s="103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617"/>
      <c r="R41" s="304"/>
      <c r="S41" s="625"/>
      <c r="T41" s="304"/>
      <c r="U41" s="304"/>
      <c r="V41" s="304"/>
      <c r="W41" s="214"/>
    </row>
    <row r="42" spans="1:23" s="95" customFormat="1" ht="12" customHeight="1">
      <c r="A42" s="91"/>
      <c r="B42" s="91" t="s">
        <v>186</v>
      </c>
      <c r="C42" s="102">
        <v>8634</v>
      </c>
      <c r="D42" s="104" t="s">
        <v>14</v>
      </c>
      <c r="E42" s="94">
        <f>IF('FY19-20'!$S42&gt;0,'FY19-20'!E42/'FY19-20'!$S42*'Multi-Year'!$J42,0)+IF('FY19-20'!$S42&lt;0,'FY19-20'!E42/'FY19-20'!$S42*'Multi-Year'!$J42,0)</f>
        <v>0</v>
      </c>
      <c r="F42" s="94">
        <f>IF('FY19-20'!$S42&gt;0,'FY19-20'!F42/'FY19-20'!$S42*'Multi-Year'!$J42,0)+IF('FY19-20'!$S42&lt;0,'FY19-20'!F42/'FY19-20'!$S42*'Multi-Year'!$J42,0)</f>
        <v>0</v>
      </c>
      <c r="G42" s="94">
        <f>IF('FY19-20'!$S42&gt;0,'FY19-20'!G42/'FY19-20'!$S42*'Multi-Year'!$J42,0)+IF('FY19-20'!$S42&lt;0,'FY19-20'!G42/'FY19-20'!$S42*'Multi-Year'!$J42,0)</f>
        <v>0</v>
      </c>
      <c r="H42" s="94">
        <f>IF('FY19-20'!$S42&gt;0,'FY19-20'!H42/'FY19-20'!$S42*'Multi-Year'!$J42,0)+IF('FY19-20'!$S42&lt;0,'FY19-20'!H42/'FY19-20'!$S42*'Multi-Year'!$J42,0)</f>
        <v>0</v>
      </c>
      <c r="I42" s="94">
        <f>IF('FY19-20'!$S42&gt;0,'FY19-20'!I42/'FY19-20'!$S42*'Multi-Year'!$J42,0)+IF('FY19-20'!$S42&lt;0,'FY19-20'!I42/'FY19-20'!$S42*'Multi-Year'!$J42,0)</f>
        <v>0</v>
      </c>
      <c r="J42" s="94">
        <f>IF('FY19-20'!$S42&gt;0,'FY19-20'!J42/'FY19-20'!$S42*'Multi-Year'!$J42,0)+IF('FY19-20'!$S42&lt;0,'FY19-20'!J42/'FY19-20'!$S42*'Multi-Year'!$J42,0)</f>
        <v>0</v>
      </c>
      <c r="K42" s="94">
        <f>IF('FY19-20'!$S42&gt;0,'FY19-20'!K42/'FY19-20'!$S42*'Multi-Year'!$J42,0)+IF('FY19-20'!$S42&lt;0,'FY19-20'!K42/'FY19-20'!$S42*'Multi-Year'!$J42,0)</f>
        <v>0</v>
      </c>
      <c r="L42" s="94">
        <f>IF('FY19-20'!$S42&gt;0,'FY19-20'!L42/'FY19-20'!$S42*'Multi-Year'!$J42,0)+IF('FY19-20'!$S42&lt;0,'FY19-20'!L42/'FY19-20'!$S42*'Multi-Year'!$J42,0)</f>
        <v>0</v>
      </c>
      <c r="M42" s="94">
        <f>IF('FY19-20'!$S42&gt;0,'FY19-20'!M42/'FY19-20'!$S42*'Multi-Year'!$J42,0)+IF('FY19-20'!$S42&lt;0,'FY19-20'!M42/'FY19-20'!$S42*'Multi-Year'!$J42,0)</f>
        <v>0</v>
      </c>
      <c r="N42" s="94">
        <f>IF('FY19-20'!$S42&gt;0,'FY19-20'!N42/'FY19-20'!$S42*'Multi-Year'!$J42,0)+IF('FY19-20'!$S42&lt;0,'FY19-20'!N42/'FY19-20'!$S42*'Multi-Year'!$J42,0)</f>
        <v>0</v>
      </c>
      <c r="O42" s="94">
        <f>IF('FY19-20'!$S42&gt;0,'FY19-20'!O42/'FY19-20'!$S42*'Multi-Year'!$J42,0)+IF('FY19-20'!$S42&lt;0,'FY19-20'!O42/'FY19-20'!$S42*'Multi-Year'!$J42,0)</f>
        <v>0</v>
      </c>
      <c r="P42" s="94">
        <f>IF('FY19-20'!$S42&gt;0,'FY19-20'!P42/'FY19-20'!$S42*'Multi-Year'!$J42,0)+IF('FY19-20'!$S42&lt;0,'FY19-20'!P42/'FY19-20'!$S42*'Multi-Year'!$J42,0)</f>
        <v>0</v>
      </c>
      <c r="Q42" s="606">
        <f>IF('FY19-20'!$S42&gt;0,'FY19-20'!Q42/'FY19-20'!$S42*'Multi-Year'!$J42,0)+IF('FY19-20'!$S42&lt;0,'FY19-20'!Q42/'FY19-20'!$S42*'Multi-Year'!$J42,0)</f>
        <v>0</v>
      </c>
      <c r="R42" s="94"/>
      <c r="S42" s="625">
        <f t="shared" ref="S42:S49" si="15">SUM(E42:Q42)</f>
        <v>0</v>
      </c>
      <c r="T42" s="92"/>
      <c r="U42" s="94">
        <f>'FY19-20'!S42</f>
        <v>0</v>
      </c>
      <c r="V42" s="94">
        <f t="shared" si="6"/>
        <v>0</v>
      </c>
      <c r="W42" s="214"/>
    </row>
    <row r="43" spans="1:23" s="95" customFormat="1" ht="12" customHeight="1">
      <c r="A43" s="91"/>
      <c r="B43" s="91" t="s">
        <v>186</v>
      </c>
      <c r="C43" s="102">
        <v>8650</v>
      </c>
      <c r="D43" s="104" t="s">
        <v>15</v>
      </c>
      <c r="E43" s="94">
        <f>IF('FY19-20'!$S43&gt;0,'FY19-20'!E43/'FY19-20'!$S43*'Multi-Year'!$J43,0)+IF('FY19-20'!$S43&lt;0,'FY19-20'!E43/'FY19-20'!$S43*'Multi-Year'!$J43,0)</f>
        <v>0</v>
      </c>
      <c r="F43" s="94">
        <f>IF('FY19-20'!$S43&gt;0,'FY19-20'!F43/'FY19-20'!$S43*'Multi-Year'!$J43,0)+IF('FY19-20'!$S43&lt;0,'FY19-20'!F43/'FY19-20'!$S43*'Multi-Year'!$J43,0)</f>
        <v>0</v>
      </c>
      <c r="G43" s="94">
        <f>IF('FY19-20'!$S43&gt;0,'FY19-20'!G43/'FY19-20'!$S43*'Multi-Year'!$J43,0)+IF('FY19-20'!$S43&lt;0,'FY19-20'!G43/'FY19-20'!$S43*'Multi-Year'!$J43,0)</f>
        <v>0</v>
      </c>
      <c r="H43" s="94">
        <f>IF('FY19-20'!$S43&gt;0,'FY19-20'!H43/'FY19-20'!$S43*'Multi-Year'!$J43,0)+IF('FY19-20'!$S43&lt;0,'FY19-20'!H43/'FY19-20'!$S43*'Multi-Year'!$J43,0)</f>
        <v>0</v>
      </c>
      <c r="I43" s="94">
        <f>IF('FY19-20'!$S43&gt;0,'FY19-20'!I43/'FY19-20'!$S43*'Multi-Year'!$J43,0)+IF('FY19-20'!$S43&lt;0,'FY19-20'!I43/'FY19-20'!$S43*'Multi-Year'!$J43,0)</f>
        <v>0</v>
      </c>
      <c r="J43" s="94">
        <f>IF('FY19-20'!$S43&gt;0,'FY19-20'!J43/'FY19-20'!$S43*'Multi-Year'!$J43,0)+IF('FY19-20'!$S43&lt;0,'FY19-20'!J43/'FY19-20'!$S43*'Multi-Year'!$J43,0)</f>
        <v>0</v>
      </c>
      <c r="K43" s="94">
        <f>IF('FY19-20'!$S43&gt;0,'FY19-20'!K43/'FY19-20'!$S43*'Multi-Year'!$J43,0)+IF('FY19-20'!$S43&lt;0,'FY19-20'!K43/'FY19-20'!$S43*'Multi-Year'!$J43,0)</f>
        <v>0</v>
      </c>
      <c r="L43" s="94">
        <f>IF('FY19-20'!$S43&gt;0,'FY19-20'!L43/'FY19-20'!$S43*'Multi-Year'!$J43,0)+IF('FY19-20'!$S43&lt;0,'FY19-20'!L43/'FY19-20'!$S43*'Multi-Year'!$J43,0)</f>
        <v>0</v>
      </c>
      <c r="M43" s="94">
        <f>IF('FY19-20'!$S43&gt;0,'FY19-20'!M43/'FY19-20'!$S43*'Multi-Year'!$J43,0)+IF('FY19-20'!$S43&lt;0,'FY19-20'!M43/'FY19-20'!$S43*'Multi-Year'!$J43,0)</f>
        <v>0</v>
      </c>
      <c r="N43" s="94">
        <f>IF('FY19-20'!$S43&gt;0,'FY19-20'!N43/'FY19-20'!$S43*'Multi-Year'!$J43,0)+IF('FY19-20'!$S43&lt;0,'FY19-20'!N43/'FY19-20'!$S43*'Multi-Year'!$J43,0)</f>
        <v>0</v>
      </c>
      <c r="O43" s="94">
        <f>IF('FY19-20'!$S43&gt;0,'FY19-20'!O43/'FY19-20'!$S43*'Multi-Year'!$J43,0)+IF('FY19-20'!$S43&lt;0,'FY19-20'!O43/'FY19-20'!$S43*'Multi-Year'!$J43,0)</f>
        <v>0</v>
      </c>
      <c r="P43" s="94">
        <f>IF('FY19-20'!$S43&gt;0,'FY19-20'!P43/'FY19-20'!$S43*'Multi-Year'!$J43,0)+IF('FY19-20'!$S43&lt;0,'FY19-20'!P43/'FY19-20'!$S43*'Multi-Year'!$J43,0)</f>
        <v>0</v>
      </c>
      <c r="Q43" s="606">
        <f>IF('FY19-20'!$S43&gt;0,'FY19-20'!Q43/'FY19-20'!$S43*'Multi-Year'!$J43,0)+IF('FY19-20'!$S43&lt;0,'FY19-20'!Q43/'FY19-20'!$S43*'Multi-Year'!$J43,0)</f>
        <v>0</v>
      </c>
      <c r="R43" s="94"/>
      <c r="S43" s="625">
        <f t="shared" si="15"/>
        <v>0</v>
      </c>
      <c r="T43" s="92"/>
      <c r="U43" s="94">
        <f>'FY19-20'!S43</f>
        <v>0</v>
      </c>
      <c r="V43" s="94">
        <f t="shared" si="6"/>
        <v>0</v>
      </c>
      <c r="W43" s="214"/>
    </row>
    <row r="44" spans="1:23" s="95" customFormat="1" ht="12" customHeight="1">
      <c r="A44" s="91"/>
      <c r="B44" s="91" t="s">
        <v>186</v>
      </c>
      <c r="C44" s="102">
        <v>8660</v>
      </c>
      <c r="D44" s="104" t="s">
        <v>16</v>
      </c>
      <c r="E44" s="94">
        <f>IF('FY19-20'!$S44&gt;0,'FY19-20'!E44/'FY19-20'!$S44*'Multi-Year'!$J44,0)+IF('FY19-20'!$S44&lt;0,'FY19-20'!E44/'FY19-20'!$S44*'Multi-Year'!$J44,0)</f>
        <v>0</v>
      </c>
      <c r="F44" s="94">
        <f>IF('FY19-20'!$S44&gt;0,'FY19-20'!F44/'FY19-20'!$S44*'Multi-Year'!$J44,0)+IF('FY19-20'!$S44&lt;0,'FY19-20'!F44/'FY19-20'!$S44*'Multi-Year'!$J44,0)</f>
        <v>0</v>
      </c>
      <c r="G44" s="94">
        <f>IF('FY19-20'!$S44&gt;0,'FY19-20'!G44/'FY19-20'!$S44*'Multi-Year'!$J44,0)+IF('FY19-20'!$S44&lt;0,'FY19-20'!G44/'FY19-20'!$S44*'Multi-Year'!$J44,0)</f>
        <v>0</v>
      </c>
      <c r="H44" s="94">
        <f>IF('FY19-20'!$S44&gt;0,'FY19-20'!H44/'FY19-20'!$S44*'Multi-Year'!$J44,0)+IF('FY19-20'!$S44&lt;0,'FY19-20'!H44/'FY19-20'!$S44*'Multi-Year'!$J44,0)</f>
        <v>0</v>
      </c>
      <c r="I44" s="94">
        <f>IF('FY19-20'!$S44&gt;0,'FY19-20'!I44/'FY19-20'!$S44*'Multi-Year'!$J44,0)+IF('FY19-20'!$S44&lt;0,'FY19-20'!I44/'FY19-20'!$S44*'Multi-Year'!$J44,0)</f>
        <v>0</v>
      </c>
      <c r="J44" s="94">
        <f>IF('FY19-20'!$S44&gt;0,'FY19-20'!J44/'FY19-20'!$S44*'Multi-Year'!$J44,0)+IF('FY19-20'!$S44&lt;0,'FY19-20'!J44/'FY19-20'!$S44*'Multi-Year'!$J44,0)</f>
        <v>0</v>
      </c>
      <c r="K44" s="94">
        <f>IF('FY19-20'!$S44&gt;0,'FY19-20'!K44/'FY19-20'!$S44*'Multi-Year'!$J44,0)+IF('FY19-20'!$S44&lt;0,'FY19-20'!K44/'FY19-20'!$S44*'Multi-Year'!$J44,0)</f>
        <v>0</v>
      </c>
      <c r="L44" s="94">
        <f>IF('FY19-20'!$S44&gt;0,'FY19-20'!L44/'FY19-20'!$S44*'Multi-Year'!$J44,0)+IF('FY19-20'!$S44&lt;0,'FY19-20'!L44/'FY19-20'!$S44*'Multi-Year'!$J44,0)</f>
        <v>0</v>
      </c>
      <c r="M44" s="94">
        <f>IF('FY19-20'!$S44&gt;0,'FY19-20'!M44/'FY19-20'!$S44*'Multi-Year'!$J44,0)+IF('FY19-20'!$S44&lt;0,'FY19-20'!M44/'FY19-20'!$S44*'Multi-Year'!$J44,0)</f>
        <v>0</v>
      </c>
      <c r="N44" s="94">
        <f>IF('FY19-20'!$S44&gt;0,'FY19-20'!N44/'FY19-20'!$S44*'Multi-Year'!$J44,0)+IF('FY19-20'!$S44&lt;0,'FY19-20'!N44/'FY19-20'!$S44*'Multi-Year'!$J44,0)</f>
        <v>0</v>
      </c>
      <c r="O44" s="94">
        <f>IF('FY19-20'!$S44&gt;0,'FY19-20'!O44/'FY19-20'!$S44*'Multi-Year'!$J44,0)+IF('FY19-20'!$S44&lt;0,'FY19-20'!O44/'FY19-20'!$S44*'Multi-Year'!$J44,0)</f>
        <v>0</v>
      </c>
      <c r="P44" s="94">
        <f>IF('FY19-20'!$S44&gt;0,'FY19-20'!P44/'FY19-20'!$S44*'Multi-Year'!$J44,0)+IF('FY19-20'!$S44&lt;0,'FY19-20'!P44/'FY19-20'!$S44*'Multi-Year'!$J44,0)</f>
        <v>0</v>
      </c>
      <c r="Q44" s="606">
        <f>IF('FY19-20'!$S44&gt;0,'FY19-20'!Q44/'FY19-20'!$S44*'Multi-Year'!$J44,0)+IF('FY19-20'!$S44&lt;0,'FY19-20'!Q44/'FY19-20'!$S44*'Multi-Year'!$J44,0)</f>
        <v>0</v>
      </c>
      <c r="R44" s="94"/>
      <c r="S44" s="625">
        <f t="shared" si="15"/>
        <v>0</v>
      </c>
      <c r="T44" s="92"/>
      <c r="U44" s="94">
        <f>'FY19-20'!S44</f>
        <v>0</v>
      </c>
      <c r="V44" s="94">
        <f t="shared" si="6"/>
        <v>0</v>
      </c>
      <c r="W44" s="214"/>
    </row>
    <row r="45" spans="1:23" s="95" customFormat="1" ht="12" customHeight="1">
      <c r="A45" s="91"/>
      <c r="B45" s="91" t="s">
        <v>186</v>
      </c>
      <c r="C45" s="102">
        <v>8689</v>
      </c>
      <c r="D45" s="104" t="s">
        <v>105</v>
      </c>
      <c r="E45" s="94">
        <f>IF('FY19-20'!$S45&gt;0,'FY19-20'!E45/'FY19-20'!$S45*'Multi-Year'!$J45,0)+IF('FY19-20'!$S45&lt;0,'FY19-20'!E45/'FY19-20'!$S45*'Multi-Year'!$J45,0)</f>
        <v>0</v>
      </c>
      <c r="F45" s="94">
        <f>IF('FY19-20'!$S45&gt;0,'FY19-20'!F45/'FY19-20'!$S45*'Multi-Year'!$J45,0)+IF('FY19-20'!$S45&lt;0,'FY19-20'!F45/'FY19-20'!$S45*'Multi-Year'!$J45,0)</f>
        <v>0</v>
      </c>
      <c r="G45" s="94">
        <f>IF('FY19-20'!$S45&gt;0,'FY19-20'!G45/'FY19-20'!$S45*'Multi-Year'!$J45,0)+IF('FY19-20'!$S45&lt;0,'FY19-20'!G45/'FY19-20'!$S45*'Multi-Year'!$J45,0)</f>
        <v>0</v>
      </c>
      <c r="H45" s="94">
        <f>IF('FY19-20'!$S45&gt;0,'FY19-20'!H45/'FY19-20'!$S45*'Multi-Year'!$J45,0)+IF('FY19-20'!$S45&lt;0,'FY19-20'!H45/'FY19-20'!$S45*'Multi-Year'!$J45,0)</f>
        <v>0</v>
      </c>
      <c r="I45" s="94">
        <f>IF('FY19-20'!$S45&gt;0,'FY19-20'!I45/'FY19-20'!$S45*'Multi-Year'!$J45,0)+IF('FY19-20'!$S45&lt;0,'FY19-20'!I45/'FY19-20'!$S45*'Multi-Year'!$J45,0)</f>
        <v>0</v>
      </c>
      <c r="J45" s="94">
        <f>IF('FY19-20'!$S45&gt;0,'FY19-20'!J45/'FY19-20'!$S45*'Multi-Year'!$J45,0)+IF('FY19-20'!$S45&lt;0,'FY19-20'!J45/'FY19-20'!$S45*'Multi-Year'!$J45,0)</f>
        <v>0</v>
      </c>
      <c r="K45" s="94">
        <f>IF('FY19-20'!$S45&gt;0,'FY19-20'!K45/'FY19-20'!$S45*'Multi-Year'!$J45,0)+IF('FY19-20'!$S45&lt;0,'FY19-20'!K45/'FY19-20'!$S45*'Multi-Year'!$J45,0)</f>
        <v>0</v>
      </c>
      <c r="L45" s="94">
        <f>IF('FY19-20'!$S45&gt;0,'FY19-20'!L45/'FY19-20'!$S45*'Multi-Year'!$J45,0)+IF('FY19-20'!$S45&lt;0,'FY19-20'!L45/'FY19-20'!$S45*'Multi-Year'!$J45,0)</f>
        <v>0</v>
      </c>
      <c r="M45" s="94">
        <f>IF('FY19-20'!$S45&gt;0,'FY19-20'!M45/'FY19-20'!$S45*'Multi-Year'!$J45,0)+IF('FY19-20'!$S45&lt;0,'FY19-20'!M45/'FY19-20'!$S45*'Multi-Year'!$J45,0)</f>
        <v>0</v>
      </c>
      <c r="N45" s="94">
        <f>IF('FY19-20'!$S45&gt;0,'FY19-20'!N45/'FY19-20'!$S45*'Multi-Year'!$J45,0)+IF('FY19-20'!$S45&lt;0,'FY19-20'!N45/'FY19-20'!$S45*'Multi-Year'!$J45,0)</f>
        <v>0</v>
      </c>
      <c r="O45" s="94">
        <f>IF('FY19-20'!$S45&gt;0,'FY19-20'!O45/'FY19-20'!$S45*'Multi-Year'!$J45,0)+IF('FY19-20'!$S45&lt;0,'FY19-20'!O45/'FY19-20'!$S45*'Multi-Year'!$J45,0)</f>
        <v>0</v>
      </c>
      <c r="P45" s="94">
        <f>IF('FY19-20'!$S45&gt;0,'FY19-20'!P45/'FY19-20'!$S45*'Multi-Year'!$J45,0)+IF('FY19-20'!$S45&lt;0,'FY19-20'!P45/'FY19-20'!$S45*'Multi-Year'!$J45,0)</f>
        <v>0</v>
      </c>
      <c r="Q45" s="606">
        <f>IF('FY19-20'!$S45&gt;0,'FY19-20'!Q45/'FY19-20'!$S45*'Multi-Year'!$J45,0)+IF('FY19-20'!$S45&lt;0,'FY19-20'!Q45/'FY19-20'!$S45*'Multi-Year'!$J45,0)</f>
        <v>0</v>
      </c>
      <c r="R45" s="94"/>
      <c r="S45" s="625">
        <f t="shared" si="15"/>
        <v>0</v>
      </c>
      <c r="T45" s="92"/>
      <c r="U45" s="94">
        <f>'FY19-20'!S45</f>
        <v>0</v>
      </c>
      <c r="V45" s="94">
        <f t="shared" si="6"/>
        <v>0</v>
      </c>
      <c r="W45" s="214"/>
    </row>
    <row r="46" spans="1:23" s="95" customFormat="1" ht="12" customHeight="1">
      <c r="A46" s="91"/>
      <c r="B46" s="91" t="s">
        <v>186</v>
      </c>
      <c r="C46" s="102">
        <v>8698</v>
      </c>
      <c r="D46" s="104" t="s">
        <v>265</v>
      </c>
      <c r="E46" s="94">
        <f>IF('FY19-20'!$S46&gt;0,'FY19-20'!E46/'FY19-20'!$S46*'Multi-Year'!$J46,0)+IF('FY19-20'!$S46&lt;0,'FY19-20'!E46/'FY19-20'!$S46*'Multi-Year'!$J46,0)</f>
        <v>0</v>
      </c>
      <c r="F46" s="94">
        <f>IF('FY19-20'!$S46&gt;0,'FY19-20'!F46/'FY19-20'!$S46*'Multi-Year'!$J46,0)+IF('FY19-20'!$S46&lt;0,'FY19-20'!F46/'FY19-20'!$S46*'Multi-Year'!$J46,0)</f>
        <v>0</v>
      </c>
      <c r="G46" s="94">
        <f>IF('FY19-20'!$S46&gt;0,'FY19-20'!G46/'FY19-20'!$S46*'Multi-Year'!$J46,0)+IF('FY19-20'!$S46&lt;0,'FY19-20'!G46/'FY19-20'!$S46*'Multi-Year'!$J46,0)</f>
        <v>0</v>
      </c>
      <c r="H46" s="94">
        <f>IF('FY19-20'!$S46&gt;0,'FY19-20'!H46/'FY19-20'!$S46*'Multi-Year'!$J46,0)+IF('FY19-20'!$S46&lt;0,'FY19-20'!H46/'FY19-20'!$S46*'Multi-Year'!$J46,0)</f>
        <v>0</v>
      </c>
      <c r="I46" s="94">
        <f>IF('FY19-20'!$S46&gt;0,'FY19-20'!I46/'FY19-20'!$S46*'Multi-Year'!$J46,0)+IF('FY19-20'!$S46&lt;0,'FY19-20'!I46/'FY19-20'!$S46*'Multi-Year'!$J46,0)</f>
        <v>0</v>
      </c>
      <c r="J46" s="94">
        <f>IF('FY19-20'!$S46&gt;0,'FY19-20'!J46/'FY19-20'!$S46*'Multi-Year'!$J46,0)+IF('FY19-20'!$S46&lt;0,'FY19-20'!J46/'FY19-20'!$S46*'Multi-Year'!$J46,0)</f>
        <v>0</v>
      </c>
      <c r="K46" s="94">
        <f>IF('FY19-20'!$S46&gt;0,'FY19-20'!K46/'FY19-20'!$S46*'Multi-Year'!$J46,0)+IF('FY19-20'!$S46&lt;0,'FY19-20'!K46/'FY19-20'!$S46*'Multi-Year'!$J46,0)</f>
        <v>0</v>
      </c>
      <c r="L46" s="94">
        <f>IF('FY19-20'!$S46&gt;0,'FY19-20'!L46/'FY19-20'!$S46*'Multi-Year'!$J46,0)+IF('FY19-20'!$S46&lt;0,'FY19-20'!L46/'FY19-20'!$S46*'Multi-Year'!$J46,0)</f>
        <v>0</v>
      </c>
      <c r="M46" s="94">
        <f>IF('FY19-20'!$S46&gt;0,'FY19-20'!M46/'FY19-20'!$S46*'Multi-Year'!$J46,0)+IF('FY19-20'!$S46&lt;0,'FY19-20'!M46/'FY19-20'!$S46*'Multi-Year'!$J46,0)</f>
        <v>0</v>
      </c>
      <c r="N46" s="94">
        <f>IF('FY19-20'!$S46&gt;0,'FY19-20'!N46/'FY19-20'!$S46*'Multi-Year'!$J46,0)+IF('FY19-20'!$S46&lt;0,'FY19-20'!N46/'FY19-20'!$S46*'Multi-Year'!$J46,0)</f>
        <v>0</v>
      </c>
      <c r="O46" s="94">
        <f>IF('FY19-20'!$S46&gt;0,'FY19-20'!O46/'FY19-20'!$S46*'Multi-Year'!$J46,0)+IF('FY19-20'!$S46&lt;0,'FY19-20'!O46/'FY19-20'!$S46*'Multi-Year'!$J46,0)</f>
        <v>0</v>
      </c>
      <c r="P46" s="94">
        <f>IF('FY19-20'!$S46&gt;0,'FY19-20'!P46/'FY19-20'!$S46*'Multi-Year'!$J46,0)+IF('FY19-20'!$S46&lt;0,'FY19-20'!P46/'FY19-20'!$S46*'Multi-Year'!$J46,0)</f>
        <v>0</v>
      </c>
      <c r="Q46" s="606">
        <f>IF('FY19-20'!$S46&gt;0,'FY19-20'!Q46/'FY19-20'!$S46*'Multi-Year'!$J46,0)+IF('FY19-20'!$S46&lt;0,'FY19-20'!Q46/'FY19-20'!$S46*'Multi-Year'!$J46,0)</f>
        <v>0</v>
      </c>
      <c r="R46" s="94"/>
      <c r="S46" s="625">
        <f t="shared" si="15"/>
        <v>0</v>
      </c>
      <c r="T46" s="92"/>
      <c r="U46" s="94">
        <f>'FY19-20'!S46</f>
        <v>0</v>
      </c>
      <c r="V46" s="94">
        <f t="shared" ref="V46" si="16">S46-U46</f>
        <v>0</v>
      </c>
      <c r="W46" s="214"/>
    </row>
    <row r="47" spans="1:23" s="95" customFormat="1" ht="12" customHeight="1">
      <c r="A47" s="91"/>
      <c r="B47" s="91" t="s">
        <v>186</v>
      </c>
      <c r="C47" s="102">
        <v>8699</v>
      </c>
      <c r="D47" s="104" t="s">
        <v>106</v>
      </c>
      <c r="E47" s="284">
        <v>0</v>
      </c>
      <c r="F47" s="284">
        <f>'Multi-Year'!J47*0.05</f>
        <v>0</v>
      </c>
      <c r="G47" s="284">
        <f>'Multi-Year'!J47*0.05</f>
        <v>0</v>
      </c>
      <c r="H47" s="284">
        <f>'Multi-Year'!J47*0.13</f>
        <v>0</v>
      </c>
      <c r="I47" s="284">
        <f>'Multi-Year'!J47*0.11</f>
        <v>0</v>
      </c>
      <c r="J47" s="284">
        <f>'Multi-Year'!J47*0.11</f>
        <v>0</v>
      </c>
      <c r="K47" s="284">
        <f>'Multi-Year'!J47*0.11</f>
        <v>0</v>
      </c>
      <c r="L47" s="284">
        <f>'Multi-Year'!J47*0.11</f>
        <v>0</v>
      </c>
      <c r="M47" s="284">
        <f>'Multi-Year'!J47*0.11</f>
        <v>0</v>
      </c>
      <c r="N47" s="284">
        <f>'Multi-Year'!J47*0.11</f>
        <v>0</v>
      </c>
      <c r="O47" s="284">
        <f>'Multi-Year'!J47*0.11</f>
        <v>0</v>
      </c>
      <c r="P47" s="284">
        <v>0</v>
      </c>
      <c r="Q47" s="606">
        <f>'Multi-Year'!J47-SUM('FY20-21'!E47:P47)</f>
        <v>0</v>
      </c>
      <c r="R47" s="92"/>
      <c r="S47" s="625">
        <f t="shared" si="15"/>
        <v>0</v>
      </c>
      <c r="T47" s="92"/>
      <c r="U47" s="94">
        <f>'FY19-20'!S47</f>
        <v>0</v>
      </c>
      <c r="V47" s="94">
        <f>S47-U47</f>
        <v>0</v>
      </c>
      <c r="W47" s="214"/>
    </row>
    <row r="48" spans="1:23" s="95" customFormat="1" ht="12" customHeight="1">
      <c r="A48" s="96"/>
      <c r="B48" s="96" t="s">
        <v>186</v>
      </c>
      <c r="C48" s="102">
        <v>8980</v>
      </c>
      <c r="D48" s="103" t="s">
        <v>10</v>
      </c>
      <c r="E48" s="94">
        <f>IF('FY19-20'!$S48&gt;0,'FY19-20'!E48/'FY19-20'!$S48*'Multi-Year'!$J48,0)+IF('FY19-20'!$S48&lt;0,'FY19-20'!E48/'FY19-20'!$S48*'Multi-Year'!$J48,0)</f>
        <v>0</v>
      </c>
      <c r="F48" s="94">
        <f>IF('FY19-20'!$S48&gt;0,'FY19-20'!F48/'FY19-20'!$S48*'Multi-Year'!$J48,0)+IF('FY19-20'!$S48&lt;0,'FY19-20'!F48/'FY19-20'!$S48*'Multi-Year'!$J48,0)</f>
        <v>0</v>
      </c>
      <c r="G48" s="94">
        <f>IF('FY19-20'!$S48&gt;0,'FY19-20'!G48/'FY19-20'!$S48*'Multi-Year'!$J48,0)+IF('FY19-20'!$S48&lt;0,'FY19-20'!G48/'FY19-20'!$S48*'Multi-Year'!$J48,0)</f>
        <v>0</v>
      </c>
      <c r="H48" s="94">
        <f>IF('FY19-20'!$S48&gt;0,'FY19-20'!H48/'FY19-20'!$S48*'Multi-Year'!$J48,0)+IF('FY19-20'!$S48&lt;0,'FY19-20'!H48/'FY19-20'!$S48*'Multi-Year'!$J48,0)</f>
        <v>0</v>
      </c>
      <c r="I48" s="94">
        <f>IF('FY19-20'!$S48&gt;0,'FY19-20'!I48/'FY19-20'!$S48*'Multi-Year'!$J48,0)+IF('FY19-20'!$S48&lt;0,'FY19-20'!I48/'FY19-20'!$S48*'Multi-Year'!$J48,0)</f>
        <v>0</v>
      </c>
      <c r="J48" s="94">
        <f>IF('FY19-20'!$S48&gt;0,'FY19-20'!J48/'FY19-20'!$S48*'Multi-Year'!$J48,0)+IF('FY19-20'!$S48&lt;0,'FY19-20'!J48/'FY19-20'!$S48*'Multi-Year'!$J48,0)</f>
        <v>0</v>
      </c>
      <c r="K48" s="94">
        <f>IF('FY19-20'!$S48&gt;0,'FY19-20'!K48/'FY19-20'!$S48*'Multi-Year'!$J48,0)+IF('FY19-20'!$S48&lt;0,'FY19-20'!K48/'FY19-20'!$S48*'Multi-Year'!$J48,0)</f>
        <v>0</v>
      </c>
      <c r="L48" s="94">
        <f>IF('FY19-20'!$S48&gt;0,'FY19-20'!L48/'FY19-20'!$S48*'Multi-Year'!$J48,0)+IF('FY19-20'!$S48&lt;0,'FY19-20'!L48/'FY19-20'!$S48*'Multi-Year'!$J48,0)</f>
        <v>0</v>
      </c>
      <c r="M48" s="94">
        <f>IF('FY19-20'!$S48&gt;0,'FY19-20'!M48/'FY19-20'!$S48*'Multi-Year'!$J48,0)+IF('FY19-20'!$S48&lt;0,'FY19-20'!M48/'FY19-20'!$S48*'Multi-Year'!$J48,0)</f>
        <v>0</v>
      </c>
      <c r="N48" s="94">
        <f>IF('FY19-20'!$S48&gt;0,'FY19-20'!N48/'FY19-20'!$S48*'Multi-Year'!$J48,0)+IF('FY19-20'!$S48&lt;0,'FY19-20'!N48/'FY19-20'!$S48*'Multi-Year'!$J48,0)</f>
        <v>0</v>
      </c>
      <c r="O48" s="94">
        <f>IF('FY19-20'!$S48&gt;0,'FY19-20'!O48/'FY19-20'!$S48*'Multi-Year'!$J48,0)+IF('FY19-20'!$S48&lt;0,'FY19-20'!O48/'FY19-20'!$S48*'Multi-Year'!$J48,0)</f>
        <v>0</v>
      </c>
      <c r="P48" s="94">
        <f>IF('FY19-20'!$S48&gt;0,'FY19-20'!P48/'FY19-20'!$S48*'Multi-Year'!$J48,0)+IF('FY19-20'!$S48&lt;0,'FY19-20'!P48/'FY19-20'!$S48*'Multi-Year'!$J48,0)</f>
        <v>0</v>
      </c>
      <c r="Q48" s="606">
        <f>IF('FY19-20'!$S48&gt;0,'FY19-20'!Q48/'FY19-20'!$S48*'Multi-Year'!$J48,0)+IF('FY19-20'!$S48&lt;0,'FY19-20'!Q48/'FY19-20'!$S48*'Multi-Year'!$J48,0)</f>
        <v>0</v>
      </c>
      <c r="R48" s="306"/>
      <c r="S48" s="625">
        <f t="shared" si="15"/>
        <v>0</v>
      </c>
      <c r="T48" s="306"/>
      <c r="U48" s="94">
        <f>'FY19-20'!S48</f>
        <v>0</v>
      </c>
      <c r="V48" s="94">
        <f>S48-U48</f>
        <v>0</v>
      </c>
      <c r="W48" s="214"/>
    </row>
    <row r="49" spans="1:23" s="95" customFormat="1" ht="12" customHeight="1">
      <c r="A49" s="96"/>
      <c r="B49" s="96" t="s">
        <v>186</v>
      </c>
      <c r="C49" s="102">
        <v>8990</v>
      </c>
      <c r="D49" s="103" t="s">
        <v>11</v>
      </c>
      <c r="E49" s="94">
        <f>IF('FY19-20'!$S49&gt;0,'FY19-20'!E49/'FY19-20'!$S49*'Multi-Year'!$J49,0)+IF('FY19-20'!$S49&lt;0,'FY19-20'!E49/'FY19-20'!$S49*'Multi-Year'!$J49,0)</f>
        <v>0</v>
      </c>
      <c r="F49" s="94">
        <f>IF('FY19-20'!$S49&gt;0,'FY19-20'!F49/'FY19-20'!$S49*'Multi-Year'!$J49,0)+IF('FY19-20'!$S49&lt;0,'FY19-20'!F49/'FY19-20'!$S49*'Multi-Year'!$J49,0)</f>
        <v>0</v>
      </c>
      <c r="G49" s="94">
        <f>IF('FY19-20'!$S49&gt;0,'FY19-20'!G49/'FY19-20'!$S49*'Multi-Year'!$J49,0)+IF('FY19-20'!$S49&lt;0,'FY19-20'!G49/'FY19-20'!$S49*'Multi-Year'!$J49,0)</f>
        <v>0</v>
      </c>
      <c r="H49" s="94">
        <f>IF('FY19-20'!$S49&gt;0,'FY19-20'!H49/'FY19-20'!$S49*'Multi-Year'!$J49,0)+IF('FY19-20'!$S49&lt;0,'FY19-20'!H49/'FY19-20'!$S49*'Multi-Year'!$J49,0)</f>
        <v>0</v>
      </c>
      <c r="I49" s="94">
        <f>IF('FY19-20'!$S49&gt;0,'FY19-20'!I49/'FY19-20'!$S49*'Multi-Year'!$J49,0)+IF('FY19-20'!$S49&lt;0,'FY19-20'!I49/'FY19-20'!$S49*'Multi-Year'!$J49,0)</f>
        <v>0</v>
      </c>
      <c r="J49" s="94">
        <f>IF('FY19-20'!$S49&gt;0,'FY19-20'!J49/'FY19-20'!$S49*'Multi-Year'!$J49,0)+IF('FY19-20'!$S49&lt;0,'FY19-20'!J49/'FY19-20'!$S49*'Multi-Year'!$J49,0)</f>
        <v>0</v>
      </c>
      <c r="K49" s="94">
        <f>IF('FY19-20'!$S49&gt;0,'FY19-20'!K49/'FY19-20'!$S49*'Multi-Year'!$J49,0)+IF('FY19-20'!$S49&lt;0,'FY19-20'!K49/'FY19-20'!$S49*'Multi-Year'!$J49,0)</f>
        <v>0</v>
      </c>
      <c r="L49" s="94">
        <f>IF('FY19-20'!$S49&gt;0,'FY19-20'!L49/'FY19-20'!$S49*'Multi-Year'!$J49,0)+IF('FY19-20'!$S49&lt;0,'FY19-20'!L49/'FY19-20'!$S49*'Multi-Year'!$J49,0)</f>
        <v>0</v>
      </c>
      <c r="M49" s="94">
        <f>IF('FY19-20'!$S49&gt;0,'FY19-20'!M49/'FY19-20'!$S49*'Multi-Year'!$J49,0)+IF('FY19-20'!$S49&lt;0,'FY19-20'!M49/'FY19-20'!$S49*'Multi-Year'!$J49,0)</f>
        <v>0</v>
      </c>
      <c r="N49" s="94">
        <f>IF('FY19-20'!$S49&gt;0,'FY19-20'!N49/'FY19-20'!$S49*'Multi-Year'!$J49,0)+IF('FY19-20'!$S49&lt;0,'FY19-20'!N49/'FY19-20'!$S49*'Multi-Year'!$J49,0)</f>
        <v>0</v>
      </c>
      <c r="O49" s="94">
        <f>IF('FY19-20'!$S49&gt;0,'FY19-20'!O49/'FY19-20'!$S49*'Multi-Year'!$J49,0)+IF('FY19-20'!$S49&lt;0,'FY19-20'!O49/'FY19-20'!$S49*'Multi-Year'!$J49,0)</f>
        <v>0</v>
      </c>
      <c r="P49" s="94">
        <f>IF('FY19-20'!$S49&gt;0,'FY19-20'!P49/'FY19-20'!$S49*'Multi-Year'!$J49,0)+IF('FY19-20'!$S49&lt;0,'FY19-20'!P49/'FY19-20'!$S49*'Multi-Year'!$J49,0)</f>
        <v>0</v>
      </c>
      <c r="Q49" s="606">
        <f>IF('FY19-20'!$S49&gt;0,'FY19-20'!Q49/'FY19-20'!$S49*'Multi-Year'!$J49,0)+IF('FY19-20'!$S49&lt;0,'FY19-20'!Q49/'FY19-20'!$S49*'Multi-Year'!$J49,0)</f>
        <v>0</v>
      </c>
      <c r="R49" s="306"/>
      <c r="S49" s="625">
        <f t="shared" si="15"/>
        <v>0</v>
      </c>
      <c r="T49" s="306"/>
      <c r="U49" s="94">
        <f>'FY19-20'!S49</f>
        <v>0</v>
      </c>
      <c r="V49" s="94">
        <f>S49-U49</f>
        <v>0</v>
      </c>
      <c r="W49" s="214"/>
    </row>
    <row r="50" spans="1:23" s="95" customFormat="1" ht="12" customHeight="1">
      <c r="A50" s="96"/>
      <c r="B50" s="96" t="s">
        <v>186</v>
      </c>
      <c r="C50" s="102"/>
      <c r="D50" s="103"/>
      <c r="E50" s="215">
        <f>SUM(E42:E49)</f>
        <v>0</v>
      </c>
      <c r="F50" s="215">
        <f t="shared" ref="F50:P50" si="17">SUM(F42:F49)</f>
        <v>0</v>
      </c>
      <c r="G50" s="215">
        <f t="shared" si="17"/>
        <v>0</v>
      </c>
      <c r="H50" s="215">
        <f t="shared" si="17"/>
        <v>0</v>
      </c>
      <c r="I50" s="215">
        <f t="shared" si="17"/>
        <v>0</v>
      </c>
      <c r="J50" s="215">
        <f t="shared" si="17"/>
        <v>0</v>
      </c>
      <c r="K50" s="215">
        <f t="shared" si="17"/>
        <v>0</v>
      </c>
      <c r="L50" s="215">
        <f t="shared" si="17"/>
        <v>0</v>
      </c>
      <c r="M50" s="215">
        <f t="shared" si="17"/>
        <v>0</v>
      </c>
      <c r="N50" s="215">
        <f t="shared" si="17"/>
        <v>0</v>
      </c>
      <c r="O50" s="215">
        <f t="shared" si="17"/>
        <v>0</v>
      </c>
      <c r="P50" s="215">
        <f t="shared" si="17"/>
        <v>0</v>
      </c>
      <c r="Q50" s="603">
        <f>SUM(Q42:Q49)</f>
        <v>0</v>
      </c>
      <c r="R50" s="306"/>
      <c r="S50" s="626">
        <f>(SUM(E50:R50))</f>
        <v>0</v>
      </c>
      <c r="T50" s="306"/>
      <c r="U50" s="216">
        <f>SUM(U42:U49)</f>
        <v>0</v>
      </c>
      <c r="V50" s="216">
        <f>SUM(V42:V49)</f>
        <v>0</v>
      </c>
      <c r="W50" s="214"/>
    </row>
    <row r="51" spans="1:23" s="95" customFormat="1" ht="12" customHeight="1">
      <c r="A51" s="91"/>
      <c r="B51" s="91" t="s">
        <v>186</v>
      </c>
      <c r="C51" s="91"/>
      <c r="D51" s="91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602"/>
      <c r="R51" s="92"/>
      <c r="S51" s="627"/>
      <c r="T51" s="92"/>
      <c r="U51" s="92"/>
      <c r="V51" s="92"/>
      <c r="W51" s="214"/>
    </row>
    <row r="52" spans="1:23" s="112" customFormat="1" ht="12" customHeight="1">
      <c r="A52" s="91" t="s">
        <v>1</v>
      </c>
      <c r="B52" s="91"/>
      <c r="C52" s="91"/>
      <c r="E52" s="121">
        <f t="shared" ref="E52:Q52" si="18">E50+E40+E31+E19</f>
        <v>50168.608822235343</v>
      </c>
      <c r="F52" s="121">
        <f t="shared" si="18"/>
        <v>1600306.969530869</v>
      </c>
      <c r="G52" s="121">
        <f t="shared" si="18"/>
        <v>1566861.2303160455</v>
      </c>
      <c r="H52" s="121">
        <f t="shared" si="18"/>
        <v>2925928.0318251634</v>
      </c>
      <c r="I52" s="121">
        <f t="shared" si="18"/>
        <v>2766837.0318251634</v>
      </c>
      <c r="J52" s="121">
        <f t="shared" si="18"/>
        <v>2832612.5186251635</v>
      </c>
      <c r="K52" s="121">
        <f t="shared" si="18"/>
        <v>3081774.2359393886</v>
      </c>
      <c r="L52" s="121">
        <f t="shared" si="18"/>
        <v>2817005.6406473988</v>
      </c>
      <c r="M52" s="121">
        <f t="shared" si="18"/>
        <v>2728819.2527641603</v>
      </c>
      <c r="N52" s="121">
        <f t="shared" si="18"/>
        <v>3177464.7033967576</v>
      </c>
      <c r="O52" s="121">
        <f t="shared" si="18"/>
        <v>2728819.2527641603</v>
      </c>
      <c r="P52" s="121">
        <f t="shared" si="18"/>
        <v>2788570.3762607472</v>
      </c>
      <c r="Q52" s="605">
        <f t="shared" si="18"/>
        <v>3140055.6173666758</v>
      </c>
      <c r="R52" s="122"/>
      <c r="S52" s="629">
        <f>S50+S40+S31+S19</f>
        <v>32205223.47008393</v>
      </c>
      <c r="T52" s="113"/>
      <c r="U52" s="220">
        <f>U50+U40+U31+U19</f>
        <v>31510518.73</v>
      </c>
      <c r="V52" s="220">
        <f t="shared" si="6"/>
        <v>694704.74008392915</v>
      </c>
      <c r="W52" s="214"/>
    </row>
    <row r="53" spans="1:23" s="95" customFormat="1" ht="12" customHeight="1">
      <c r="A53" s="112"/>
      <c r="B53" s="112" t="s">
        <v>186</v>
      </c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606"/>
      <c r="R53" s="94"/>
      <c r="S53" s="630"/>
      <c r="T53" s="94"/>
      <c r="U53" s="94"/>
      <c r="V53" s="94"/>
      <c r="W53" s="214"/>
    </row>
    <row r="54" spans="1:23" s="95" customFormat="1" ht="12" customHeight="1">
      <c r="A54" s="112" t="s">
        <v>2</v>
      </c>
      <c r="B54" s="112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606"/>
      <c r="R54" s="94"/>
      <c r="S54" s="627"/>
      <c r="T54" s="94"/>
      <c r="U54" s="94"/>
      <c r="V54" s="94"/>
      <c r="W54" s="214"/>
    </row>
    <row r="55" spans="1:23" s="95" customFormat="1" ht="12" customHeight="1">
      <c r="A55" s="112"/>
      <c r="B55" s="112" t="s">
        <v>244</v>
      </c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606"/>
      <c r="R55" s="94"/>
      <c r="S55" s="627"/>
      <c r="T55" s="94"/>
      <c r="U55" s="94"/>
      <c r="V55" s="94"/>
      <c r="W55" s="214"/>
    </row>
    <row r="56" spans="1:23" s="95" customFormat="1" ht="12" customHeight="1">
      <c r="A56" s="123"/>
      <c r="B56" s="123" t="s">
        <v>186</v>
      </c>
      <c r="C56" s="102">
        <v>1100</v>
      </c>
      <c r="D56" s="103" t="s">
        <v>271</v>
      </c>
      <c r="E56" s="94">
        <f>IF('FY19-20'!$S56&gt;0,'FY19-20'!E56/'FY19-20'!$S56*'Multi-Year'!$J56,0)+IF('FY19-20'!$S56&lt;0,'FY19-20'!E56/'FY19-20'!$S56*'Multi-Year'!$J56,0)</f>
        <v>532116.3700968537</v>
      </c>
      <c r="F56" s="94">
        <f>IF('FY19-20'!$S56&gt;0,'FY19-20'!F56/'FY19-20'!$S56*'Multi-Year'!$J56,0)+IF('FY19-20'!$S56&lt;0,'FY19-20'!F56/'FY19-20'!$S56*'Multi-Year'!$J56,0)</f>
        <v>764990.76012376498</v>
      </c>
      <c r="G56" s="94">
        <f>IF('FY19-20'!$S56&gt;0,'FY19-20'!G56/'FY19-20'!$S56*'Multi-Year'!$J56,0)+IF('FY19-20'!$S56&lt;0,'FY19-20'!G56/'FY19-20'!$S56*'Multi-Year'!$J56,0)</f>
        <v>784492.97207649786</v>
      </c>
      <c r="H56" s="94">
        <f>IF('FY19-20'!$S56&gt;0,'FY19-20'!H56/'FY19-20'!$S56*'Multi-Year'!$J56,0)+IF('FY19-20'!$S56&lt;0,'FY19-20'!H56/'FY19-20'!$S56*'Multi-Year'!$J56,0)</f>
        <v>776910.99955021159</v>
      </c>
      <c r="I56" s="94">
        <f>IF('FY19-20'!$S56&gt;0,'FY19-20'!I56/'FY19-20'!$S56*'Multi-Year'!$J56,0)+IF('FY19-20'!$S56&lt;0,'FY19-20'!I56/'FY19-20'!$S56*'Multi-Year'!$J56,0)</f>
        <v>74375.20493903548</v>
      </c>
      <c r="J56" s="94">
        <f>IF('FY19-20'!$S56&gt;0,'FY19-20'!J56/'FY19-20'!$S56*'Multi-Year'!$J56,0)+IF('FY19-20'!$S56&lt;0,'FY19-20'!J56/'FY19-20'!$S56*'Multi-Year'!$J56,0)</f>
        <v>1309449.8377347039</v>
      </c>
      <c r="K56" s="94">
        <f>IF('FY19-20'!$S56&gt;0,'FY19-20'!K56/'FY19-20'!$S56*'Multi-Year'!$J56,0)+IF('FY19-20'!$S56&lt;0,'FY19-20'!K56/'FY19-20'!$S56*'Multi-Year'!$J56,0)</f>
        <v>720285.85835060361</v>
      </c>
      <c r="L56" s="94">
        <f>IF('FY19-20'!$S56&gt;0,'FY19-20'!L56/'FY19-20'!$S56*'Multi-Year'!$J56,0)+IF('FY19-20'!$S56&lt;0,'FY19-20'!L56/'FY19-20'!$S56*'Multi-Year'!$J56,0)</f>
        <v>738622.63152804994</v>
      </c>
      <c r="M56" s="94">
        <f>IF('FY19-20'!$S56&gt;0,'FY19-20'!M56/'FY19-20'!$S56*'Multi-Year'!$J56,0)+IF('FY19-20'!$S56&lt;0,'FY19-20'!M56/'FY19-20'!$S56*'Multi-Year'!$J56,0)</f>
        <v>661999.77960247057</v>
      </c>
      <c r="N56" s="94">
        <f>IF('FY19-20'!$S56&gt;0,'FY19-20'!N56/'FY19-20'!$S56*'Multi-Year'!$J56,0)+IF('FY19-20'!$S56&lt;0,'FY19-20'!N56/'FY19-20'!$S56*'Multi-Year'!$J56,0)</f>
        <v>686331.9392109965</v>
      </c>
      <c r="O56" s="94">
        <f>IF('FY19-20'!$S56&gt;0,'FY19-20'!O56/'FY19-20'!$S56*'Multi-Year'!$J56,0)+IF('FY19-20'!$S56&lt;0,'FY19-20'!O56/'FY19-20'!$S56*'Multi-Year'!$J56,0)</f>
        <v>727024.21546933067</v>
      </c>
      <c r="P56" s="94">
        <f>IF('FY19-20'!$S56&gt;0,'FY19-20'!P56/'FY19-20'!$S56*'Multi-Year'!$J56,0)+IF('FY19-20'!$S56&lt;0,'FY19-20'!P56/'FY19-20'!$S56*'Multi-Year'!$J56,0)</f>
        <v>611636.77551748313</v>
      </c>
      <c r="Q56" s="606">
        <f>IF('FY19-20'!$S56&gt;0,'FY19-20'!Q56/'FY19-20'!$S56*'Multi-Year'!$J56,0)+IF('FY19-20'!$S56&lt;0,'FY19-20'!Q56/'FY19-20'!$S56*'Multi-Year'!$J56,0)</f>
        <v>0</v>
      </c>
      <c r="R56" s="94"/>
      <c r="S56" s="625">
        <f t="shared" ref="S56:S61" si="19">SUM(E56:Q56)</f>
        <v>8388237.344200003</v>
      </c>
      <c r="T56" s="94"/>
      <c r="U56" s="94">
        <f>'FY19-20'!S56</f>
        <v>7557727.4499999993</v>
      </c>
      <c r="V56" s="94">
        <f>U56-S56</f>
        <v>-830509.89420000371</v>
      </c>
      <c r="W56" s="314"/>
    </row>
    <row r="57" spans="1:23" s="95" customFormat="1" ht="12" customHeight="1">
      <c r="A57" s="123"/>
      <c r="B57" s="123" t="s">
        <v>186</v>
      </c>
      <c r="C57" s="102">
        <v>1170</v>
      </c>
      <c r="D57" s="103" t="s">
        <v>272</v>
      </c>
      <c r="E57" s="94">
        <f>IF('FY19-20'!$S57&gt;0,'FY19-20'!E57/'FY19-20'!$S57*'Multi-Year'!$J57,0)+IF('FY19-20'!$S57&lt;0,'FY19-20'!E57/'FY19-20'!$S57*'Multi-Year'!$J57,0)</f>
        <v>0</v>
      </c>
      <c r="F57" s="94">
        <f>IF('FY19-20'!$S57&gt;0,'FY19-20'!F57/'FY19-20'!$S57*'Multi-Year'!$J57,0)+IF('FY19-20'!$S57&lt;0,'FY19-20'!F57/'FY19-20'!$S57*'Multi-Year'!$J57,0)</f>
        <v>0</v>
      </c>
      <c r="G57" s="94">
        <f>IF('FY19-20'!$S57&gt;0,'FY19-20'!G57/'FY19-20'!$S57*'Multi-Year'!$J57,0)+IF('FY19-20'!$S57&lt;0,'FY19-20'!G57/'FY19-20'!$S57*'Multi-Year'!$J57,0)</f>
        <v>0</v>
      </c>
      <c r="H57" s="94">
        <f>IF('FY19-20'!$S57&gt;0,'FY19-20'!H57/'FY19-20'!$S57*'Multi-Year'!$J57,0)+IF('FY19-20'!$S57&lt;0,'FY19-20'!H57/'FY19-20'!$S57*'Multi-Year'!$J57,0)</f>
        <v>0</v>
      </c>
      <c r="I57" s="94">
        <f>IF('FY19-20'!$S57&gt;0,'FY19-20'!I57/'FY19-20'!$S57*'Multi-Year'!$J57,0)+IF('FY19-20'!$S57&lt;0,'FY19-20'!I57/'FY19-20'!$S57*'Multi-Year'!$J57,0)</f>
        <v>0</v>
      </c>
      <c r="J57" s="94">
        <f>IF('FY19-20'!$S57&gt;0,'FY19-20'!J57/'FY19-20'!$S57*'Multi-Year'!$J57,0)+IF('FY19-20'!$S57&lt;0,'FY19-20'!J57/'FY19-20'!$S57*'Multi-Year'!$J57,0)</f>
        <v>0</v>
      </c>
      <c r="K57" s="94">
        <f>IF('FY19-20'!$S57&gt;0,'FY19-20'!K57/'FY19-20'!$S57*'Multi-Year'!$J57,0)+IF('FY19-20'!$S57&lt;0,'FY19-20'!K57/'FY19-20'!$S57*'Multi-Year'!$J57,0)</f>
        <v>0</v>
      </c>
      <c r="L57" s="94">
        <f>IF('FY19-20'!$S57&gt;0,'FY19-20'!L57/'FY19-20'!$S57*'Multi-Year'!$J57,0)+IF('FY19-20'!$S57&lt;0,'FY19-20'!L57/'FY19-20'!$S57*'Multi-Year'!$J57,0)</f>
        <v>0</v>
      </c>
      <c r="M57" s="94">
        <f>IF('FY19-20'!$S57&gt;0,'FY19-20'!M57/'FY19-20'!$S57*'Multi-Year'!$J57,0)+IF('FY19-20'!$S57&lt;0,'FY19-20'!M57/'FY19-20'!$S57*'Multi-Year'!$J57,0)</f>
        <v>0</v>
      </c>
      <c r="N57" s="94">
        <f>IF('FY19-20'!$S57&gt;0,'FY19-20'!N57/'FY19-20'!$S57*'Multi-Year'!$J57,0)+IF('FY19-20'!$S57&lt;0,'FY19-20'!N57/'FY19-20'!$S57*'Multi-Year'!$J57,0)</f>
        <v>0</v>
      </c>
      <c r="O57" s="94">
        <f>IF('FY19-20'!$S57&gt;0,'FY19-20'!O57/'FY19-20'!$S57*'Multi-Year'!$J57,0)+IF('FY19-20'!$S57&lt;0,'FY19-20'!O57/'FY19-20'!$S57*'Multi-Year'!$J57,0)</f>
        <v>0</v>
      </c>
      <c r="P57" s="94">
        <f>IF('FY19-20'!$S57&gt;0,'FY19-20'!P57/'FY19-20'!$S57*'Multi-Year'!$J57,0)+IF('FY19-20'!$S57&lt;0,'FY19-20'!P57/'FY19-20'!$S57*'Multi-Year'!$J57,0)</f>
        <v>0</v>
      </c>
      <c r="Q57" s="606">
        <f>IF('FY19-20'!$S57&gt;0,'FY19-20'!Q57/'FY19-20'!$S57*'Multi-Year'!$J57,0)+IF('FY19-20'!$S57&lt;0,'FY19-20'!Q57/'FY19-20'!$S57*'Multi-Year'!$J57,0)</f>
        <v>0</v>
      </c>
      <c r="R57" s="94"/>
      <c r="S57" s="625">
        <f t="shared" si="19"/>
        <v>0</v>
      </c>
      <c r="T57" s="94"/>
      <c r="U57" s="94">
        <f>'FY19-20'!S57</f>
        <v>0</v>
      </c>
      <c r="V57" s="94">
        <f t="shared" ref="V57:V61" si="20">U57-S57</f>
        <v>0</v>
      </c>
      <c r="W57" s="314"/>
    </row>
    <row r="58" spans="1:23" s="95" customFormat="1" ht="12" customHeight="1">
      <c r="A58" s="123"/>
      <c r="B58" s="123" t="s">
        <v>186</v>
      </c>
      <c r="C58" s="102">
        <v>1175</v>
      </c>
      <c r="D58" s="103" t="s">
        <v>273</v>
      </c>
      <c r="E58" s="94">
        <f>IF('FY19-20'!$S58&gt;0,'FY19-20'!E58/'FY19-20'!$S58*'Multi-Year'!$J58,0)+IF('FY19-20'!$S58&lt;0,'FY19-20'!E58/'FY19-20'!$S58*'Multi-Year'!$J58,0)</f>
        <v>4643.3156666812883</v>
      </c>
      <c r="F58" s="94">
        <f>IF('FY19-20'!$S58&gt;0,'FY19-20'!F58/'FY19-20'!$S58*'Multi-Year'!$J58,0)+IF('FY19-20'!$S58&lt;0,'FY19-20'!F58/'FY19-20'!$S58*'Multi-Year'!$J58,0)</f>
        <v>16528.474608850411</v>
      </c>
      <c r="G58" s="94">
        <f>IF('FY19-20'!$S58&gt;0,'FY19-20'!G58/'FY19-20'!$S58*'Multi-Year'!$J58,0)+IF('FY19-20'!$S58&lt;0,'FY19-20'!G58/'FY19-20'!$S58*'Multi-Year'!$J58,0)</f>
        <v>36016.472857626963</v>
      </c>
      <c r="H58" s="94">
        <f>IF('FY19-20'!$S58&gt;0,'FY19-20'!H58/'FY19-20'!$S58*'Multi-Year'!$J58,0)+IF('FY19-20'!$S58&lt;0,'FY19-20'!H58/'FY19-20'!$S58*'Multi-Year'!$J58,0)</f>
        <v>39154.110749949119</v>
      </c>
      <c r="I58" s="94">
        <f>IF('FY19-20'!$S58&gt;0,'FY19-20'!I58/'FY19-20'!$S58*'Multi-Year'!$J58,0)+IF('FY19-20'!$S58&lt;0,'FY19-20'!I58/'FY19-20'!$S58*'Multi-Year'!$J58,0)</f>
        <v>12666.831403617058</v>
      </c>
      <c r="J58" s="94">
        <f>IF('FY19-20'!$S58&gt;0,'FY19-20'!J58/'FY19-20'!$S58*'Multi-Year'!$J58,0)+IF('FY19-20'!$S58&lt;0,'FY19-20'!J58/'FY19-20'!$S58*'Multi-Year'!$J58,0)</f>
        <v>49678.423789982247</v>
      </c>
      <c r="K58" s="94">
        <f>IF('FY19-20'!$S58&gt;0,'FY19-20'!K58/'FY19-20'!$S58*'Multi-Year'!$J58,0)+IF('FY19-20'!$S58&lt;0,'FY19-20'!K58/'FY19-20'!$S58*'Multi-Year'!$J58,0)</f>
        <v>34962.206786388517</v>
      </c>
      <c r="L58" s="94">
        <f>IF('FY19-20'!$S58&gt;0,'FY19-20'!L58/'FY19-20'!$S58*'Multi-Year'!$J58,0)+IF('FY19-20'!$S58&lt;0,'FY19-20'!L58/'FY19-20'!$S58*'Multi-Year'!$J58,0)</f>
        <v>34313.010468764995</v>
      </c>
      <c r="M58" s="94">
        <f>IF('FY19-20'!$S58&gt;0,'FY19-20'!M58/'FY19-20'!$S58*'Multi-Year'!$J58,0)+IF('FY19-20'!$S58&lt;0,'FY19-20'!M58/'FY19-20'!$S58*'Multi-Year'!$J58,0)</f>
        <v>58585.546747655353</v>
      </c>
      <c r="N58" s="94">
        <f>IF('FY19-20'!$S58&gt;0,'FY19-20'!N58/'FY19-20'!$S58*'Multi-Year'!$J58,0)+IF('FY19-20'!$S58&lt;0,'FY19-20'!N58/'FY19-20'!$S58*'Multi-Year'!$J58,0)</f>
        <v>31857.529897812714</v>
      </c>
      <c r="O58" s="94">
        <f>IF('FY19-20'!$S58&gt;0,'FY19-20'!O58/'FY19-20'!$S58*'Multi-Year'!$J58,0)+IF('FY19-20'!$S58&lt;0,'FY19-20'!O58/'FY19-20'!$S58*'Multi-Year'!$J58,0)</f>
        <v>36870.736551419104</v>
      </c>
      <c r="P58" s="94">
        <f>IF('FY19-20'!$S58&gt;0,'FY19-20'!P58/'FY19-20'!$S58*'Multi-Year'!$J58,0)+IF('FY19-20'!$S58&lt;0,'FY19-20'!P58/'FY19-20'!$S58*'Multi-Year'!$J58,0)</f>
        <v>64135.207681252272</v>
      </c>
      <c r="Q58" s="606">
        <f>IF('FY19-20'!$S58&gt;0,'FY19-20'!Q58/'FY19-20'!$S58*'Multi-Year'!$J58,0)+IF('FY19-20'!$S58&lt;0,'FY19-20'!Q58/'FY19-20'!$S58*'Multi-Year'!$J58,0)</f>
        <v>0</v>
      </c>
      <c r="R58" s="94"/>
      <c r="S58" s="625">
        <f t="shared" si="19"/>
        <v>419411.86721000005</v>
      </c>
      <c r="T58" s="94"/>
      <c r="U58" s="94">
        <f>'FY19-20'!S58</f>
        <v>1579108.85</v>
      </c>
      <c r="V58" s="94">
        <f t="shared" si="20"/>
        <v>1159696.98279</v>
      </c>
      <c r="W58" s="314"/>
    </row>
    <row r="59" spans="1:23" s="95" customFormat="1" ht="12" customHeight="1">
      <c r="A59" s="124"/>
      <c r="B59" s="124" t="s">
        <v>186</v>
      </c>
      <c r="C59" s="102">
        <v>1200</v>
      </c>
      <c r="D59" s="103" t="s">
        <v>274</v>
      </c>
      <c r="E59" s="94">
        <f>IF('FY19-20'!$S59&gt;0,'FY19-20'!E59/'FY19-20'!$S59*'Multi-Year'!$J59,0)+IF('FY19-20'!$S59&lt;0,'FY19-20'!E59/'FY19-20'!$S59*'Multi-Year'!$J59,0)</f>
        <v>1874.6373000984538</v>
      </c>
      <c r="F59" s="94">
        <f>IF('FY19-20'!$S59&gt;0,'FY19-20'!F59/'FY19-20'!$S59*'Multi-Year'!$J59,0)+IF('FY19-20'!$S59&lt;0,'FY19-20'!F59/'FY19-20'!$S59*'Multi-Year'!$J59,0)</f>
        <v>18076.476797831616</v>
      </c>
      <c r="G59" s="94">
        <f>IF('FY19-20'!$S59&gt;0,'FY19-20'!G59/'FY19-20'!$S59*'Multi-Year'!$J59,0)+IF('FY19-20'!$S59&lt;0,'FY19-20'!G59/'FY19-20'!$S59*'Multi-Year'!$J59,0)</f>
        <v>19380.144813295126</v>
      </c>
      <c r="H59" s="94">
        <f>IF('FY19-20'!$S59&gt;0,'FY19-20'!H59/'FY19-20'!$S59*'Multi-Year'!$J59,0)+IF('FY19-20'!$S59&lt;0,'FY19-20'!H59/'FY19-20'!$S59*'Multi-Year'!$J59,0)</f>
        <v>19573.240766055074</v>
      </c>
      <c r="I59" s="94">
        <f>IF('FY19-20'!$S59&gt;0,'FY19-20'!I59/'FY19-20'!$S59*'Multi-Year'!$J59,0)+IF('FY19-20'!$S59&lt;0,'FY19-20'!I59/'FY19-20'!$S59*'Multi-Year'!$J59,0)</f>
        <v>16496.890113550362</v>
      </c>
      <c r="J59" s="94">
        <f>IF('FY19-20'!$S59&gt;0,'FY19-20'!J59/'FY19-20'!$S59*'Multi-Year'!$J59,0)+IF('FY19-20'!$S59&lt;0,'FY19-20'!J59/'FY19-20'!$S59*'Multi-Year'!$J59,0)</f>
        <v>15282.911306224794</v>
      </c>
      <c r="K59" s="94">
        <f>IF('FY19-20'!$S59&gt;0,'FY19-20'!K59/'FY19-20'!$S59*'Multi-Year'!$J59,0)+IF('FY19-20'!$S59&lt;0,'FY19-20'!K59/'FY19-20'!$S59*'Multi-Year'!$J59,0)</f>
        <v>14537.004812227447</v>
      </c>
      <c r="L59" s="94">
        <f>IF('FY19-20'!$S59&gt;0,'FY19-20'!L59/'FY19-20'!$S59*'Multi-Year'!$J59,0)+IF('FY19-20'!$S59&lt;0,'FY19-20'!L59/'FY19-20'!$S59*'Multi-Year'!$J59,0)</f>
        <v>9315.659354246025</v>
      </c>
      <c r="M59" s="94">
        <f>IF('FY19-20'!$S59&gt;0,'FY19-20'!M59/'FY19-20'!$S59*'Multi-Year'!$J59,0)+IF('FY19-20'!$S59&lt;0,'FY19-20'!M59/'FY19-20'!$S59*'Multi-Year'!$J59,0)</f>
        <v>9315.659354246025</v>
      </c>
      <c r="N59" s="94">
        <f>IF('FY19-20'!$S59&gt;0,'FY19-20'!N59/'FY19-20'!$S59*'Multi-Year'!$J59,0)+IF('FY19-20'!$S59&lt;0,'FY19-20'!N59/'FY19-20'!$S59*'Multi-Year'!$J59,0)</f>
        <v>10400.619169775508</v>
      </c>
      <c r="O59" s="94">
        <f>IF('FY19-20'!$S59&gt;0,'FY19-20'!O59/'FY19-20'!$S59*'Multi-Year'!$J59,0)+IF('FY19-20'!$S59&lt;0,'FY19-20'!O59/'FY19-20'!$S59*'Multi-Year'!$J59,0)</f>
        <v>15282.911306224794</v>
      </c>
      <c r="P59" s="94">
        <f>IF('FY19-20'!$S59&gt;0,'FY19-20'!P59/'FY19-20'!$S59*'Multi-Year'!$J59,0)+IF('FY19-20'!$S59&lt;0,'FY19-20'!P59/'FY19-20'!$S59*'Multi-Year'!$J59,0)</f>
        <v>15282.911306224794</v>
      </c>
      <c r="Q59" s="606">
        <f>IF('FY19-20'!$S59&gt;0,'FY19-20'!Q59/'FY19-20'!$S59*'Multi-Year'!$J59,0)+IF('FY19-20'!$S59&lt;0,'FY19-20'!Q59/'FY19-20'!$S59*'Multi-Year'!$J59,0)</f>
        <v>0</v>
      </c>
      <c r="R59" s="94"/>
      <c r="S59" s="625">
        <f t="shared" si="19"/>
        <v>164819.06640000001</v>
      </c>
      <c r="T59" s="94"/>
      <c r="U59" s="94">
        <f>'FY19-20'!S59</f>
        <v>213390.11</v>
      </c>
      <c r="V59" s="94">
        <f t="shared" si="20"/>
        <v>48571.043599999975</v>
      </c>
      <c r="W59" s="314"/>
    </row>
    <row r="60" spans="1:23" s="95" customFormat="1" ht="12" customHeight="1">
      <c r="A60" s="123"/>
      <c r="B60" s="123" t="s">
        <v>186</v>
      </c>
      <c r="C60" s="102">
        <v>1300</v>
      </c>
      <c r="D60" s="103" t="s">
        <v>275</v>
      </c>
      <c r="E60" s="94">
        <f>IF('FY19-20'!$S60&gt;0,'FY19-20'!E60/'FY19-20'!$S60*'Multi-Year'!$J60,0)+IF('FY19-20'!$S60&lt;0,'FY19-20'!E60/'FY19-20'!$S60*'Multi-Year'!$J60,0)</f>
        <v>76673.356083525374</v>
      </c>
      <c r="F60" s="94">
        <f>IF('FY19-20'!$S60&gt;0,'FY19-20'!F60/'FY19-20'!$S60*'Multi-Year'!$J60,0)+IF('FY19-20'!$S60&lt;0,'FY19-20'!F60/'FY19-20'!$S60*'Multi-Year'!$J60,0)</f>
        <v>86165.591081590814</v>
      </c>
      <c r="G60" s="94">
        <f>IF('FY19-20'!$S60&gt;0,'FY19-20'!G60/'FY19-20'!$S60*'Multi-Year'!$J60,0)+IF('FY19-20'!$S60&lt;0,'FY19-20'!G60/'FY19-20'!$S60*'Multi-Year'!$J60,0)</f>
        <v>118337.54432777227</v>
      </c>
      <c r="H60" s="94">
        <f>IF('FY19-20'!$S60&gt;0,'FY19-20'!H60/'FY19-20'!$S60*'Multi-Year'!$J60,0)+IF('FY19-20'!$S60&lt;0,'FY19-20'!H60/'FY19-20'!$S60*'Multi-Year'!$J60,0)</f>
        <v>111328.45906537835</v>
      </c>
      <c r="I60" s="94">
        <f>IF('FY19-20'!$S60&gt;0,'FY19-20'!I60/'FY19-20'!$S60*'Multi-Year'!$J60,0)+IF('FY19-20'!$S60&lt;0,'FY19-20'!I60/'FY19-20'!$S60*'Multi-Year'!$J60,0)</f>
        <v>70363.074438439406</v>
      </c>
      <c r="J60" s="94">
        <f>IF('FY19-20'!$S60&gt;0,'FY19-20'!J60/'FY19-20'!$S60*'Multi-Year'!$J60,0)+IF('FY19-20'!$S60&lt;0,'FY19-20'!J60/'FY19-20'!$S60*'Multi-Year'!$J60,0)</f>
        <v>153049.71518220799</v>
      </c>
      <c r="K60" s="94">
        <f>IF('FY19-20'!$S60&gt;0,'FY19-20'!K60/'FY19-20'!$S60*'Multi-Year'!$J60,0)+IF('FY19-20'!$S60&lt;0,'FY19-20'!K60/'FY19-20'!$S60*'Multi-Year'!$J60,0)</f>
        <v>118355.73893396034</v>
      </c>
      <c r="L60" s="94">
        <f>IF('FY19-20'!$S60&gt;0,'FY19-20'!L60/'FY19-20'!$S60*'Multi-Year'!$J60,0)+IF('FY19-20'!$S60&lt;0,'FY19-20'!L60/'FY19-20'!$S60*'Multi-Year'!$J60,0)</f>
        <v>102213.00494503917</v>
      </c>
      <c r="M60" s="94">
        <f>IF('FY19-20'!$S60&gt;0,'FY19-20'!M60/'FY19-20'!$S60*'Multi-Year'!$J60,0)+IF('FY19-20'!$S60&lt;0,'FY19-20'!M60/'FY19-20'!$S60*'Multi-Year'!$J60,0)</f>
        <v>125294.47535075154</v>
      </c>
      <c r="N60" s="94">
        <f>IF('FY19-20'!$S60&gt;0,'FY19-20'!N60/'FY19-20'!$S60*'Multi-Year'!$J60,0)+IF('FY19-20'!$S60&lt;0,'FY19-20'!N60/'FY19-20'!$S60*'Multi-Year'!$J60,0)</f>
        <v>128515.30197012569</v>
      </c>
      <c r="O60" s="94">
        <f>IF('FY19-20'!$S60&gt;0,'FY19-20'!O60/'FY19-20'!$S60*'Multi-Year'!$J60,0)+IF('FY19-20'!$S60&lt;0,'FY19-20'!O60/'FY19-20'!$S60*'Multi-Year'!$J60,0)</f>
        <v>130804.3359582204</v>
      </c>
      <c r="P60" s="94">
        <f>IF('FY19-20'!$S60&gt;0,'FY19-20'!P60/'FY19-20'!$S60*'Multi-Year'!$J60,0)+IF('FY19-20'!$S60&lt;0,'FY19-20'!P60/'FY19-20'!$S60*'Multi-Year'!$J60,0)</f>
        <v>154349.24586298841</v>
      </c>
      <c r="Q60" s="606">
        <f>IF('FY19-20'!$S60&gt;0,'FY19-20'!Q60/'FY19-20'!$S60*'Multi-Year'!$J60,0)+IF('FY19-20'!$S60&lt;0,'FY19-20'!Q60/'FY19-20'!$S60*'Multi-Year'!$J60,0)</f>
        <v>0</v>
      </c>
      <c r="R60" s="94"/>
      <c r="S60" s="625">
        <f t="shared" si="19"/>
        <v>1375449.8431999995</v>
      </c>
      <c r="T60" s="94"/>
      <c r="U60" s="94">
        <f>'FY19-20'!S60</f>
        <v>1262462.7400000002</v>
      </c>
      <c r="V60" s="94">
        <f t="shared" si="20"/>
        <v>-112987.10319999931</v>
      </c>
      <c r="W60" s="314"/>
    </row>
    <row r="61" spans="1:23" s="95" customFormat="1" ht="12" customHeight="1">
      <c r="A61" s="124"/>
      <c r="B61" s="124" t="s">
        <v>186</v>
      </c>
      <c r="C61" s="102">
        <v>1900</v>
      </c>
      <c r="D61" s="103" t="s">
        <v>19</v>
      </c>
      <c r="E61" s="94">
        <v>0</v>
      </c>
      <c r="F61" s="94">
        <v>0</v>
      </c>
      <c r="G61" s="94">
        <f>'Multi-Year'!$J$61/10</f>
        <v>0</v>
      </c>
      <c r="H61" s="94">
        <f>'Multi-Year'!$J$61/10</f>
        <v>0</v>
      </c>
      <c r="I61" s="94">
        <f>'Multi-Year'!$J$61/10</f>
        <v>0</v>
      </c>
      <c r="J61" s="94">
        <f>'Multi-Year'!$J$61/10</f>
        <v>0</v>
      </c>
      <c r="K61" s="94">
        <f>'Multi-Year'!$J$61/10</f>
        <v>0</v>
      </c>
      <c r="L61" s="94">
        <f>'Multi-Year'!$J$61/10</f>
        <v>0</v>
      </c>
      <c r="M61" s="94">
        <f>'Multi-Year'!$J$61/10</f>
        <v>0</v>
      </c>
      <c r="N61" s="94">
        <f>'Multi-Year'!$J$61/10</f>
        <v>0</v>
      </c>
      <c r="O61" s="94">
        <f>'Multi-Year'!$J$61/10</f>
        <v>0</v>
      </c>
      <c r="P61" s="94">
        <f>'Multi-Year'!$J$61/10</f>
        <v>0</v>
      </c>
      <c r="Q61" s="606">
        <f>IF('FY19-20'!$S61&gt;0,'FY19-20'!Q61/'FY19-20'!$S61*'Multi-Year'!$J61,0)+IF('FY19-20'!$S61&lt;0,'FY19-20'!Q61/'FY19-20'!$S61*'Multi-Year'!$J61,0)</f>
        <v>0</v>
      </c>
      <c r="R61" s="94"/>
      <c r="S61" s="625">
        <f t="shared" si="19"/>
        <v>0</v>
      </c>
      <c r="T61" s="94"/>
      <c r="U61" s="94">
        <f>'FY19-20'!S61</f>
        <v>0</v>
      </c>
      <c r="V61" s="94">
        <f t="shared" si="20"/>
        <v>0</v>
      </c>
      <c r="W61" s="314"/>
    </row>
    <row r="62" spans="1:23" s="95" customFormat="1" ht="12" customHeight="1">
      <c r="A62" s="124"/>
      <c r="B62" s="124" t="s">
        <v>186</v>
      </c>
      <c r="C62" s="102"/>
      <c r="D62" s="103"/>
      <c r="E62" s="215">
        <f>SUM(E56:E61)</f>
        <v>615307.67914715875</v>
      </c>
      <c r="F62" s="215">
        <f t="shared" ref="F62:S62" si="21">SUM(F56:F61)</f>
        <v>885761.30261203786</v>
      </c>
      <c r="G62" s="215">
        <f t="shared" si="21"/>
        <v>958227.13407519215</v>
      </c>
      <c r="H62" s="215">
        <f t="shared" si="21"/>
        <v>946966.81013159407</v>
      </c>
      <c r="I62" s="215">
        <f t="shared" si="21"/>
        <v>173902.00089464232</v>
      </c>
      <c r="J62" s="215">
        <f t="shared" si="21"/>
        <v>1527460.8880131189</v>
      </c>
      <c r="K62" s="215">
        <f t="shared" si="21"/>
        <v>888140.80888317991</v>
      </c>
      <c r="L62" s="215">
        <f t="shared" si="21"/>
        <v>884464.30629610014</v>
      </c>
      <c r="M62" s="215">
        <f t="shared" si="21"/>
        <v>855195.46105512348</v>
      </c>
      <c r="N62" s="215">
        <f t="shared" si="21"/>
        <v>857105.39024871041</v>
      </c>
      <c r="O62" s="215">
        <f t="shared" si="21"/>
        <v>909982.19928519498</v>
      </c>
      <c r="P62" s="215">
        <f t="shared" si="21"/>
        <v>845404.14036794857</v>
      </c>
      <c r="Q62" s="603">
        <f t="shared" si="21"/>
        <v>0</v>
      </c>
      <c r="R62" s="94">
        <f t="shared" si="21"/>
        <v>0</v>
      </c>
      <c r="S62" s="626">
        <f t="shared" si="21"/>
        <v>10347918.121010004</v>
      </c>
      <c r="T62" s="94"/>
      <c r="U62" s="216">
        <f>SUM(U56:U61)</f>
        <v>10612689.149999999</v>
      </c>
      <c r="V62" s="216">
        <f>SUM(V56:V61)</f>
        <v>264771.02898999699</v>
      </c>
      <c r="W62" s="94"/>
    </row>
    <row r="63" spans="1:23" s="95" customFormat="1" ht="12" customHeight="1">
      <c r="A63" s="124"/>
      <c r="B63" s="124" t="s">
        <v>245</v>
      </c>
      <c r="C63" s="102"/>
      <c r="D63" s="103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606"/>
      <c r="R63" s="94"/>
      <c r="S63" s="625"/>
      <c r="T63" s="94"/>
      <c r="U63" s="94"/>
      <c r="V63" s="94"/>
      <c r="W63" s="314"/>
    </row>
    <row r="64" spans="1:23" s="95" customFormat="1" ht="12" customHeight="1">
      <c r="A64" s="124"/>
      <c r="B64" s="124" t="s">
        <v>186</v>
      </c>
      <c r="C64" s="102">
        <v>2100</v>
      </c>
      <c r="D64" s="103" t="s">
        <v>276</v>
      </c>
      <c r="E64" s="94">
        <f>IF('FY19-20'!$S64&gt;0,'FY19-20'!E64/'FY19-20'!$S64*'Multi-Year'!$J64,0)+IF('FY19-20'!$S64&lt;0,'FY19-20'!E64/'FY19-20'!$S64*'Multi-Year'!$J64,0)</f>
        <v>7949.9578768795291</v>
      </c>
      <c r="F64" s="94">
        <f>IF('FY19-20'!$S64&gt;0,'FY19-20'!F64/'FY19-20'!$S64*'Multi-Year'!$J64,0)+IF('FY19-20'!$S64&lt;0,'FY19-20'!F64/'FY19-20'!$S64*'Multi-Year'!$J64,0)</f>
        <v>21642.836983815781</v>
      </c>
      <c r="G64" s="94">
        <f>IF('FY19-20'!$S64&gt;0,'FY19-20'!G64/'FY19-20'!$S64*'Multi-Year'!$J64,0)+IF('FY19-20'!$S64&lt;0,'FY19-20'!G64/'FY19-20'!$S64*'Multi-Year'!$J64,0)</f>
        <v>23834.014413343753</v>
      </c>
      <c r="H64" s="94">
        <f>IF('FY19-20'!$S64&gt;0,'FY19-20'!H64/'FY19-20'!$S64*'Multi-Year'!$J64,0)+IF('FY19-20'!$S64&lt;0,'FY19-20'!H64/'FY19-20'!$S64*'Multi-Year'!$J64,0)</f>
        <v>25472.796767745276</v>
      </c>
      <c r="I64" s="94">
        <f>IF('FY19-20'!$S64&gt;0,'FY19-20'!I64/'FY19-20'!$S64*'Multi-Year'!$J64,0)+IF('FY19-20'!$S64&lt;0,'FY19-20'!I64/'FY19-20'!$S64*'Multi-Year'!$J64,0)</f>
        <v>22826.346521732117</v>
      </c>
      <c r="J64" s="94">
        <f>IF('FY19-20'!$S64&gt;0,'FY19-20'!J64/'FY19-20'!$S64*'Multi-Year'!$J64,0)+IF('FY19-20'!$S64&lt;0,'FY19-20'!J64/'FY19-20'!$S64*'Multi-Year'!$J64,0)</f>
        <v>59573.543249917166</v>
      </c>
      <c r="K64" s="94">
        <f>IF('FY19-20'!$S64&gt;0,'FY19-20'!K64/'FY19-20'!$S64*'Multi-Year'!$J64,0)+IF('FY19-20'!$S64&lt;0,'FY19-20'!K64/'FY19-20'!$S64*'Multi-Year'!$J64,0)</f>
        <v>33969.176767783079</v>
      </c>
      <c r="L64" s="94">
        <f>IF('FY19-20'!$S64&gt;0,'FY19-20'!L64/'FY19-20'!$S64*'Multi-Year'!$J64,0)+IF('FY19-20'!$S64&lt;0,'FY19-20'!L64/'FY19-20'!$S64*'Multi-Year'!$J64,0)</f>
        <v>58644.60504416201</v>
      </c>
      <c r="M64" s="94">
        <f>IF('FY19-20'!$S64&gt;0,'FY19-20'!M64/'FY19-20'!$S64*'Multi-Year'!$J64,0)+IF('FY19-20'!$S64&lt;0,'FY19-20'!M64/'FY19-20'!$S64*'Multi-Year'!$J64,0)</f>
        <v>23613.942027895355</v>
      </c>
      <c r="N64" s="94">
        <f>IF('FY19-20'!$S64&gt;0,'FY19-20'!N64/'FY19-20'!$S64*'Multi-Year'!$J64,0)+IF('FY19-20'!$S64&lt;0,'FY19-20'!N64/'FY19-20'!$S64*'Multi-Year'!$J64,0)</f>
        <v>22472.891939918358</v>
      </c>
      <c r="O64" s="94">
        <f>IF('FY19-20'!$S64&gt;0,'FY19-20'!O64/'FY19-20'!$S64*'Multi-Year'!$J64,0)+IF('FY19-20'!$S64&lt;0,'FY19-20'!O64/'FY19-20'!$S64*'Multi-Year'!$J64,0)</f>
        <v>14347.978061336307</v>
      </c>
      <c r="P64" s="94">
        <f>IF('FY19-20'!$S64&gt;0,'FY19-20'!P64/'FY19-20'!$S64*'Multi-Year'!$J64,0)+IF('FY19-20'!$S64&lt;0,'FY19-20'!P64/'FY19-20'!$S64*'Multi-Year'!$J64,0)</f>
        <v>16956.026345471269</v>
      </c>
      <c r="Q64" s="606">
        <f>IF('FY19-20'!$S64&gt;0,'FY19-20'!Q64/'FY19-20'!$S64*'Multi-Year'!$J64,0)+IF('FY19-20'!$S64&lt;0,'FY19-20'!Q64/'FY19-20'!$S64*'Multi-Year'!$J64,0)</f>
        <v>0</v>
      </c>
      <c r="R64" s="94"/>
      <c r="S64" s="625">
        <f t="shared" ref="S64:S68" si="22">SUM(E64:Q64)</f>
        <v>331304.11600000004</v>
      </c>
      <c r="T64" s="94"/>
      <c r="U64" s="94">
        <f>'FY19-20'!S64</f>
        <v>321710.92</v>
      </c>
      <c r="V64" s="94">
        <f t="shared" ref="V64:V68" si="23">U64-S64</f>
        <v>-9593.1960000000545</v>
      </c>
      <c r="W64" s="314"/>
    </row>
    <row r="65" spans="1:23" s="95" customFormat="1" ht="12" customHeight="1">
      <c r="A65" s="124"/>
      <c r="B65" s="124" t="s">
        <v>186</v>
      </c>
      <c r="C65" s="102">
        <v>2200</v>
      </c>
      <c r="D65" s="103" t="s">
        <v>277</v>
      </c>
      <c r="E65" s="94">
        <f>IF('FY19-20'!$S65&gt;0,'FY19-20'!E65/'FY19-20'!$S65*'Multi-Year'!$J65,0)+IF('FY19-20'!$S65&lt;0,'FY19-20'!E65/'FY19-20'!$S65*'Multi-Year'!$J65,0)</f>
        <v>0</v>
      </c>
      <c r="F65" s="94">
        <f>IF('FY19-20'!$S65&gt;0,'FY19-20'!F65/'FY19-20'!$S65*'Multi-Year'!$J65,0)+IF('FY19-20'!$S65&lt;0,'FY19-20'!F65/'FY19-20'!$S65*'Multi-Year'!$J65,0)</f>
        <v>0</v>
      </c>
      <c r="G65" s="94">
        <f>IF('FY19-20'!$S65&gt;0,'FY19-20'!G65/'FY19-20'!$S65*'Multi-Year'!$J65,0)+IF('FY19-20'!$S65&lt;0,'FY19-20'!G65/'FY19-20'!$S65*'Multi-Year'!$J65,0)</f>
        <v>0</v>
      </c>
      <c r="H65" s="94">
        <f>IF('FY19-20'!$S65&gt;0,'FY19-20'!H65/'FY19-20'!$S65*'Multi-Year'!$J65,0)+IF('FY19-20'!$S65&lt;0,'FY19-20'!H65/'FY19-20'!$S65*'Multi-Year'!$J65,0)</f>
        <v>0</v>
      </c>
      <c r="I65" s="94">
        <f>IF('FY19-20'!$S65&gt;0,'FY19-20'!I65/'FY19-20'!$S65*'Multi-Year'!$J65,0)+IF('FY19-20'!$S65&lt;0,'FY19-20'!I65/'FY19-20'!$S65*'Multi-Year'!$J65,0)</f>
        <v>0</v>
      </c>
      <c r="J65" s="94">
        <f>IF('FY19-20'!$S65&gt;0,'FY19-20'!J65/'FY19-20'!$S65*'Multi-Year'!$J65,0)+IF('FY19-20'!$S65&lt;0,'FY19-20'!J65/'FY19-20'!$S65*'Multi-Year'!$J65,0)</f>
        <v>0</v>
      </c>
      <c r="K65" s="94">
        <f>IF('FY19-20'!$S65&gt;0,'FY19-20'!K65/'FY19-20'!$S65*'Multi-Year'!$J65,0)+IF('FY19-20'!$S65&lt;0,'FY19-20'!K65/'FY19-20'!$S65*'Multi-Year'!$J65,0)</f>
        <v>0</v>
      </c>
      <c r="L65" s="94">
        <f>IF('FY19-20'!$S65&gt;0,'FY19-20'!L65/'FY19-20'!$S65*'Multi-Year'!$J65,0)+IF('FY19-20'!$S65&lt;0,'FY19-20'!L65/'FY19-20'!$S65*'Multi-Year'!$J65,0)</f>
        <v>0</v>
      </c>
      <c r="M65" s="94">
        <f>IF('FY19-20'!$S65&gt;0,'FY19-20'!M65/'FY19-20'!$S65*'Multi-Year'!$J65,0)+IF('FY19-20'!$S65&lt;0,'FY19-20'!M65/'FY19-20'!$S65*'Multi-Year'!$J65,0)</f>
        <v>0</v>
      </c>
      <c r="N65" s="94">
        <f>IF('FY19-20'!$S65&gt;0,'FY19-20'!N65/'FY19-20'!$S65*'Multi-Year'!$J65,0)+IF('FY19-20'!$S65&lt;0,'FY19-20'!N65/'FY19-20'!$S65*'Multi-Year'!$J65,0)</f>
        <v>0</v>
      </c>
      <c r="O65" s="94">
        <f>IF('FY19-20'!$S65&gt;0,'FY19-20'!O65/'FY19-20'!$S65*'Multi-Year'!$J65,0)+IF('FY19-20'!$S65&lt;0,'FY19-20'!O65/'FY19-20'!$S65*'Multi-Year'!$J65,0)</f>
        <v>0</v>
      </c>
      <c r="P65" s="94">
        <f>IF('FY19-20'!$S65&gt;0,'FY19-20'!P65/'FY19-20'!$S65*'Multi-Year'!$J65,0)+IF('FY19-20'!$S65&lt;0,'FY19-20'!P65/'FY19-20'!$S65*'Multi-Year'!$J65,0)</f>
        <v>0</v>
      </c>
      <c r="Q65" s="606">
        <f>IF('FY19-20'!$S65&gt;0,'FY19-20'!Q65/'FY19-20'!$S65*'Multi-Year'!$J65,0)+IF('FY19-20'!$S65&lt;0,'FY19-20'!Q65/'FY19-20'!$S65*'Multi-Year'!$J65,0)</f>
        <v>0</v>
      </c>
      <c r="R65" s="94"/>
      <c r="S65" s="625">
        <f t="shared" si="22"/>
        <v>0</v>
      </c>
      <c r="T65" s="94"/>
      <c r="U65" s="94">
        <f>'FY19-20'!S65</f>
        <v>6242.88</v>
      </c>
      <c r="V65" s="94">
        <f t="shared" si="23"/>
        <v>6242.88</v>
      </c>
      <c r="W65" s="314"/>
    </row>
    <row r="66" spans="1:23" s="95" customFormat="1" ht="12" customHeight="1">
      <c r="A66" s="124"/>
      <c r="B66" s="124" t="s">
        <v>186</v>
      </c>
      <c r="C66" s="102">
        <v>2300</v>
      </c>
      <c r="D66" s="103" t="s">
        <v>22</v>
      </c>
      <c r="E66" s="94">
        <f>IF('FY19-20'!$S66&gt;0,'FY19-20'!E66/'FY19-20'!$S66*'Multi-Year'!$J66,0)+IF('FY19-20'!$S66&lt;0,'FY19-20'!E66/'FY19-20'!$S66*'Multi-Year'!$J66,0)</f>
        <v>0</v>
      </c>
      <c r="F66" s="94">
        <f>IF('FY19-20'!$S66&gt;0,'FY19-20'!F66/'FY19-20'!$S66*'Multi-Year'!$J66,0)+IF('FY19-20'!$S66&lt;0,'FY19-20'!F66/'FY19-20'!$S66*'Multi-Year'!$J66,0)</f>
        <v>0</v>
      </c>
      <c r="G66" s="94">
        <f>IF('FY19-20'!$S66&gt;0,'FY19-20'!G66/'FY19-20'!$S66*'Multi-Year'!$J66,0)+IF('FY19-20'!$S66&lt;0,'FY19-20'!G66/'FY19-20'!$S66*'Multi-Year'!$J66,0)</f>
        <v>0</v>
      </c>
      <c r="H66" s="94">
        <f>IF('FY19-20'!$S66&gt;0,'FY19-20'!H66/'FY19-20'!$S66*'Multi-Year'!$J66,0)+IF('FY19-20'!$S66&lt;0,'FY19-20'!H66/'FY19-20'!$S66*'Multi-Year'!$J66,0)</f>
        <v>0</v>
      </c>
      <c r="I66" s="94">
        <f>IF('FY19-20'!$S66&gt;0,'FY19-20'!I66/'FY19-20'!$S66*'Multi-Year'!$J66,0)+IF('FY19-20'!$S66&lt;0,'FY19-20'!I66/'FY19-20'!$S66*'Multi-Year'!$J66,0)</f>
        <v>0</v>
      </c>
      <c r="J66" s="94">
        <f>IF('FY19-20'!$S66&gt;0,'FY19-20'!J66/'FY19-20'!$S66*'Multi-Year'!$J66,0)+IF('FY19-20'!$S66&lt;0,'FY19-20'!J66/'FY19-20'!$S66*'Multi-Year'!$J66,0)</f>
        <v>0</v>
      </c>
      <c r="K66" s="94">
        <f>IF('FY19-20'!$S66&gt;0,'FY19-20'!K66/'FY19-20'!$S66*'Multi-Year'!$J66,0)+IF('FY19-20'!$S66&lt;0,'FY19-20'!K66/'FY19-20'!$S66*'Multi-Year'!$J66,0)</f>
        <v>0</v>
      </c>
      <c r="L66" s="94">
        <f>IF('FY19-20'!$S66&gt;0,'FY19-20'!L66/'FY19-20'!$S66*'Multi-Year'!$J66,0)+IF('FY19-20'!$S66&lt;0,'FY19-20'!L66/'FY19-20'!$S66*'Multi-Year'!$J66,0)</f>
        <v>0</v>
      </c>
      <c r="M66" s="94">
        <f>IF('FY19-20'!$S66&gt;0,'FY19-20'!M66/'FY19-20'!$S66*'Multi-Year'!$J66,0)+IF('FY19-20'!$S66&lt;0,'FY19-20'!M66/'FY19-20'!$S66*'Multi-Year'!$J66,0)</f>
        <v>0</v>
      </c>
      <c r="N66" s="94">
        <f>IF('FY19-20'!$S66&gt;0,'FY19-20'!N66/'FY19-20'!$S66*'Multi-Year'!$J66,0)+IF('FY19-20'!$S66&lt;0,'FY19-20'!N66/'FY19-20'!$S66*'Multi-Year'!$J66,0)</f>
        <v>0</v>
      </c>
      <c r="O66" s="94">
        <f>IF('FY19-20'!$S66&gt;0,'FY19-20'!O66/'FY19-20'!$S66*'Multi-Year'!$J66,0)+IF('FY19-20'!$S66&lt;0,'FY19-20'!O66/'FY19-20'!$S66*'Multi-Year'!$J66,0)</f>
        <v>0</v>
      </c>
      <c r="P66" s="94">
        <f>IF('FY19-20'!$S66&gt;0,'FY19-20'!P66/'FY19-20'!$S66*'Multi-Year'!$J66,0)+IF('FY19-20'!$S66&lt;0,'FY19-20'!P66/'FY19-20'!$S66*'Multi-Year'!$J66,0)</f>
        <v>0</v>
      </c>
      <c r="Q66" s="606">
        <f>IF('FY19-20'!$S66&gt;0,'FY19-20'!Q66/'FY19-20'!$S66*'Multi-Year'!$J66,0)+IF('FY19-20'!$S66&lt;0,'FY19-20'!Q66/'FY19-20'!$S66*'Multi-Year'!$J66,0)</f>
        <v>0</v>
      </c>
      <c r="R66" s="94"/>
      <c r="S66" s="625">
        <f t="shared" si="22"/>
        <v>0</v>
      </c>
      <c r="T66" s="94"/>
      <c r="U66" s="94">
        <f>'FY19-20'!S66</f>
        <v>66025.260000000009</v>
      </c>
      <c r="V66" s="94">
        <f t="shared" si="23"/>
        <v>66025.260000000009</v>
      </c>
      <c r="W66" s="314"/>
    </row>
    <row r="67" spans="1:23" s="95" customFormat="1" ht="12" customHeight="1">
      <c r="A67" s="124"/>
      <c r="B67" s="124" t="s">
        <v>186</v>
      </c>
      <c r="C67" s="102">
        <v>2400</v>
      </c>
      <c r="D67" s="105" t="s">
        <v>241</v>
      </c>
      <c r="E67" s="94">
        <f>IF('FY19-20'!$S67&gt;0,'FY19-20'!E67/'FY19-20'!$S67*'Multi-Year'!$J67,0)+IF('FY19-20'!$S67&lt;0,'FY19-20'!E67/'FY19-20'!$S67*'Multi-Year'!$J67,0)</f>
        <v>0</v>
      </c>
      <c r="F67" s="94">
        <f>IF('FY19-20'!$S67&gt;0,'FY19-20'!F67/'FY19-20'!$S67*'Multi-Year'!$J67,0)+IF('FY19-20'!$S67&lt;0,'FY19-20'!F67/'FY19-20'!$S67*'Multi-Year'!$J67,0)</f>
        <v>0</v>
      </c>
      <c r="G67" s="94">
        <f>IF('FY19-20'!$S67&gt;0,'FY19-20'!G67/'FY19-20'!$S67*'Multi-Year'!$J67,0)+IF('FY19-20'!$S67&lt;0,'FY19-20'!G67/'FY19-20'!$S67*'Multi-Year'!$J67,0)</f>
        <v>0</v>
      </c>
      <c r="H67" s="94">
        <f>IF('FY19-20'!$S67&gt;0,'FY19-20'!H67/'FY19-20'!$S67*'Multi-Year'!$J67,0)+IF('FY19-20'!$S67&lt;0,'FY19-20'!H67/'FY19-20'!$S67*'Multi-Year'!$J67,0)</f>
        <v>0</v>
      </c>
      <c r="I67" s="94">
        <f>IF('FY19-20'!$S67&gt;0,'FY19-20'!I67/'FY19-20'!$S67*'Multi-Year'!$J67,0)+IF('FY19-20'!$S67&lt;0,'FY19-20'!I67/'FY19-20'!$S67*'Multi-Year'!$J67,0)</f>
        <v>0</v>
      </c>
      <c r="J67" s="94">
        <f>IF('FY19-20'!$S67&gt;0,'FY19-20'!J67/'FY19-20'!$S67*'Multi-Year'!$J67,0)+IF('FY19-20'!$S67&lt;0,'FY19-20'!J67/'FY19-20'!$S67*'Multi-Year'!$J67,0)</f>
        <v>0</v>
      </c>
      <c r="K67" s="94">
        <f>IF('FY19-20'!$S67&gt;0,'FY19-20'!K67/'FY19-20'!$S67*'Multi-Year'!$J67,0)+IF('FY19-20'!$S67&lt;0,'FY19-20'!K67/'FY19-20'!$S67*'Multi-Year'!$J67,0)</f>
        <v>0</v>
      </c>
      <c r="L67" s="94">
        <f>IF('FY19-20'!$S67&gt;0,'FY19-20'!L67/'FY19-20'!$S67*'Multi-Year'!$J67,0)+IF('FY19-20'!$S67&lt;0,'FY19-20'!L67/'FY19-20'!$S67*'Multi-Year'!$J67,0)</f>
        <v>9643.7492318861532</v>
      </c>
      <c r="M67" s="94">
        <f>IF('FY19-20'!$S67&gt;0,'FY19-20'!M67/'FY19-20'!$S67*'Multi-Year'!$J67,0)+IF('FY19-20'!$S67&lt;0,'FY19-20'!M67/'FY19-20'!$S67*'Multi-Year'!$J67,0)</f>
        <v>21216.239952478689</v>
      </c>
      <c r="N67" s="94">
        <f>IF('FY19-20'!$S67&gt;0,'FY19-20'!N67/'FY19-20'!$S67*'Multi-Year'!$J67,0)+IF('FY19-20'!$S67&lt;0,'FY19-20'!N67/'FY19-20'!$S67*'Multi-Year'!$J67,0)</f>
        <v>35110.700574923045</v>
      </c>
      <c r="O67" s="94">
        <f>IF('FY19-20'!$S67&gt;0,'FY19-20'!O67/'FY19-20'!$S67*'Multi-Year'!$J67,0)+IF('FY19-20'!$S67&lt;0,'FY19-20'!O67/'FY19-20'!$S67*'Multi-Year'!$J67,0)</f>
        <v>23433.780757151926</v>
      </c>
      <c r="P67" s="94">
        <f>IF('FY19-20'!$S67&gt;0,'FY19-20'!P67/'FY19-20'!$S67*'Multi-Year'!$J67,0)+IF('FY19-20'!$S67&lt;0,'FY19-20'!P67/'FY19-20'!$S67*'Multi-Year'!$J67,0)</f>
        <v>13436.376683560171</v>
      </c>
      <c r="Q67" s="606">
        <f>IF('FY19-20'!$S67&gt;0,'FY19-20'!Q67/'FY19-20'!$S67*'Multi-Year'!$J67,0)+IF('FY19-20'!$S67&lt;0,'FY19-20'!Q67/'FY19-20'!$S67*'Multi-Year'!$J67,0)</f>
        <v>0</v>
      </c>
      <c r="R67" s="125"/>
      <c r="S67" s="625">
        <f t="shared" si="22"/>
        <v>102840.84719999999</v>
      </c>
      <c r="T67" s="94"/>
      <c r="U67" s="94">
        <f>'FY19-20'!S67</f>
        <v>24609.93</v>
      </c>
      <c r="V67" s="94">
        <f t="shared" si="23"/>
        <v>-78230.917199999996</v>
      </c>
      <c r="W67" s="314"/>
    </row>
    <row r="68" spans="1:23" s="95" customFormat="1" ht="12" customHeight="1">
      <c r="A68" s="124"/>
      <c r="B68" s="124" t="s">
        <v>186</v>
      </c>
      <c r="C68" s="102">
        <v>2900</v>
      </c>
      <c r="D68" s="103" t="s">
        <v>24</v>
      </c>
      <c r="E68" s="94">
        <f>IF('FY19-20'!$S68&gt;0,'FY19-20'!E68/'FY19-20'!$S68*'Multi-Year'!$J68,0)+IF('FY19-20'!$S68&lt;0,'FY19-20'!E68/'FY19-20'!$S68*'Multi-Year'!$J68,0)</f>
        <v>0</v>
      </c>
      <c r="F68" s="94">
        <f>IF('FY19-20'!$S68&gt;0,'FY19-20'!F68/'FY19-20'!$S68*'Multi-Year'!$J68,0)+IF('FY19-20'!$S68&lt;0,'FY19-20'!F68/'FY19-20'!$S68*'Multi-Year'!$J68,0)</f>
        <v>0</v>
      </c>
      <c r="G68" s="94">
        <f>IF('FY19-20'!$S68&gt;0,'FY19-20'!G68/'FY19-20'!$S68*'Multi-Year'!$J68,0)+IF('FY19-20'!$S68&lt;0,'FY19-20'!G68/'FY19-20'!$S68*'Multi-Year'!$J68,0)</f>
        <v>0</v>
      </c>
      <c r="H68" s="94">
        <f>IF('FY19-20'!$S68&gt;0,'FY19-20'!H68/'FY19-20'!$S68*'Multi-Year'!$J68,0)+IF('FY19-20'!$S68&lt;0,'FY19-20'!H68/'FY19-20'!$S68*'Multi-Year'!$J68,0)</f>
        <v>0</v>
      </c>
      <c r="I68" s="94">
        <f>IF('FY19-20'!$S68&gt;0,'FY19-20'!I68/'FY19-20'!$S68*'Multi-Year'!$J68,0)+IF('FY19-20'!$S68&lt;0,'FY19-20'!I68/'FY19-20'!$S68*'Multi-Year'!$J68,0)</f>
        <v>0</v>
      </c>
      <c r="J68" s="94">
        <f>IF('FY19-20'!$S68&gt;0,'FY19-20'!J68/'FY19-20'!$S68*'Multi-Year'!$J68,0)+IF('FY19-20'!$S68&lt;0,'FY19-20'!J68/'FY19-20'!$S68*'Multi-Year'!$J68,0)</f>
        <v>0</v>
      </c>
      <c r="K68" s="94">
        <f>IF('FY19-20'!$S68&gt;0,'FY19-20'!K68/'FY19-20'!$S68*'Multi-Year'!$J68,0)+IF('FY19-20'!$S68&lt;0,'FY19-20'!K68/'FY19-20'!$S68*'Multi-Year'!$J68,0)</f>
        <v>0</v>
      </c>
      <c r="L68" s="94">
        <f>IF('FY19-20'!$S68&gt;0,'FY19-20'!L68/'FY19-20'!$S68*'Multi-Year'!$J68,0)+IF('FY19-20'!$S68&lt;0,'FY19-20'!L68/'FY19-20'!$S68*'Multi-Year'!$J68,0)</f>
        <v>0</v>
      </c>
      <c r="M68" s="94">
        <f>IF('FY19-20'!$S68&gt;0,'FY19-20'!M68/'FY19-20'!$S68*'Multi-Year'!$J68,0)+IF('FY19-20'!$S68&lt;0,'FY19-20'!M68/'FY19-20'!$S68*'Multi-Year'!$J68,0)</f>
        <v>0</v>
      </c>
      <c r="N68" s="94">
        <f>IF('FY19-20'!$S68&gt;0,'FY19-20'!N68/'FY19-20'!$S68*'Multi-Year'!$J68,0)+IF('FY19-20'!$S68&lt;0,'FY19-20'!N68/'FY19-20'!$S68*'Multi-Year'!$J68,0)</f>
        <v>5763.5268354110876</v>
      </c>
      <c r="O68" s="94">
        <f>IF('FY19-20'!$S68&gt;0,'FY19-20'!O68/'FY19-20'!$S68*'Multi-Year'!$J68,0)+IF('FY19-20'!$S68&lt;0,'FY19-20'!O68/'FY19-20'!$S68*'Multi-Year'!$J68,0)</f>
        <v>13503.908831591063</v>
      </c>
      <c r="P68" s="94">
        <f>IF('FY19-20'!$S68&gt;0,'FY19-20'!P68/'FY19-20'!$S68*'Multi-Year'!$J68,0)+IF('FY19-20'!$S68&lt;0,'FY19-20'!P68/'FY19-20'!$S68*'Multi-Year'!$J68,0)</f>
        <v>23481.049932997845</v>
      </c>
      <c r="Q68" s="606">
        <f>IF('FY19-20'!$S68&gt;0,'FY19-20'!Q68/'FY19-20'!$S68*'Multi-Year'!$J68,0)+IF('FY19-20'!$S68&lt;0,'FY19-20'!Q68/'FY19-20'!$S68*'Multi-Year'!$J68,0)</f>
        <v>0</v>
      </c>
      <c r="R68" s="94"/>
      <c r="S68" s="625">
        <f t="shared" si="22"/>
        <v>42748.4856</v>
      </c>
      <c r="T68" s="94"/>
      <c r="U68" s="94">
        <f>'FY19-20'!S68</f>
        <v>25888.84</v>
      </c>
      <c r="V68" s="94">
        <f t="shared" si="23"/>
        <v>-16859.6456</v>
      </c>
      <c r="W68" s="314"/>
    </row>
    <row r="69" spans="1:23" s="95" customFormat="1" ht="12" customHeight="1">
      <c r="A69" s="124"/>
      <c r="B69" s="124" t="s">
        <v>186</v>
      </c>
      <c r="C69" s="126"/>
      <c r="D69" s="126"/>
      <c r="E69" s="215">
        <f>SUM(E64:E68)</f>
        <v>7949.9578768795291</v>
      </c>
      <c r="F69" s="215">
        <f t="shared" ref="F69:S69" si="24">SUM(F64:F68)</f>
        <v>21642.836983815781</v>
      </c>
      <c r="G69" s="215">
        <f t="shared" si="24"/>
        <v>23834.014413343753</v>
      </c>
      <c r="H69" s="215">
        <f t="shared" si="24"/>
        <v>25472.796767745276</v>
      </c>
      <c r="I69" s="215">
        <f t="shared" si="24"/>
        <v>22826.346521732117</v>
      </c>
      <c r="J69" s="215">
        <f t="shared" si="24"/>
        <v>59573.543249917166</v>
      </c>
      <c r="K69" s="215">
        <f t="shared" si="24"/>
        <v>33969.176767783079</v>
      </c>
      <c r="L69" s="215">
        <f t="shared" si="24"/>
        <v>68288.354276048165</v>
      </c>
      <c r="M69" s="215">
        <f t="shared" si="24"/>
        <v>44830.181980374044</v>
      </c>
      <c r="N69" s="215">
        <f t="shared" si="24"/>
        <v>63347.119350252491</v>
      </c>
      <c r="O69" s="215">
        <f t="shared" si="24"/>
        <v>51285.667650079296</v>
      </c>
      <c r="P69" s="215">
        <f t="shared" si="24"/>
        <v>53873.452962029289</v>
      </c>
      <c r="Q69" s="603">
        <f t="shared" si="24"/>
        <v>0</v>
      </c>
      <c r="R69" s="94">
        <f t="shared" si="24"/>
        <v>0</v>
      </c>
      <c r="S69" s="626">
        <f t="shared" si="24"/>
        <v>476893.44880000001</v>
      </c>
      <c r="T69" s="94"/>
      <c r="U69" s="216">
        <f>SUM(U64:U68)</f>
        <v>444477.83</v>
      </c>
      <c r="V69" s="216">
        <f>SUM(V64:V68)</f>
        <v>-32415.618800000044</v>
      </c>
      <c r="W69" s="94"/>
    </row>
    <row r="70" spans="1:23" s="95" customFormat="1" ht="12" customHeight="1">
      <c r="A70" s="124"/>
      <c r="B70" s="124" t="s">
        <v>3</v>
      </c>
      <c r="C70" s="126"/>
      <c r="D70" s="126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606"/>
      <c r="R70" s="94"/>
      <c r="S70" s="627"/>
      <c r="T70" s="94"/>
      <c r="U70" s="94"/>
      <c r="V70" s="94"/>
      <c r="W70" s="214"/>
    </row>
    <row r="71" spans="1:23" s="95" customFormat="1" ht="12" customHeight="1">
      <c r="A71" s="124"/>
      <c r="B71" s="124" t="s">
        <v>186</v>
      </c>
      <c r="C71" s="102">
        <v>3101</v>
      </c>
      <c r="D71" s="105" t="s">
        <v>69</v>
      </c>
      <c r="E71" s="94">
        <f>IF('FY19-20'!$S71&gt;0,'FY19-20'!E71/'FY19-20'!$S71*'Multi-Year'!$J71,0)+IF('FY19-20'!$S71&lt;0,'FY19-20'!E71/'FY19-20'!$S71*'Multi-Year'!$J71,0)</f>
        <v>103871.1903122701</v>
      </c>
      <c r="F71" s="94">
        <f>IF('FY19-20'!$S71&gt;0,'FY19-20'!F71/'FY19-20'!$S71*'Multi-Year'!$J71,0)+IF('FY19-20'!$S71&lt;0,'FY19-20'!F71/'FY19-20'!$S71*'Multi-Year'!$J71,0)</f>
        <v>155189.06000539029</v>
      </c>
      <c r="G71" s="94">
        <f>IF('FY19-20'!$S71&gt;0,'FY19-20'!G71/'FY19-20'!$S71*'Multi-Year'!$J71,0)+IF('FY19-20'!$S71&lt;0,'FY19-20'!G71/'FY19-20'!$S71*'Multi-Year'!$J71,0)</f>
        <v>177116.02326901947</v>
      </c>
      <c r="H71" s="94">
        <f>IF('FY19-20'!$S71&gt;0,'FY19-20'!H71/'FY19-20'!$S71*'Multi-Year'!$J71,0)+IF('FY19-20'!$S71&lt;0,'FY19-20'!H71/'FY19-20'!$S71*'Multi-Year'!$J71,0)</f>
        <v>177670.99292498184</v>
      </c>
      <c r="I71" s="94">
        <f>IF('FY19-20'!$S71&gt;0,'FY19-20'!I71/'FY19-20'!$S71*'Multi-Year'!$J71,0)+IF('FY19-20'!$S71&lt;0,'FY19-20'!I71/'FY19-20'!$S71*'Multi-Year'!$J71,0)</f>
        <v>37241.49797682085</v>
      </c>
      <c r="J71" s="94">
        <f>IF('FY19-20'!$S71&gt;0,'FY19-20'!J71/'FY19-20'!$S71*'Multi-Year'!$J71,0)+IF('FY19-20'!$S71&lt;0,'FY19-20'!J71/'FY19-20'!$S71*'Multi-Year'!$J71,0)</f>
        <v>277034.87273444072</v>
      </c>
      <c r="K71" s="94">
        <f>IF('FY19-20'!$S71&gt;0,'FY19-20'!K71/'FY19-20'!$S71*'Multi-Year'!$J71,0)+IF('FY19-20'!$S71&lt;0,'FY19-20'!K71/'FY19-20'!$S71*'Multi-Year'!$J71,0)</f>
        <v>166171.72602691248</v>
      </c>
      <c r="L71" s="94">
        <f>IF('FY19-20'!$S71&gt;0,'FY19-20'!L71/'FY19-20'!$S71*'Multi-Year'!$J71,0)+IF('FY19-20'!$S71&lt;0,'FY19-20'!L71/'FY19-20'!$S71*'Multi-Year'!$J71,0)</f>
        <v>163501.52478417073</v>
      </c>
      <c r="M71" s="94">
        <f>IF('FY19-20'!$S71&gt;0,'FY19-20'!M71/'FY19-20'!$S71*'Multi-Year'!$J71,0)+IF('FY19-20'!$S71&lt;0,'FY19-20'!M71/'FY19-20'!$S71*'Multi-Year'!$J71,0)</f>
        <v>159111.94624996211</v>
      </c>
      <c r="N71" s="94">
        <f>IF('FY19-20'!$S71&gt;0,'FY19-20'!N71/'FY19-20'!$S71*'Multi-Year'!$J71,0)+IF('FY19-20'!$S71&lt;0,'FY19-20'!N71/'FY19-20'!$S71*'Multi-Year'!$J71,0)</f>
        <v>157604.3914174237</v>
      </c>
      <c r="O71" s="94">
        <f>IF('FY19-20'!$S71&gt;0,'FY19-20'!O71/'FY19-20'!$S71*'Multi-Year'!$J71,0)+IF('FY19-20'!$S71&lt;0,'FY19-20'!O71/'FY19-20'!$S71*'Multi-Year'!$J71,0)</f>
        <v>168738.92260219014</v>
      </c>
      <c r="P71" s="94">
        <f>IF('FY19-20'!$S71&gt;0,'FY19-20'!P71/'FY19-20'!$S71*'Multi-Year'!$J71,0)+IF('FY19-20'!$S71&lt;0,'FY19-20'!P71/'FY19-20'!$S71*'Multi-Year'!$J71,0)</f>
        <v>160764.78596225736</v>
      </c>
      <c r="Q71" s="606">
        <f>IF('FY19-20'!$S71&gt;0,'FY19-20'!Q71/'FY19-20'!$S71*'Multi-Year'!$J71,0)+IF('FY19-20'!$S71&lt;0,'FY19-20'!Q71/'FY19-20'!$S71*'Multi-Year'!$J71,0)</f>
        <v>0</v>
      </c>
      <c r="R71" s="94"/>
      <c r="S71" s="625">
        <f t="shared" ref="S71:S78" si="25">SUM(E71:Q71)</f>
        <v>1904016.9342658399</v>
      </c>
      <c r="T71" s="94"/>
      <c r="U71" s="94">
        <f>'FY19-20'!S71</f>
        <v>1762152.52</v>
      </c>
      <c r="V71" s="94">
        <f t="shared" ref="V71:V78" si="26">U71-S71</f>
        <v>-141864.41426583985</v>
      </c>
      <c r="W71" s="314"/>
    </row>
    <row r="72" spans="1:23" s="95" customFormat="1" ht="12" customHeight="1">
      <c r="A72" s="124"/>
      <c r="B72" s="124" t="s">
        <v>186</v>
      </c>
      <c r="C72" s="102">
        <v>3202</v>
      </c>
      <c r="D72" s="105" t="s">
        <v>70</v>
      </c>
      <c r="E72" s="94">
        <f>IF('FY19-20'!$S72&gt;0,'FY19-20'!E72/'FY19-20'!$S72*'Multi-Year'!$J72,0)+IF('FY19-20'!$S72&lt;0,'FY19-20'!E72/'FY19-20'!$S72*'Multi-Year'!$J72,0)</f>
        <v>0</v>
      </c>
      <c r="F72" s="94">
        <f>IF('FY19-20'!$S72&gt;0,'FY19-20'!F72/'FY19-20'!$S72*'Multi-Year'!$J72,0)+IF('FY19-20'!$S72&lt;0,'FY19-20'!F72/'FY19-20'!$S72*'Multi-Year'!$J72,0)</f>
        <v>0</v>
      </c>
      <c r="G72" s="94">
        <f>IF('FY19-20'!$S72&gt;0,'FY19-20'!G72/'FY19-20'!$S72*'Multi-Year'!$J72,0)+IF('FY19-20'!$S72&lt;0,'FY19-20'!G72/'FY19-20'!$S72*'Multi-Year'!$J72,0)</f>
        <v>0</v>
      </c>
      <c r="H72" s="94">
        <f>IF('FY19-20'!$S72&gt;0,'FY19-20'!H72/'FY19-20'!$S72*'Multi-Year'!$J72,0)+IF('FY19-20'!$S72&lt;0,'FY19-20'!H72/'FY19-20'!$S72*'Multi-Year'!$J72,0)</f>
        <v>0</v>
      </c>
      <c r="I72" s="94">
        <f>IF('FY19-20'!$S72&gt;0,'FY19-20'!I72/'FY19-20'!$S72*'Multi-Year'!$J72,0)+IF('FY19-20'!$S72&lt;0,'FY19-20'!I72/'FY19-20'!$S72*'Multi-Year'!$J72,0)</f>
        <v>0</v>
      </c>
      <c r="J72" s="94">
        <f>IF('FY19-20'!$S72&gt;0,'FY19-20'!J72/'FY19-20'!$S72*'Multi-Year'!$J72,0)+IF('FY19-20'!$S72&lt;0,'FY19-20'!J72/'FY19-20'!$S72*'Multi-Year'!$J72,0)</f>
        <v>0</v>
      </c>
      <c r="K72" s="94">
        <f>IF('FY19-20'!$S72&gt;0,'FY19-20'!K72/'FY19-20'!$S72*'Multi-Year'!$J72,0)+IF('FY19-20'!$S72&lt;0,'FY19-20'!K72/'FY19-20'!$S72*'Multi-Year'!$J72,0)</f>
        <v>0</v>
      </c>
      <c r="L72" s="94">
        <f>IF('FY19-20'!$S72&gt;0,'FY19-20'!L72/'FY19-20'!$S72*'Multi-Year'!$J72,0)+IF('FY19-20'!$S72&lt;0,'FY19-20'!L72/'FY19-20'!$S72*'Multi-Year'!$J72,0)</f>
        <v>0</v>
      </c>
      <c r="M72" s="94">
        <f>IF('FY19-20'!$S72&gt;0,'FY19-20'!M72/'FY19-20'!$S72*'Multi-Year'!$J72,0)+IF('FY19-20'!$S72&lt;0,'FY19-20'!M72/'FY19-20'!$S72*'Multi-Year'!$J72,0)</f>
        <v>0</v>
      </c>
      <c r="N72" s="94">
        <f>IF('FY19-20'!$S72&gt;0,'FY19-20'!N72/'FY19-20'!$S72*'Multi-Year'!$J72,0)+IF('FY19-20'!$S72&lt;0,'FY19-20'!N72/'FY19-20'!$S72*'Multi-Year'!$J72,0)</f>
        <v>0</v>
      </c>
      <c r="O72" s="94">
        <f>IF('FY19-20'!$S72&gt;0,'FY19-20'!O72/'FY19-20'!$S72*'Multi-Year'!$J72,0)+IF('FY19-20'!$S72&lt;0,'FY19-20'!O72/'FY19-20'!$S72*'Multi-Year'!$J72,0)</f>
        <v>0</v>
      </c>
      <c r="P72" s="94">
        <f>IF('FY19-20'!$S72&gt;0,'FY19-20'!P72/'FY19-20'!$S72*'Multi-Year'!$J72,0)+IF('FY19-20'!$S72&lt;0,'FY19-20'!P72/'FY19-20'!$S72*'Multi-Year'!$J72,0)</f>
        <v>0</v>
      </c>
      <c r="Q72" s="606">
        <f>IF('FY19-20'!$S72&gt;0,'FY19-20'!Q72/'FY19-20'!$S72*'Multi-Year'!$J72,0)+IF('FY19-20'!$S72&lt;0,'FY19-20'!Q72/'FY19-20'!$S72*'Multi-Year'!$J72,0)</f>
        <v>0</v>
      </c>
      <c r="R72" s="94"/>
      <c r="S72" s="625">
        <f t="shared" si="25"/>
        <v>0</v>
      </c>
      <c r="T72" s="94"/>
      <c r="U72" s="94">
        <f>'FY19-20'!S72</f>
        <v>0</v>
      </c>
      <c r="V72" s="94">
        <f t="shared" si="26"/>
        <v>0</v>
      </c>
      <c r="W72" s="314"/>
    </row>
    <row r="73" spans="1:23" s="95" customFormat="1" ht="12" customHeight="1">
      <c r="A73" s="124"/>
      <c r="B73" s="124" t="s">
        <v>186</v>
      </c>
      <c r="C73" s="102">
        <v>3301</v>
      </c>
      <c r="D73" s="105" t="s">
        <v>239</v>
      </c>
      <c r="E73" s="94">
        <f>IF('FY19-20'!$S73&gt;0,'FY19-20'!E73/'FY19-20'!$S73*'Multi-Year'!$J73,0)+IF('FY19-20'!$S73&lt;0,'FY19-20'!E73/'FY19-20'!$S73*'Multi-Year'!$J73,0)</f>
        <v>559.70111797944185</v>
      </c>
      <c r="F73" s="94">
        <f>IF('FY19-20'!$S73&gt;0,'FY19-20'!F73/'FY19-20'!$S73*'Multi-Year'!$J73,0)+IF('FY19-20'!$S73&lt;0,'FY19-20'!F73/'FY19-20'!$S73*'Multi-Year'!$J73,0)</f>
        <v>1516.563430512695</v>
      </c>
      <c r="G73" s="94">
        <f>IF('FY19-20'!$S73&gt;0,'FY19-20'!G73/'FY19-20'!$S73*'Multi-Year'!$J73,0)+IF('FY19-20'!$S73&lt;0,'FY19-20'!G73/'FY19-20'!$S73*'Multi-Year'!$J73,0)</f>
        <v>1622.885016393785</v>
      </c>
      <c r="H73" s="94">
        <f>IF('FY19-20'!$S73&gt;0,'FY19-20'!H73/'FY19-20'!$S73*'Multi-Year'!$J73,0)+IF('FY19-20'!$S73&lt;0,'FY19-20'!H73/'FY19-20'!$S73*'Multi-Year'!$J73,0)</f>
        <v>1592.2776099572748</v>
      </c>
      <c r="I73" s="94">
        <f>IF('FY19-20'!$S73&gt;0,'FY19-20'!I73/'FY19-20'!$S73*'Multi-Year'!$J73,0)+IF('FY19-20'!$S73&lt;0,'FY19-20'!I73/'FY19-20'!$S73*'Multi-Year'!$J73,0)</f>
        <v>1422.5146369096626</v>
      </c>
      <c r="J73" s="94">
        <f>IF('FY19-20'!$S73&gt;0,'FY19-20'!J73/'FY19-20'!$S73*'Multi-Year'!$J73,0)+IF('FY19-20'!$S73&lt;0,'FY19-20'!J73/'FY19-20'!$S73*'Multi-Year'!$J73,0)</f>
        <v>3658.421366206222</v>
      </c>
      <c r="K73" s="94">
        <f>IF('FY19-20'!$S73&gt;0,'FY19-20'!K73/'FY19-20'!$S73*'Multi-Year'!$J73,0)+IF('FY19-20'!$S73&lt;0,'FY19-20'!K73/'FY19-20'!$S73*'Multi-Year'!$J73,0)</f>
        <v>2117.0247075683947</v>
      </c>
      <c r="L73" s="94">
        <f>IF('FY19-20'!$S73&gt;0,'FY19-20'!L73/'FY19-20'!$S73*'Multi-Year'!$J73,0)+IF('FY19-20'!$S73&lt;0,'FY19-20'!L73/'FY19-20'!$S73*'Multi-Year'!$J73,0)</f>
        <v>3735.5950704269253</v>
      </c>
      <c r="M73" s="94">
        <f>IF('FY19-20'!$S73&gt;0,'FY19-20'!M73/'FY19-20'!$S73*'Multi-Year'!$J73,0)+IF('FY19-20'!$S73&lt;0,'FY19-20'!M73/'FY19-20'!$S73*'Multi-Year'!$J73,0)</f>
        <v>1797.3461677353412</v>
      </c>
      <c r="N73" s="94">
        <f>IF('FY19-20'!$S73&gt;0,'FY19-20'!N73/'FY19-20'!$S73*'Multi-Year'!$J73,0)+IF('FY19-20'!$S73&lt;0,'FY19-20'!N73/'FY19-20'!$S73*'Multi-Year'!$J73,0)</f>
        <v>2188.1898572362984</v>
      </c>
      <c r="O73" s="94">
        <f>IF('FY19-20'!$S73&gt;0,'FY19-20'!O73/'FY19-20'!$S73*'Multi-Year'!$J73,0)+IF('FY19-20'!$S73&lt;0,'FY19-20'!O73/'FY19-20'!$S73*'Multi-Year'!$J73,0)</f>
        <v>4163.6087011241871</v>
      </c>
      <c r="P73" s="94">
        <f>IF('FY19-20'!$S73&gt;0,'FY19-20'!P73/'FY19-20'!$S73*'Multi-Year'!$J73,0)+IF('FY19-20'!$S73&lt;0,'FY19-20'!P73/'FY19-20'!$S73*'Multi-Year'!$J73,0)</f>
        <v>5193.2661435497739</v>
      </c>
      <c r="Q73" s="606">
        <f>IF('FY19-20'!$S73&gt;0,'FY19-20'!Q73/'FY19-20'!$S73*'Multi-Year'!$J73,0)+IF('FY19-20'!$S73&lt;0,'FY19-20'!Q73/'FY19-20'!$S73*'Multi-Year'!$J73,0)</f>
        <v>0</v>
      </c>
      <c r="R73" s="94"/>
      <c r="S73" s="625">
        <f t="shared" si="25"/>
        <v>29567.393825600004</v>
      </c>
      <c r="T73" s="94"/>
      <c r="U73" s="94">
        <f>'FY19-20'!S73</f>
        <v>27753.780000000002</v>
      </c>
      <c r="V73" s="94">
        <f t="shared" si="26"/>
        <v>-1813.6138256000013</v>
      </c>
      <c r="W73" s="314"/>
    </row>
    <row r="74" spans="1:23" s="95" customFormat="1" ht="12" customHeight="1">
      <c r="A74" s="124"/>
      <c r="B74" s="124" t="s">
        <v>186</v>
      </c>
      <c r="C74" s="102">
        <v>3311</v>
      </c>
      <c r="D74" s="105" t="s">
        <v>240</v>
      </c>
      <c r="E74" s="94">
        <f>IF('FY19-20'!$S74&gt;0,'FY19-20'!E74/'FY19-20'!$S74*'Multi-Year'!$J74,0)+IF('FY19-20'!$S74&lt;0,'FY19-20'!E74/'FY19-20'!$S74*'Multi-Year'!$J74,0)</f>
        <v>8183.9146956435079</v>
      </c>
      <c r="F74" s="94">
        <f>IF('FY19-20'!$S74&gt;0,'FY19-20'!F74/'FY19-20'!$S74*'Multi-Year'!$J74,0)+IF('FY19-20'!$S74&lt;0,'FY19-20'!F74/'FY19-20'!$S74*'Multi-Year'!$J74,0)</f>
        <v>12494.758649714286</v>
      </c>
      <c r="G74" s="94">
        <f>IF('FY19-20'!$S74&gt;0,'FY19-20'!G74/'FY19-20'!$S74*'Multi-Year'!$J74,0)+IF('FY19-20'!$S74&lt;0,'FY19-20'!G74/'FY19-20'!$S74*'Multi-Year'!$J74,0)</f>
        <v>14169.479786202422</v>
      </c>
      <c r="H74" s="94">
        <f>IF('FY19-20'!$S74&gt;0,'FY19-20'!H74/'FY19-20'!$S74*'Multi-Year'!$J74,0)+IF('FY19-20'!$S74&lt;0,'FY19-20'!H74/'FY19-20'!$S74*'Multi-Year'!$J74,0)</f>
        <v>14189.936854728685</v>
      </c>
      <c r="I74" s="94">
        <f>IF('FY19-20'!$S74&gt;0,'FY19-20'!I74/'FY19-20'!$S74*'Multi-Year'!$J74,0)+IF('FY19-20'!$S74&lt;0,'FY19-20'!I74/'FY19-20'!$S74*'Multi-Year'!$J74,0)</f>
        <v>3492.893439034699</v>
      </c>
      <c r="J74" s="94">
        <f>IF('FY19-20'!$S74&gt;0,'FY19-20'!J74/'FY19-20'!$S74*'Multi-Year'!$J74,0)+IF('FY19-20'!$S74&lt;0,'FY19-20'!J74/'FY19-20'!$S74*'Multi-Year'!$J74,0)</f>
        <v>22202.714883109424</v>
      </c>
      <c r="K74" s="94">
        <f>IF('FY19-20'!$S74&gt;0,'FY19-20'!K74/'FY19-20'!$S74*'Multi-Year'!$J74,0)+IF('FY19-20'!$S74&lt;0,'FY19-20'!K74/'FY19-20'!$S74*'Multi-Year'!$J74,0)</f>
        <v>13406.296226276023</v>
      </c>
      <c r="L74" s="94">
        <f>IF('FY19-20'!$S74&gt;0,'FY19-20'!L74/'FY19-20'!$S74*'Multi-Year'!$J74,0)+IF('FY19-20'!$S74&lt;0,'FY19-20'!L74/'FY19-20'!$S74*'Multi-Year'!$J74,0)</f>
        <v>13649.505803764934</v>
      </c>
      <c r="M74" s="94">
        <f>IF('FY19-20'!$S74&gt;0,'FY19-20'!M74/'FY19-20'!$S74*'Multi-Year'!$J74,0)+IF('FY19-20'!$S74&lt;0,'FY19-20'!M74/'FY19-20'!$S74*'Multi-Year'!$J74,0)</f>
        <v>13882.154620976262</v>
      </c>
      <c r="N74" s="94">
        <f>IF('FY19-20'!$S74&gt;0,'FY19-20'!N74/'FY19-20'!$S74*'Multi-Year'!$J74,0)+IF('FY19-20'!$S74&lt;0,'FY19-20'!N74/'FY19-20'!$S74*'Multi-Year'!$J74,0)</f>
        <v>12868.502848517926</v>
      </c>
      <c r="O74" s="94">
        <f>IF('FY19-20'!$S74&gt;0,'FY19-20'!O74/'FY19-20'!$S74*'Multi-Year'!$J74,0)+IF('FY19-20'!$S74&lt;0,'FY19-20'!O74/'FY19-20'!$S74*'Multi-Year'!$J74,0)</f>
        <v>13578.016805927831</v>
      </c>
      <c r="P74" s="94">
        <f>IF('FY19-20'!$S74&gt;0,'FY19-20'!P74/'FY19-20'!$S74*'Multi-Year'!$J74,0)+IF('FY19-20'!$S74&lt;0,'FY19-20'!P74/'FY19-20'!$S74*'Multi-Year'!$J74,0)</f>
        <v>14841.593148349006</v>
      </c>
      <c r="Q74" s="606">
        <f>IF('FY19-20'!$S74&gt;0,'FY19-20'!Q74/'FY19-20'!$S74*'Multi-Year'!$J74,0)+IF('FY19-20'!$S74&lt;0,'FY19-20'!Q74/'FY19-20'!$S74*'Multi-Year'!$J74,0)</f>
        <v>0</v>
      </c>
      <c r="R74" s="94"/>
      <c r="S74" s="625">
        <f t="shared" si="25"/>
        <v>156959.767762245</v>
      </c>
      <c r="T74" s="94"/>
      <c r="U74" s="94">
        <f>'FY19-20'!S74</f>
        <v>155908.09</v>
      </c>
      <c r="V74" s="94">
        <f t="shared" si="26"/>
        <v>-1051.6777622450027</v>
      </c>
      <c r="W74" s="314"/>
    </row>
    <row r="75" spans="1:23" s="95" customFormat="1" ht="12" customHeight="1">
      <c r="A75" s="124"/>
      <c r="B75" s="124" t="s">
        <v>186</v>
      </c>
      <c r="C75" s="102">
        <v>3401</v>
      </c>
      <c r="D75" s="105" t="s">
        <v>235</v>
      </c>
      <c r="E75" s="94">
        <f>IF('FY19-20'!$S75&gt;0,'FY19-20'!E75/'FY19-20'!$S75*'Multi-Year'!$J75,0)+IF('FY19-20'!$S75&lt;0,'FY19-20'!E75/'FY19-20'!$S75*'Multi-Year'!$J75,0)</f>
        <v>-19254.282479278954</v>
      </c>
      <c r="F75" s="94">
        <f>IF('FY19-20'!$S75&gt;0,'FY19-20'!F75/'FY19-20'!$S75*'Multi-Year'!$J75,0)+IF('FY19-20'!$S75&lt;0,'FY19-20'!F75/'FY19-20'!$S75*'Multi-Year'!$J75,0)</f>
        <v>126685.56692684013</v>
      </c>
      <c r="G75" s="94">
        <f>IF('FY19-20'!$S75&gt;0,'FY19-20'!G75/'FY19-20'!$S75*'Multi-Year'!$J75,0)+IF('FY19-20'!$S75&lt;0,'FY19-20'!G75/'FY19-20'!$S75*'Multi-Year'!$J75,0)</f>
        <v>94520.51634242291</v>
      </c>
      <c r="H75" s="94">
        <f>IF('FY19-20'!$S75&gt;0,'FY19-20'!H75/'FY19-20'!$S75*'Multi-Year'!$J75,0)+IF('FY19-20'!$S75&lt;0,'FY19-20'!H75/'FY19-20'!$S75*'Multi-Year'!$J75,0)</f>
        <v>108133.0740606881</v>
      </c>
      <c r="I75" s="94">
        <f>IF('FY19-20'!$S75&gt;0,'FY19-20'!I75/'FY19-20'!$S75*'Multi-Year'!$J75,0)+IF('FY19-20'!$S75&lt;0,'FY19-20'!I75/'FY19-20'!$S75*'Multi-Year'!$J75,0)</f>
        <v>114930.9648461063</v>
      </c>
      <c r="J75" s="94">
        <f>IF('FY19-20'!$S75&gt;0,'FY19-20'!J75/'FY19-20'!$S75*'Multi-Year'!$J75,0)+IF('FY19-20'!$S75&lt;0,'FY19-20'!J75/'FY19-20'!$S75*'Multi-Year'!$J75,0)</f>
        <v>111206.75696445748</v>
      </c>
      <c r="K75" s="94">
        <f>IF('FY19-20'!$S75&gt;0,'FY19-20'!K75/'FY19-20'!$S75*'Multi-Year'!$J75,0)+IF('FY19-20'!$S75&lt;0,'FY19-20'!K75/'FY19-20'!$S75*'Multi-Year'!$J75,0)</f>
        <v>104183.97541244869</v>
      </c>
      <c r="L75" s="94">
        <f>IF('FY19-20'!$S75&gt;0,'FY19-20'!L75/'FY19-20'!$S75*'Multi-Year'!$J75,0)+IF('FY19-20'!$S75&lt;0,'FY19-20'!L75/'FY19-20'!$S75*'Multi-Year'!$J75,0)</f>
        <v>97101.083815836057</v>
      </c>
      <c r="M75" s="94">
        <f>IF('FY19-20'!$S75&gt;0,'FY19-20'!M75/'FY19-20'!$S75*'Multi-Year'!$J75,0)+IF('FY19-20'!$S75&lt;0,'FY19-20'!M75/'FY19-20'!$S75*'Multi-Year'!$J75,0)</f>
        <v>101498.42519733218</v>
      </c>
      <c r="N75" s="94">
        <f>IF('FY19-20'!$S75&gt;0,'FY19-20'!N75/'FY19-20'!$S75*'Multi-Year'!$J75,0)+IF('FY19-20'!$S75&lt;0,'FY19-20'!N75/'FY19-20'!$S75*'Multi-Year'!$J75,0)</f>
        <v>100501.20752037546</v>
      </c>
      <c r="O75" s="94">
        <f>IF('FY19-20'!$S75&gt;0,'FY19-20'!O75/'FY19-20'!$S75*'Multi-Year'!$J75,0)+IF('FY19-20'!$S75&lt;0,'FY19-20'!O75/'FY19-20'!$S75*'Multi-Year'!$J75,0)</f>
        <v>103126.12040979511</v>
      </c>
      <c r="P75" s="94">
        <f>IF('FY19-20'!$S75&gt;0,'FY19-20'!P75/'FY19-20'!$S75*'Multi-Year'!$J75,0)+IF('FY19-20'!$S75&lt;0,'FY19-20'!P75/'FY19-20'!$S75*'Multi-Year'!$J75,0)</f>
        <v>121606.59098297662</v>
      </c>
      <c r="Q75" s="606">
        <f>IF('FY19-20'!$S75&gt;0,'FY19-20'!Q75/'FY19-20'!$S75*'Multi-Year'!$J75,0)+IF('FY19-20'!$S75&lt;0,'FY19-20'!Q75/'FY19-20'!$S75*'Multi-Year'!$J75,0)</f>
        <v>0</v>
      </c>
      <c r="R75" s="94"/>
      <c r="S75" s="625">
        <f t="shared" si="25"/>
        <v>1164240</v>
      </c>
      <c r="T75" s="94"/>
      <c r="U75" s="94">
        <f>'FY19-20'!S75</f>
        <v>1081923.1100000001</v>
      </c>
      <c r="V75" s="94">
        <f t="shared" si="26"/>
        <v>-82316.889999999898</v>
      </c>
      <c r="W75" s="314"/>
    </row>
    <row r="76" spans="1:23" s="95" customFormat="1" ht="12" customHeight="1">
      <c r="A76" s="124"/>
      <c r="B76" s="124" t="s">
        <v>186</v>
      </c>
      <c r="C76" s="102">
        <v>3501</v>
      </c>
      <c r="D76" s="105" t="s">
        <v>236</v>
      </c>
      <c r="E76" s="94">
        <f>IF('FY19-20'!$S76&gt;0,'FY19-20'!E76/'FY19-20'!$S76*'Multi-Year'!$J76,0)+IF('FY19-20'!$S76&lt;0,'FY19-20'!E76/'FY19-20'!$S76*'Multi-Year'!$J76,0)</f>
        <v>18139.21129335251</v>
      </c>
      <c r="F76" s="94">
        <f>IF('FY19-20'!$S76&gt;0,'FY19-20'!F76/'FY19-20'!$S76*'Multi-Year'!$J76,0)+IF('FY19-20'!$S76&lt;0,'FY19-20'!F76/'FY19-20'!$S76*'Multi-Year'!$J76,0)</f>
        <v>15419.385600601368</v>
      </c>
      <c r="G76" s="94">
        <f>IF('FY19-20'!$S76&gt;0,'FY19-20'!G76/'FY19-20'!$S76*'Multi-Year'!$J76,0)+IF('FY19-20'!$S76&lt;0,'FY19-20'!G76/'FY19-20'!$S76*'Multi-Year'!$J76,0)</f>
        <v>5202.663809164952</v>
      </c>
      <c r="H76" s="94">
        <f>IF('FY19-20'!$S76&gt;0,'FY19-20'!H76/'FY19-20'!$S76*'Multi-Year'!$J76,0)+IF('FY19-20'!$S76&lt;0,'FY19-20'!H76/'FY19-20'!$S76*'Multi-Year'!$J76,0)</f>
        <v>2493.6666451995275</v>
      </c>
      <c r="I76" s="94">
        <f>IF('FY19-20'!$S76&gt;0,'FY19-20'!I76/'FY19-20'!$S76*'Multi-Year'!$J76,0)+IF('FY19-20'!$S76&lt;0,'FY19-20'!I76/'FY19-20'!$S76*'Multi-Year'!$J76,0)</f>
        <v>-5665.7323192303729</v>
      </c>
      <c r="J76" s="94">
        <f>IF('FY19-20'!$S76&gt;0,'FY19-20'!J76/'FY19-20'!$S76*'Multi-Year'!$J76,0)+IF('FY19-20'!$S76&lt;0,'FY19-20'!J76/'FY19-20'!$S76*'Multi-Year'!$J76,0)</f>
        <v>5595.2248292739705</v>
      </c>
      <c r="K76" s="94">
        <f>IF('FY19-20'!$S76&gt;0,'FY19-20'!K76/'FY19-20'!$S76*'Multi-Year'!$J76,0)+IF('FY19-20'!$S76&lt;0,'FY19-20'!K76/'FY19-20'!$S76*'Multi-Year'!$J76,0)</f>
        <v>28773.295243866127</v>
      </c>
      <c r="L76" s="94">
        <f>IF('FY19-20'!$S76&gt;0,'FY19-20'!L76/'FY19-20'!$S76*'Multi-Year'!$J76,0)+IF('FY19-20'!$S76&lt;0,'FY19-20'!L76/'FY19-20'!$S76*'Multi-Year'!$J76,0)</f>
        <v>7352.7370373757167</v>
      </c>
      <c r="M76" s="94">
        <f>IF('FY19-20'!$S76&gt;0,'FY19-20'!M76/'FY19-20'!$S76*'Multi-Year'!$J76,0)+IF('FY19-20'!$S76&lt;0,'FY19-20'!M76/'FY19-20'!$S76*'Multi-Year'!$J76,0)</f>
        <v>1024.1698686507527</v>
      </c>
      <c r="N76" s="94">
        <f>IF('FY19-20'!$S76&gt;0,'FY19-20'!N76/'FY19-20'!$S76*'Multi-Year'!$J76,0)+IF('FY19-20'!$S76&lt;0,'FY19-20'!N76/'FY19-20'!$S76*'Multi-Year'!$J76,0)</f>
        <v>2778.1767189219568</v>
      </c>
      <c r="O76" s="94">
        <f>IF('FY19-20'!$S76&gt;0,'FY19-20'!O76/'FY19-20'!$S76*'Multi-Year'!$J76,0)+IF('FY19-20'!$S76&lt;0,'FY19-20'!O76/'FY19-20'!$S76*'Multi-Year'!$J76,0)</f>
        <v>2311.6712006215753</v>
      </c>
      <c r="P76" s="94">
        <f>IF('FY19-20'!$S76&gt;0,'FY19-20'!P76/'FY19-20'!$S76*'Multi-Year'!$J76,0)+IF('FY19-20'!$S76&lt;0,'FY19-20'!P76/'FY19-20'!$S76*'Multi-Year'!$J76,0)</f>
        <v>-1097.4699277980612</v>
      </c>
      <c r="Q76" s="606">
        <f>IF('FY19-20'!$S76&gt;0,'FY19-20'!Q76/'FY19-20'!$S76*'Multi-Year'!$J76,0)+IF('FY19-20'!$S76&lt;0,'FY19-20'!Q76/'FY19-20'!$S76*'Multi-Year'!$J76,0)</f>
        <v>0</v>
      </c>
      <c r="R76" s="94"/>
      <c r="S76" s="625">
        <f t="shared" si="25"/>
        <v>82327.000000000029</v>
      </c>
      <c r="T76" s="94"/>
      <c r="U76" s="94">
        <f>'FY19-20'!S76</f>
        <v>84314.909999999989</v>
      </c>
      <c r="V76" s="94">
        <f t="shared" si="26"/>
        <v>1987.9099999999598</v>
      </c>
      <c r="W76" s="314"/>
    </row>
    <row r="77" spans="1:23" s="95" customFormat="1" ht="12" customHeight="1">
      <c r="A77" s="124"/>
      <c r="B77" s="124" t="s">
        <v>186</v>
      </c>
      <c r="C77" s="102">
        <v>3601</v>
      </c>
      <c r="D77" s="105" t="s">
        <v>237</v>
      </c>
      <c r="E77" s="94">
        <f>IF('FY19-20'!$S77&gt;0,'FY19-20'!E77/'FY19-20'!$S77*'Multi-Year'!$J77,0)+IF('FY19-20'!$S77&lt;0,'FY19-20'!E77/'FY19-20'!$S77*'Multi-Year'!$J77,0)</f>
        <v>0</v>
      </c>
      <c r="F77" s="94">
        <f>IF('FY19-20'!$S77&gt;0,'FY19-20'!F77/'FY19-20'!$S77*'Multi-Year'!$J77,0)+IF('FY19-20'!$S77&lt;0,'FY19-20'!F77/'FY19-20'!$S77*'Multi-Year'!$J77,0)</f>
        <v>34786.749563584075</v>
      </c>
      <c r="G77" s="94">
        <f>IF('FY19-20'!$S77&gt;0,'FY19-20'!G77/'FY19-20'!$S77*'Multi-Year'!$J77,0)+IF('FY19-20'!$S77&lt;0,'FY19-20'!G77/'FY19-20'!$S77*'Multi-Year'!$J77,0)</f>
        <v>17393.374781792038</v>
      </c>
      <c r="H77" s="94">
        <f>IF('FY19-20'!$S77&gt;0,'FY19-20'!H77/'FY19-20'!$S77*'Multi-Year'!$J77,0)+IF('FY19-20'!$S77&lt;0,'FY19-20'!H77/'FY19-20'!$S77*'Multi-Year'!$J77,0)</f>
        <v>17393.374781792038</v>
      </c>
      <c r="I77" s="94">
        <f>IF('FY19-20'!$S77&gt;0,'FY19-20'!I77/'FY19-20'!$S77*'Multi-Year'!$J77,0)+IF('FY19-20'!$S77&lt;0,'FY19-20'!I77/'FY19-20'!$S77*'Multi-Year'!$J77,0)</f>
        <v>17393.374781792038</v>
      </c>
      <c r="J77" s="94">
        <f>IF('FY19-20'!$S77&gt;0,'FY19-20'!J77/'FY19-20'!$S77*'Multi-Year'!$J77,0)+IF('FY19-20'!$S77&lt;0,'FY19-20'!J77/'FY19-20'!$S77*'Multi-Year'!$J77,0)</f>
        <v>17393.374781792038</v>
      </c>
      <c r="K77" s="94">
        <f>IF('FY19-20'!$S77&gt;0,'FY19-20'!K77/'FY19-20'!$S77*'Multi-Year'!$J77,0)+IF('FY19-20'!$S77&lt;0,'FY19-20'!K77/'FY19-20'!$S77*'Multi-Year'!$J77,0)</f>
        <v>17751.102838728471</v>
      </c>
      <c r="L77" s="94">
        <f>IF('FY19-20'!$S77&gt;0,'FY19-20'!L77/'FY19-20'!$S77*'Multi-Year'!$J77,0)+IF('FY19-20'!$S77&lt;0,'FY19-20'!L77/'FY19-20'!$S77*'Multi-Year'!$J77,0)</f>
        <v>17393.374781792038</v>
      </c>
      <c r="M77" s="94">
        <f>IF('FY19-20'!$S77&gt;0,'FY19-20'!M77/'FY19-20'!$S77*'Multi-Year'!$J77,0)+IF('FY19-20'!$S77&lt;0,'FY19-20'!M77/'FY19-20'!$S77*'Multi-Year'!$J77,0)</f>
        <v>17393.374781792038</v>
      </c>
      <c r="N77" s="94">
        <f>IF('FY19-20'!$S77&gt;0,'FY19-20'!N77/'FY19-20'!$S77*'Multi-Year'!$J77,0)+IF('FY19-20'!$S77&lt;0,'FY19-20'!N77/'FY19-20'!$S77*'Multi-Year'!$J77,0)</f>
        <v>10200.881557872299</v>
      </c>
      <c r="O77" s="94">
        <f>IF('FY19-20'!$S77&gt;0,'FY19-20'!O77/'FY19-20'!$S77*'Multi-Year'!$J77,0)+IF('FY19-20'!$S77&lt;0,'FY19-20'!O77/'FY19-20'!$S77*'Multi-Year'!$J77,0)</f>
        <v>18046.055965947377</v>
      </c>
      <c r="P77" s="94">
        <f>IF('FY19-20'!$S77&gt;0,'FY19-20'!P77/'FY19-20'!$S77*'Multi-Year'!$J77,0)+IF('FY19-20'!$S77&lt;0,'FY19-20'!P77/'FY19-20'!$S77*'Multi-Year'!$J77,0)</f>
        <v>-33597.676639544457</v>
      </c>
      <c r="Q77" s="606">
        <f>IF('FY19-20'!$S77&gt;0,'FY19-20'!Q77/'FY19-20'!$S77*'Multi-Year'!$J77,0)+IF('FY19-20'!$S77&lt;0,'FY19-20'!Q77/'FY19-20'!$S77*'Multi-Year'!$J77,0)</f>
        <v>0</v>
      </c>
      <c r="R77" s="94"/>
      <c r="S77" s="625">
        <f t="shared" si="25"/>
        <v>151547.36197733996</v>
      </c>
      <c r="T77" s="94"/>
      <c r="U77" s="94">
        <f>'FY19-20'!S77</f>
        <v>68078.700000000012</v>
      </c>
      <c r="V77" s="94">
        <f t="shared" si="26"/>
        <v>-83468.661977339943</v>
      </c>
      <c r="W77" s="314"/>
    </row>
    <row r="78" spans="1:23" s="95" customFormat="1" ht="12" customHeight="1">
      <c r="A78" s="124"/>
      <c r="B78" s="124" t="s">
        <v>186</v>
      </c>
      <c r="C78" s="102">
        <v>3901</v>
      </c>
      <c r="D78" s="105" t="s">
        <v>238</v>
      </c>
      <c r="E78" s="94">
        <f>IF('FY19-20'!$S78&gt;0,'FY19-20'!E78/'FY19-20'!$S78*'Multi-Year'!$J78,0)+IF('FY19-20'!$S78&lt;0,'FY19-20'!E78/'FY19-20'!$S78*'Multi-Year'!$J78,0)</f>
        <v>0</v>
      </c>
      <c r="F78" s="94">
        <f>IF('FY19-20'!$S78&gt;0,'FY19-20'!F78/'FY19-20'!$S78*'Multi-Year'!$J78,0)+IF('FY19-20'!$S78&lt;0,'FY19-20'!F78/'FY19-20'!$S78*'Multi-Year'!$J78,0)</f>
        <v>0</v>
      </c>
      <c r="G78" s="94">
        <f>IF('FY19-20'!$S78&gt;0,'FY19-20'!G78/'FY19-20'!$S78*'Multi-Year'!$J78,0)+IF('FY19-20'!$S78&lt;0,'FY19-20'!G78/'FY19-20'!$S78*'Multi-Year'!$J78,0)</f>
        <v>0</v>
      </c>
      <c r="H78" s="94">
        <f>IF('FY19-20'!$S78&gt;0,'FY19-20'!H78/'FY19-20'!$S78*'Multi-Year'!$J78,0)+IF('FY19-20'!$S78&lt;0,'FY19-20'!H78/'FY19-20'!$S78*'Multi-Year'!$J78,0)</f>
        <v>0</v>
      </c>
      <c r="I78" s="94">
        <f>IF('FY19-20'!$S78&gt;0,'FY19-20'!I78/'FY19-20'!$S78*'Multi-Year'!$J78,0)+IF('FY19-20'!$S78&lt;0,'FY19-20'!I78/'FY19-20'!$S78*'Multi-Year'!$J78,0)</f>
        <v>-112.13305537021363</v>
      </c>
      <c r="J78" s="94">
        <f>IF('FY19-20'!$S78&gt;0,'FY19-20'!J78/'FY19-20'!$S78*'Multi-Year'!$J78,0)+IF('FY19-20'!$S78&lt;0,'FY19-20'!J78/'FY19-20'!$S78*'Multi-Year'!$J78,0)</f>
        <v>0</v>
      </c>
      <c r="K78" s="94">
        <f>IF('FY19-20'!$S78&gt;0,'FY19-20'!K78/'FY19-20'!$S78*'Multi-Year'!$J78,0)+IF('FY19-20'!$S78&lt;0,'FY19-20'!K78/'FY19-20'!$S78*'Multi-Year'!$J78,0)</f>
        <v>0</v>
      </c>
      <c r="L78" s="94">
        <f>IF('FY19-20'!$S78&gt;0,'FY19-20'!L78/'FY19-20'!$S78*'Multi-Year'!$J78,0)+IF('FY19-20'!$S78&lt;0,'FY19-20'!L78/'FY19-20'!$S78*'Multi-Year'!$J78,0)</f>
        <v>0</v>
      </c>
      <c r="M78" s="94">
        <f>IF('FY19-20'!$S78&gt;0,'FY19-20'!M78/'FY19-20'!$S78*'Multi-Year'!$J78,0)+IF('FY19-20'!$S78&lt;0,'FY19-20'!M78/'FY19-20'!$S78*'Multi-Year'!$J78,0)</f>
        <v>0</v>
      </c>
      <c r="N78" s="94">
        <f>IF('FY19-20'!$S78&gt;0,'FY19-20'!N78/'FY19-20'!$S78*'Multi-Year'!$J78,0)+IF('FY19-20'!$S78&lt;0,'FY19-20'!N78/'FY19-20'!$S78*'Multi-Year'!$J78,0)</f>
        <v>0</v>
      </c>
      <c r="O78" s="94">
        <f>IF('FY19-20'!$S78&gt;0,'FY19-20'!O78/'FY19-20'!$S78*'Multi-Year'!$J78,0)+IF('FY19-20'!$S78&lt;0,'FY19-20'!O78/'FY19-20'!$S78*'Multi-Year'!$J78,0)</f>
        <v>0</v>
      </c>
      <c r="P78" s="94">
        <f>IF('FY19-20'!$S78&gt;0,'FY19-20'!P78/'FY19-20'!$S78*'Multi-Year'!$J78,0)+IF('FY19-20'!$S78&lt;0,'FY19-20'!P78/'FY19-20'!$S78*'Multi-Year'!$J78,0)</f>
        <v>0</v>
      </c>
      <c r="Q78" s="606">
        <f>IF('FY19-20'!$S78&gt;0,'FY19-20'!Q78/'FY19-20'!$S78*'Multi-Year'!$J78,0)+IF('FY19-20'!$S78&lt;0,'FY19-20'!Q78/'FY19-20'!$S78*'Multi-Year'!$J78,0)</f>
        <v>0</v>
      </c>
      <c r="R78" s="94"/>
      <c r="S78" s="625">
        <f t="shared" si="25"/>
        <v>-112.13305537021363</v>
      </c>
      <c r="T78" s="94"/>
      <c r="U78" s="94">
        <f>'FY19-20'!S78</f>
        <v>-114.54</v>
      </c>
      <c r="V78" s="94">
        <f t="shared" si="26"/>
        <v>-2.4069446297863806</v>
      </c>
      <c r="W78" s="214"/>
    </row>
    <row r="79" spans="1:23" s="95" customFormat="1" ht="12" customHeight="1">
      <c r="A79" s="124"/>
      <c r="B79" s="124" t="s">
        <v>186</v>
      </c>
      <c r="C79" s="126"/>
      <c r="D79" s="126"/>
      <c r="E79" s="215">
        <f t="shared" ref="E79:Q79" si="27">SUM(E71:E78)</f>
        <v>111499.73493996661</v>
      </c>
      <c r="F79" s="215">
        <f t="shared" si="27"/>
        <v>346092.08417664282</v>
      </c>
      <c r="G79" s="215">
        <f t="shared" si="27"/>
        <v>310024.94300499558</v>
      </c>
      <c r="H79" s="215">
        <f t="shared" si="27"/>
        <v>321473.32287734747</v>
      </c>
      <c r="I79" s="215">
        <f t="shared" si="27"/>
        <v>168703.38030606296</v>
      </c>
      <c r="J79" s="215">
        <f t="shared" si="27"/>
        <v>437091.36555927992</v>
      </c>
      <c r="K79" s="215">
        <f t="shared" si="27"/>
        <v>332403.42045580019</v>
      </c>
      <c r="L79" s="215">
        <f t="shared" si="27"/>
        <v>302733.82129336643</v>
      </c>
      <c r="M79" s="215">
        <f t="shared" si="27"/>
        <v>294707.41688644869</v>
      </c>
      <c r="N79" s="215">
        <f t="shared" si="27"/>
        <v>286141.34992034768</v>
      </c>
      <c r="O79" s="215">
        <f t="shared" si="27"/>
        <v>309964.39568560623</v>
      </c>
      <c r="P79" s="215">
        <f t="shared" si="27"/>
        <v>267711.08966979024</v>
      </c>
      <c r="Q79" s="603">
        <f t="shared" si="27"/>
        <v>0</v>
      </c>
      <c r="R79" s="94"/>
      <c r="S79" s="626">
        <f>SUM(E79:R79)</f>
        <v>3488546.3247756548</v>
      </c>
      <c r="T79" s="94"/>
      <c r="U79" s="216">
        <f>SUM(U71:U78)</f>
        <v>3180016.5700000003</v>
      </c>
      <c r="V79" s="216">
        <f>SUM(V71:V78)</f>
        <v>-308529.75477565452</v>
      </c>
      <c r="W79" s="214"/>
    </row>
    <row r="80" spans="1:23" s="95" customFormat="1" ht="12" customHeight="1">
      <c r="A80" s="124"/>
      <c r="B80" s="124" t="s">
        <v>288</v>
      </c>
      <c r="C80" s="126"/>
      <c r="D80" s="12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606"/>
      <c r="R80" s="94"/>
      <c r="S80" s="627"/>
      <c r="T80" s="94"/>
      <c r="U80" s="94"/>
      <c r="V80" s="94"/>
      <c r="W80" s="214"/>
    </row>
    <row r="81" spans="1:24" s="95" customFormat="1" ht="12" customHeight="1">
      <c r="A81" s="124"/>
      <c r="B81" s="124" t="s">
        <v>186</v>
      </c>
      <c r="C81" s="102">
        <v>4100</v>
      </c>
      <c r="D81" s="127" t="s">
        <v>78</v>
      </c>
      <c r="E81" s="94">
        <f>IF('FY19-20'!$S81&gt;0,'FY19-20'!E81/'FY19-20'!$S81*'Multi-Year'!$J81,0)+IF('FY19-20'!$S81&lt;0,'FY19-20'!E81/'FY19-20'!$S81*'Multi-Year'!$J81,0)</f>
        <v>0</v>
      </c>
      <c r="F81" s="94">
        <f>IF('FY19-20'!$S81&gt;0,'FY19-20'!F81/'FY19-20'!$S81*'Multi-Year'!$J81,0)+IF('FY19-20'!$S81&lt;0,'FY19-20'!F81/'FY19-20'!$S81*'Multi-Year'!$J81,0)</f>
        <v>0</v>
      </c>
      <c r="G81" s="94">
        <f>IF('FY19-20'!$S81&gt;0,'FY19-20'!G81/'FY19-20'!$S81*'Multi-Year'!$J81,0)+IF('FY19-20'!$S81&lt;0,'FY19-20'!G81/'FY19-20'!$S81*'Multi-Year'!$J81,0)</f>
        <v>0</v>
      </c>
      <c r="H81" s="94">
        <f>IF('FY19-20'!$S81&gt;0,'FY19-20'!H81/'FY19-20'!$S81*'Multi-Year'!$J81,0)+IF('FY19-20'!$S81&lt;0,'FY19-20'!H81/'FY19-20'!$S81*'Multi-Year'!$J81,0)</f>
        <v>0</v>
      </c>
      <c r="I81" s="94">
        <f>IF('FY19-20'!$S81&gt;0,'FY19-20'!I81/'FY19-20'!$S81*'Multi-Year'!$J81,0)+IF('FY19-20'!$S81&lt;0,'FY19-20'!I81/'FY19-20'!$S81*'Multi-Year'!$J81,0)</f>
        <v>0</v>
      </c>
      <c r="J81" s="94">
        <f>IF('FY19-20'!$S81&gt;0,'FY19-20'!J81/'FY19-20'!$S81*'Multi-Year'!$J81,0)+IF('FY19-20'!$S81&lt;0,'FY19-20'!J81/'FY19-20'!$S81*'Multi-Year'!$J81,0)</f>
        <v>0</v>
      </c>
      <c r="K81" s="94">
        <f>IF('FY19-20'!$S81&gt;0,'FY19-20'!K81/'FY19-20'!$S81*'Multi-Year'!$J81,0)+IF('FY19-20'!$S81&lt;0,'FY19-20'!K81/'FY19-20'!$S81*'Multi-Year'!$J81,0)</f>
        <v>0</v>
      </c>
      <c r="L81" s="94">
        <f>IF('FY19-20'!$S81&gt;0,'FY19-20'!L81/'FY19-20'!$S81*'Multi-Year'!$J81,0)+IF('FY19-20'!$S81&lt;0,'FY19-20'!L81/'FY19-20'!$S81*'Multi-Year'!$J81,0)</f>
        <v>0</v>
      </c>
      <c r="M81" s="94">
        <f>IF('FY19-20'!$S81&gt;0,'FY19-20'!M81/'FY19-20'!$S81*'Multi-Year'!$J81,0)+IF('FY19-20'!$S81&lt;0,'FY19-20'!M81/'FY19-20'!$S81*'Multi-Year'!$J81,0)</f>
        <v>0</v>
      </c>
      <c r="N81" s="94">
        <f>IF('FY19-20'!$S81&gt;0,'FY19-20'!N81/'FY19-20'!$S81*'Multi-Year'!$J81,0)+IF('FY19-20'!$S81&lt;0,'FY19-20'!N81/'FY19-20'!$S81*'Multi-Year'!$J81,0)</f>
        <v>0</v>
      </c>
      <c r="O81" s="94">
        <f>IF('FY19-20'!$S81&gt;0,'FY19-20'!O81/'FY19-20'!$S81*'Multi-Year'!$J81,0)+IF('FY19-20'!$S81&lt;0,'FY19-20'!O81/'FY19-20'!$S81*'Multi-Year'!$J81,0)</f>
        <v>0</v>
      </c>
      <c r="P81" s="94">
        <f>IF('FY19-20'!$S81&gt;0,'FY19-20'!P81/'FY19-20'!$S81*'Multi-Year'!$J81,0)+IF('FY19-20'!$S81&lt;0,'FY19-20'!P81/'FY19-20'!$S81*'Multi-Year'!$J81,0)</f>
        <v>0</v>
      </c>
      <c r="Q81" s="606">
        <f>IF('FY19-20'!$S81&gt;0,'FY19-20'!Q81/'FY19-20'!$S81*'Multi-Year'!$J81,0)+IF('FY19-20'!$S81&lt;0,'FY19-20'!Q81/'FY19-20'!$S81*'Multi-Year'!$J81,0)</f>
        <v>0</v>
      </c>
      <c r="R81" s="94"/>
      <c r="S81" s="625">
        <f t="shared" ref="S81:S89" si="28">SUM(E81:Q81)</f>
        <v>0</v>
      </c>
      <c r="T81" s="94"/>
      <c r="U81" s="94">
        <f>'FY19-20'!S81</f>
        <v>0</v>
      </c>
      <c r="V81" s="94">
        <f t="shared" ref="V81:V89" si="29">U81-S81</f>
        <v>0</v>
      </c>
      <c r="W81" s="214"/>
    </row>
    <row r="82" spans="1:24" s="95" customFormat="1" ht="12" customHeight="1">
      <c r="A82" s="124"/>
      <c r="B82" s="124" t="s">
        <v>186</v>
      </c>
      <c r="C82" s="102">
        <v>4200</v>
      </c>
      <c r="D82" s="127" t="s">
        <v>79</v>
      </c>
      <c r="E82" s="94">
        <f>IF('FY19-20'!$S82&gt;0,'FY19-20'!E82/'FY19-20'!$S82*'Multi-Year'!$J82,0)+IF('FY19-20'!$S82&lt;0,'FY19-20'!E82/'FY19-20'!$S82*'Multi-Year'!$J82,0)</f>
        <v>0</v>
      </c>
      <c r="F82" s="94">
        <f>IF('FY19-20'!$S82&gt;0,'FY19-20'!F82/'FY19-20'!$S82*'Multi-Year'!$J82,0)+IF('FY19-20'!$S82&lt;0,'FY19-20'!F82/'FY19-20'!$S82*'Multi-Year'!$J82,0)</f>
        <v>0</v>
      </c>
      <c r="G82" s="94">
        <f>IF('FY19-20'!$S82&gt;0,'FY19-20'!G82/'FY19-20'!$S82*'Multi-Year'!$J82,0)+IF('FY19-20'!$S82&lt;0,'FY19-20'!G82/'FY19-20'!$S82*'Multi-Year'!$J82,0)</f>
        <v>0</v>
      </c>
      <c r="H82" s="94">
        <f>IF('FY19-20'!$S82&gt;0,'FY19-20'!H82/'FY19-20'!$S82*'Multi-Year'!$J82,0)+IF('FY19-20'!$S82&lt;0,'FY19-20'!H82/'FY19-20'!$S82*'Multi-Year'!$J82,0)</f>
        <v>0</v>
      </c>
      <c r="I82" s="94">
        <f>IF('FY19-20'!$S82&gt;0,'FY19-20'!I82/'FY19-20'!$S82*'Multi-Year'!$J82,0)+IF('FY19-20'!$S82&lt;0,'FY19-20'!I82/'FY19-20'!$S82*'Multi-Year'!$J82,0)</f>
        <v>0</v>
      </c>
      <c r="J82" s="94">
        <f>IF('FY19-20'!$S82&gt;0,'FY19-20'!J82/'FY19-20'!$S82*'Multi-Year'!$J82,0)+IF('FY19-20'!$S82&lt;0,'FY19-20'!J82/'FY19-20'!$S82*'Multi-Year'!$J82,0)</f>
        <v>0</v>
      </c>
      <c r="K82" s="94">
        <f>IF('FY19-20'!$S82&gt;0,'FY19-20'!K82/'FY19-20'!$S82*'Multi-Year'!$J82,0)+IF('FY19-20'!$S82&lt;0,'FY19-20'!K82/'FY19-20'!$S82*'Multi-Year'!$J82,0)</f>
        <v>0</v>
      </c>
      <c r="L82" s="94">
        <f>IF('FY19-20'!$S82&gt;0,'FY19-20'!L82/'FY19-20'!$S82*'Multi-Year'!$J82,0)+IF('FY19-20'!$S82&lt;0,'FY19-20'!L82/'FY19-20'!$S82*'Multi-Year'!$J82,0)</f>
        <v>0</v>
      </c>
      <c r="M82" s="94">
        <f>IF('FY19-20'!$S82&gt;0,'FY19-20'!M82/'FY19-20'!$S82*'Multi-Year'!$J82,0)+IF('FY19-20'!$S82&lt;0,'FY19-20'!M82/'FY19-20'!$S82*'Multi-Year'!$J82,0)</f>
        <v>0</v>
      </c>
      <c r="N82" s="94">
        <f>IF('FY19-20'!$S82&gt;0,'FY19-20'!N82/'FY19-20'!$S82*'Multi-Year'!$J82,0)+IF('FY19-20'!$S82&lt;0,'FY19-20'!N82/'FY19-20'!$S82*'Multi-Year'!$J82,0)</f>
        <v>0</v>
      </c>
      <c r="O82" s="94">
        <f>IF('FY19-20'!$S82&gt;0,'FY19-20'!O82/'FY19-20'!$S82*'Multi-Year'!$J82,0)+IF('FY19-20'!$S82&lt;0,'FY19-20'!O82/'FY19-20'!$S82*'Multi-Year'!$J82,0)</f>
        <v>0</v>
      </c>
      <c r="P82" s="94">
        <f>IF('FY19-20'!$S82&gt;0,'FY19-20'!P82/'FY19-20'!$S82*'Multi-Year'!$J82,0)+IF('FY19-20'!$S82&lt;0,'FY19-20'!P82/'FY19-20'!$S82*'Multi-Year'!$J82,0)</f>
        <v>0</v>
      </c>
      <c r="Q82" s="606">
        <f>IF('FY19-20'!$S82&gt;0,'FY19-20'!Q82/'FY19-20'!$S82*'Multi-Year'!$J82,0)+IF('FY19-20'!$S82&lt;0,'FY19-20'!Q82/'FY19-20'!$S82*'Multi-Year'!$J82,0)</f>
        <v>0</v>
      </c>
      <c r="R82" s="94"/>
      <c r="S82" s="625">
        <f t="shared" si="28"/>
        <v>0</v>
      </c>
      <c r="T82" s="94"/>
      <c r="U82" s="94">
        <f>'FY19-20'!S82</f>
        <v>0</v>
      </c>
      <c r="V82" s="94">
        <f t="shared" si="29"/>
        <v>0</v>
      </c>
      <c r="W82" s="214"/>
    </row>
    <row r="83" spans="1:24" s="95" customFormat="1" ht="12" customHeight="1">
      <c r="A83" s="124"/>
      <c r="B83" s="124" t="s">
        <v>186</v>
      </c>
      <c r="C83" s="102">
        <v>4302</v>
      </c>
      <c r="D83" s="127" t="s">
        <v>80</v>
      </c>
      <c r="E83" s="94">
        <f>IF('FY19-20'!$S83&gt;0,'FY19-20'!E83/'FY19-20'!$S83*'Multi-Year'!$J83,0)+IF('FY19-20'!$S83&lt;0,'FY19-20'!E83/'FY19-20'!$S83*'Multi-Year'!$J83,0)</f>
        <v>107754.85355725903</v>
      </c>
      <c r="F83" s="94">
        <f>IF('FY19-20'!$S83&gt;0,'FY19-20'!F83/'FY19-20'!$S83*'Multi-Year'!$J83,0)+IF('FY19-20'!$S83&lt;0,'FY19-20'!F83/'FY19-20'!$S83*'Multi-Year'!$J83,0)</f>
        <v>244915.31382154391</v>
      </c>
      <c r="G83" s="94">
        <f>IF('FY19-20'!$S83&gt;0,'FY19-20'!G83/'FY19-20'!$S83*'Multi-Year'!$J83,0)+IF('FY19-20'!$S83&lt;0,'FY19-20'!G83/'FY19-20'!$S83*'Multi-Year'!$J83,0)</f>
        <v>323861.59549294144</v>
      </c>
      <c r="H83" s="94">
        <f>IF('FY19-20'!$S83&gt;0,'FY19-20'!H83/'FY19-20'!$S83*'Multi-Year'!$J83,0)+IF('FY19-20'!$S83&lt;0,'FY19-20'!H83/'FY19-20'!$S83*'Multi-Year'!$J83,0)</f>
        <v>344447.86527642579</v>
      </c>
      <c r="I83" s="94">
        <f>IF('FY19-20'!$S83&gt;0,'FY19-20'!I83/'FY19-20'!$S83*'Multi-Year'!$J83,0)+IF('FY19-20'!$S83&lt;0,'FY19-20'!I83/'FY19-20'!$S83*'Multi-Year'!$J83,0)</f>
        <v>193596.20233105129</v>
      </c>
      <c r="J83" s="94">
        <f>IF('FY19-20'!$S83&gt;0,'FY19-20'!J83/'FY19-20'!$S83*'Multi-Year'!$J83,0)+IF('FY19-20'!$S83&lt;0,'FY19-20'!J83/'FY19-20'!$S83*'Multi-Year'!$J83,0)</f>
        <v>171621.98265734827</v>
      </c>
      <c r="K83" s="94">
        <f>IF('FY19-20'!$S83&gt;0,'FY19-20'!K83/'FY19-20'!$S83*'Multi-Year'!$J83,0)+IF('FY19-20'!$S83&lt;0,'FY19-20'!K83/'FY19-20'!$S83*'Multi-Year'!$J83,0)</f>
        <v>207405.89583114302</v>
      </c>
      <c r="L83" s="94">
        <f>IF('FY19-20'!$S83&gt;0,'FY19-20'!L83/'FY19-20'!$S83*'Multi-Year'!$J83,0)+IF('FY19-20'!$S83&lt;0,'FY19-20'!L83/'FY19-20'!$S83*'Multi-Year'!$J83,0)</f>
        <v>177615.21423106009</v>
      </c>
      <c r="M83" s="94">
        <f>IF('FY19-20'!$S83&gt;0,'FY19-20'!M83/'FY19-20'!$S83*'Multi-Year'!$J83,0)+IF('FY19-20'!$S83&lt;0,'FY19-20'!M83/'FY19-20'!$S83*'Multi-Year'!$J83,0)</f>
        <v>215703.27319756124</v>
      </c>
      <c r="N83" s="94">
        <f>IF('FY19-20'!$S83&gt;0,'FY19-20'!N83/'FY19-20'!$S83*'Multi-Year'!$J83,0)+IF('FY19-20'!$S83&lt;0,'FY19-20'!N83/'FY19-20'!$S83*'Multi-Year'!$J83,0)</f>
        <v>205355.92966821702</v>
      </c>
      <c r="O83" s="94">
        <f>IF('FY19-20'!$S83&gt;0,'FY19-20'!O83/'FY19-20'!$S83*'Multi-Year'!$J83,0)+IF('FY19-20'!$S83&lt;0,'FY19-20'!O83/'FY19-20'!$S83*'Multi-Year'!$J83,0)</f>
        <v>245239.05562902111</v>
      </c>
      <c r="P83" s="94">
        <f>IF('FY19-20'!$S83&gt;0,'FY19-20'!P83/'FY19-20'!$S83*'Multi-Year'!$J83,0)+IF('FY19-20'!$S83&lt;0,'FY19-20'!P83/'FY19-20'!$S83*'Multi-Year'!$J83,0)</f>
        <v>350682.83149824379</v>
      </c>
      <c r="Q83" s="606">
        <f>IF('FY19-20'!$S83&gt;0,'FY19-20'!Q83/'FY19-20'!$S83*'Multi-Year'!$J83,0)+IF('FY19-20'!$S83&lt;0,'FY19-20'!Q83/'FY19-20'!$S83*'Multi-Year'!$J83,0)</f>
        <v>0</v>
      </c>
      <c r="R83" s="94"/>
      <c r="S83" s="625">
        <f t="shared" si="28"/>
        <v>2788200.0131918159</v>
      </c>
      <c r="T83" s="94"/>
      <c r="U83" s="94">
        <f>'FY19-20'!S83</f>
        <v>2751237.1700000004</v>
      </c>
      <c r="V83" s="94">
        <f t="shared" si="29"/>
        <v>-36962.84319181554</v>
      </c>
      <c r="W83" s="214"/>
      <c r="X83" s="94"/>
    </row>
    <row r="84" spans="1:24" s="95" customFormat="1" ht="12" customHeight="1">
      <c r="A84" s="124"/>
      <c r="B84" s="124" t="s">
        <v>186</v>
      </c>
      <c r="C84" s="102">
        <v>4305</v>
      </c>
      <c r="D84" s="127" t="s">
        <v>97</v>
      </c>
      <c r="E84" s="94">
        <f>IF('FY19-20'!$S84&gt;0,'FY19-20'!E84/'FY19-20'!$S84*'Multi-Year'!$J84,0)+IF('FY19-20'!$S84&lt;0,'FY19-20'!E84/'FY19-20'!$S84*'Multi-Year'!$J84,0)</f>
        <v>10194.436458089982</v>
      </c>
      <c r="F84" s="94">
        <f>IF('FY19-20'!$S84&gt;0,'FY19-20'!F84/'FY19-20'!$S84*'Multi-Year'!$J84,0)+IF('FY19-20'!$S84&lt;0,'FY19-20'!F84/'FY19-20'!$S84*'Multi-Year'!$J84,0)</f>
        <v>11758.825380024891</v>
      </c>
      <c r="G84" s="94">
        <f>IF('FY19-20'!$S84&gt;0,'FY19-20'!G84/'FY19-20'!$S84*'Multi-Year'!$J84,0)+IF('FY19-20'!$S84&lt;0,'FY19-20'!G84/'FY19-20'!$S84*'Multi-Year'!$J84,0)</f>
        <v>17298.909632417755</v>
      </c>
      <c r="H84" s="94">
        <f>IF('FY19-20'!$S84&gt;0,'FY19-20'!H84/'FY19-20'!$S84*'Multi-Year'!$J84,0)+IF('FY19-20'!$S84&lt;0,'FY19-20'!H84/'FY19-20'!$S84*'Multi-Year'!$J84,0)</f>
        <v>10636.689353269054</v>
      </c>
      <c r="I84" s="94">
        <f>IF('FY19-20'!$S84&gt;0,'FY19-20'!I84/'FY19-20'!$S84*'Multi-Year'!$J84,0)+IF('FY19-20'!$S84&lt;0,'FY19-20'!I84/'FY19-20'!$S84*'Multi-Year'!$J84,0)</f>
        <v>11565.715342727122</v>
      </c>
      <c r="J84" s="94">
        <f>IF('FY19-20'!$S84&gt;0,'FY19-20'!J84/'FY19-20'!$S84*'Multi-Year'!$J84,0)+IF('FY19-20'!$S84&lt;0,'FY19-20'!J84/'FY19-20'!$S84*'Multi-Year'!$J84,0)</f>
        <v>2161.4642804988121</v>
      </c>
      <c r="K84" s="94">
        <f>IF('FY19-20'!$S84&gt;0,'FY19-20'!K84/'FY19-20'!$S84*'Multi-Year'!$J84,0)+IF('FY19-20'!$S84&lt;0,'FY19-20'!K84/'FY19-20'!$S84*'Multi-Year'!$J84,0)</f>
        <v>13645.121792105494</v>
      </c>
      <c r="L84" s="94">
        <f>IF('FY19-20'!$S84&gt;0,'FY19-20'!L84/'FY19-20'!$S84*'Multi-Year'!$J84,0)+IF('FY19-20'!$S84&lt;0,'FY19-20'!L84/'FY19-20'!$S84*'Multi-Year'!$J84,0)</f>
        <v>25009.568945867326</v>
      </c>
      <c r="M84" s="94">
        <f>IF('FY19-20'!$S84&gt;0,'FY19-20'!M84/'FY19-20'!$S84*'Multi-Year'!$J84,0)+IF('FY19-20'!$S84&lt;0,'FY19-20'!M84/'FY19-20'!$S84*'Multi-Year'!$J84,0)</f>
        <v>9967.8222600309255</v>
      </c>
      <c r="N84" s="94">
        <f>IF('FY19-20'!$S84&gt;0,'FY19-20'!N84/'FY19-20'!$S84*'Multi-Year'!$J84,0)+IF('FY19-20'!$S84&lt;0,'FY19-20'!N84/'FY19-20'!$S84*'Multi-Year'!$J84,0)</f>
        <v>11514.283516997069</v>
      </c>
      <c r="O84" s="94">
        <f>IF('FY19-20'!$S84&gt;0,'FY19-20'!O84/'FY19-20'!$S84*'Multi-Year'!$J84,0)+IF('FY19-20'!$S84&lt;0,'FY19-20'!O84/'FY19-20'!$S84*'Multi-Year'!$J84,0)</f>
        <v>70200.074216716734</v>
      </c>
      <c r="P84" s="94">
        <f>IF('FY19-20'!$S84&gt;0,'FY19-20'!P84/'FY19-20'!$S84*'Multi-Year'!$J84,0)+IF('FY19-20'!$S84&lt;0,'FY19-20'!P84/'FY19-20'!$S84*'Multi-Year'!$J84,0)</f>
        <v>281420.80284239398</v>
      </c>
      <c r="Q84" s="606">
        <f>IF('FY19-20'!$S84&gt;0,'FY19-20'!Q84/'FY19-20'!$S84*'Multi-Year'!$J84,0)+IF('FY19-20'!$S84&lt;0,'FY19-20'!Q84/'FY19-20'!$S84*'Multi-Year'!$J84,0)</f>
        <v>0</v>
      </c>
      <c r="R84" s="94"/>
      <c r="S84" s="625">
        <f t="shared" si="28"/>
        <v>475373.71402113914</v>
      </c>
      <c r="T84" s="94"/>
      <c r="U84" s="94">
        <f>'FY19-20'!S84</f>
        <v>469071.74</v>
      </c>
      <c r="V84" s="94">
        <f t="shared" si="29"/>
        <v>-6301.9740211391472</v>
      </c>
      <c r="W84" s="214"/>
    </row>
    <row r="85" spans="1:24" s="95" customFormat="1" ht="12" customHeight="1">
      <c r="A85" s="124"/>
      <c r="B85" s="124" t="s">
        <v>186</v>
      </c>
      <c r="C85" s="102">
        <f>'Multi-Year'!D85</f>
        <v>4310</v>
      </c>
      <c r="D85" s="127" t="s">
        <v>39</v>
      </c>
      <c r="E85" s="94">
        <f>IF('FY19-20'!$S85&gt;0,'FY19-20'!E85/'FY19-20'!$S85*'Multi-Year'!$J85,0)+IF('FY19-20'!$S85&lt;0,'FY19-20'!E85/'FY19-20'!$S85*'Multi-Year'!$J85,0)</f>
        <v>1165.6630595658021</v>
      </c>
      <c r="F85" s="94">
        <f>IF('FY19-20'!$S85&gt;0,'FY19-20'!F85/'FY19-20'!$S85*'Multi-Year'!$J85,0)+IF('FY19-20'!$S85&lt;0,'FY19-20'!F85/'FY19-20'!$S85*'Multi-Year'!$J85,0)</f>
        <v>1893.2181730606292</v>
      </c>
      <c r="G85" s="94">
        <f>IF('FY19-20'!$S85&gt;0,'FY19-20'!G85/'FY19-20'!$S85*'Multi-Year'!$J85,0)+IF('FY19-20'!$S85&lt;0,'FY19-20'!G85/'FY19-20'!$S85*'Multi-Year'!$J85,0)</f>
        <v>1277.9111190310375</v>
      </c>
      <c r="H85" s="94">
        <f>IF('FY19-20'!$S85&gt;0,'FY19-20'!H85/'FY19-20'!$S85*'Multi-Year'!$J85,0)+IF('FY19-20'!$S85&lt;0,'FY19-20'!H85/'FY19-20'!$S85*'Multi-Year'!$J85,0)</f>
        <v>2473.4097046952188</v>
      </c>
      <c r="I85" s="94">
        <f>IF('FY19-20'!$S85&gt;0,'FY19-20'!I85/'FY19-20'!$S85*'Multi-Year'!$J85,0)+IF('FY19-20'!$S85&lt;0,'FY19-20'!I85/'FY19-20'!$S85*'Multi-Year'!$J85,0)</f>
        <v>2137.070900295415</v>
      </c>
      <c r="J85" s="94">
        <f>IF('FY19-20'!$S85&gt;0,'FY19-20'!J85/'FY19-20'!$S85*'Multi-Year'!$J85,0)+IF('FY19-20'!$S85&lt;0,'FY19-20'!J85/'FY19-20'!$S85*'Multi-Year'!$J85,0)</f>
        <v>18740.581711443258</v>
      </c>
      <c r="K85" s="94">
        <f>IF('FY19-20'!$S85&gt;0,'FY19-20'!K85/'FY19-20'!$S85*'Multi-Year'!$J85,0)+IF('FY19-20'!$S85&lt;0,'FY19-20'!K85/'FY19-20'!$S85*'Multi-Year'!$J85,0)</f>
        <v>-12487.19124151152</v>
      </c>
      <c r="L85" s="94">
        <f>IF('FY19-20'!$S85&gt;0,'FY19-20'!L85/'FY19-20'!$S85*'Multi-Year'!$J85,0)+IF('FY19-20'!$S85&lt;0,'FY19-20'!L85/'FY19-20'!$S85*'Multi-Year'!$J85,0)</f>
        <v>2640.3832536072105</v>
      </c>
      <c r="M85" s="94">
        <f>IF('FY19-20'!$S85&gt;0,'FY19-20'!M85/'FY19-20'!$S85*'Multi-Year'!$J85,0)+IF('FY19-20'!$S85&lt;0,'FY19-20'!M85/'FY19-20'!$S85*'Multi-Year'!$J85,0)</f>
        <v>2135.5811508604756</v>
      </c>
      <c r="N85" s="94">
        <f>IF('FY19-20'!$S85&gt;0,'FY19-20'!N85/'FY19-20'!$S85*'Multi-Year'!$J85,0)+IF('FY19-20'!$S85&lt;0,'FY19-20'!N85/'FY19-20'!$S85*'Multi-Year'!$J85,0)</f>
        <v>2919.9392955310559</v>
      </c>
      <c r="O85" s="94">
        <f>IF('FY19-20'!$S85&gt;0,'FY19-20'!O85/'FY19-20'!$S85*'Multi-Year'!$J85,0)+IF('FY19-20'!$S85&lt;0,'FY19-20'!O85/'FY19-20'!$S85*'Multi-Year'!$J85,0)</f>
        <v>3987.3599671900338</v>
      </c>
      <c r="P85" s="94">
        <f>IF('FY19-20'!$S85&gt;0,'FY19-20'!P85/'FY19-20'!$S85*'Multi-Year'!$J85,0)+IF('FY19-20'!$S85&lt;0,'FY19-20'!P85/'FY19-20'!$S85*'Multi-Year'!$J85,0)</f>
        <v>73892.534736238027</v>
      </c>
      <c r="Q85" s="606">
        <f>IF('FY19-20'!$S85&gt;0,'FY19-20'!Q85/'FY19-20'!$S85*'Multi-Year'!$J85,0)+IF('FY19-20'!$S85&lt;0,'FY19-20'!Q85/'FY19-20'!$S85*'Multi-Year'!$J85,0)</f>
        <v>0</v>
      </c>
      <c r="R85" s="94"/>
      <c r="S85" s="625">
        <f>SUM(E85:Q85)</f>
        <v>100776.46183000664</v>
      </c>
      <c r="T85" s="94"/>
      <c r="U85" s="94">
        <f>'FY19-20'!S85</f>
        <v>99440.48</v>
      </c>
      <c r="V85" s="94">
        <f>U85-S85</f>
        <v>-1335.9818300066399</v>
      </c>
      <c r="W85" s="214"/>
    </row>
    <row r="86" spans="1:24" s="95" customFormat="1" ht="12" customHeight="1">
      <c r="A86" s="124"/>
      <c r="B86" s="124" t="s">
        <v>186</v>
      </c>
      <c r="C86" s="102">
        <f>'Multi-Year'!D86</f>
        <v>4311</v>
      </c>
      <c r="D86" s="127" t="s">
        <v>36</v>
      </c>
      <c r="E86" s="94">
        <f>IF('FY19-20'!$S86&gt;0,'FY19-20'!E86/'FY19-20'!$S86*'Multi-Year'!$J86,0)+IF('FY19-20'!$S86&lt;0,'FY19-20'!E86/'FY19-20'!$S86*'Multi-Year'!$J86,0)</f>
        <v>0</v>
      </c>
      <c r="F86" s="94">
        <f>IF('FY19-20'!$S86&gt;0,'FY19-20'!F86/'FY19-20'!$S86*'Multi-Year'!$J86,0)+IF('FY19-20'!$S86&lt;0,'FY19-20'!F86/'FY19-20'!$S86*'Multi-Year'!$J86,0)</f>
        <v>491.23220823391875</v>
      </c>
      <c r="G86" s="94">
        <f>IF('FY19-20'!$S86&gt;0,'FY19-20'!G86/'FY19-20'!$S86*'Multi-Year'!$J86,0)+IF('FY19-20'!$S86&lt;0,'FY19-20'!G86/'FY19-20'!$S86*'Multi-Year'!$J86,0)</f>
        <v>465.80512434097216</v>
      </c>
      <c r="H86" s="94">
        <f>IF('FY19-20'!$S86&gt;0,'FY19-20'!H86/'FY19-20'!$S86*'Multi-Year'!$J86,0)+IF('FY19-20'!$S86&lt;0,'FY19-20'!H86/'FY19-20'!$S86*'Multi-Year'!$J86,0)</f>
        <v>72.764632264390485</v>
      </c>
      <c r="I86" s="94">
        <f>IF('FY19-20'!$S86&gt;0,'FY19-20'!I86/'FY19-20'!$S86*'Multi-Year'!$J86,0)+IF('FY19-20'!$S86&lt;0,'FY19-20'!I86/'FY19-20'!$S86*'Multi-Year'!$J86,0)</f>
        <v>1615.668732416498</v>
      </c>
      <c r="J86" s="94">
        <f>IF('FY19-20'!$S86&gt;0,'FY19-20'!J86/'FY19-20'!$S86*'Multi-Year'!$J86,0)+IF('FY19-20'!$S86&lt;0,'FY19-20'!J86/'FY19-20'!$S86*'Multi-Year'!$J86,0)</f>
        <v>0</v>
      </c>
      <c r="K86" s="94">
        <f>IF('FY19-20'!$S86&gt;0,'FY19-20'!K86/'FY19-20'!$S86*'Multi-Year'!$J86,0)+IF('FY19-20'!$S86&lt;0,'FY19-20'!K86/'FY19-20'!$S86*'Multi-Year'!$J86,0)</f>
        <v>1127.6795161497944</v>
      </c>
      <c r="L86" s="94">
        <f>IF('FY19-20'!$S86&gt;0,'FY19-20'!L86/'FY19-20'!$S86*'Multi-Year'!$J86,0)+IF('FY19-20'!$S86&lt;0,'FY19-20'!L86/'FY19-20'!$S86*'Multi-Year'!$J86,0)</f>
        <v>0</v>
      </c>
      <c r="M86" s="94">
        <f>IF('FY19-20'!$S86&gt;0,'FY19-20'!M86/'FY19-20'!$S86*'Multi-Year'!$J86,0)+IF('FY19-20'!$S86&lt;0,'FY19-20'!M86/'FY19-20'!$S86*'Multi-Year'!$J86,0)</f>
        <v>1834.0538383587473</v>
      </c>
      <c r="N86" s="94">
        <f>IF('FY19-20'!$S86&gt;0,'FY19-20'!N86/'FY19-20'!$S86*'Multi-Year'!$J86,0)+IF('FY19-20'!$S86&lt;0,'FY19-20'!N86/'FY19-20'!$S86*'Multi-Year'!$J86,0)</f>
        <v>0</v>
      </c>
      <c r="O86" s="94">
        <f>IF('FY19-20'!$S86&gt;0,'FY19-20'!O86/'FY19-20'!$S86*'Multi-Year'!$J86,0)+IF('FY19-20'!$S86&lt;0,'FY19-20'!O86/'FY19-20'!$S86*'Multi-Year'!$J86,0)</f>
        <v>0</v>
      </c>
      <c r="P86" s="94">
        <f>IF('FY19-20'!$S86&gt;0,'FY19-20'!P86/'FY19-20'!$S86*'Multi-Year'!$J86,0)+IF('FY19-20'!$S86&lt;0,'FY19-20'!P86/'FY19-20'!$S86*'Multi-Year'!$J86,0)</f>
        <v>0</v>
      </c>
      <c r="Q86" s="606">
        <f>IF('FY19-20'!$S86&gt;0,'FY19-20'!Q86/'FY19-20'!$S86*'Multi-Year'!$J86,0)+IF('FY19-20'!$S86&lt;0,'FY19-20'!Q86/'FY19-20'!$S86*'Multi-Year'!$J86,0)</f>
        <v>0</v>
      </c>
      <c r="R86" s="94"/>
      <c r="S86" s="625">
        <f>SUM(E86:Q86)</f>
        <v>5607.2040517643218</v>
      </c>
      <c r="T86" s="94"/>
      <c r="U86" s="94">
        <f>'FY19-20'!S86</f>
        <v>5532.87</v>
      </c>
      <c r="V86" s="94">
        <f>U86-S86</f>
        <v>-74.334051764321885</v>
      </c>
      <c r="W86" s="214"/>
    </row>
    <row r="87" spans="1:24" s="95" customFormat="1" ht="12" customHeight="1">
      <c r="A87" s="124"/>
      <c r="B87" s="124" t="s">
        <v>186</v>
      </c>
      <c r="C87" s="102">
        <f>'Multi-Year'!D87</f>
        <v>4312</v>
      </c>
      <c r="D87" s="127" t="s">
        <v>34</v>
      </c>
      <c r="E87" s="94">
        <f>IF('FY19-20'!$S87&gt;0,'FY19-20'!E87/'FY19-20'!$S87*'Multi-Year'!$J87,0)+IF('FY19-20'!$S87&lt;0,'FY19-20'!E87/'FY19-20'!$S87*'Multi-Year'!$J87,0)</f>
        <v>0</v>
      </c>
      <c r="F87" s="94">
        <f>IF('FY19-20'!$S87&gt;0,'FY19-20'!F87/'FY19-20'!$S87*'Multi-Year'!$J87,0)+IF('FY19-20'!$S87&lt;0,'FY19-20'!F87/'FY19-20'!$S87*'Multi-Year'!$J87,0)</f>
        <v>0</v>
      </c>
      <c r="G87" s="94">
        <f>IF('FY19-20'!$S87&gt;0,'FY19-20'!G87/'FY19-20'!$S87*'Multi-Year'!$J87,0)+IF('FY19-20'!$S87&lt;0,'FY19-20'!G87/'FY19-20'!$S87*'Multi-Year'!$J87,0)</f>
        <v>0</v>
      </c>
      <c r="H87" s="94">
        <f>IF('FY19-20'!$S87&gt;0,'FY19-20'!H87/'FY19-20'!$S87*'Multi-Year'!$J87,0)+IF('FY19-20'!$S87&lt;0,'FY19-20'!H87/'FY19-20'!$S87*'Multi-Year'!$J87,0)</f>
        <v>0</v>
      </c>
      <c r="I87" s="94">
        <f>IF('FY19-20'!$S87&gt;0,'FY19-20'!I87/'FY19-20'!$S87*'Multi-Year'!$J87,0)+IF('FY19-20'!$S87&lt;0,'FY19-20'!I87/'FY19-20'!$S87*'Multi-Year'!$J87,0)</f>
        <v>0</v>
      </c>
      <c r="J87" s="94">
        <f>IF('FY19-20'!$S87&gt;0,'FY19-20'!J87/'FY19-20'!$S87*'Multi-Year'!$J87,0)+IF('FY19-20'!$S87&lt;0,'FY19-20'!J87/'FY19-20'!$S87*'Multi-Year'!$J87,0)</f>
        <v>0</v>
      </c>
      <c r="K87" s="94">
        <f>IF('FY19-20'!$S87&gt;0,'FY19-20'!K87/'FY19-20'!$S87*'Multi-Year'!$J87,0)+IF('FY19-20'!$S87&lt;0,'FY19-20'!K87/'FY19-20'!$S87*'Multi-Year'!$J87,0)</f>
        <v>0</v>
      </c>
      <c r="L87" s="94">
        <f>IF('FY19-20'!$S87&gt;0,'FY19-20'!L87/'FY19-20'!$S87*'Multi-Year'!$J87,0)+IF('FY19-20'!$S87&lt;0,'FY19-20'!L87/'FY19-20'!$S87*'Multi-Year'!$J87,0)</f>
        <v>0</v>
      </c>
      <c r="M87" s="94">
        <f>IF('FY19-20'!$S87&gt;0,'FY19-20'!M87/'FY19-20'!$S87*'Multi-Year'!$J87,0)+IF('FY19-20'!$S87&lt;0,'FY19-20'!M87/'FY19-20'!$S87*'Multi-Year'!$J87,0)</f>
        <v>0</v>
      </c>
      <c r="N87" s="94">
        <f>IF('FY19-20'!$S87&gt;0,'FY19-20'!N87/'FY19-20'!$S87*'Multi-Year'!$J87,0)+IF('FY19-20'!$S87&lt;0,'FY19-20'!N87/'FY19-20'!$S87*'Multi-Year'!$J87,0)</f>
        <v>0</v>
      </c>
      <c r="O87" s="94">
        <f>IF('FY19-20'!$S87&gt;0,'FY19-20'!O87/'FY19-20'!$S87*'Multi-Year'!$J87,0)+IF('FY19-20'!$S87&lt;0,'FY19-20'!O87/'FY19-20'!$S87*'Multi-Year'!$J87,0)</f>
        <v>0</v>
      </c>
      <c r="P87" s="94">
        <f>IF('FY19-20'!$S87&gt;0,'FY19-20'!P87/'FY19-20'!$S87*'Multi-Year'!$J87,0)+IF('FY19-20'!$S87&lt;0,'FY19-20'!P87/'FY19-20'!$S87*'Multi-Year'!$J87,0)</f>
        <v>0</v>
      </c>
      <c r="Q87" s="606">
        <f>IF('FY19-20'!$S87&gt;0,'FY19-20'!Q87/'FY19-20'!$S87*'Multi-Year'!$J87,0)+IF('FY19-20'!$S87&lt;0,'FY19-20'!Q87/'FY19-20'!$S87*'Multi-Year'!$J87,0)</f>
        <v>0</v>
      </c>
      <c r="R87" s="94"/>
      <c r="S87" s="625">
        <f>SUM(E87:Q87)</f>
        <v>0</v>
      </c>
      <c r="T87" s="94"/>
      <c r="U87" s="94">
        <f>'FY19-20'!S87</f>
        <v>0</v>
      </c>
      <c r="V87" s="94">
        <f>U87-S87</f>
        <v>0</v>
      </c>
      <c r="W87" s="214"/>
    </row>
    <row r="88" spans="1:24" s="95" customFormat="1" ht="12" customHeight="1">
      <c r="A88" s="124"/>
      <c r="B88" s="124" t="s">
        <v>186</v>
      </c>
      <c r="C88" s="102">
        <v>4400</v>
      </c>
      <c r="D88" s="127" t="s">
        <v>83</v>
      </c>
      <c r="E88" s="94">
        <f>IF('FY19-20'!$S88&gt;0,'FY19-20'!E88/'FY19-20'!$S88*'Multi-Year'!$J88,0)+IF('FY19-20'!$S88&lt;0,'FY19-20'!E88/'FY19-20'!$S88*'Multi-Year'!$J88,0)</f>
        <v>0</v>
      </c>
      <c r="F88" s="94">
        <f>IF('FY19-20'!$S88&gt;0,'FY19-20'!F88/'FY19-20'!$S88*'Multi-Year'!$J88,0)+IF('FY19-20'!$S88&lt;0,'FY19-20'!F88/'FY19-20'!$S88*'Multi-Year'!$J88,0)</f>
        <v>0</v>
      </c>
      <c r="G88" s="94">
        <f>IF('FY19-20'!$S88&gt;0,'FY19-20'!G88/'FY19-20'!$S88*'Multi-Year'!$J88,0)+IF('FY19-20'!$S88&lt;0,'FY19-20'!G88/'FY19-20'!$S88*'Multi-Year'!$J88,0)</f>
        <v>0</v>
      </c>
      <c r="H88" s="94">
        <f>IF('FY19-20'!$S88&gt;0,'FY19-20'!H88/'FY19-20'!$S88*'Multi-Year'!$J88,0)+IF('FY19-20'!$S88&lt;0,'FY19-20'!H88/'FY19-20'!$S88*'Multi-Year'!$J88,0)</f>
        <v>0</v>
      </c>
      <c r="I88" s="94">
        <f>IF('FY19-20'!$S88&gt;0,'FY19-20'!I88/'FY19-20'!$S88*'Multi-Year'!$J88,0)+IF('FY19-20'!$S88&lt;0,'FY19-20'!I88/'FY19-20'!$S88*'Multi-Year'!$J88,0)</f>
        <v>0</v>
      </c>
      <c r="J88" s="94">
        <f>IF('FY19-20'!$S88&gt;0,'FY19-20'!J88/'FY19-20'!$S88*'Multi-Year'!$J88,0)+IF('FY19-20'!$S88&lt;0,'FY19-20'!J88/'FY19-20'!$S88*'Multi-Year'!$J88,0)</f>
        <v>72719.971799999999</v>
      </c>
      <c r="K88" s="94">
        <f>IF('FY19-20'!$S88&gt;0,'FY19-20'!K88/'FY19-20'!$S88*'Multi-Year'!$J88,0)+IF('FY19-20'!$S88&lt;0,'FY19-20'!K88/'FY19-20'!$S88*'Multi-Year'!$J88,0)</f>
        <v>81.579600000000013</v>
      </c>
      <c r="L88" s="94">
        <f>IF('FY19-20'!$S88&gt;0,'FY19-20'!L88/'FY19-20'!$S88*'Multi-Year'!$J88,0)+IF('FY19-20'!$S88&lt;0,'FY19-20'!L88/'FY19-20'!$S88*'Multi-Year'!$J88,0)</f>
        <v>20.389800000000001</v>
      </c>
      <c r="M88" s="94">
        <f>IF('FY19-20'!$S88&gt;0,'FY19-20'!M88/'FY19-20'!$S88*'Multi-Year'!$J88,0)+IF('FY19-20'!$S88&lt;0,'FY19-20'!M88/'FY19-20'!$S88*'Multi-Year'!$J88,0)</f>
        <v>0</v>
      </c>
      <c r="N88" s="94">
        <f>IF('FY19-20'!$S88&gt;0,'FY19-20'!N88/'FY19-20'!$S88*'Multi-Year'!$J88,0)+IF('FY19-20'!$S88&lt;0,'FY19-20'!N88/'FY19-20'!$S88*'Multi-Year'!$J88,0)</f>
        <v>217.22940000000003</v>
      </c>
      <c r="O88" s="94">
        <f>IF('FY19-20'!$S88&gt;0,'FY19-20'!O88/'FY19-20'!$S88*'Multi-Year'!$J88,0)+IF('FY19-20'!$S88&lt;0,'FY19-20'!O88/'FY19-20'!$S88*'Multi-Year'!$J88,0)</f>
        <v>0</v>
      </c>
      <c r="P88" s="94">
        <f>IF('FY19-20'!$S88&gt;0,'FY19-20'!P88/'FY19-20'!$S88*'Multi-Year'!$J88,0)+IF('FY19-20'!$S88&lt;0,'FY19-20'!P88/'FY19-20'!$S88*'Multi-Year'!$J88,0)</f>
        <v>375906.61800000007</v>
      </c>
      <c r="Q88" s="606">
        <f>IF('FY19-20'!$S88&gt;0,'FY19-20'!Q88/'FY19-20'!$S88*'Multi-Year'!$J88,0)+IF('FY19-20'!$S88&lt;0,'FY19-20'!Q88/'FY19-20'!$S88*'Multi-Year'!$J88,0)</f>
        <v>0</v>
      </c>
      <c r="R88" s="94"/>
      <c r="S88" s="625">
        <f t="shared" si="28"/>
        <v>448945.78860000009</v>
      </c>
      <c r="T88" s="94"/>
      <c r="U88" s="94">
        <f>'FY19-20'!S88</f>
        <v>440142.93000000005</v>
      </c>
      <c r="V88" s="94">
        <f t="shared" si="29"/>
        <v>-8802.8586000000359</v>
      </c>
      <c r="W88" s="214"/>
    </row>
    <row r="89" spans="1:24" s="95" customFormat="1" ht="12" customHeight="1">
      <c r="A89" s="124"/>
      <c r="B89" s="124" t="s">
        <v>186</v>
      </c>
      <c r="C89" s="102">
        <v>4700</v>
      </c>
      <c r="D89" s="127" t="s">
        <v>84</v>
      </c>
      <c r="E89" s="94">
        <f>IF('FY19-20'!$S89&gt;0,'FY19-20'!E89/'FY19-20'!$S89*'Multi-Year'!$J89,0)+IF('FY19-20'!$S89&lt;0,'FY19-20'!E89/'FY19-20'!$S89*'Multi-Year'!$J89,0)</f>
        <v>0</v>
      </c>
      <c r="F89" s="94">
        <f>IF('FY19-20'!$S89&gt;0,'FY19-20'!F89/'FY19-20'!$S89*'Multi-Year'!$J89,0)+IF('FY19-20'!$S89&lt;0,'FY19-20'!F89/'FY19-20'!$S89*'Multi-Year'!$J89,0)</f>
        <v>0</v>
      </c>
      <c r="G89" s="94">
        <f>IF('FY19-20'!$S89&gt;0,'FY19-20'!G89/'FY19-20'!$S89*'Multi-Year'!$J89,0)+IF('FY19-20'!$S89&lt;0,'FY19-20'!G89/'FY19-20'!$S89*'Multi-Year'!$J89,0)</f>
        <v>0</v>
      </c>
      <c r="H89" s="94">
        <f>IF('FY19-20'!$S89&gt;0,'FY19-20'!H89/'FY19-20'!$S89*'Multi-Year'!$J89,0)+IF('FY19-20'!$S89&lt;0,'FY19-20'!H89/'FY19-20'!$S89*'Multi-Year'!$J89,0)</f>
        <v>0</v>
      </c>
      <c r="I89" s="94">
        <f>IF('FY19-20'!$S89&gt;0,'FY19-20'!I89/'FY19-20'!$S89*'Multi-Year'!$J89,0)+IF('FY19-20'!$S89&lt;0,'FY19-20'!I89/'FY19-20'!$S89*'Multi-Year'!$J89,0)</f>
        <v>0</v>
      </c>
      <c r="J89" s="94">
        <f>IF('FY19-20'!$S89&gt;0,'FY19-20'!J89/'FY19-20'!$S89*'Multi-Year'!$J89,0)+IF('FY19-20'!$S89&lt;0,'FY19-20'!J89/'FY19-20'!$S89*'Multi-Year'!$J89,0)</f>
        <v>0</v>
      </c>
      <c r="K89" s="94">
        <f>IF('FY19-20'!$S89&gt;0,'FY19-20'!K89/'FY19-20'!$S89*'Multi-Year'!$J89,0)+IF('FY19-20'!$S89&lt;0,'FY19-20'!K89/'FY19-20'!$S89*'Multi-Year'!$J89,0)</f>
        <v>0</v>
      </c>
      <c r="L89" s="94">
        <f>IF('FY19-20'!$S89&gt;0,'FY19-20'!L89/'FY19-20'!$S89*'Multi-Year'!$J89,0)+IF('FY19-20'!$S89&lt;0,'FY19-20'!L89/'FY19-20'!$S89*'Multi-Year'!$J89,0)</f>
        <v>0</v>
      </c>
      <c r="M89" s="94">
        <f>IF('FY19-20'!$S89&gt;0,'FY19-20'!M89/'FY19-20'!$S89*'Multi-Year'!$J89,0)+IF('FY19-20'!$S89&lt;0,'FY19-20'!M89/'FY19-20'!$S89*'Multi-Year'!$J89,0)</f>
        <v>0</v>
      </c>
      <c r="N89" s="94">
        <f>IF('FY19-20'!$S89&gt;0,'FY19-20'!N89/'FY19-20'!$S89*'Multi-Year'!$J89,0)+IF('FY19-20'!$S89&lt;0,'FY19-20'!N89/'FY19-20'!$S89*'Multi-Year'!$J89,0)</f>
        <v>126581.80019852919</v>
      </c>
      <c r="O89" s="94">
        <f>IF('FY19-20'!$S89&gt;0,'FY19-20'!O89/'FY19-20'!$S89*'Multi-Year'!$J89,0)+IF('FY19-20'!$S89&lt;0,'FY19-20'!O89/'FY19-20'!$S89*'Multi-Year'!$J89,0)</f>
        <v>0</v>
      </c>
      <c r="P89" s="94">
        <f>IF('FY19-20'!$S89&gt;0,'FY19-20'!P89/'FY19-20'!$S89*'Multi-Year'!$J89,0)+IF('FY19-20'!$S89&lt;0,'FY19-20'!P89/'FY19-20'!$S89*'Multi-Year'!$J89,0)</f>
        <v>0</v>
      </c>
      <c r="Q89" s="606">
        <f>IF('FY19-20'!$S89&gt;0,'FY19-20'!Q89/'FY19-20'!$S89*'Multi-Year'!$J89,0)+IF('FY19-20'!$S89&lt;0,'FY19-20'!Q89/'FY19-20'!$S89*'Multi-Year'!$J89,0)</f>
        <v>0</v>
      </c>
      <c r="R89" s="94"/>
      <c r="S89" s="625">
        <f t="shared" si="28"/>
        <v>126581.80019852919</v>
      </c>
      <c r="T89" s="94"/>
      <c r="U89" s="94">
        <f>'FY19-20'!S89</f>
        <v>124903.72</v>
      </c>
      <c r="V89" s="94">
        <f t="shared" si="29"/>
        <v>-1678.080198529191</v>
      </c>
      <c r="W89" s="214"/>
    </row>
    <row r="90" spans="1:24" s="95" customFormat="1" ht="12" customHeight="1">
      <c r="A90" s="124"/>
      <c r="B90" s="124" t="s">
        <v>186</v>
      </c>
      <c r="C90" s="126"/>
      <c r="D90" s="126"/>
      <c r="E90" s="215">
        <f t="shared" ref="E90:Q90" si="30">SUM(E81:E89)</f>
        <v>119114.95307491483</v>
      </c>
      <c r="F90" s="215">
        <f t="shared" si="30"/>
        <v>259058.58958286332</v>
      </c>
      <c r="G90" s="215">
        <f t="shared" si="30"/>
        <v>342904.22136873123</v>
      </c>
      <c r="H90" s="215">
        <f t="shared" si="30"/>
        <v>357630.72896665445</v>
      </c>
      <c r="I90" s="215">
        <f t="shared" si="30"/>
        <v>208914.65730649032</v>
      </c>
      <c r="J90" s="215">
        <f t="shared" si="30"/>
        <v>265244.00044929038</v>
      </c>
      <c r="K90" s="215">
        <f t="shared" si="30"/>
        <v>209773.08549788679</v>
      </c>
      <c r="L90" s="215">
        <f t="shared" si="30"/>
        <v>205285.55623053462</v>
      </c>
      <c r="M90" s="215">
        <f t="shared" si="30"/>
        <v>229640.73044681139</v>
      </c>
      <c r="N90" s="215">
        <f t="shared" si="30"/>
        <v>346589.18207927432</v>
      </c>
      <c r="O90" s="215">
        <f t="shared" si="30"/>
        <v>319426.48981292784</v>
      </c>
      <c r="P90" s="215">
        <f t="shared" si="30"/>
        <v>1081902.787076876</v>
      </c>
      <c r="Q90" s="603">
        <f t="shared" si="30"/>
        <v>0</v>
      </c>
      <c r="R90" s="94"/>
      <c r="S90" s="626">
        <f>SUM(E90:R90)</f>
        <v>3945484.9818932554</v>
      </c>
      <c r="T90" s="94"/>
      <c r="U90" s="216">
        <f>SUM(U81:U89)</f>
        <v>3890328.9100000006</v>
      </c>
      <c r="V90" s="216">
        <f>SUM(V81:V89)</f>
        <v>-55156.071893254877</v>
      </c>
      <c r="W90" s="214"/>
    </row>
    <row r="91" spans="1:24" s="95" customFormat="1" ht="12" customHeight="1">
      <c r="A91" s="124"/>
      <c r="B91" s="124" t="s">
        <v>284</v>
      </c>
      <c r="C91" s="126"/>
      <c r="D91" s="126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606"/>
      <c r="R91" s="94"/>
      <c r="S91" s="627"/>
      <c r="T91" s="94"/>
      <c r="U91" s="94"/>
      <c r="V91" s="94"/>
      <c r="W91" s="214"/>
    </row>
    <row r="92" spans="1:24" s="95" customFormat="1" ht="12" customHeight="1">
      <c r="A92" s="124"/>
      <c r="B92" s="124" t="s">
        <v>186</v>
      </c>
      <c r="C92" s="102">
        <v>5101</v>
      </c>
      <c r="D92" s="127" t="s">
        <v>85</v>
      </c>
      <c r="E92" s="94">
        <f>IF('FY19-20'!$S92&gt;0,'FY19-20'!E92/'FY19-20'!$S92*'Multi-Year'!$J92,0)+IF('FY19-20'!$S92&lt;0,'FY19-20'!E92/'FY19-20'!$S92*'Multi-Year'!$J92,0)</f>
        <v>0</v>
      </c>
      <c r="F92" s="94">
        <f>IF('FY19-20'!$S92&gt;0,'FY19-20'!F92/'FY19-20'!$S92*'Multi-Year'!$J92,0)+IF('FY19-20'!$S92&lt;0,'FY19-20'!F92/'FY19-20'!$S92*'Multi-Year'!$J92,0)</f>
        <v>0</v>
      </c>
      <c r="G92" s="94">
        <f>IF('FY19-20'!$S92&gt;0,'FY19-20'!G92/'FY19-20'!$S92*'Multi-Year'!$J92,0)+IF('FY19-20'!$S92&lt;0,'FY19-20'!G92/'FY19-20'!$S92*'Multi-Year'!$J92,0)</f>
        <v>0</v>
      </c>
      <c r="H92" s="94">
        <f>IF('FY19-20'!$S92&gt;0,'FY19-20'!H92/'FY19-20'!$S92*'Multi-Year'!$J92,0)+IF('FY19-20'!$S92&lt;0,'FY19-20'!H92/'FY19-20'!$S92*'Multi-Year'!$J92,0)</f>
        <v>0</v>
      </c>
      <c r="I92" s="94">
        <f>IF('FY19-20'!$S92&gt;0,'FY19-20'!I92/'FY19-20'!$S92*'Multi-Year'!$J92,0)+IF('FY19-20'!$S92&lt;0,'FY19-20'!I92/'FY19-20'!$S92*'Multi-Year'!$J92,0)</f>
        <v>0</v>
      </c>
      <c r="J92" s="94">
        <f>IF('FY19-20'!$S92&gt;0,'FY19-20'!J92/'FY19-20'!$S92*'Multi-Year'!$J92,0)+IF('FY19-20'!$S92&lt;0,'FY19-20'!J92/'FY19-20'!$S92*'Multi-Year'!$J92,0)</f>
        <v>0</v>
      </c>
      <c r="K92" s="94">
        <f>IF('FY19-20'!$S92&gt;0,'FY19-20'!K92/'FY19-20'!$S92*'Multi-Year'!$J92,0)+IF('FY19-20'!$S92&lt;0,'FY19-20'!K92/'FY19-20'!$S92*'Multi-Year'!$J92,0)</f>
        <v>0</v>
      </c>
      <c r="L92" s="94">
        <f>IF('FY19-20'!$S92&gt;0,'FY19-20'!L92/'FY19-20'!$S92*'Multi-Year'!$J92,0)+IF('FY19-20'!$S92&lt;0,'FY19-20'!L92/'FY19-20'!$S92*'Multi-Year'!$J92,0)</f>
        <v>0</v>
      </c>
      <c r="M92" s="94">
        <f>IF('FY19-20'!$S92&gt;0,'FY19-20'!M92/'FY19-20'!$S92*'Multi-Year'!$J92,0)+IF('FY19-20'!$S92&lt;0,'FY19-20'!M92/'FY19-20'!$S92*'Multi-Year'!$J92,0)</f>
        <v>0</v>
      </c>
      <c r="N92" s="94">
        <f>IF('FY19-20'!$S92&gt;0,'FY19-20'!N92/'FY19-20'!$S92*'Multi-Year'!$J92,0)+IF('FY19-20'!$S92&lt;0,'FY19-20'!N92/'FY19-20'!$S92*'Multi-Year'!$J92,0)</f>
        <v>0</v>
      </c>
      <c r="O92" s="94">
        <f>IF('FY19-20'!$S92&gt;0,'FY19-20'!O92/'FY19-20'!$S92*'Multi-Year'!$J92,0)+IF('FY19-20'!$S92&lt;0,'FY19-20'!O92/'FY19-20'!$S92*'Multi-Year'!$J92,0)</f>
        <v>0</v>
      </c>
      <c r="P92" s="94">
        <f>IF('FY19-20'!$S92&gt;0,'FY19-20'!P92/'FY19-20'!$S92*'Multi-Year'!$J92,0)+IF('FY19-20'!$S92&lt;0,'FY19-20'!P92/'FY19-20'!$S92*'Multi-Year'!$J92,0)</f>
        <v>0</v>
      </c>
      <c r="Q92" s="606">
        <f>IF('FY19-20'!$S92&gt;0,'FY19-20'!Q92/'FY19-20'!$S92*'Multi-Year'!$J92,0)+IF('FY19-20'!$S92&lt;0,'FY19-20'!Q92/'FY19-20'!$S92*'Multi-Year'!$J92,0)</f>
        <v>0</v>
      </c>
      <c r="R92" s="94"/>
      <c r="S92" s="625">
        <f t="shared" ref="S92:S95" si="31">SUM(E92:Q92)</f>
        <v>0</v>
      </c>
      <c r="T92" s="94"/>
      <c r="U92" s="94">
        <f>'FY19-20'!S92</f>
        <v>0</v>
      </c>
      <c r="V92" s="94">
        <f t="shared" ref="V92:V95" si="32">U92-S92</f>
        <v>0</v>
      </c>
      <c r="W92" s="214"/>
    </row>
    <row r="93" spans="1:24" s="95" customFormat="1" ht="12" customHeight="1">
      <c r="A93" s="124"/>
      <c r="B93" s="124" t="s">
        <v>186</v>
      </c>
      <c r="C93" s="102">
        <v>5102</v>
      </c>
      <c r="D93" s="127" t="s">
        <v>86</v>
      </c>
      <c r="E93" s="94">
        <f>IF('FY19-20'!$S93&gt;0,'FY19-20'!E93/'FY19-20'!$S93*'Multi-Year'!$J93,0)+IF('FY19-20'!$S93&lt;0,'FY19-20'!E93/'FY19-20'!$S93*'Multi-Year'!$J93,0)</f>
        <v>988.09911501087356</v>
      </c>
      <c r="F93" s="94">
        <f>IF('FY19-20'!$S93&gt;0,'FY19-20'!F93/'FY19-20'!$S93*'Multi-Year'!$J93,0)+IF('FY19-20'!$S93&lt;0,'FY19-20'!F93/'FY19-20'!$S93*'Multi-Year'!$J93,0)</f>
        <v>16591.552278268737</v>
      </c>
      <c r="G93" s="94">
        <f>IF('FY19-20'!$S93&gt;0,'FY19-20'!G93/'FY19-20'!$S93*'Multi-Year'!$J93,0)+IF('FY19-20'!$S93&lt;0,'FY19-20'!G93/'FY19-20'!$S93*'Multi-Year'!$J93,0)</f>
        <v>43513.118347556832</v>
      </c>
      <c r="H93" s="94">
        <f>IF('FY19-20'!$S93&gt;0,'FY19-20'!H93/'FY19-20'!$S93*'Multi-Year'!$J93,0)+IF('FY19-20'!$S93&lt;0,'FY19-20'!H93/'FY19-20'!$S93*'Multi-Year'!$J93,0)</f>
        <v>53467.907833619509</v>
      </c>
      <c r="I93" s="94">
        <f>IF('FY19-20'!$S93&gt;0,'FY19-20'!I93/'FY19-20'!$S93*'Multi-Year'!$J93,0)+IF('FY19-20'!$S93&lt;0,'FY19-20'!I93/'FY19-20'!$S93*'Multi-Year'!$J93,0)</f>
        <v>196479.36407080412</v>
      </c>
      <c r="J93" s="94">
        <f>IF('FY19-20'!$S93&gt;0,'FY19-20'!J93/'FY19-20'!$S93*'Multi-Year'!$J93,0)+IF('FY19-20'!$S93&lt;0,'FY19-20'!J93/'FY19-20'!$S93*'Multi-Year'!$J93,0)</f>
        <v>47647.8824340067</v>
      </c>
      <c r="K93" s="94">
        <f>IF('FY19-20'!$S93&gt;0,'FY19-20'!K93/'FY19-20'!$S93*'Multi-Year'!$J93,0)+IF('FY19-20'!$S93&lt;0,'FY19-20'!K93/'FY19-20'!$S93*'Multi-Year'!$J93,0)</f>
        <v>148422.74303672952</v>
      </c>
      <c r="L93" s="94">
        <f>IF('FY19-20'!$S93&gt;0,'FY19-20'!L93/'FY19-20'!$S93*'Multi-Year'!$J93,0)+IF('FY19-20'!$S93&lt;0,'FY19-20'!L93/'FY19-20'!$S93*'Multi-Year'!$J93,0)</f>
        <v>66094.111952675696</v>
      </c>
      <c r="M93" s="94">
        <f>IF('FY19-20'!$S93&gt;0,'FY19-20'!M93/'FY19-20'!$S93*'Multi-Year'!$J93,0)+IF('FY19-20'!$S93&lt;0,'FY19-20'!M93/'FY19-20'!$S93*'Multi-Year'!$J93,0)</f>
        <v>92854.663470791565</v>
      </c>
      <c r="N93" s="94">
        <f>IF('FY19-20'!$S93&gt;0,'FY19-20'!N93/'FY19-20'!$S93*'Multi-Year'!$J93,0)+IF('FY19-20'!$S93&lt;0,'FY19-20'!N93/'FY19-20'!$S93*'Multi-Year'!$J93,0)</f>
        <v>190837.66269198852</v>
      </c>
      <c r="O93" s="94">
        <f>IF('FY19-20'!$S93&gt;0,'FY19-20'!O93/'FY19-20'!$S93*'Multi-Year'!$J93,0)+IF('FY19-20'!$S93&lt;0,'FY19-20'!O93/'FY19-20'!$S93*'Multi-Year'!$J93,0)</f>
        <v>228288.99058877668</v>
      </c>
      <c r="P93" s="94">
        <f>IF('FY19-20'!$S93&gt;0,'FY19-20'!P93/'FY19-20'!$S93*'Multi-Year'!$J93,0)+IF('FY19-20'!$S93&lt;0,'FY19-20'!P93/'FY19-20'!$S93*'Multi-Year'!$J93,0)</f>
        <v>172283.4212721115</v>
      </c>
      <c r="Q93" s="606">
        <f>IF('FY19-20'!$S93&gt;0,'FY19-20'!Q93/'FY19-20'!$S93*'Multi-Year'!$J93,0)+IF('FY19-20'!$S93&lt;0,'FY19-20'!Q93/'FY19-20'!$S93*'Multi-Year'!$J93,0)</f>
        <v>0</v>
      </c>
      <c r="R93" s="94"/>
      <c r="S93" s="625">
        <f t="shared" si="31"/>
        <v>1257469.5170923404</v>
      </c>
      <c r="T93" s="94"/>
      <c r="U93" s="94">
        <f>'FY19-20'!S93</f>
        <v>1240799.3899999999</v>
      </c>
      <c r="V93" s="94">
        <f t="shared" si="32"/>
        <v>-16670.127092340495</v>
      </c>
      <c r="W93" s="214"/>
    </row>
    <row r="94" spans="1:24" s="95" customFormat="1" ht="12" customHeight="1">
      <c r="A94" s="124"/>
      <c r="B94" s="124" t="s">
        <v>186</v>
      </c>
      <c r="C94" s="102">
        <v>5103</v>
      </c>
      <c r="D94" s="127" t="s">
        <v>87</v>
      </c>
      <c r="E94" s="94">
        <f>IF('FY19-20'!$S94&gt;0,'FY19-20'!E94/'FY19-20'!$S94*'Multi-Year'!$J94,0)+IF('FY19-20'!$S94&lt;0,'FY19-20'!E94/'FY19-20'!$S94*'Multi-Year'!$J94,0)</f>
        <v>0</v>
      </c>
      <c r="F94" s="94">
        <f>IF('FY19-20'!$S94&gt;0,'FY19-20'!F94/'FY19-20'!$S94*'Multi-Year'!$J94,0)+IF('FY19-20'!$S94&lt;0,'FY19-20'!F94/'FY19-20'!$S94*'Multi-Year'!$J94,0)</f>
        <v>0</v>
      </c>
      <c r="G94" s="94">
        <f>IF('FY19-20'!$S94&gt;0,'FY19-20'!G94/'FY19-20'!$S94*'Multi-Year'!$J94,0)+IF('FY19-20'!$S94&lt;0,'FY19-20'!G94/'FY19-20'!$S94*'Multi-Year'!$J94,0)</f>
        <v>0</v>
      </c>
      <c r="H94" s="94">
        <f>IF('FY19-20'!$S94&gt;0,'FY19-20'!H94/'FY19-20'!$S94*'Multi-Year'!$J94,0)+IF('FY19-20'!$S94&lt;0,'FY19-20'!H94/'FY19-20'!$S94*'Multi-Year'!$J94,0)</f>
        <v>0</v>
      </c>
      <c r="I94" s="94">
        <f>IF('FY19-20'!$S94&gt;0,'FY19-20'!I94/'FY19-20'!$S94*'Multi-Year'!$J94,0)+IF('FY19-20'!$S94&lt;0,'FY19-20'!I94/'FY19-20'!$S94*'Multi-Year'!$J94,0)</f>
        <v>0</v>
      </c>
      <c r="J94" s="94">
        <f>IF('FY19-20'!$S94&gt;0,'FY19-20'!J94/'FY19-20'!$S94*'Multi-Year'!$J94,0)+IF('FY19-20'!$S94&lt;0,'FY19-20'!J94/'FY19-20'!$S94*'Multi-Year'!$J94,0)</f>
        <v>0</v>
      </c>
      <c r="K94" s="94">
        <f>IF('FY19-20'!$S94&gt;0,'FY19-20'!K94/'FY19-20'!$S94*'Multi-Year'!$J94,0)+IF('FY19-20'!$S94&lt;0,'FY19-20'!K94/'FY19-20'!$S94*'Multi-Year'!$J94,0)</f>
        <v>0</v>
      </c>
      <c r="L94" s="94">
        <f>IF('FY19-20'!$S94&gt;0,'FY19-20'!L94/'FY19-20'!$S94*'Multi-Year'!$J94,0)+IF('FY19-20'!$S94&lt;0,'FY19-20'!L94/'FY19-20'!$S94*'Multi-Year'!$J94,0)</f>
        <v>0</v>
      </c>
      <c r="M94" s="94">
        <f>IF('FY19-20'!$S94&gt;0,'FY19-20'!M94/'FY19-20'!$S94*'Multi-Year'!$J94,0)+IF('FY19-20'!$S94&lt;0,'FY19-20'!M94/'FY19-20'!$S94*'Multi-Year'!$J94,0)</f>
        <v>0</v>
      </c>
      <c r="N94" s="94">
        <f>IF('FY19-20'!$S94&gt;0,'FY19-20'!N94/'FY19-20'!$S94*'Multi-Year'!$J94,0)+IF('FY19-20'!$S94&lt;0,'FY19-20'!N94/'FY19-20'!$S94*'Multi-Year'!$J94,0)</f>
        <v>0</v>
      </c>
      <c r="O94" s="94">
        <f>IF('FY19-20'!$S94&gt;0,'FY19-20'!O94/'FY19-20'!$S94*'Multi-Year'!$J94,0)+IF('FY19-20'!$S94&lt;0,'FY19-20'!O94/'FY19-20'!$S94*'Multi-Year'!$J94,0)</f>
        <v>0</v>
      </c>
      <c r="P94" s="94">
        <f>IF('FY19-20'!$S94&gt;0,'FY19-20'!P94/'FY19-20'!$S94*'Multi-Year'!$J94,0)+IF('FY19-20'!$S94&lt;0,'FY19-20'!P94/'FY19-20'!$S94*'Multi-Year'!$J94,0)</f>
        <v>0</v>
      </c>
      <c r="Q94" s="606">
        <f>IF('FY19-20'!$S94&gt;0,'FY19-20'!Q94/'FY19-20'!$S94*'Multi-Year'!$J94,0)+IF('FY19-20'!$S94&lt;0,'FY19-20'!Q94/'FY19-20'!$S94*'Multi-Year'!$J94,0)</f>
        <v>0</v>
      </c>
      <c r="R94" s="94"/>
      <c r="S94" s="625">
        <f t="shared" si="31"/>
        <v>0</v>
      </c>
      <c r="T94" s="94"/>
      <c r="U94" s="94">
        <f>'FY19-20'!S94</f>
        <v>0</v>
      </c>
      <c r="V94" s="94">
        <f t="shared" si="32"/>
        <v>0</v>
      </c>
      <c r="W94" s="214"/>
    </row>
    <row r="95" spans="1:24" s="95" customFormat="1" ht="12" customHeight="1">
      <c r="A95" s="124"/>
      <c r="B95" s="124" t="s">
        <v>186</v>
      </c>
      <c r="C95" s="102">
        <v>5104</v>
      </c>
      <c r="D95" s="127" t="s">
        <v>88</v>
      </c>
      <c r="E95" s="94">
        <f>IF('FY19-20'!$S95&gt;0,'FY19-20'!E95/'FY19-20'!$S95*'Multi-Year'!$J95,0)+IF('FY19-20'!$S95&lt;0,'FY19-20'!E95/'FY19-20'!$S95*'Multi-Year'!$J95,0)</f>
        <v>0</v>
      </c>
      <c r="F95" s="94">
        <f>IF('FY19-20'!$S95&gt;0,'FY19-20'!F95/'FY19-20'!$S95*'Multi-Year'!$J95,0)+IF('FY19-20'!$S95&lt;0,'FY19-20'!F95/'FY19-20'!$S95*'Multi-Year'!$J95,0)</f>
        <v>0</v>
      </c>
      <c r="G95" s="94">
        <f>IF('FY19-20'!$S95&gt;0,'FY19-20'!G95/'FY19-20'!$S95*'Multi-Year'!$J95,0)+IF('FY19-20'!$S95&lt;0,'FY19-20'!G95/'FY19-20'!$S95*'Multi-Year'!$J95,0)</f>
        <v>0</v>
      </c>
      <c r="H95" s="94">
        <f>IF('FY19-20'!$S95&gt;0,'FY19-20'!H95/'FY19-20'!$S95*'Multi-Year'!$J95,0)+IF('FY19-20'!$S95&lt;0,'FY19-20'!H95/'FY19-20'!$S95*'Multi-Year'!$J95,0)</f>
        <v>0</v>
      </c>
      <c r="I95" s="94">
        <f>IF('FY19-20'!$S95&gt;0,'FY19-20'!I95/'FY19-20'!$S95*'Multi-Year'!$J95,0)+IF('FY19-20'!$S95&lt;0,'FY19-20'!I95/'FY19-20'!$S95*'Multi-Year'!$J95,0)</f>
        <v>0</v>
      </c>
      <c r="J95" s="94">
        <f>IF('FY19-20'!$S95&gt;0,'FY19-20'!J95/'FY19-20'!$S95*'Multi-Year'!$J95,0)+IF('FY19-20'!$S95&lt;0,'FY19-20'!J95/'FY19-20'!$S95*'Multi-Year'!$J95,0)</f>
        <v>0</v>
      </c>
      <c r="K95" s="94">
        <f>IF('FY19-20'!$S95&gt;0,'FY19-20'!K95/'FY19-20'!$S95*'Multi-Year'!$J95,0)+IF('FY19-20'!$S95&lt;0,'FY19-20'!K95/'FY19-20'!$S95*'Multi-Year'!$J95,0)</f>
        <v>0</v>
      </c>
      <c r="L95" s="94">
        <f>IF('FY19-20'!$S95&gt;0,'FY19-20'!L95/'FY19-20'!$S95*'Multi-Year'!$J95,0)+IF('FY19-20'!$S95&lt;0,'FY19-20'!L95/'FY19-20'!$S95*'Multi-Year'!$J95,0)</f>
        <v>0</v>
      </c>
      <c r="M95" s="94">
        <f>IF('FY19-20'!$S95&gt;0,'FY19-20'!M95/'FY19-20'!$S95*'Multi-Year'!$J95,0)+IF('FY19-20'!$S95&lt;0,'FY19-20'!M95/'FY19-20'!$S95*'Multi-Year'!$J95,0)</f>
        <v>0</v>
      </c>
      <c r="N95" s="94">
        <f>IF('FY19-20'!$S95&gt;0,'FY19-20'!N95/'FY19-20'!$S95*'Multi-Year'!$J95,0)+IF('FY19-20'!$S95&lt;0,'FY19-20'!N95/'FY19-20'!$S95*'Multi-Year'!$J95,0)</f>
        <v>0</v>
      </c>
      <c r="O95" s="94">
        <f>IF('FY19-20'!$S95&gt;0,'FY19-20'!O95/'FY19-20'!$S95*'Multi-Year'!$J95,0)+IF('FY19-20'!$S95&lt;0,'FY19-20'!O95/'FY19-20'!$S95*'Multi-Year'!$J95,0)</f>
        <v>0</v>
      </c>
      <c r="P95" s="94">
        <f>IF('FY19-20'!$S95&gt;0,'FY19-20'!P95/'FY19-20'!$S95*'Multi-Year'!$J95,0)+IF('FY19-20'!$S95&lt;0,'FY19-20'!P95/'FY19-20'!$S95*'Multi-Year'!$J95,0)</f>
        <v>0</v>
      </c>
      <c r="Q95" s="606">
        <f>IF('FY19-20'!$S95&gt;0,'FY19-20'!Q95/'FY19-20'!$S95*'Multi-Year'!$J95,0)+IF('FY19-20'!$S95&lt;0,'FY19-20'!Q95/'FY19-20'!$S95*'Multi-Year'!$J95,0)</f>
        <v>0</v>
      </c>
      <c r="R95" s="94"/>
      <c r="S95" s="625">
        <f t="shared" si="31"/>
        <v>0</v>
      </c>
      <c r="T95" s="94"/>
      <c r="U95" s="94">
        <f>'FY19-20'!S95</f>
        <v>0</v>
      </c>
      <c r="V95" s="94">
        <f t="shared" si="32"/>
        <v>0</v>
      </c>
      <c r="W95" s="214"/>
    </row>
    <row r="96" spans="1:24" s="95" customFormat="1" ht="12" customHeight="1">
      <c r="A96" s="124"/>
      <c r="B96" s="124" t="s">
        <v>186</v>
      </c>
      <c r="C96" s="102">
        <v>5105</v>
      </c>
      <c r="D96" s="127" t="s">
        <v>89</v>
      </c>
      <c r="E96" s="94">
        <f>IF('FY19-20'!$S96&gt;0,'FY19-20'!E96/'FY19-20'!$S96*'Multi-Year'!$J96,0)+IF('FY19-20'!$S96&lt;0,'FY19-20'!E96/'FY19-20'!$S96*'Multi-Year'!$J96,0)</f>
        <v>0</v>
      </c>
      <c r="F96" s="94">
        <f>IF('FY19-20'!$S96&gt;0,'FY19-20'!F96/'FY19-20'!$S96*'Multi-Year'!$J96,0)+IF('FY19-20'!$S96&lt;0,'FY19-20'!F96/'FY19-20'!$S96*'Multi-Year'!$J96,0)</f>
        <v>58.769095055877507</v>
      </c>
      <c r="G96" s="94">
        <f>IF('FY19-20'!$S96&gt;0,'FY19-20'!G96/'FY19-20'!$S96*'Multi-Year'!$J96,0)+IF('FY19-20'!$S96&lt;0,'FY19-20'!G96/'FY19-20'!$S96*'Multi-Year'!$J96,0)</f>
        <v>58.769095055877507</v>
      </c>
      <c r="H96" s="94">
        <f>IF('FY19-20'!$S96&gt;0,'FY19-20'!H96/'FY19-20'!$S96*'Multi-Year'!$J96,0)+IF('FY19-20'!$S96&lt;0,'FY19-20'!H96/'FY19-20'!$S96*'Multi-Year'!$J96,0)</f>
        <v>0</v>
      </c>
      <c r="I96" s="94">
        <f>IF('FY19-20'!$S96&gt;0,'FY19-20'!I96/'FY19-20'!$S96*'Multi-Year'!$J96,0)+IF('FY19-20'!$S96&lt;0,'FY19-20'!I96/'FY19-20'!$S96*'Multi-Year'!$J96,0)</f>
        <v>0</v>
      </c>
      <c r="J96" s="94">
        <f>IF('FY19-20'!$S96&gt;0,'FY19-20'!J96/'FY19-20'!$S96*'Multi-Year'!$J96,0)+IF('FY19-20'!$S96&lt;0,'FY19-20'!J96/'FY19-20'!$S96*'Multi-Year'!$J96,0)</f>
        <v>0</v>
      </c>
      <c r="K96" s="94">
        <f>IF('FY19-20'!$S96&gt;0,'FY19-20'!K96/'FY19-20'!$S96*'Multi-Year'!$J96,0)+IF('FY19-20'!$S96&lt;0,'FY19-20'!K96/'FY19-20'!$S96*'Multi-Year'!$J96,0)</f>
        <v>58.769095055877507</v>
      </c>
      <c r="L96" s="94">
        <f>IF('FY19-20'!$S96&gt;0,'FY19-20'!L96/'FY19-20'!$S96*'Multi-Year'!$J96,0)+IF('FY19-20'!$S96&lt;0,'FY19-20'!L96/'FY19-20'!$S96*'Multi-Year'!$J96,0)</f>
        <v>0</v>
      </c>
      <c r="M96" s="94">
        <f>IF('FY19-20'!$S96&gt;0,'FY19-20'!M96/'FY19-20'!$S96*'Multi-Year'!$J96,0)+IF('FY19-20'!$S96&lt;0,'FY19-20'!M96/'FY19-20'!$S96*'Multi-Year'!$J96,0)</f>
        <v>0</v>
      </c>
      <c r="N96" s="94">
        <f>IF('FY19-20'!$S96&gt;0,'FY19-20'!N96/'FY19-20'!$S96*'Multi-Year'!$J96,0)+IF('FY19-20'!$S96&lt;0,'FY19-20'!N96/'FY19-20'!$S96*'Multi-Year'!$J96,0)</f>
        <v>0</v>
      </c>
      <c r="O96" s="94">
        <f>IF('FY19-20'!$S96&gt;0,'FY19-20'!O96/'FY19-20'!$S96*'Multi-Year'!$J96,0)+IF('FY19-20'!$S96&lt;0,'FY19-20'!O96/'FY19-20'!$S96*'Multi-Year'!$J96,0)</f>
        <v>0</v>
      </c>
      <c r="P96" s="94">
        <f>IF('FY19-20'!$S96&gt;0,'FY19-20'!P96/'FY19-20'!$S96*'Multi-Year'!$J96,0)+IF('FY19-20'!$S96&lt;0,'FY19-20'!P96/'FY19-20'!$S96*'Multi-Year'!$J96,0)</f>
        <v>0</v>
      </c>
      <c r="Q96" s="606">
        <f>IF('FY19-20'!$S96&gt;0,'FY19-20'!Q96/'FY19-20'!$S96*'Multi-Year'!$J96,0)+IF('FY19-20'!$S96&lt;0,'FY19-20'!Q96/'FY19-20'!$S96*'Multi-Year'!$J96,0)</f>
        <v>0</v>
      </c>
      <c r="R96" s="94"/>
      <c r="S96" s="625">
        <f t="shared" ref="S96:S97" si="33">SUM(E96:Q96)</f>
        <v>176.30728516763253</v>
      </c>
      <c r="T96" s="94"/>
      <c r="U96" s="94">
        <f>'FY19-20'!S96</f>
        <v>173.97</v>
      </c>
      <c r="V96" s="94">
        <f t="shared" ref="V96:V97" si="34">U96-S96</f>
        <v>-2.3372851676325297</v>
      </c>
      <c r="W96" s="214"/>
    </row>
    <row r="97" spans="1:23" s="95" customFormat="1" ht="12" customHeight="1">
      <c r="A97" s="124"/>
      <c r="B97" s="124" t="s">
        <v>186</v>
      </c>
      <c r="C97" s="102">
        <v>5106</v>
      </c>
      <c r="D97" s="127" t="s">
        <v>169</v>
      </c>
      <c r="E97" s="94">
        <f>IF('FY19-20'!$S97&gt;0,'FY19-20'!E97/'FY19-20'!$S97*'Multi-Year'!$J97,0)+IF('FY19-20'!$S97&lt;0,'FY19-20'!E97/'FY19-20'!$S97*'Multi-Year'!$J97,0)</f>
        <v>42389.928348411668</v>
      </c>
      <c r="F97" s="94">
        <f>IF('FY19-20'!$S97&gt;0,'FY19-20'!F97/'FY19-20'!$S97*'Multi-Year'!$J97,0)+IF('FY19-20'!$S97&lt;0,'FY19-20'!F97/'FY19-20'!$S97*'Multi-Year'!$J97,0)</f>
        <v>51332.134130111001</v>
      </c>
      <c r="G97" s="94">
        <f>IF('FY19-20'!$S97&gt;0,'FY19-20'!G97/'FY19-20'!$S97*'Multi-Year'!$J97,0)+IF('FY19-20'!$S97&lt;0,'FY19-20'!G97/'FY19-20'!$S97*'Multi-Year'!$J97,0)</f>
        <v>92934.471476234772</v>
      </c>
      <c r="H97" s="94">
        <f>IF('FY19-20'!$S97&gt;0,'FY19-20'!H97/'FY19-20'!$S97*'Multi-Year'!$J97,0)+IF('FY19-20'!$S97&lt;0,'FY19-20'!H97/'FY19-20'!$S97*'Multi-Year'!$J97,0)</f>
        <v>414967.57688891125</v>
      </c>
      <c r="I97" s="94">
        <f>IF('FY19-20'!$S97&gt;0,'FY19-20'!I97/'FY19-20'!$S97*'Multi-Year'!$J97,0)+IF('FY19-20'!$S97&lt;0,'FY19-20'!I97/'FY19-20'!$S97*'Multi-Year'!$J97,0)</f>
        <v>234769.89721390838</v>
      </c>
      <c r="J97" s="94">
        <f>IF('FY19-20'!$S97&gt;0,'FY19-20'!J97/'FY19-20'!$S97*'Multi-Year'!$J97,0)+IF('FY19-20'!$S97&lt;0,'FY19-20'!J97/'FY19-20'!$S97*'Multi-Year'!$J97,0)</f>
        <v>330398.05862421147</v>
      </c>
      <c r="K97" s="94">
        <f>IF('FY19-20'!$S97&gt;0,'FY19-20'!K97/'FY19-20'!$S97*'Multi-Year'!$J97,0)+IF('FY19-20'!$S97&lt;0,'FY19-20'!K97/'FY19-20'!$S97*'Multi-Year'!$J97,0)</f>
        <v>417258.30480235326</v>
      </c>
      <c r="L97" s="94">
        <f>IF('FY19-20'!$S97&gt;0,'FY19-20'!L97/'FY19-20'!$S97*'Multi-Year'!$J97,0)+IF('FY19-20'!$S97&lt;0,'FY19-20'!L97/'FY19-20'!$S97*'Multi-Year'!$J97,0)</f>
        <v>347929.71373637632</v>
      </c>
      <c r="M97" s="94">
        <f>IF('FY19-20'!$S97&gt;0,'FY19-20'!M97/'FY19-20'!$S97*'Multi-Year'!$J97,0)+IF('FY19-20'!$S97&lt;0,'FY19-20'!M97/'FY19-20'!$S97*'Multi-Year'!$J97,0)</f>
        <v>330463.7798832971</v>
      </c>
      <c r="N97" s="94">
        <f>IF('FY19-20'!$S97&gt;0,'FY19-20'!N97/'FY19-20'!$S97*'Multi-Year'!$J97,0)+IF('FY19-20'!$S97&lt;0,'FY19-20'!N97/'FY19-20'!$S97*'Multi-Year'!$J97,0)</f>
        <v>257111.44653399792</v>
      </c>
      <c r="O97" s="94">
        <f>IF('FY19-20'!$S97&gt;0,'FY19-20'!O97/'FY19-20'!$S97*'Multi-Year'!$J97,0)+IF('FY19-20'!$S97&lt;0,'FY19-20'!O97/'FY19-20'!$S97*'Multi-Year'!$J97,0)</f>
        <v>199905.189844521</v>
      </c>
      <c r="P97" s="94">
        <f>IF('FY19-20'!$S97&gt;0,'FY19-20'!P97/'FY19-20'!$S97*'Multi-Year'!$J97,0)+IF('FY19-20'!$S97&lt;0,'FY19-20'!P97/'FY19-20'!$S97*'Multi-Year'!$J97,0)</f>
        <v>995559.05050785805</v>
      </c>
      <c r="Q97" s="606">
        <f>IF('FY19-20'!$S97&gt;0,'FY19-20'!Q97/'FY19-20'!$S97*'Multi-Year'!$J97,0)+IF('FY19-20'!$S97&lt;0,'FY19-20'!Q97/'FY19-20'!$S97*'Multi-Year'!$J97,0)</f>
        <v>0</v>
      </c>
      <c r="R97" s="94"/>
      <c r="S97" s="625">
        <f t="shared" si="33"/>
        <v>3715019.5519901919</v>
      </c>
      <c r="T97" s="94"/>
      <c r="U97" s="94">
        <f>'FY19-20'!S97</f>
        <v>3665769.97</v>
      </c>
      <c r="V97" s="94">
        <f t="shared" si="34"/>
        <v>-49249.581990191713</v>
      </c>
      <c r="W97" s="214"/>
    </row>
    <row r="98" spans="1:23" s="95" customFormat="1" ht="12" customHeight="1">
      <c r="A98" s="124"/>
      <c r="B98" s="124" t="s">
        <v>186</v>
      </c>
      <c r="C98" s="102">
        <v>5107</v>
      </c>
      <c r="D98" s="127" t="s">
        <v>549</v>
      </c>
      <c r="E98" s="356">
        <f>'Multi-Year'!$J$98/12</f>
        <v>281611.50212850666</v>
      </c>
      <c r="F98" s="356">
        <f>'Multi-Year'!$J$98/12</f>
        <v>281611.50212850666</v>
      </c>
      <c r="G98" s="356">
        <f>'Multi-Year'!$J$98/12</f>
        <v>281611.50212850666</v>
      </c>
      <c r="H98" s="356">
        <f>'Multi-Year'!$J$98/12</f>
        <v>281611.50212850666</v>
      </c>
      <c r="I98" s="356">
        <f>'Multi-Year'!$J$98/12</f>
        <v>281611.50212850666</v>
      </c>
      <c r="J98" s="356">
        <f>'Multi-Year'!$J$98/12</f>
        <v>281611.50212850666</v>
      </c>
      <c r="K98" s="356">
        <f>'Multi-Year'!$J$98/12</f>
        <v>281611.50212850666</v>
      </c>
      <c r="L98" s="356">
        <f>'Multi-Year'!$J$98/12</f>
        <v>281611.50212850666</v>
      </c>
      <c r="M98" s="356">
        <f>'Multi-Year'!$J$98/12</f>
        <v>281611.50212850666</v>
      </c>
      <c r="N98" s="356">
        <f>'Multi-Year'!$J$98/12</f>
        <v>281611.50212850666</v>
      </c>
      <c r="O98" s="356">
        <f>'Multi-Year'!$J$98/12</f>
        <v>281611.50212850666</v>
      </c>
      <c r="P98" s="356">
        <f>'Multi-Year'!$J$98/12</f>
        <v>281611.50212850666</v>
      </c>
      <c r="Q98" s="606">
        <v>0</v>
      </c>
      <c r="R98" s="94"/>
      <c r="S98" s="625">
        <f t="shared" ref="S98" si="35">SUM(E98:Q98)</f>
        <v>3379338.025542079</v>
      </c>
      <c r="T98" s="94"/>
      <c r="U98" s="94">
        <f>'FY19-20'!S98</f>
        <v>3325428.41</v>
      </c>
      <c r="V98" s="94">
        <f t="shared" ref="V98" si="36">U98-S98</f>
        <v>-53909.615542078856</v>
      </c>
      <c r="W98" s="214"/>
    </row>
    <row r="99" spans="1:23" s="95" customFormat="1" ht="12" customHeight="1">
      <c r="A99" s="124"/>
      <c r="B99" s="124" t="s">
        <v>186</v>
      </c>
      <c r="C99" s="126"/>
      <c r="D99" s="126"/>
      <c r="E99" s="215">
        <f>SUM(E92:E98)</f>
        <v>324989.52959192923</v>
      </c>
      <c r="F99" s="215">
        <f t="shared" ref="F99:Q99" si="37">SUM(F92:F98)</f>
        <v>349593.95763194229</v>
      </c>
      <c r="G99" s="215">
        <f t="shared" si="37"/>
        <v>418117.86104735418</v>
      </c>
      <c r="H99" s="215">
        <f t="shared" si="37"/>
        <v>750046.98685103748</v>
      </c>
      <c r="I99" s="215">
        <f t="shared" si="37"/>
        <v>712860.76341321913</v>
      </c>
      <c r="J99" s="215">
        <f t="shared" si="37"/>
        <v>659657.44318672479</v>
      </c>
      <c r="K99" s="215">
        <f t="shared" si="37"/>
        <v>847351.31906264531</v>
      </c>
      <c r="L99" s="215">
        <f t="shared" si="37"/>
        <v>695635.32781755866</v>
      </c>
      <c r="M99" s="215">
        <f t="shared" si="37"/>
        <v>704929.94548259536</v>
      </c>
      <c r="N99" s="215">
        <f t="shared" si="37"/>
        <v>729560.61135449307</v>
      </c>
      <c r="O99" s="215">
        <f t="shared" si="37"/>
        <v>709805.68256180431</v>
      </c>
      <c r="P99" s="215">
        <f t="shared" si="37"/>
        <v>1449453.9739084761</v>
      </c>
      <c r="Q99" s="603">
        <f t="shared" si="37"/>
        <v>0</v>
      </c>
      <c r="R99" s="94"/>
      <c r="S99" s="626">
        <f>SUM(E99:R99)</f>
        <v>8352003.4019097798</v>
      </c>
      <c r="T99" s="113"/>
      <c r="U99" s="216">
        <f>SUM(U92:U98)</f>
        <v>8232171.7400000002</v>
      </c>
      <c r="V99" s="216">
        <f>SUM(V92:V98)</f>
        <v>-119831.66190977869</v>
      </c>
      <c r="W99" s="113"/>
    </row>
    <row r="100" spans="1:23" s="95" customFormat="1" ht="12" customHeight="1">
      <c r="A100" s="124"/>
      <c r="B100" s="124" t="s">
        <v>286</v>
      </c>
      <c r="C100" s="126"/>
      <c r="D100" s="126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606"/>
      <c r="R100" s="94"/>
      <c r="S100" s="627"/>
      <c r="T100" s="94"/>
      <c r="U100" s="94"/>
      <c r="V100" s="94"/>
      <c r="W100" s="214"/>
    </row>
    <row r="101" spans="1:23" s="95" customFormat="1" ht="12" customHeight="1">
      <c r="A101" s="124"/>
      <c r="B101" s="124" t="s">
        <v>186</v>
      </c>
      <c r="C101" s="102">
        <v>5201</v>
      </c>
      <c r="D101" s="127" t="s">
        <v>144</v>
      </c>
      <c r="E101" s="94">
        <f>IF('FY19-20'!$S101&gt;0,'FY19-20'!E101/'FY19-20'!$S101*'Multi-Year'!$J101,0)+IF('FY19-20'!$S101&lt;0,'FY19-20'!E101/'FY19-20'!$S101*'Multi-Year'!$J101,0)</f>
        <v>0</v>
      </c>
      <c r="F101" s="94">
        <f>IF('FY19-20'!$S101&gt;0,'FY19-20'!F101/'FY19-20'!$S101*'Multi-Year'!$J101,0)+IF('FY19-20'!$S101&lt;0,'FY19-20'!F101/'FY19-20'!$S101*'Multi-Year'!$J101,0)</f>
        <v>532.90465501263373</v>
      </c>
      <c r="G101" s="94">
        <f>IF('FY19-20'!$S101&gt;0,'FY19-20'!G101/'FY19-20'!$S101*'Multi-Year'!$J101,0)+IF('FY19-20'!$S101&lt;0,'FY19-20'!G101/'FY19-20'!$S101*'Multi-Year'!$J101,0)</f>
        <v>157.52833480747714</v>
      </c>
      <c r="H101" s="94">
        <f>IF('FY19-20'!$S101&gt;0,'FY19-20'!H101/'FY19-20'!$S101*'Multi-Year'!$J101,0)+IF('FY19-20'!$S101&lt;0,'FY19-20'!H101/'FY19-20'!$S101*'Multi-Year'!$J101,0)</f>
        <v>0</v>
      </c>
      <c r="I101" s="94">
        <f>IF('FY19-20'!$S101&gt;0,'FY19-20'!I101/'FY19-20'!$S101*'Multi-Year'!$J101,0)+IF('FY19-20'!$S101&lt;0,'FY19-20'!I101/'FY19-20'!$S101*'Multi-Year'!$J101,0)</f>
        <v>4979.2695977623862</v>
      </c>
      <c r="J101" s="94">
        <f>IF('FY19-20'!$S101&gt;0,'FY19-20'!J101/'FY19-20'!$S101*'Multi-Year'!$J101,0)+IF('FY19-20'!$S101&lt;0,'FY19-20'!J101/'FY19-20'!$S101*'Multi-Year'!$J101,0)</f>
        <v>-220.45251332134907</v>
      </c>
      <c r="K101" s="94">
        <f>IF('FY19-20'!$S101&gt;0,'FY19-20'!K101/'FY19-20'!$S101*'Multi-Year'!$J101,0)+IF('FY19-20'!$S101&lt;0,'FY19-20'!K101/'FY19-20'!$S101*'Multi-Year'!$J101,0)</f>
        <v>627.24531820890252</v>
      </c>
      <c r="L101" s="94">
        <f>IF('FY19-20'!$S101&gt;0,'FY19-20'!L101/'FY19-20'!$S101*'Multi-Year'!$J101,0)+IF('FY19-20'!$S101&lt;0,'FY19-20'!L101/'FY19-20'!$S101*'Multi-Year'!$J101,0)</f>
        <v>1307.4831520320811</v>
      </c>
      <c r="M101" s="94">
        <f>IF('FY19-20'!$S101&gt;0,'FY19-20'!M101/'FY19-20'!$S101*'Multi-Year'!$J101,0)+IF('FY19-20'!$S101&lt;0,'FY19-20'!M101/'FY19-20'!$S101*'Multi-Year'!$J101,0)</f>
        <v>1921.280187926938</v>
      </c>
      <c r="N101" s="94">
        <f>IF('FY19-20'!$S101&gt;0,'FY19-20'!N101/'FY19-20'!$S101*'Multi-Year'!$J101,0)+IF('FY19-20'!$S101&lt;0,'FY19-20'!N101/'FY19-20'!$S101*'Multi-Year'!$J101,0)</f>
        <v>0</v>
      </c>
      <c r="O101" s="94">
        <f>IF('FY19-20'!$S101&gt;0,'FY19-20'!O101/'FY19-20'!$S101*'Multi-Year'!$J101,0)+IF('FY19-20'!$S101&lt;0,'FY19-20'!O101/'FY19-20'!$S101*'Multi-Year'!$J101,0)</f>
        <v>0</v>
      </c>
      <c r="P101" s="94">
        <f>IF('FY19-20'!$S101&gt;0,'FY19-20'!P101/'FY19-20'!$S101*'Multi-Year'!$J101,0)+IF('FY19-20'!$S101&lt;0,'FY19-20'!P101/'FY19-20'!$S101*'Multi-Year'!$J101,0)</f>
        <v>10428.246044576299</v>
      </c>
      <c r="Q101" s="606">
        <f>IF('FY19-20'!$S101&gt;0,'FY19-20'!Q101/'FY19-20'!$S101*'Multi-Year'!$J101,0)+IF('FY19-20'!$S101&lt;0,'FY19-20'!Q101/'FY19-20'!$S101*'Multi-Year'!$J101,0)</f>
        <v>0</v>
      </c>
      <c r="R101" s="94"/>
      <c r="S101" s="625">
        <f t="shared" ref="S101:S108" si="38">SUM(E101:Q101)</f>
        <v>19733.504777005368</v>
      </c>
      <c r="T101" s="94"/>
      <c r="U101" s="94">
        <f>'FY19-20'!S101</f>
        <v>19471.900000000001</v>
      </c>
      <c r="V101" s="94">
        <f t="shared" ref="V101:V108" si="39">U101-S101</f>
        <v>-261.60477700536649</v>
      </c>
      <c r="W101" s="214"/>
    </row>
    <row r="102" spans="1:23" s="95" customFormat="1" ht="12" customHeight="1">
      <c r="A102" s="124"/>
      <c r="B102" s="124" t="s">
        <v>186</v>
      </c>
      <c r="C102" s="102">
        <v>5300</v>
      </c>
      <c r="D102" s="127" t="s">
        <v>37</v>
      </c>
      <c r="E102" s="94">
        <f>IF('FY19-20'!$S102&gt;0,'FY19-20'!E102/'FY19-20'!$S102*'Multi-Year'!$J102,0)+IF('FY19-20'!$S102&lt;0,'FY19-20'!E102/'FY19-20'!$S102*'Multi-Year'!$J102,0)</f>
        <v>0</v>
      </c>
      <c r="F102" s="94">
        <f>IF('FY19-20'!$S102&gt;0,'FY19-20'!F102/'FY19-20'!$S102*'Multi-Year'!$J102,0)+IF('FY19-20'!$S102&lt;0,'FY19-20'!F102/'FY19-20'!$S102*'Multi-Year'!$J102,0)</f>
        <v>0</v>
      </c>
      <c r="G102" s="94">
        <f>IF('FY19-20'!$S102&gt;0,'FY19-20'!G102/'FY19-20'!$S102*'Multi-Year'!$J102,0)+IF('FY19-20'!$S102&lt;0,'FY19-20'!G102/'FY19-20'!$S102*'Multi-Year'!$J102,0)</f>
        <v>0</v>
      </c>
      <c r="H102" s="94">
        <f>IF('FY19-20'!$S102&gt;0,'FY19-20'!H102/'FY19-20'!$S102*'Multi-Year'!$J102,0)+IF('FY19-20'!$S102&lt;0,'FY19-20'!H102/'FY19-20'!$S102*'Multi-Year'!$J102,0)</f>
        <v>0</v>
      </c>
      <c r="I102" s="94">
        <f>IF('FY19-20'!$S102&gt;0,'FY19-20'!I102/'FY19-20'!$S102*'Multi-Year'!$J102,0)+IF('FY19-20'!$S102&lt;0,'FY19-20'!I102/'FY19-20'!$S102*'Multi-Year'!$J102,0)</f>
        <v>0</v>
      </c>
      <c r="J102" s="94">
        <f>IF('FY19-20'!$S102&gt;0,'FY19-20'!J102/'FY19-20'!$S102*'Multi-Year'!$J102,0)+IF('FY19-20'!$S102&lt;0,'FY19-20'!J102/'FY19-20'!$S102*'Multi-Year'!$J102,0)</f>
        <v>0</v>
      </c>
      <c r="K102" s="94">
        <f>IF('FY19-20'!$S102&gt;0,'FY19-20'!K102/'FY19-20'!$S102*'Multi-Year'!$J102,0)+IF('FY19-20'!$S102&lt;0,'FY19-20'!K102/'FY19-20'!$S102*'Multi-Year'!$J102,0)</f>
        <v>0</v>
      </c>
      <c r="L102" s="94">
        <f>IF('FY19-20'!$S102&gt;0,'FY19-20'!L102/'FY19-20'!$S102*'Multi-Year'!$J102,0)+IF('FY19-20'!$S102&lt;0,'FY19-20'!L102/'FY19-20'!$S102*'Multi-Year'!$J102,0)</f>
        <v>0</v>
      </c>
      <c r="M102" s="94">
        <f>IF('FY19-20'!$S102&gt;0,'FY19-20'!M102/'FY19-20'!$S102*'Multi-Year'!$J102,0)+IF('FY19-20'!$S102&lt;0,'FY19-20'!M102/'FY19-20'!$S102*'Multi-Year'!$J102,0)</f>
        <v>0</v>
      </c>
      <c r="N102" s="94">
        <f>IF('FY19-20'!$S102&gt;0,'FY19-20'!N102/'FY19-20'!$S102*'Multi-Year'!$J102,0)+IF('FY19-20'!$S102&lt;0,'FY19-20'!N102/'FY19-20'!$S102*'Multi-Year'!$J102,0)</f>
        <v>0</v>
      </c>
      <c r="O102" s="94">
        <f>IF('FY19-20'!$S102&gt;0,'FY19-20'!O102/'FY19-20'!$S102*'Multi-Year'!$J102,0)+IF('FY19-20'!$S102&lt;0,'FY19-20'!O102/'FY19-20'!$S102*'Multi-Year'!$J102,0)</f>
        <v>0</v>
      </c>
      <c r="P102" s="94">
        <f>IF('FY19-20'!$S102&gt;0,'FY19-20'!P102/'FY19-20'!$S102*'Multi-Year'!$J102,0)+IF('FY19-20'!$S102&lt;0,'FY19-20'!P102/'FY19-20'!$S102*'Multi-Year'!$J102,0)</f>
        <v>0</v>
      </c>
      <c r="Q102" s="606">
        <f>IF('FY19-20'!$S102&gt;0,'FY19-20'!Q102/'FY19-20'!$S102*'Multi-Year'!$J102,0)+IF('FY19-20'!$S102&lt;0,'FY19-20'!Q102/'FY19-20'!$S102*'Multi-Year'!$J102,0)</f>
        <v>0</v>
      </c>
      <c r="R102" s="94"/>
      <c r="S102" s="625">
        <f t="shared" si="38"/>
        <v>0</v>
      </c>
      <c r="T102" s="94"/>
      <c r="U102" s="94">
        <f>'FY19-20'!S102</f>
        <v>0</v>
      </c>
      <c r="V102" s="94">
        <f t="shared" si="39"/>
        <v>0</v>
      </c>
      <c r="W102" s="214"/>
    </row>
    <row r="103" spans="1:23" s="95" customFormat="1" ht="12" customHeight="1">
      <c r="A103" s="124"/>
      <c r="B103" s="124" t="s">
        <v>186</v>
      </c>
      <c r="C103" s="102">
        <v>5400</v>
      </c>
      <c r="D103" s="127" t="s">
        <v>38</v>
      </c>
      <c r="E103" s="94">
        <f>IF('FY19-20'!$S103&gt;0,'FY19-20'!E103/'FY19-20'!$S103*'Multi-Year'!$J103,0)+IF('FY19-20'!$S103&lt;0,'FY19-20'!E103/'FY19-20'!$S103*'Multi-Year'!$J103,0)</f>
        <v>0</v>
      </c>
      <c r="F103" s="94">
        <f>IF('FY19-20'!$S103&gt;0,'FY19-20'!F103/'FY19-20'!$S103*'Multi-Year'!$J103,0)+IF('FY19-20'!$S103&lt;0,'FY19-20'!F103/'FY19-20'!$S103*'Multi-Year'!$J103,0)</f>
        <v>2627.2694048397839</v>
      </c>
      <c r="G103" s="94">
        <f>IF('FY19-20'!$S103&gt;0,'FY19-20'!G103/'FY19-20'!$S103*'Multi-Year'!$J103,0)+IF('FY19-20'!$S103&lt;0,'FY19-20'!G103/'FY19-20'!$S103*'Multi-Year'!$J103,0)</f>
        <v>1313.6347024198919</v>
      </c>
      <c r="H103" s="94">
        <f>IF('FY19-20'!$S103&gt;0,'FY19-20'!H103/'FY19-20'!$S103*'Multi-Year'!$J103,0)+IF('FY19-20'!$S103&lt;0,'FY19-20'!H103/'FY19-20'!$S103*'Multi-Year'!$J103,0)</f>
        <v>1313.6347024198919</v>
      </c>
      <c r="I103" s="94">
        <f>IF('FY19-20'!$S103&gt;0,'FY19-20'!I103/'FY19-20'!$S103*'Multi-Year'!$J103,0)+IF('FY19-20'!$S103&lt;0,'FY19-20'!I103/'FY19-20'!$S103*'Multi-Year'!$J103,0)</f>
        <v>1313.6347024198919</v>
      </c>
      <c r="J103" s="94">
        <f>IF('FY19-20'!$S103&gt;0,'FY19-20'!J103/'FY19-20'!$S103*'Multi-Year'!$J103,0)+IF('FY19-20'!$S103&lt;0,'FY19-20'!J103/'FY19-20'!$S103*'Multi-Year'!$J103,0)</f>
        <v>1313.6347024198919</v>
      </c>
      <c r="K103" s="94">
        <f>IF('FY19-20'!$S103&gt;0,'FY19-20'!K103/'FY19-20'!$S103*'Multi-Year'!$J103,0)+IF('FY19-20'!$S103&lt;0,'FY19-20'!K103/'FY19-20'!$S103*'Multi-Year'!$J103,0)</f>
        <v>1313.6347024198919</v>
      </c>
      <c r="L103" s="94">
        <f>IF('FY19-20'!$S103&gt;0,'FY19-20'!L103/'FY19-20'!$S103*'Multi-Year'!$J103,0)+IF('FY19-20'!$S103&lt;0,'FY19-20'!L103/'FY19-20'!$S103*'Multi-Year'!$J103,0)</f>
        <v>1313.6347024198919</v>
      </c>
      <c r="M103" s="94">
        <f>IF('FY19-20'!$S103&gt;0,'FY19-20'!M103/'FY19-20'!$S103*'Multi-Year'!$J103,0)+IF('FY19-20'!$S103&lt;0,'FY19-20'!M103/'FY19-20'!$S103*'Multi-Year'!$J103,0)</f>
        <v>5015.4897642962187</v>
      </c>
      <c r="N103" s="94">
        <f>IF('FY19-20'!$S103&gt;0,'FY19-20'!N103/'FY19-20'!$S103*'Multi-Year'!$J103,0)+IF('FY19-20'!$S103&lt;0,'FY19-20'!N103/'FY19-20'!$S103*'Multi-Year'!$J103,0)</f>
        <v>23114.425246326158</v>
      </c>
      <c r="O103" s="94">
        <f>IF('FY19-20'!$S103&gt;0,'FY19-20'!O103/'FY19-20'!$S103*'Multi-Year'!$J103,0)+IF('FY19-20'!$S103&lt;0,'FY19-20'!O103/'FY19-20'!$S103*'Multi-Year'!$J103,0)</f>
        <v>69881.906301683222</v>
      </c>
      <c r="P103" s="94">
        <f>IF('FY19-20'!$S103&gt;0,'FY19-20'!P103/'FY19-20'!$S103*'Multi-Year'!$J103,0)+IF('FY19-20'!$S103&lt;0,'FY19-20'!P103/'FY19-20'!$S103*'Multi-Year'!$J103,0)</f>
        <v>27017.953871163678</v>
      </c>
      <c r="Q103" s="606">
        <f>IF('FY19-20'!$S103&gt;0,'FY19-20'!Q103/'FY19-20'!$S103*'Multi-Year'!$J103,0)+IF('FY19-20'!$S103&lt;0,'FY19-20'!Q103/'FY19-20'!$S103*'Multi-Year'!$J103,0)</f>
        <v>0</v>
      </c>
      <c r="R103" s="94"/>
      <c r="S103" s="625">
        <f t="shared" si="38"/>
        <v>135538.85280282842</v>
      </c>
      <c r="T103" s="94"/>
      <c r="U103" s="94">
        <f>'FY19-20'!S103</f>
        <v>133742.03</v>
      </c>
      <c r="V103" s="94">
        <f t="shared" si="39"/>
        <v>-1796.8228028284211</v>
      </c>
      <c r="W103" s="214"/>
    </row>
    <row r="104" spans="1:23" s="95" customFormat="1" ht="12" customHeight="1">
      <c r="A104" s="124"/>
      <c r="B104" s="124" t="s">
        <v>186</v>
      </c>
      <c r="C104" s="102">
        <v>5501</v>
      </c>
      <c r="D104" s="127" t="s">
        <v>101</v>
      </c>
      <c r="E104" s="94">
        <f>IF('FY19-20'!$S104&gt;0,'FY19-20'!E104/'FY19-20'!$S104*'Multi-Year'!$J104,0)+IF('FY19-20'!$S104&lt;0,'FY19-20'!E104/'FY19-20'!$S104*'Multi-Year'!$J104,0)</f>
        <v>157.07228906208749</v>
      </c>
      <c r="F104" s="94">
        <f>IF('FY19-20'!$S104&gt;0,'FY19-20'!F104/'FY19-20'!$S104*'Multi-Year'!$J104,0)+IF('FY19-20'!$S104&lt;0,'FY19-20'!F104/'FY19-20'!$S104*'Multi-Year'!$J104,0)</f>
        <v>0</v>
      </c>
      <c r="G104" s="94">
        <f>IF('FY19-20'!$S104&gt;0,'FY19-20'!G104/'FY19-20'!$S104*'Multi-Year'!$J104,0)+IF('FY19-20'!$S104&lt;0,'FY19-20'!G104/'FY19-20'!$S104*'Multi-Year'!$J104,0)</f>
        <v>0</v>
      </c>
      <c r="H104" s="94">
        <f>IF('FY19-20'!$S104&gt;0,'FY19-20'!H104/'FY19-20'!$S104*'Multi-Year'!$J104,0)+IF('FY19-20'!$S104&lt;0,'FY19-20'!H104/'FY19-20'!$S104*'Multi-Year'!$J104,0)</f>
        <v>0</v>
      </c>
      <c r="I104" s="94">
        <f>IF('FY19-20'!$S104&gt;0,'FY19-20'!I104/'FY19-20'!$S104*'Multi-Year'!$J104,0)+IF('FY19-20'!$S104&lt;0,'FY19-20'!I104/'FY19-20'!$S104*'Multi-Year'!$J104,0)</f>
        <v>0</v>
      </c>
      <c r="J104" s="94">
        <f>IF('FY19-20'!$S104&gt;0,'FY19-20'!J104/'FY19-20'!$S104*'Multi-Year'!$J104,0)+IF('FY19-20'!$S104&lt;0,'FY19-20'!J104/'FY19-20'!$S104*'Multi-Year'!$J104,0)</f>
        <v>0</v>
      </c>
      <c r="K104" s="94">
        <f>IF('FY19-20'!$S104&gt;0,'FY19-20'!K104/'FY19-20'!$S104*'Multi-Year'!$J104,0)+IF('FY19-20'!$S104&lt;0,'FY19-20'!K104/'FY19-20'!$S104*'Multi-Year'!$J104,0)</f>
        <v>0</v>
      </c>
      <c r="L104" s="94">
        <f>IF('FY19-20'!$S104&gt;0,'FY19-20'!L104/'FY19-20'!$S104*'Multi-Year'!$J104,0)+IF('FY19-20'!$S104&lt;0,'FY19-20'!L104/'FY19-20'!$S104*'Multi-Year'!$J104,0)</f>
        <v>0</v>
      </c>
      <c r="M104" s="94">
        <f>IF('FY19-20'!$S104&gt;0,'FY19-20'!M104/'FY19-20'!$S104*'Multi-Year'!$J104,0)+IF('FY19-20'!$S104&lt;0,'FY19-20'!M104/'FY19-20'!$S104*'Multi-Year'!$J104,0)</f>
        <v>0</v>
      </c>
      <c r="N104" s="94">
        <f>IF('FY19-20'!$S104&gt;0,'FY19-20'!N104/'FY19-20'!$S104*'Multi-Year'!$J104,0)+IF('FY19-20'!$S104&lt;0,'FY19-20'!N104/'FY19-20'!$S104*'Multi-Year'!$J104,0)</f>
        <v>0</v>
      </c>
      <c r="O104" s="94">
        <f>IF('FY19-20'!$S104&gt;0,'FY19-20'!O104/'FY19-20'!$S104*'Multi-Year'!$J104,0)+IF('FY19-20'!$S104&lt;0,'FY19-20'!O104/'FY19-20'!$S104*'Multi-Year'!$J104,0)</f>
        <v>0</v>
      </c>
      <c r="P104" s="94">
        <f>IF('FY19-20'!$S104&gt;0,'FY19-20'!P104/'FY19-20'!$S104*'Multi-Year'!$J104,0)+IF('FY19-20'!$S104&lt;0,'FY19-20'!P104/'FY19-20'!$S104*'Multi-Year'!$J104,0)</f>
        <v>0</v>
      </c>
      <c r="Q104" s="606">
        <f>IF('FY19-20'!$S104&gt;0,'FY19-20'!Q104/'FY19-20'!$S104*'Multi-Year'!$J104,0)+IF('FY19-20'!$S104&lt;0,'FY19-20'!Q104/'FY19-20'!$S104*'Multi-Year'!$J104,0)</f>
        <v>0</v>
      </c>
      <c r="R104" s="94"/>
      <c r="S104" s="625">
        <f t="shared" si="38"/>
        <v>157.07228906208749</v>
      </c>
      <c r="T104" s="94"/>
      <c r="U104" s="94">
        <f>'FY19-20'!S104</f>
        <v>154.99</v>
      </c>
      <c r="V104" s="94">
        <f t="shared" si="39"/>
        <v>-2.082289062087483</v>
      </c>
      <c r="W104" s="214"/>
    </row>
    <row r="105" spans="1:23" s="95" customFormat="1" ht="12" customHeight="1">
      <c r="A105" s="124"/>
      <c r="B105" s="124" t="s">
        <v>186</v>
      </c>
      <c r="C105" s="102">
        <v>5502</v>
      </c>
      <c r="D105" s="127" t="s">
        <v>514</v>
      </c>
      <c r="E105" s="94">
        <f>IF('FY19-20'!$S105&gt;0,'FY19-20'!E105/'FY19-20'!$S105*'Multi-Year'!$J105,0)+IF('FY19-20'!$S105&lt;0,'FY19-20'!E105/'FY19-20'!$S105*'Multi-Year'!$J105,0)</f>
        <v>0</v>
      </c>
      <c r="F105" s="94">
        <f>IF('FY19-20'!$S105&gt;0,'FY19-20'!F105/'FY19-20'!$S105*'Multi-Year'!$J105,0)+IF('FY19-20'!$S105&lt;0,'FY19-20'!F105/'FY19-20'!$S105*'Multi-Year'!$J105,0)</f>
        <v>597.92664395529789</v>
      </c>
      <c r="G105" s="94">
        <f>IF('FY19-20'!$S105&gt;0,'FY19-20'!G105/'FY19-20'!$S105*'Multi-Year'!$J105,0)+IF('FY19-20'!$S105&lt;0,'FY19-20'!G105/'FY19-20'!$S105*'Multi-Year'!$J105,0)</f>
        <v>506.71749487737105</v>
      </c>
      <c r="H105" s="94">
        <f>IF('FY19-20'!$S105&gt;0,'FY19-20'!H105/'FY19-20'!$S105*'Multi-Year'!$J105,0)+IF('FY19-20'!$S105&lt;0,'FY19-20'!H105/'FY19-20'!$S105*'Multi-Year'!$J105,0)</f>
        <v>0</v>
      </c>
      <c r="I105" s="94">
        <f>IF('FY19-20'!$S105&gt;0,'FY19-20'!I105/'FY19-20'!$S105*'Multi-Year'!$J105,0)+IF('FY19-20'!$S105&lt;0,'FY19-20'!I105/'FY19-20'!$S105*'Multi-Year'!$J105,0)</f>
        <v>846.21821644520969</v>
      </c>
      <c r="J105" s="94">
        <f>IF('FY19-20'!$S105&gt;0,'FY19-20'!J105/'FY19-20'!$S105*'Multi-Year'!$J105,0)+IF('FY19-20'!$S105&lt;0,'FY19-20'!J105/'FY19-20'!$S105*'Multi-Year'!$J105,0)</f>
        <v>0</v>
      </c>
      <c r="K105" s="94">
        <f>IF('FY19-20'!$S105&gt;0,'FY19-20'!K105/'FY19-20'!$S105*'Multi-Year'!$J105,0)+IF('FY19-20'!$S105&lt;0,'FY19-20'!K105/'FY19-20'!$S105*'Multi-Year'!$J105,0)</f>
        <v>0</v>
      </c>
      <c r="L105" s="94">
        <f>IF('FY19-20'!$S105&gt;0,'FY19-20'!L105/'FY19-20'!$S105*'Multi-Year'!$J105,0)+IF('FY19-20'!$S105&lt;0,'FY19-20'!L105/'FY19-20'!$S105*'Multi-Year'!$J105,0)</f>
        <v>35.470224641415975</v>
      </c>
      <c r="M105" s="94">
        <f>IF('FY19-20'!$S105&gt;0,'FY19-20'!M105/'FY19-20'!$S105*'Multi-Year'!$J105,0)+IF('FY19-20'!$S105&lt;0,'FY19-20'!M105/'FY19-20'!$S105*'Multi-Year'!$J105,0)</f>
        <v>0</v>
      </c>
      <c r="N105" s="94">
        <f>IF('FY19-20'!$S105&gt;0,'FY19-20'!N105/'FY19-20'!$S105*'Multi-Year'!$J105,0)+IF('FY19-20'!$S105&lt;0,'FY19-20'!N105/'FY19-20'!$S105*'Multi-Year'!$J105,0)</f>
        <v>35.470224641415975</v>
      </c>
      <c r="O105" s="94">
        <f>IF('FY19-20'!$S105&gt;0,'FY19-20'!O105/'FY19-20'!$S105*'Multi-Year'!$J105,0)+IF('FY19-20'!$S105&lt;0,'FY19-20'!O105/'FY19-20'!$S105*'Multi-Year'!$J105,0)</f>
        <v>0</v>
      </c>
      <c r="P105" s="94">
        <f>IF('FY19-20'!$S105&gt;0,'FY19-20'!P105/'FY19-20'!$S105*'Multi-Year'!$J105,0)+IF('FY19-20'!$S105&lt;0,'FY19-20'!P105/'FY19-20'!$S105*'Multi-Year'!$J105,0)</f>
        <v>0</v>
      </c>
      <c r="Q105" s="606">
        <f>IF('FY19-20'!$S105&gt;0,'FY19-20'!Q105/'FY19-20'!$S105*'Multi-Year'!$J105,0)+IF('FY19-20'!$S105&lt;0,'FY19-20'!Q105/'FY19-20'!$S105*'Multi-Year'!$J105,0)</f>
        <v>0</v>
      </c>
      <c r="R105" s="94"/>
      <c r="S105" s="625">
        <f>SUM(E105:Q105)</f>
        <v>2021.8028045607107</v>
      </c>
      <c r="T105" s="94"/>
      <c r="U105" s="94">
        <f>'FY19-20'!S105</f>
        <v>1995</v>
      </c>
      <c r="V105" s="94">
        <f>U105-S105</f>
        <v>-26.802804560710683</v>
      </c>
      <c r="W105" s="214"/>
    </row>
    <row r="106" spans="1:23" s="95" customFormat="1" ht="12" customHeight="1">
      <c r="A106" s="124"/>
      <c r="B106" s="124" t="s">
        <v>186</v>
      </c>
      <c r="C106" s="102">
        <v>5516</v>
      </c>
      <c r="D106" s="127" t="s">
        <v>103</v>
      </c>
      <c r="E106" s="94">
        <f>IF('FY19-20'!$S106&gt;0,'FY19-20'!E106/'FY19-20'!$S106*'Multi-Year'!$J106,0)+IF('FY19-20'!$S106&lt;0,'FY19-20'!E106/'FY19-20'!$S106*'Multi-Year'!$J106,0)</f>
        <v>0</v>
      </c>
      <c r="F106" s="94">
        <f>IF('FY19-20'!$S106&gt;0,'FY19-20'!F106/'FY19-20'!$S106*'Multi-Year'!$J106,0)+IF('FY19-20'!$S106&lt;0,'FY19-20'!F106/'FY19-20'!$S106*'Multi-Year'!$J106,0)</f>
        <v>0</v>
      </c>
      <c r="G106" s="94">
        <f>IF('FY19-20'!$S106&gt;0,'FY19-20'!G106/'FY19-20'!$S106*'Multi-Year'!$J106,0)+IF('FY19-20'!$S106&lt;0,'FY19-20'!G106/'FY19-20'!$S106*'Multi-Year'!$J106,0)</f>
        <v>0</v>
      </c>
      <c r="H106" s="94">
        <f>IF('FY19-20'!$S106&gt;0,'FY19-20'!H106/'FY19-20'!$S106*'Multi-Year'!$J106,0)+IF('FY19-20'!$S106&lt;0,'FY19-20'!H106/'FY19-20'!$S106*'Multi-Year'!$J106,0)</f>
        <v>0</v>
      </c>
      <c r="I106" s="94">
        <f>IF('FY19-20'!$S106&gt;0,'FY19-20'!I106/'FY19-20'!$S106*'Multi-Year'!$J106,0)+IF('FY19-20'!$S106&lt;0,'FY19-20'!I106/'FY19-20'!$S106*'Multi-Year'!$J106,0)</f>
        <v>0</v>
      </c>
      <c r="J106" s="94">
        <f>IF('FY19-20'!$S106&gt;0,'FY19-20'!J106/'FY19-20'!$S106*'Multi-Year'!$J106,0)+IF('FY19-20'!$S106&lt;0,'FY19-20'!J106/'FY19-20'!$S106*'Multi-Year'!$J106,0)</f>
        <v>0</v>
      </c>
      <c r="K106" s="94">
        <f>IF('FY19-20'!$S106&gt;0,'FY19-20'!K106/'FY19-20'!$S106*'Multi-Year'!$J106,0)+IF('FY19-20'!$S106&lt;0,'FY19-20'!K106/'FY19-20'!$S106*'Multi-Year'!$J106,0)</f>
        <v>0</v>
      </c>
      <c r="L106" s="94">
        <f>IF('FY19-20'!$S106&gt;0,'FY19-20'!L106/'FY19-20'!$S106*'Multi-Year'!$J106,0)+IF('FY19-20'!$S106&lt;0,'FY19-20'!L106/'FY19-20'!$S106*'Multi-Year'!$J106,0)</f>
        <v>0</v>
      </c>
      <c r="M106" s="94">
        <f>IF('FY19-20'!$S106&gt;0,'FY19-20'!M106/'FY19-20'!$S106*'Multi-Year'!$J106,0)+IF('FY19-20'!$S106&lt;0,'FY19-20'!M106/'FY19-20'!$S106*'Multi-Year'!$J106,0)</f>
        <v>0</v>
      </c>
      <c r="N106" s="94">
        <f>IF('FY19-20'!$S106&gt;0,'FY19-20'!N106/'FY19-20'!$S106*'Multi-Year'!$J106,0)+IF('FY19-20'!$S106&lt;0,'FY19-20'!N106/'FY19-20'!$S106*'Multi-Year'!$J106,0)</f>
        <v>0</v>
      </c>
      <c r="O106" s="94">
        <f>IF('FY19-20'!$S106&gt;0,'FY19-20'!O106/'FY19-20'!$S106*'Multi-Year'!$J106,0)+IF('FY19-20'!$S106&lt;0,'FY19-20'!O106/'FY19-20'!$S106*'Multi-Year'!$J106,0)</f>
        <v>0</v>
      </c>
      <c r="P106" s="94">
        <f>IF('FY19-20'!$S106&gt;0,'FY19-20'!P106/'FY19-20'!$S106*'Multi-Year'!$J106,0)+IF('FY19-20'!$S106&lt;0,'FY19-20'!P106/'FY19-20'!$S106*'Multi-Year'!$J106,0)</f>
        <v>0</v>
      </c>
      <c r="Q106" s="606">
        <f>IF('FY19-20'!$S106&gt;0,'FY19-20'!Q106/'FY19-20'!$S106*'Multi-Year'!$J106,0)+IF('FY19-20'!$S106&lt;0,'FY19-20'!Q106/'FY19-20'!$S106*'Multi-Year'!$J106,0)</f>
        <v>0</v>
      </c>
      <c r="R106" s="94"/>
      <c r="S106" s="625">
        <f t="shared" si="38"/>
        <v>0</v>
      </c>
      <c r="T106" s="94"/>
      <c r="U106" s="94">
        <f>'FY19-20'!S106</f>
        <v>0</v>
      </c>
      <c r="V106" s="94">
        <f t="shared" si="39"/>
        <v>0</v>
      </c>
      <c r="W106" s="214"/>
    </row>
    <row r="107" spans="1:23" s="95" customFormat="1" ht="12" customHeight="1">
      <c r="A107" s="124"/>
      <c r="B107" s="124"/>
      <c r="C107" s="102">
        <v>5531</v>
      </c>
      <c r="D107" s="127" t="s">
        <v>313</v>
      </c>
      <c r="E107" s="94">
        <f>IF('FY19-20'!$S107&gt;0,'FY19-20'!E107/'FY19-20'!$S107*'Multi-Year'!$J107,0)+IF('FY19-20'!$S107&lt;0,'FY19-20'!E107/'FY19-20'!$S107*'Multi-Year'!$J107,0)</f>
        <v>0</v>
      </c>
      <c r="F107" s="94">
        <f>IF('FY19-20'!$S107&gt;0,'FY19-20'!F107/'FY19-20'!$S107*'Multi-Year'!$J107,0)+IF('FY19-20'!$S107&lt;0,'FY19-20'!F107/'FY19-20'!$S107*'Multi-Year'!$J107,0)</f>
        <v>0</v>
      </c>
      <c r="G107" s="94">
        <f>IF('FY19-20'!$S107&gt;0,'FY19-20'!G107/'FY19-20'!$S107*'Multi-Year'!$J107,0)+IF('FY19-20'!$S107&lt;0,'FY19-20'!G107/'FY19-20'!$S107*'Multi-Year'!$J107,0)</f>
        <v>0</v>
      </c>
      <c r="H107" s="94">
        <f>IF('FY19-20'!$S107&gt;0,'FY19-20'!H107/'FY19-20'!$S107*'Multi-Year'!$J107,0)+IF('FY19-20'!$S107&lt;0,'FY19-20'!H107/'FY19-20'!$S107*'Multi-Year'!$J107,0)</f>
        <v>0</v>
      </c>
      <c r="I107" s="94">
        <f>IF('FY19-20'!$S107&gt;0,'FY19-20'!I107/'FY19-20'!$S107*'Multi-Year'!$J107,0)+IF('FY19-20'!$S107&lt;0,'FY19-20'!I107/'FY19-20'!$S107*'Multi-Year'!$J107,0)</f>
        <v>0</v>
      </c>
      <c r="J107" s="94">
        <f>IF('FY19-20'!$S107&gt;0,'FY19-20'!J107/'FY19-20'!$S107*'Multi-Year'!$J107,0)+IF('FY19-20'!$S107&lt;0,'FY19-20'!J107/'FY19-20'!$S107*'Multi-Year'!$J107,0)</f>
        <v>0</v>
      </c>
      <c r="K107" s="94">
        <f>IF('FY19-20'!$S107&gt;0,'FY19-20'!K107/'FY19-20'!$S107*'Multi-Year'!$J107,0)+IF('FY19-20'!$S107&lt;0,'FY19-20'!K107/'FY19-20'!$S107*'Multi-Year'!$J107,0)</f>
        <v>0</v>
      </c>
      <c r="L107" s="94">
        <f>IF('FY19-20'!$S107&gt;0,'FY19-20'!L107/'FY19-20'!$S107*'Multi-Year'!$J107,0)+IF('FY19-20'!$S107&lt;0,'FY19-20'!L107/'FY19-20'!$S107*'Multi-Year'!$J107,0)</f>
        <v>0</v>
      </c>
      <c r="M107" s="94">
        <f>IF('FY19-20'!$S107&gt;0,'FY19-20'!M107/'FY19-20'!$S107*'Multi-Year'!$J107,0)+IF('FY19-20'!$S107&lt;0,'FY19-20'!M107/'FY19-20'!$S107*'Multi-Year'!$J107,0)</f>
        <v>0</v>
      </c>
      <c r="N107" s="94">
        <f>IF('FY19-20'!$S107&gt;0,'FY19-20'!N107/'FY19-20'!$S107*'Multi-Year'!$J107,0)+IF('FY19-20'!$S107&lt;0,'FY19-20'!N107/'FY19-20'!$S107*'Multi-Year'!$J107,0)</f>
        <v>0</v>
      </c>
      <c r="O107" s="94">
        <f>IF('FY19-20'!$S107&gt;0,'FY19-20'!O107/'FY19-20'!$S107*'Multi-Year'!$J107,0)+IF('FY19-20'!$S107&lt;0,'FY19-20'!O107/'FY19-20'!$S107*'Multi-Year'!$J107,0)</f>
        <v>0</v>
      </c>
      <c r="P107" s="94">
        <f>IF('FY19-20'!$S107&gt;0,'FY19-20'!P107/'FY19-20'!$S107*'Multi-Year'!$J107,0)+IF('FY19-20'!$S107&lt;0,'FY19-20'!P107/'FY19-20'!$S107*'Multi-Year'!$J107,0)</f>
        <v>0</v>
      </c>
      <c r="Q107" s="606">
        <f>IF('FY19-20'!$S107&gt;0,'FY19-20'!Q107/'FY19-20'!$S107*'Multi-Year'!$J107,0)+IF('FY19-20'!$S107&lt;0,'FY19-20'!Q107/'FY19-20'!$S107*'Multi-Year'!$J107,0)</f>
        <v>0</v>
      </c>
      <c r="R107" s="94"/>
      <c r="S107" s="625">
        <f t="shared" si="38"/>
        <v>0</v>
      </c>
      <c r="T107" s="94"/>
      <c r="U107" s="94">
        <f>'FY19-20'!S107</f>
        <v>0</v>
      </c>
      <c r="V107" s="94">
        <f t="shared" si="39"/>
        <v>0</v>
      </c>
      <c r="W107" s="214"/>
    </row>
    <row r="108" spans="1:23" s="95" customFormat="1" ht="12" customHeight="1">
      <c r="A108" s="124"/>
      <c r="B108" s="124" t="s">
        <v>186</v>
      </c>
      <c r="C108" s="102">
        <v>5900</v>
      </c>
      <c r="D108" s="127" t="s">
        <v>104</v>
      </c>
      <c r="E108" s="94">
        <f>IF('FY19-20'!$S108&gt;0,'FY19-20'!E108/'FY19-20'!$S108*'Multi-Year'!$J108,0)+IF('FY19-20'!$S108&lt;0,'FY19-20'!E108/'FY19-20'!$S108*'Multi-Year'!$J108,0)</f>
        <v>0</v>
      </c>
      <c r="F108" s="94">
        <f>IF('FY19-20'!$S108&gt;0,'FY19-20'!F108/'FY19-20'!$S108*'Multi-Year'!$J108,0)+IF('FY19-20'!$S108&lt;0,'FY19-20'!F108/'FY19-20'!$S108*'Multi-Year'!$J108,0)</f>
        <v>328.15024968258552</v>
      </c>
      <c r="G108" s="94">
        <f>IF('FY19-20'!$S108&gt;0,'FY19-20'!G108/'FY19-20'!$S108*'Multi-Year'!$J108,0)+IF('FY19-20'!$S108&lt;0,'FY19-20'!G108/'FY19-20'!$S108*'Multi-Year'!$J108,0)</f>
        <v>328.15024968258552</v>
      </c>
      <c r="H108" s="94">
        <f>IF('FY19-20'!$S108&gt;0,'FY19-20'!H108/'FY19-20'!$S108*'Multi-Year'!$J108,0)+IF('FY19-20'!$S108&lt;0,'FY19-20'!H108/'FY19-20'!$S108*'Multi-Year'!$J108,0)</f>
        <v>0</v>
      </c>
      <c r="I108" s="94">
        <f>IF('FY19-20'!$S108&gt;0,'FY19-20'!I108/'FY19-20'!$S108*'Multi-Year'!$J108,0)+IF('FY19-20'!$S108&lt;0,'FY19-20'!I108/'FY19-20'!$S108*'Multi-Year'!$J108,0)</f>
        <v>0</v>
      </c>
      <c r="J108" s="94">
        <f>IF('FY19-20'!$S108&gt;0,'FY19-20'!J108/'FY19-20'!$S108*'Multi-Year'!$J108,0)+IF('FY19-20'!$S108&lt;0,'FY19-20'!J108/'FY19-20'!$S108*'Multi-Year'!$J108,0)</f>
        <v>0</v>
      </c>
      <c r="K108" s="94">
        <f>IF('FY19-20'!$S108&gt;0,'FY19-20'!K108/'FY19-20'!$S108*'Multi-Year'!$J108,0)+IF('FY19-20'!$S108&lt;0,'FY19-20'!K108/'FY19-20'!$S108*'Multi-Year'!$J108,0)</f>
        <v>0</v>
      </c>
      <c r="L108" s="94">
        <f>IF('FY19-20'!$S108&gt;0,'FY19-20'!L108/'FY19-20'!$S108*'Multi-Year'!$J108,0)+IF('FY19-20'!$S108&lt;0,'FY19-20'!L108/'FY19-20'!$S108*'Multi-Year'!$J108,0)</f>
        <v>0</v>
      </c>
      <c r="M108" s="94">
        <f>IF('FY19-20'!$S108&gt;0,'FY19-20'!M108/'FY19-20'!$S108*'Multi-Year'!$J108,0)+IF('FY19-20'!$S108&lt;0,'FY19-20'!M108/'FY19-20'!$S108*'Multi-Year'!$J108,0)</f>
        <v>0</v>
      </c>
      <c r="N108" s="94">
        <f>IF('FY19-20'!$S108&gt;0,'FY19-20'!N108/'FY19-20'!$S108*'Multi-Year'!$J108,0)+IF('FY19-20'!$S108&lt;0,'FY19-20'!N108/'FY19-20'!$S108*'Multi-Year'!$J108,0)</f>
        <v>70.930314932934394</v>
      </c>
      <c r="O108" s="94">
        <f>IF('FY19-20'!$S108&gt;0,'FY19-20'!O108/'FY19-20'!$S108*'Multi-Year'!$J108,0)+IF('FY19-20'!$S108&lt;0,'FY19-20'!O108/'FY19-20'!$S108*'Multi-Year'!$J108,0)</f>
        <v>72.055227771562159</v>
      </c>
      <c r="P108" s="94">
        <f>IF('FY19-20'!$S108&gt;0,'FY19-20'!P108/'FY19-20'!$S108*'Multi-Year'!$J108,0)+IF('FY19-20'!$S108&lt;0,'FY19-20'!P108/'FY19-20'!$S108*'Multi-Year'!$J108,0)</f>
        <v>75.997489881708105</v>
      </c>
      <c r="Q108" s="606">
        <f>IF('FY19-20'!$S108&gt;0,'FY19-20'!Q108/'FY19-20'!$S108*'Multi-Year'!$J108,0)+IF('FY19-20'!$S108&lt;0,'FY19-20'!Q108/'FY19-20'!$S108*'Multi-Year'!$J108,0)</f>
        <v>0</v>
      </c>
      <c r="R108" s="94"/>
      <c r="S108" s="625">
        <f t="shared" si="38"/>
        <v>875.28353195137572</v>
      </c>
      <c r="T108" s="94"/>
      <c r="U108" s="94">
        <f>'FY19-20'!S108</f>
        <v>863.68000000000006</v>
      </c>
      <c r="V108" s="94">
        <f t="shared" si="39"/>
        <v>-11.603531951375658</v>
      </c>
      <c r="W108" s="214"/>
    </row>
    <row r="109" spans="1:23" s="95" customFormat="1" ht="12" customHeight="1">
      <c r="A109" s="124"/>
      <c r="B109" s="124" t="s">
        <v>186</v>
      </c>
      <c r="C109" s="102">
        <v>5901</v>
      </c>
      <c r="D109" s="127" t="s">
        <v>40</v>
      </c>
      <c r="E109" s="94">
        <f>IF('FY19-20'!$S109&gt;0,'FY19-20'!E109/'FY19-20'!$S109*'Multi-Year'!$J109,0)+IF('FY19-20'!$S109&lt;0,'FY19-20'!E109/'FY19-20'!$S109*'Multi-Year'!$J109,0)</f>
        <v>0</v>
      </c>
      <c r="F109" s="94">
        <f>IF('FY19-20'!$S109&gt;0,'FY19-20'!F109/'FY19-20'!$S109*'Multi-Year'!$J109,0)+IF('FY19-20'!$S109&lt;0,'FY19-20'!F109/'FY19-20'!$S109*'Multi-Year'!$J109,0)</f>
        <v>0</v>
      </c>
      <c r="G109" s="94">
        <f>IF('FY19-20'!$S109&gt;0,'FY19-20'!G109/'FY19-20'!$S109*'Multi-Year'!$J109,0)+IF('FY19-20'!$S109&lt;0,'FY19-20'!G109/'FY19-20'!$S109*'Multi-Year'!$J109,0)</f>
        <v>19.772116650115024</v>
      </c>
      <c r="H109" s="94">
        <f>IF('FY19-20'!$S109&gt;0,'FY19-20'!H109/'FY19-20'!$S109*'Multi-Year'!$J109,0)+IF('FY19-20'!$S109&lt;0,'FY19-20'!H109/'FY19-20'!$S109*'Multi-Year'!$J109,0)</f>
        <v>0</v>
      </c>
      <c r="I109" s="94">
        <f>IF('FY19-20'!$S109&gt;0,'FY19-20'!I109/'FY19-20'!$S109*'Multi-Year'!$J109,0)+IF('FY19-20'!$S109&lt;0,'FY19-20'!I109/'FY19-20'!$S109*'Multi-Year'!$J109,0)</f>
        <v>0</v>
      </c>
      <c r="J109" s="94">
        <f>IF('FY19-20'!$S109&gt;0,'FY19-20'!J109/'FY19-20'!$S109*'Multi-Year'!$J109,0)+IF('FY19-20'!$S109&lt;0,'FY19-20'!J109/'FY19-20'!$S109*'Multi-Year'!$J109,0)</f>
        <v>75.815071583552282</v>
      </c>
      <c r="K109" s="94">
        <f>IF('FY19-20'!$S109&gt;0,'FY19-20'!K109/'FY19-20'!$S109*'Multi-Year'!$J109,0)+IF('FY19-20'!$S109&lt;0,'FY19-20'!K109/'FY19-20'!$S109*'Multi-Year'!$J109,0)</f>
        <v>91.199014728029269</v>
      </c>
      <c r="L109" s="94">
        <f>IF('FY19-20'!$S109&gt;0,'FY19-20'!L109/'FY19-20'!$S109*'Multi-Year'!$J109,0)+IF('FY19-20'!$S109&lt;0,'FY19-20'!L109/'FY19-20'!$S109*'Multi-Year'!$J109,0)</f>
        <v>218.02026934593772</v>
      </c>
      <c r="M109" s="94">
        <f>IF('FY19-20'!$S109&gt;0,'FY19-20'!M109/'FY19-20'!$S109*'Multi-Year'!$J109,0)+IF('FY19-20'!$S109&lt;0,'FY19-20'!M109/'FY19-20'!$S109*'Multi-Year'!$J109,0)</f>
        <v>0</v>
      </c>
      <c r="N109" s="94">
        <f>IF('FY19-20'!$S109&gt;0,'FY19-20'!N109/'FY19-20'!$S109*'Multi-Year'!$J109,0)+IF('FY19-20'!$S109&lt;0,'FY19-20'!N109/'FY19-20'!$S109*'Multi-Year'!$J109,0)</f>
        <v>0</v>
      </c>
      <c r="O109" s="94">
        <f>IF('FY19-20'!$S109&gt;0,'FY19-20'!O109/'FY19-20'!$S109*'Multi-Year'!$J109,0)+IF('FY19-20'!$S109&lt;0,'FY19-20'!O109/'FY19-20'!$S109*'Multi-Year'!$J109,0)</f>
        <v>352.67537643465033</v>
      </c>
      <c r="P109" s="94">
        <f>IF('FY19-20'!$S109&gt;0,'FY19-20'!P109/'FY19-20'!$S109*'Multi-Year'!$J109,0)+IF('FY19-20'!$S109&lt;0,'FY19-20'!P109/'FY19-20'!$S109*'Multi-Year'!$J109,0)</f>
        <v>496.07642748494641</v>
      </c>
      <c r="Q109" s="606">
        <f>IF('FY19-20'!$S109&gt;0,'FY19-20'!Q109/'FY19-20'!$S109*'Multi-Year'!$J109,0)+IF('FY19-20'!$S109&lt;0,'FY19-20'!Q109/'FY19-20'!$S109*'Multi-Year'!$J109,0)</f>
        <v>0</v>
      </c>
      <c r="R109" s="94"/>
      <c r="S109" s="625">
        <f>SUM(E109:Q109)</f>
        <v>1253.5582762272311</v>
      </c>
      <c r="T109" s="94"/>
      <c r="U109" s="94">
        <f>'FY19-20'!S109</f>
        <v>1236.94</v>
      </c>
      <c r="V109" s="94">
        <f>U109-S109</f>
        <v>-16.618276227231036</v>
      </c>
      <c r="W109" s="214"/>
    </row>
    <row r="110" spans="1:23" s="95" customFormat="1" ht="12" customHeight="1">
      <c r="A110" s="124"/>
      <c r="B110" s="124" t="s">
        <v>186</v>
      </c>
      <c r="C110" s="102"/>
      <c r="D110" s="103"/>
      <c r="E110" s="215">
        <f t="shared" ref="E110:Q110" si="40">SUM(E101:E109)</f>
        <v>157.07228906208749</v>
      </c>
      <c r="F110" s="215">
        <f t="shared" si="40"/>
        <v>4086.2509534903011</v>
      </c>
      <c r="G110" s="215">
        <f t="shared" si="40"/>
        <v>2325.8028984374409</v>
      </c>
      <c r="H110" s="215">
        <f t="shared" si="40"/>
        <v>1313.6347024198919</v>
      </c>
      <c r="I110" s="215">
        <f t="shared" si="40"/>
        <v>7139.122516627488</v>
      </c>
      <c r="J110" s="215">
        <f t="shared" si="40"/>
        <v>1168.9972606820952</v>
      </c>
      <c r="K110" s="215">
        <f t="shared" si="40"/>
        <v>2032.0790353568236</v>
      </c>
      <c r="L110" s="215">
        <f t="shared" si="40"/>
        <v>2874.6083484393266</v>
      </c>
      <c r="M110" s="215">
        <f t="shared" si="40"/>
        <v>6936.7699522231569</v>
      </c>
      <c r="N110" s="215">
        <f t="shared" si="40"/>
        <v>23220.82578590051</v>
      </c>
      <c r="O110" s="215">
        <f t="shared" si="40"/>
        <v>70306.636905889434</v>
      </c>
      <c r="P110" s="215">
        <f t="shared" si="40"/>
        <v>38018.273833106636</v>
      </c>
      <c r="Q110" s="603">
        <f t="shared" si="40"/>
        <v>0</v>
      </c>
      <c r="R110" s="94"/>
      <c r="S110" s="626">
        <f>SUM(E110:R110)</f>
        <v>159580.07448163518</v>
      </c>
      <c r="T110" s="113"/>
      <c r="U110" s="216">
        <f>SUM(U101:U109)</f>
        <v>157464.53999999998</v>
      </c>
      <c r="V110" s="216">
        <f>SUM(V101:V109)</f>
        <v>-2115.5344816351926</v>
      </c>
      <c r="W110" s="214"/>
    </row>
    <row r="111" spans="1:23" s="95" customFormat="1" ht="12" customHeight="1">
      <c r="A111" s="124"/>
      <c r="B111" s="124" t="s">
        <v>287</v>
      </c>
      <c r="C111" s="126"/>
      <c r="D111" s="126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606"/>
      <c r="R111" s="94"/>
      <c r="S111" s="627"/>
      <c r="T111" s="94"/>
      <c r="U111" s="94"/>
      <c r="V111" s="94"/>
      <c r="W111" s="214"/>
    </row>
    <row r="112" spans="1:23" s="95" customFormat="1" ht="12" customHeight="1">
      <c r="A112" s="124"/>
      <c r="B112" s="124" t="s">
        <v>186</v>
      </c>
      <c r="C112" s="102">
        <v>5601</v>
      </c>
      <c r="D112" s="127" t="s">
        <v>29</v>
      </c>
      <c r="E112" s="94">
        <f>IF('FY19-20'!$S112&gt;0,'FY19-20'!E112/'FY19-20'!$S112*'Multi-Year'!$J112,0)+IF('FY19-20'!$S112&lt;0,'FY19-20'!E112/'FY19-20'!$S112*'Multi-Year'!$J112,0)</f>
        <v>0</v>
      </c>
      <c r="F112" s="94">
        <f>IF('FY19-20'!$S112&gt;0,'FY19-20'!F112/'FY19-20'!$S112*'Multi-Year'!$J112,0)+IF('FY19-20'!$S112&lt;0,'FY19-20'!F112/'FY19-20'!$S112*'Multi-Year'!$J112,0)</f>
        <v>0</v>
      </c>
      <c r="G112" s="94">
        <f>IF('FY19-20'!$S112&gt;0,'FY19-20'!G112/'FY19-20'!$S112*'Multi-Year'!$J112,0)+IF('FY19-20'!$S112&lt;0,'FY19-20'!G112/'FY19-20'!$S112*'Multi-Year'!$J112,0)</f>
        <v>4231.0910822260485</v>
      </c>
      <c r="H112" s="94">
        <f>IF('FY19-20'!$S112&gt;0,'FY19-20'!H112/'FY19-20'!$S112*'Multi-Year'!$J112,0)+IF('FY19-20'!$S112&lt;0,'FY19-20'!H112/'FY19-20'!$S112*'Multi-Year'!$J112,0)</f>
        <v>20357.476700197356</v>
      </c>
      <c r="I112" s="94">
        <f>IF('FY19-20'!$S112&gt;0,'FY19-20'!I112/'FY19-20'!$S112*'Multi-Year'!$J112,0)+IF('FY19-20'!$S112&lt;0,'FY19-20'!I112/'FY19-20'!$S112*'Multi-Year'!$J112,0)</f>
        <v>7628.023824384969</v>
      </c>
      <c r="J112" s="94">
        <f>IF('FY19-20'!$S112&gt;0,'FY19-20'!J112/'FY19-20'!$S112*'Multi-Year'!$J112,0)+IF('FY19-20'!$S112&lt;0,'FY19-20'!J112/'FY19-20'!$S112*'Multi-Year'!$J112,0)</f>
        <v>0</v>
      </c>
      <c r="K112" s="94">
        <f>IF('FY19-20'!$S112&gt;0,'FY19-20'!K112/'FY19-20'!$S112*'Multi-Year'!$J112,0)+IF('FY19-20'!$S112&lt;0,'FY19-20'!K112/'FY19-20'!$S112*'Multi-Year'!$J112,0)</f>
        <v>0</v>
      </c>
      <c r="L112" s="94">
        <f>IF('FY19-20'!$S112&gt;0,'FY19-20'!L112/'FY19-20'!$S112*'Multi-Year'!$J112,0)+IF('FY19-20'!$S112&lt;0,'FY19-20'!L112/'FY19-20'!$S112*'Multi-Year'!$J112,0)</f>
        <v>0</v>
      </c>
      <c r="M112" s="94">
        <f>IF('FY19-20'!$S112&gt;0,'FY19-20'!M112/'FY19-20'!$S112*'Multi-Year'!$J112,0)+IF('FY19-20'!$S112&lt;0,'FY19-20'!M112/'FY19-20'!$S112*'Multi-Year'!$J112,0)</f>
        <v>0</v>
      </c>
      <c r="N112" s="94">
        <f>IF('FY19-20'!$S112&gt;0,'FY19-20'!N112/'FY19-20'!$S112*'Multi-Year'!$J112,0)+IF('FY19-20'!$S112&lt;0,'FY19-20'!N112/'FY19-20'!$S112*'Multi-Year'!$J112,0)</f>
        <v>0</v>
      </c>
      <c r="O112" s="94">
        <f>IF('FY19-20'!$S112&gt;0,'FY19-20'!O112/'FY19-20'!$S112*'Multi-Year'!$J112,0)+IF('FY19-20'!$S112&lt;0,'FY19-20'!O112/'FY19-20'!$S112*'Multi-Year'!$J112,0)</f>
        <v>0</v>
      </c>
      <c r="P112" s="94">
        <f>IF('FY19-20'!$S112&gt;0,'FY19-20'!P112/'FY19-20'!$S112*'Multi-Year'!$J112,0)+IF('FY19-20'!$S112&lt;0,'FY19-20'!P112/'FY19-20'!$S112*'Multi-Year'!$J112,0)</f>
        <v>-127.69280870909751</v>
      </c>
      <c r="Q112" s="606">
        <f>IF('FY19-20'!$S112&gt;0,'FY19-20'!Q112/'FY19-20'!$S112*'Multi-Year'!$J112,0)+IF('FY19-20'!$S112&lt;0,'FY19-20'!Q112/'FY19-20'!$S112*'Multi-Year'!$J112,0)</f>
        <v>0</v>
      </c>
      <c r="R112" s="94"/>
      <c r="S112" s="625">
        <f t="shared" ref="S112:S117" si="41">SUM(E112:Q112)</f>
        <v>32088.898798099279</v>
      </c>
      <c r="T112" s="94"/>
      <c r="U112" s="94">
        <f>'FY19-20'!S112</f>
        <v>31663.5</v>
      </c>
      <c r="V112" s="94">
        <f t="shared" ref="V112:V117" si="42">U112-S112</f>
        <v>-425.39879809927879</v>
      </c>
      <c r="W112" s="214"/>
    </row>
    <row r="113" spans="1:23" s="95" customFormat="1" ht="11.25" customHeight="1">
      <c r="A113" s="124"/>
      <c r="B113" s="124" t="s">
        <v>186</v>
      </c>
      <c r="C113" s="102">
        <v>5602</v>
      </c>
      <c r="D113" s="127" t="s">
        <v>30</v>
      </c>
      <c r="E113" s="94">
        <f>IF('FY19-20'!$S113&gt;0,'FY19-20'!E113/'FY19-20'!$S113*'Multi-Year'!$J113,0)+IF('FY19-20'!$S113&lt;0,'FY19-20'!E113/'FY19-20'!$S113*'Multi-Year'!$J113,0)</f>
        <v>0</v>
      </c>
      <c r="F113" s="94">
        <f>IF('FY19-20'!$S113&gt;0,'FY19-20'!F113/'FY19-20'!$S113*'Multi-Year'!$J113,0)+IF('FY19-20'!$S113&lt;0,'FY19-20'!F113/'FY19-20'!$S113*'Multi-Year'!$J113,0)</f>
        <v>0</v>
      </c>
      <c r="G113" s="94">
        <f>IF('FY19-20'!$S113&gt;0,'FY19-20'!G113/'FY19-20'!$S113*'Multi-Year'!$J113,0)+IF('FY19-20'!$S113&lt;0,'FY19-20'!G113/'FY19-20'!$S113*'Multi-Year'!$J113,0)</f>
        <v>0</v>
      </c>
      <c r="H113" s="94">
        <f>IF('FY19-20'!$S113&gt;0,'FY19-20'!H113/'FY19-20'!$S113*'Multi-Year'!$J113,0)+IF('FY19-20'!$S113&lt;0,'FY19-20'!H113/'FY19-20'!$S113*'Multi-Year'!$J113,0)</f>
        <v>0</v>
      </c>
      <c r="I113" s="94">
        <f>IF('FY19-20'!$S113&gt;0,'FY19-20'!I113/'FY19-20'!$S113*'Multi-Year'!$J113,0)+IF('FY19-20'!$S113&lt;0,'FY19-20'!I113/'FY19-20'!$S113*'Multi-Year'!$J113,0)</f>
        <v>0</v>
      </c>
      <c r="J113" s="94">
        <f>IF('FY19-20'!$S113&gt;0,'FY19-20'!J113/'FY19-20'!$S113*'Multi-Year'!$J113,0)+IF('FY19-20'!$S113&lt;0,'FY19-20'!J113/'FY19-20'!$S113*'Multi-Year'!$J113,0)</f>
        <v>0</v>
      </c>
      <c r="K113" s="94">
        <f>IF('FY19-20'!$S113&gt;0,'FY19-20'!K113/'FY19-20'!$S113*'Multi-Year'!$J113,0)+IF('FY19-20'!$S113&lt;0,'FY19-20'!K113/'FY19-20'!$S113*'Multi-Year'!$J113,0)</f>
        <v>0</v>
      </c>
      <c r="L113" s="94">
        <f>IF('FY19-20'!$S113&gt;0,'FY19-20'!L113/'FY19-20'!$S113*'Multi-Year'!$J113,0)+IF('FY19-20'!$S113&lt;0,'FY19-20'!L113/'FY19-20'!$S113*'Multi-Year'!$J113,0)</f>
        <v>0</v>
      </c>
      <c r="M113" s="94">
        <f>IF('FY19-20'!$S113&gt;0,'FY19-20'!M113/'FY19-20'!$S113*'Multi-Year'!$J113,0)+IF('FY19-20'!$S113&lt;0,'FY19-20'!M113/'FY19-20'!$S113*'Multi-Year'!$J113,0)</f>
        <v>0</v>
      </c>
      <c r="N113" s="94">
        <f>IF('FY19-20'!$S113&gt;0,'FY19-20'!N113/'FY19-20'!$S113*'Multi-Year'!$J113,0)+IF('FY19-20'!$S113&lt;0,'FY19-20'!N113/'FY19-20'!$S113*'Multi-Year'!$J113,0)</f>
        <v>0</v>
      </c>
      <c r="O113" s="94">
        <f>IF('FY19-20'!$S113&gt;0,'FY19-20'!O113/'FY19-20'!$S113*'Multi-Year'!$J113,0)+IF('FY19-20'!$S113&lt;0,'FY19-20'!O113/'FY19-20'!$S113*'Multi-Year'!$J113,0)</f>
        <v>0</v>
      </c>
      <c r="P113" s="94">
        <f>IF('FY19-20'!$S113&gt;0,'FY19-20'!P113/'FY19-20'!$S113*'Multi-Year'!$J113,0)+IF('FY19-20'!$S113&lt;0,'FY19-20'!P113/'FY19-20'!$S113*'Multi-Year'!$J113,0)</f>
        <v>0</v>
      </c>
      <c r="Q113" s="606">
        <f>IF('FY19-20'!$S113&gt;0,'FY19-20'!Q113/'FY19-20'!$S113*'Multi-Year'!$J113,0)+IF('FY19-20'!$S113&lt;0,'FY19-20'!Q113/'FY19-20'!$S113*'Multi-Year'!$J113,0)</f>
        <v>0</v>
      </c>
      <c r="R113" s="94"/>
      <c r="S113" s="625">
        <f t="shared" si="41"/>
        <v>0</v>
      </c>
      <c r="T113" s="94"/>
      <c r="U113" s="94">
        <f>'FY19-20'!S113</f>
        <v>0</v>
      </c>
      <c r="V113" s="94">
        <f t="shared" si="42"/>
        <v>0</v>
      </c>
      <c r="W113" s="214"/>
    </row>
    <row r="114" spans="1:23" s="95" customFormat="1" ht="12" customHeight="1">
      <c r="A114" s="124"/>
      <c r="B114" s="124" t="s">
        <v>186</v>
      </c>
      <c r="C114" s="102">
        <v>5603</v>
      </c>
      <c r="D114" s="127" t="s">
        <v>31</v>
      </c>
      <c r="E114" s="94">
        <f>IF('FY19-20'!$S114&gt;0,'FY19-20'!E114/'FY19-20'!$S114*'Multi-Year'!$J114,0)+IF('FY19-20'!$S114&lt;0,'FY19-20'!E114/'FY19-20'!$S114*'Multi-Year'!$J114,0)</f>
        <v>0</v>
      </c>
      <c r="F114" s="94">
        <f>IF('FY19-20'!$S114&gt;0,'FY19-20'!F114/'FY19-20'!$S114*'Multi-Year'!$J114,0)+IF('FY19-20'!$S114&lt;0,'FY19-20'!F114/'FY19-20'!$S114*'Multi-Year'!$J114,0)</f>
        <v>0</v>
      </c>
      <c r="G114" s="94">
        <f>IF('FY19-20'!$S114&gt;0,'FY19-20'!G114/'FY19-20'!$S114*'Multi-Year'!$J114,0)+IF('FY19-20'!$S114&lt;0,'FY19-20'!G114/'FY19-20'!$S114*'Multi-Year'!$J114,0)</f>
        <v>0</v>
      </c>
      <c r="H114" s="94">
        <f>IF('FY19-20'!$S114&gt;0,'FY19-20'!H114/'FY19-20'!$S114*'Multi-Year'!$J114,0)+IF('FY19-20'!$S114&lt;0,'FY19-20'!H114/'FY19-20'!$S114*'Multi-Year'!$J114,0)</f>
        <v>0</v>
      </c>
      <c r="I114" s="94">
        <f>IF('FY19-20'!$S114&gt;0,'FY19-20'!I114/'FY19-20'!$S114*'Multi-Year'!$J114,0)+IF('FY19-20'!$S114&lt;0,'FY19-20'!I114/'FY19-20'!$S114*'Multi-Year'!$J114,0)</f>
        <v>0</v>
      </c>
      <c r="J114" s="94">
        <f>IF('FY19-20'!$S114&gt;0,'FY19-20'!J114/'FY19-20'!$S114*'Multi-Year'!$J114,0)+IF('FY19-20'!$S114&lt;0,'FY19-20'!J114/'FY19-20'!$S114*'Multi-Year'!$J114,0)</f>
        <v>0</v>
      </c>
      <c r="K114" s="94">
        <f>IF('FY19-20'!$S114&gt;0,'FY19-20'!K114/'FY19-20'!$S114*'Multi-Year'!$J114,0)+IF('FY19-20'!$S114&lt;0,'FY19-20'!K114/'FY19-20'!$S114*'Multi-Year'!$J114,0)</f>
        <v>0</v>
      </c>
      <c r="L114" s="94">
        <f>IF('FY19-20'!$S114&gt;0,'FY19-20'!L114/'FY19-20'!$S114*'Multi-Year'!$J114,0)+IF('FY19-20'!$S114&lt;0,'FY19-20'!L114/'FY19-20'!$S114*'Multi-Year'!$J114,0)</f>
        <v>0</v>
      </c>
      <c r="M114" s="94">
        <f>IF('FY19-20'!$S114&gt;0,'FY19-20'!M114/'FY19-20'!$S114*'Multi-Year'!$J114,0)+IF('FY19-20'!$S114&lt;0,'FY19-20'!M114/'FY19-20'!$S114*'Multi-Year'!$J114,0)</f>
        <v>0</v>
      </c>
      <c r="N114" s="94">
        <f>IF('FY19-20'!$S114&gt;0,'FY19-20'!N114/'FY19-20'!$S114*'Multi-Year'!$J114,0)+IF('FY19-20'!$S114&lt;0,'FY19-20'!N114/'FY19-20'!$S114*'Multi-Year'!$J114,0)</f>
        <v>0</v>
      </c>
      <c r="O114" s="94">
        <f>IF('FY19-20'!$S114&gt;0,'FY19-20'!O114/'FY19-20'!$S114*'Multi-Year'!$J114,0)+IF('FY19-20'!$S114&lt;0,'FY19-20'!O114/'FY19-20'!$S114*'Multi-Year'!$J114,0)</f>
        <v>0</v>
      </c>
      <c r="P114" s="94">
        <f>IF('FY19-20'!$S114&gt;0,'FY19-20'!P114/'FY19-20'!$S114*'Multi-Year'!$J114,0)+IF('FY19-20'!$S114&lt;0,'FY19-20'!P114/'FY19-20'!$S114*'Multi-Year'!$J114,0)</f>
        <v>0</v>
      </c>
      <c r="Q114" s="606">
        <f>IF('FY19-20'!$S114&gt;0,'FY19-20'!Q114/'FY19-20'!$S114*'Multi-Year'!$J114,0)+IF('FY19-20'!$S114&lt;0,'FY19-20'!Q114/'FY19-20'!$S114*'Multi-Year'!$J114,0)</f>
        <v>0</v>
      </c>
      <c r="R114" s="94"/>
      <c r="S114" s="625">
        <f t="shared" si="41"/>
        <v>0</v>
      </c>
      <c r="T114" s="94"/>
      <c r="U114" s="94">
        <f>'FY19-20'!S114</f>
        <v>0</v>
      </c>
      <c r="V114" s="94">
        <f t="shared" si="42"/>
        <v>0</v>
      </c>
      <c r="W114" s="214"/>
    </row>
    <row r="115" spans="1:23" s="95" customFormat="1" ht="12" customHeight="1">
      <c r="A115" s="124"/>
      <c r="B115" s="124" t="s">
        <v>186</v>
      </c>
      <c r="C115" s="102">
        <v>5604</v>
      </c>
      <c r="D115" s="127" t="s">
        <v>32</v>
      </c>
      <c r="E115" s="94">
        <f>IF('FY19-20'!$S115&gt;0,'FY19-20'!E115/'FY19-20'!$S115*'Multi-Year'!$J115,0)+IF('FY19-20'!$S115&lt;0,'FY19-20'!E115/'FY19-20'!$S115*'Multi-Year'!$J115,0)</f>
        <v>0</v>
      </c>
      <c r="F115" s="94">
        <f>IF('FY19-20'!$S115&gt;0,'FY19-20'!F115/'FY19-20'!$S115*'Multi-Year'!$J115,0)+IF('FY19-20'!$S115&lt;0,'FY19-20'!F115/'FY19-20'!$S115*'Multi-Year'!$J115,0)</f>
        <v>0</v>
      </c>
      <c r="G115" s="94">
        <f>IF('FY19-20'!$S115&gt;0,'FY19-20'!G115/'FY19-20'!$S115*'Multi-Year'!$J115,0)+IF('FY19-20'!$S115&lt;0,'FY19-20'!G115/'FY19-20'!$S115*'Multi-Year'!$J115,0)</f>
        <v>0</v>
      </c>
      <c r="H115" s="94">
        <f>IF('FY19-20'!$S115&gt;0,'FY19-20'!H115/'FY19-20'!$S115*'Multi-Year'!$J115,0)+IF('FY19-20'!$S115&lt;0,'FY19-20'!H115/'FY19-20'!$S115*'Multi-Year'!$J115,0)</f>
        <v>0</v>
      </c>
      <c r="I115" s="94">
        <f>IF('FY19-20'!$S115&gt;0,'FY19-20'!I115/'FY19-20'!$S115*'Multi-Year'!$J115,0)+IF('FY19-20'!$S115&lt;0,'FY19-20'!I115/'FY19-20'!$S115*'Multi-Year'!$J115,0)</f>
        <v>294.90958201863009</v>
      </c>
      <c r="J115" s="94">
        <f>IF('FY19-20'!$S115&gt;0,'FY19-20'!J115/'FY19-20'!$S115*'Multi-Year'!$J115,0)+IF('FY19-20'!$S115&lt;0,'FY19-20'!J115/'FY19-20'!$S115*'Multi-Year'!$J115,0)</f>
        <v>3216.6426574815528</v>
      </c>
      <c r="K115" s="94">
        <f>IF('FY19-20'!$S115&gt;0,'FY19-20'!K115/'FY19-20'!$S115*'Multi-Year'!$J115,0)+IF('FY19-20'!$S115&lt;0,'FY19-20'!K115/'FY19-20'!$S115*'Multi-Year'!$J115,0)</f>
        <v>7650.4207376585509</v>
      </c>
      <c r="L115" s="94">
        <f>IF('FY19-20'!$S115&gt;0,'FY19-20'!L115/'FY19-20'!$S115*'Multi-Year'!$J115,0)+IF('FY19-20'!$S115&lt;0,'FY19-20'!L115/'FY19-20'!$S115*'Multi-Year'!$J115,0)</f>
        <v>1114.7784887302166</v>
      </c>
      <c r="M115" s="94">
        <f>IF('FY19-20'!$S115&gt;0,'FY19-20'!M115/'FY19-20'!$S115*'Multi-Year'!$J115,0)+IF('FY19-20'!$S115&lt;0,'FY19-20'!M115/'FY19-20'!$S115*'Multi-Year'!$J115,0)</f>
        <v>608.06099385284551</v>
      </c>
      <c r="N115" s="94">
        <f>IF('FY19-20'!$S115&gt;0,'FY19-20'!N115/'FY19-20'!$S115*'Multi-Year'!$J115,0)+IF('FY19-20'!$S115&lt;0,'FY19-20'!N115/'FY19-20'!$S115*'Multi-Year'!$J115,0)</f>
        <v>-2938.9614702887529</v>
      </c>
      <c r="O115" s="94">
        <f>IF('FY19-20'!$S115&gt;0,'FY19-20'!O115/'FY19-20'!$S115*'Multi-Year'!$J115,0)+IF('FY19-20'!$S115&lt;0,'FY19-20'!O115/'FY19-20'!$S115*'Multi-Year'!$J115,0)</f>
        <v>-3698.0242776150553</v>
      </c>
      <c r="P115" s="94">
        <f>IF('FY19-20'!$S115&gt;0,'FY19-20'!P115/'FY19-20'!$S115*'Multi-Year'!$J115,0)+IF('FY19-20'!$S115&lt;0,'FY19-20'!P115/'FY19-20'!$S115*'Multi-Year'!$J115,0)</f>
        <v>-1976.1982300217478</v>
      </c>
      <c r="Q115" s="606">
        <f>IF('FY19-20'!$S115&gt;0,'FY19-20'!Q115/'FY19-20'!$S115*'Multi-Year'!$J115,0)+IF('FY19-20'!$S115&lt;0,'FY19-20'!Q115/'FY19-20'!$S115*'Multi-Year'!$J115,0)</f>
        <v>0</v>
      </c>
      <c r="R115" s="94"/>
      <c r="S115" s="625">
        <f t="shared" si="41"/>
        <v>4271.6284818162403</v>
      </c>
      <c r="T115" s="94"/>
      <c r="U115" s="94">
        <f>'FY19-20'!S115</f>
        <v>4215</v>
      </c>
      <c r="V115" s="94">
        <f t="shared" si="42"/>
        <v>-56.62848181624031</v>
      </c>
      <c r="W115" s="214"/>
    </row>
    <row r="116" spans="1:23" s="95" customFormat="1" ht="12" customHeight="1">
      <c r="A116" s="124"/>
      <c r="B116" s="124" t="s">
        <v>186</v>
      </c>
      <c r="C116" s="102">
        <v>5605</v>
      </c>
      <c r="D116" s="127" t="s">
        <v>99</v>
      </c>
      <c r="E116" s="94">
        <f>IF('FY19-20'!$S116&gt;0,'FY19-20'!E116/'FY19-20'!$S116*'Multi-Year'!$J116,0)+IF('FY19-20'!$S116&lt;0,'FY19-20'!E116/'FY19-20'!$S116*'Multi-Year'!$J116,0)</f>
        <v>0</v>
      </c>
      <c r="F116" s="94">
        <f>IF('FY19-20'!$S116&gt;0,'FY19-20'!F116/'FY19-20'!$S116*'Multi-Year'!$J116,0)+IF('FY19-20'!$S116&lt;0,'FY19-20'!F116/'FY19-20'!$S116*'Multi-Year'!$J116,0)</f>
        <v>0</v>
      </c>
      <c r="G116" s="94">
        <f>IF('FY19-20'!$S116&gt;0,'FY19-20'!G116/'FY19-20'!$S116*'Multi-Year'!$J116,0)+IF('FY19-20'!$S116&lt;0,'FY19-20'!G116/'FY19-20'!$S116*'Multi-Year'!$J116,0)</f>
        <v>0</v>
      </c>
      <c r="H116" s="94">
        <f>IF('FY19-20'!$S116&gt;0,'FY19-20'!H116/'FY19-20'!$S116*'Multi-Year'!$J116,0)+IF('FY19-20'!$S116&lt;0,'FY19-20'!H116/'FY19-20'!$S116*'Multi-Year'!$J116,0)</f>
        <v>0</v>
      </c>
      <c r="I116" s="94">
        <f>IF('FY19-20'!$S116&gt;0,'FY19-20'!I116/'FY19-20'!$S116*'Multi-Year'!$J116,0)+IF('FY19-20'!$S116&lt;0,'FY19-20'!I116/'FY19-20'!$S116*'Multi-Year'!$J116,0)</f>
        <v>0</v>
      </c>
      <c r="J116" s="94">
        <f>IF('FY19-20'!$S116&gt;0,'FY19-20'!J116/'FY19-20'!$S116*'Multi-Year'!$J116,0)+IF('FY19-20'!$S116&lt;0,'FY19-20'!J116/'FY19-20'!$S116*'Multi-Year'!$J116,0)</f>
        <v>0</v>
      </c>
      <c r="K116" s="94">
        <f>IF('FY19-20'!$S116&gt;0,'FY19-20'!K116/'FY19-20'!$S116*'Multi-Year'!$J116,0)+IF('FY19-20'!$S116&lt;0,'FY19-20'!K116/'FY19-20'!$S116*'Multi-Year'!$J116,0)</f>
        <v>0</v>
      </c>
      <c r="L116" s="94">
        <f>IF('FY19-20'!$S116&gt;0,'FY19-20'!L116/'FY19-20'!$S116*'Multi-Year'!$J116,0)+IF('FY19-20'!$S116&lt;0,'FY19-20'!L116/'FY19-20'!$S116*'Multi-Year'!$J116,0)</f>
        <v>0</v>
      </c>
      <c r="M116" s="94">
        <f>IF('FY19-20'!$S116&gt;0,'FY19-20'!M116/'FY19-20'!$S116*'Multi-Year'!$J116,0)+IF('FY19-20'!$S116&lt;0,'FY19-20'!M116/'FY19-20'!$S116*'Multi-Year'!$J116,0)</f>
        <v>0</v>
      </c>
      <c r="N116" s="94">
        <f>IF('FY19-20'!$S116&gt;0,'FY19-20'!N116/'FY19-20'!$S116*'Multi-Year'!$J116,0)+IF('FY19-20'!$S116&lt;0,'FY19-20'!N116/'FY19-20'!$S116*'Multi-Year'!$J116,0)</f>
        <v>0</v>
      </c>
      <c r="O116" s="94">
        <f>IF('FY19-20'!$S116&gt;0,'FY19-20'!O116/'FY19-20'!$S116*'Multi-Year'!$J116,0)+IF('FY19-20'!$S116&lt;0,'FY19-20'!O116/'FY19-20'!$S116*'Multi-Year'!$J116,0)</f>
        <v>0</v>
      </c>
      <c r="P116" s="94">
        <f>IF('FY19-20'!$S116&gt;0,'FY19-20'!P116/'FY19-20'!$S116*'Multi-Year'!$J116,0)+IF('FY19-20'!$S116&lt;0,'FY19-20'!P116/'FY19-20'!$S116*'Multi-Year'!$J116,0)</f>
        <v>0</v>
      </c>
      <c r="Q116" s="606">
        <f>IF('FY19-20'!$S116&gt;0,'FY19-20'!Q116/'FY19-20'!$S116*'Multi-Year'!$J116,0)+IF('FY19-20'!$S116&lt;0,'FY19-20'!Q116/'FY19-20'!$S116*'Multi-Year'!$J116,0)</f>
        <v>0</v>
      </c>
      <c r="R116" s="94"/>
      <c r="S116" s="625">
        <f t="shared" si="41"/>
        <v>0</v>
      </c>
      <c r="T116" s="94"/>
      <c r="U116" s="94">
        <f>'FY19-20'!S116</f>
        <v>0</v>
      </c>
      <c r="V116" s="94">
        <f t="shared" si="42"/>
        <v>0</v>
      </c>
      <c r="W116" s="214"/>
    </row>
    <row r="117" spans="1:23" s="95" customFormat="1" ht="12" customHeight="1">
      <c r="A117" s="124"/>
      <c r="B117" s="124" t="s">
        <v>186</v>
      </c>
      <c r="C117" s="102">
        <v>5610</v>
      </c>
      <c r="D117" s="127" t="s">
        <v>33</v>
      </c>
      <c r="E117" s="94">
        <f>IF('FY19-20'!$S117&gt;0,'FY19-20'!E117/'FY19-20'!$S117*'Multi-Year'!$J117,0)+IF('FY19-20'!$S117&lt;0,'FY19-20'!E117/'FY19-20'!$S117*'Multi-Year'!$J117,0)</f>
        <v>0</v>
      </c>
      <c r="F117" s="94">
        <f>IF('FY19-20'!$S117&gt;0,'FY19-20'!F117/'FY19-20'!$S117*'Multi-Year'!$J117,0)+IF('FY19-20'!$S117&lt;0,'FY19-20'!F117/'FY19-20'!$S117*'Multi-Year'!$J117,0)</f>
        <v>0</v>
      </c>
      <c r="G117" s="94">
        <f>IF('FY19-20'!$S117&gt;0,'FY19-20'!G117/'FY19-20'!$S117*'Multi-Year'!$J117,0)+IF('FY19-20'!$S117&lt;0,'FY19-20'!G117/'FY19-20'!$S117*'Multi-Year'!$J117,0)</f>
        <v>35.470224641415982</v>
      </c>
      <c r="H117" s="94">
        <f>IF('FY19-20'!$S117&gt;0,'FY19-20'!H117/'FY19-20'!$S117*'Multi-Year'!$J117,0)+IF('FY19-20'!$S117&lt;0,'FY19-20'!H117/'FY19-20'!$S117*'Multi-Year'!$J117,0)</f>
        <v>0</v>
      </c>
      <c r="I117" s="94">
        <f>IF('FY19-20'!$S117&gt;0,'FY19-20'!I117/'FY19-20'!$S117*'Multi-Year'!$J117,0)+IF('FY19-20'!$S117&lt;0,'FY19-20'!I117/'FY19-20'!$S117*'Multi-Year'!$J117,0)</f>
        <v>0</v>
      </c>
      <c r="J117" s="94">
        <f>IF('FY19-20'!$S117&gt;0,'FY19-20'!J117/'FY19-20'!$S117*'Multi-Year'!$J117,0)+IF('FY19-20'!$S117&lt;0,'FY19-20'!J117/'FY19-20'!$S117*'Multi-Year'!$J117,0)</f>
        <v>0</v>
      </c>
      <c r="K117" s="94">
        <f>IF('FY19-20'!$S117&gt;0,'FY19-20'!K117/'FY19-20'!$S117*'Multi-Year'!$J117,0)+IF('FY19-20'!$S117&lt;0,'FY19-20'!K117/'FY19-20'!$S117*'Multi-Year'!$J117,0)</f>
        <v>20268.699795094846</v>
      </c>
      <c r="L117" s="94">
        <f>IF('FY19-20'!$S117&gt;0,'FY19-20'!L117/'FY19-20'!$S117*'Multi-Year'!$J117,0)+IF('FY19-20'!$S117&lt;0,'FY19-20'!L117/'FY19-20'!$S117*'Multi-Year'!$J117,0)</f>
        <v>-35.470224641415982</v>
      </c>
      <c r="M117" s="94">
        <f>IF('FY19-20'!$S117&gt;0,'FY19-20'!M117/'FY19-20'!$S117*'Multi-Year'!$J117,0)+IF('FY19-20'!$S117&lt;0,'FY19-20'!M117/'FY19-20'!$S117*'Multi-Year'!$J117,0)</f>
        <v>0</v>
      </c>
      <c r="N117" s="94">
        <f>IF('FY19-20'!$S117&gt;0,'FY19-20'!N117/'FY19-20'!$S117*'Multi-Year'!$J117,0)+IF('FY19-20'!$S117&lt;0,'FY19-20'!N117/'FY19-20'!$S117*'Multi-Year'!$J117,0)</f>
        <v>0</v>
      </c>
      <c r="O117" s="94">
        <f>IF('FY19-20'!$S117&gt;0,'FY19-20'!O117/'FY19-20'!$S117*'Multi-Year'!$J117,0)+IF('FY19-20'!$S117&lt;0,'FY19-20'!O117/'FY19-20'!$S117*'Multi-Year'!$J117,0)</f>
        <v>0</v>
      </c>
      <c r="P117" s="94">
        <f>IF('FY19-20'!$S117&gt;0,'FY19-20'!P117/'FY19-20'!$S117*'Multi-Year'!$J117,0)+IF('FY19-20'!$S117&lt;0,'FY19-20'!P117/'FY19-20'!$S117*'Multi-Year'!$J117,0)</f>
        <v>0</v>
      </c>
      <c r="Q117" s="606">
        <f>IF('FY19-20'!$S117&gt;0,'FY19-20'!Q117/'FY19-20'!$S117*'Multi-Year'!$J117,0)+IF('FY19-20'!$S117&lt;0,'FY19-20'!Q117/'FY19-20'!$S117*'Multi-Year'!$J117,0)</f>
        <v>0</v>
      </c>
      <c r="R117" s="94"/>
      <c r="S117" s="625">
        <f t="shared" si="41"/>
        <v>20268.699795094846</v>
      </c>
      <c r="T117" s="94"/>
      <c r="U117" s="94">
        <f>'FY19-20'!S117</f>
        <v>20000</v>
      </c>
      <c r="V117" s="94">
        <f t="shared" si="42"/>
        <v>-268.69979509484619</v>
      </c>
      <c r="W117" s="214"/>
    </row>
    <row r="118" spans="1:23" s="95" customFormat="1" ht="12" customHeight="1">
      <c r="A118" s="124"/>
      <c r="B118" s="124" t="s">
        <v>186</v>
      </c>
      <c r="C118" s="126"/>
      <c r="D118" s="126"/>
      <c r="E118" s="215">
        <f t="shared" ref="E118:Q118" si="43">SUM(E112:E117)</f>
        <v>0</v>
      </c>
      <c r="F118" s="215">
        <f t="shared" si="43"/>
        <v>0</v>
      </c>
      <c r="G118" s="215">
        <f t="shared" si="43"/>
        <v>4266.5613068674647</v>
      </c>
      <c r="H118" s="215">
        <f t="shared" si="43"/>
        <v>20357.476700197356</v>
      </c>
      <c r="I118" s="215">
        <f t="shared" si="43"/>
        <v>7922.9334064035993</v>
      </c>
      <c r="J118" s="215">
        <f t="shared" si="43"/>
        <v>3216.6426574815528</v>
      </c>
      <c r="K118" s="215">
        <f t="shared" si="43"/>
        <v>27919.120532753397</v>
      </c>
      <c r="L118" s="215">
        <f t="shared" si="43"/>
        <v>1079.3082640888006</v>
      </c>
      <c r="M118" s="215">
        <f t="shared" si="43"/>
        <v>608.06099385284551</v>
      </c>
      <c r="N118" s="215">
        <f t="shared" si="43"/>
        <v>-2938.9614702887529</v>
      </c>
      <c r="O118" s="215">
        <f t="shared" si="43"/>
        <v>-3698.0242776150553</v>
      </c>
      <c r="P118" s="215">
        <f t="shared" si="43"/>
        <v>-2103.8910387308451</v>
      </c>
      <c r="Q118" s="603">
        <f t="shared" si="43"/>
        <v>0</v>
      </c>
      <c r="R118" s="94"/>
      <c r="S118" s="626">
        <f>SUM(E118:R118)</f>
        <v>56629.227075010363</v>
      </c>
      <c r="T118" s="94"/>
      <c r="U118" s="216">
        <f>SUM(U112:U117)</f>
        <v>55878.5</v>
      </c>
      <c r="V118" s="216">
        <f>SUM(V112:V117)</f>
        <v>-750.7270750103653</v>
      </c>
      <c r="W118" s="214"/>
    </row>
    <row r="119" spans="1:23" s="95" customFormat="1" ht="12" customHeight="1">
      <c r="A119" s="124"/>
      <c r="B119" s="124" t="s">
        <v>285</v>
      </c>
      <c r="C119" s="126"/>
      <c r="D119" s="126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606"/>
      <c r="R119" s="94"/>
      <c r="S119" s="627"/>
      <c r="T119" s="94"/>
      <c r="U119" s="94"/>
      <c r="V119" s="94"/>
      <c r="W119" s="214"/>
    </row>
    <row r="120" spans="1:23" s="95" customFormat="1" ht="12" customHeight="1">
      <c r="A120" s="124"/>
      <c r="B120" s="124" t="s">
        <v>186</v>
      </c>
      <c r="C120" s="102">
        <v>5801</v>
      </c>
      <c r="D120" s="127" t="s">
        <v>92</v>
      </c>
      <c r="E120" s="94">
        <f>IF('FY19-20'!$S120&gt;0,'FY19-20'!E120/'FY19-20'!$S120*'Multi-Year'!$J120,0)+IF('FY19-20'!$S120&lt;0,'FY19-20'!E120/'FY19-20'!$S120*'Multi-Year'!$J120,0)</f>
        <v>0</v>
      </c>
      <c r="F120" s="94">
        <f>IF('FY19-20'!$S120&gt;0,'FY19-20'!F120/'FY19-20'!$S120*'Multi-Year'!$J120,0)+IF('FY19-20'!$S120&lt;0,'FY19-20'!F120/'FY19-20'!$S120*'Multi-Year'!$J120,0)</f>
        <v>0</v>
      </c>
      <c r="G120" s="94">
        <f>IF('FY19-20'!$S120&gt;0,'FY19-20'!G120/'FY19-20'!$S120*'Multi-Year'!$J120,0)+IF('FY19-20'!$S120&lt;0,'FY19-20'!G120/'FY19-20'!$S120*'Multi-Year'!$J120,0)</f>
        <v>0</v>
      </c>
      <c r="H120" s="94">
        <f>IF('FY19-20'!$S120&gt;0,'FY19-20'!H120/'FY19-20'!$S120*'Multi-Year'!$J120,0)+IF('FY19-20'!$S120&lt;0,'FY19-20'!H120/'FY19-20'!$S120*'Multi-Year'!$J120,0)</f>
        <v>709.40449282831958</v>
      </c>
      <c r="I120" s="94">
        <f>IF('FY19-20'!$S120&gt;0,'FY19-20'!I120/'FY19-20'!$S120*'Multi-Year'!$J120,0)+IF('FY19-20'!$S120&lt;0,'FY19-20'!I120/'FY19-20'!$S120*'Multi-Year'!$J120,0)</f>
        <v>0</v>
      </c>
      <c r="J120" s="94">
        <f>IF('FY19-20'!$S120&gt;0,'FY19-20'!J120/'FY19-20'!$S120*'Multi-Year'!$J120,0)+IF('FY19-20'!$S120&lt;0,'FY19-20'!J120/'FY19-20'!$S120*'Multi-Year'!$J120,0)</f>
        <v>0</v>
      </c>
      <c r="K120" s="94">
        <f>IF('FY19-20'!$S120&gt;0,'FY19-20'!K120/'FY19-20'!$S120*'Multi-Year'!$J120,0)+IF('FY19-20'!$S120&lt;0,'FY19-20'!K120/'FY19-20'!$S120*'Multi-Year'!$J120,0)</f>
        <v>0</v>
      </c>
      <c r="L120" s="94">
        <f>IF('FY19-20'!$S120&gt;0,'FY19-20'!L120/'FY19-20'!$S120*'Multi-Year'!$J120,0)+IF('FY19-20'!$S120&lt;0,'FY19-20'!L120/'FY19-20'!$S120*'Multi-Year'!$J120,0)</f>
        <v>0</v>
      </c>
      <c r="M120" s="94">
        <f>IF('FY19-20'!$S120&gt;0,'FY19-20'!M120/'FY19-20'!$S120*'Multi-Year'!$J120,0)+IF('FY19-20'!$S120&lt;0,'FY19-20'!M120/'FY19-20'!$S120*'Multi-Year'!$J120,0)</f>
        <v>0</v>
      </c>
      <c r="N120" s="94">
        <f>IF('FY19-20'!$S120&gt;0,'FY19-20'!N120/'FY19-20'!$S120*'Multi-Year'!$J120,0)+IF('FY19-20'!$S120&lt;0,'FY19-20'!N120/'FY19-20'!$S120*'Multi-Year'!$J120,0)</f>
        <v>912.09149077926816</v>
      </c>
      <c r="O120" s="94">
        <f>IF('FY19-20'!$S120&gt;0,'FY19-20'!O120/'FY19-20'!$S120*'Multi-Year'!$J120,0)+IF('FY19-20'!$S120&lt;0,'FY19-20'!O120/'FY19-20'!$S120*'Multi-Year'!$J120,0)</f>
        <v>0</v>
      </c>
      <c r="P120" s="94">
        <f>IF('FY19-20'!$S120&gt;0,'FY19-20'!P120/'FY19-20'!$S120*'Multi-Year'!$J120,0)+IF('FY19-20'!$S120&lt;0,'FY19-20'!P120/'FY19-20'!$S120*'Multi-Year'!$J120,0)</f>
        <v>27274.474535770405</v>
      </c>
      <c r="Q120" s="606">
        <f>IF('FY19-20'!$S120&gt;0,'FY19-20'!Q120/'FY19-20'!$S120*'Multi-Year'!$J120,0)+IF('FY19-20'!$S120&lt;0,'FY19-20'!Q120/'FY19-20'!$S120*'Multi-Year'!$J120,0)</f>
        <v>0</v>
      </c>
      <c r="R120" s="94"/>
      <c r="S120" s="625">
        <f t="shared" ref="S120:S133" si="44">SUM(E120:Q120)</f>
        <v>28895.970519377992</v>
      </c>
      <c r="T120" s="94"/>
      <c r="U120" s="94">
        <f>'FY19-20'!S120</f>
        <v>28512.9</v>
      </c>
      <c r="V120" s="94">
        <f t="shared" ref="V120:V133" si="45">U120-S120</f>
        <v>-383.07051937799042</v>
      </c>
      <c r="W120" s="214"/>
    </row>
    <row r="121" spans="1:23" s="95" customFormat="1" ht="12" customHeight="1">
      <c r="A121" s="124"/>
      <c r="B121" s="124" t="s">
        <v>186</v>
      </c>
      <c r="C121" s="102">
        <v>5802</v>
      </c>
      <c r="D121" s="127" t="s">
        <v>170</v>
      </c>
      <c r="E121" s="94">
        <f>IF('FY19-20'!$S121&gt;0,'FY19-20'!E121/'FY19-20'!$S121*'Multi-Year'!$J121,0)+IF('FY19-20'!$S121&lt;0,'FY19-20'!E121/'FY19-20'!$S121*'Multi-Year'!$J121,0)</f>
        <v>0</v>
      </c>
      <c r="F121" s="94">
        <f>IF('FY19-20'!$S121&gt;0,'FY19-20'!F121/'FY19-20'!$S121*'Multi-Year'!$J121,0)+IF('FY19-20'!$S121&lt;0,'FY19-20'!F121/'FY19-20'!$S121*'Multi-Year'!$J121,0)</f>
        <v>0</v>
      </c>
      <c r="G121" s="94">
        <f>IF('FY19-20'!$S121&gt;0,'FY19-20'!G121/'FY19-20'!$S121*'Multi-Year'!$J121,0)+IF('FY19-20'!$S121&lt;0,'FY19-20'!G121/'FY19-20'!$S121*'Multi-Year'!$J121,0)</f>
        <v>0</v>
      </c>
      <c r="H121" s="94">
        <f>IF('FY19-20'!$S121&gt;0,'FY19-20'!H121/'FY19-20'!$S121*'Multi-Year'!$J121,0)+IF('FY19-20'!$S121&lt;0,'FY19-20'!H121/'FY19-20'!$S121*'Multi-Year'!$J121,0)</f>
        <v>0</v>
      </c>
      <c r="I121" s="94">
        <f>IF('FY19-20'!$S121&gt;0,'FY19-20'!I121/'FY19-20'!$S121*'Multi-Year'!$J121,0)+IF('FY19-20'!$S121&lt;0,'FY19-20'!I121/'FY19-20'!$S121*'Multi-Year'!$J121,0)</f>
        <v>0</v>
      </c>
      <c r="J121" s="94">
        <f>IF('FY19-20'!$S121&gt;0,'FY19-20'!J121/'FY19-20'!$S121*'Multi-Year'!$J121,0)+IF('FY19-20'!$S121&lt;0,'FY19-20'!J121/'FY19-20'!$S121*'Multi-Year'!$J121,0)</f>
        <v>0</v>
      </c>
      <c r="K121" s="94">
        <f>IF('FY19-20'!$S121&gt;0,'FY19-20'!K121/'FY19-20'!$S121*'Multi-Year'!$J121,0)+IF('FY19-20'!$S121&lt;0,'FY19-20'!K121/'FY19-20'!$S121*'Multi-Year'!$J121,0)</f>
        <v>0</v>
      </c>
      <c r="L121" s="94">
        <f>IF('FY19-20'!$S121&gt;0,'FY19-20'!L121/'FY19-20'!$S121*'Multi-Year'!$J121,0)+IF('FY19-20'!$S121&lt;0,'FY19-20'!L121/'FY19-20'!$S121*'Multi-Year'!$J121,0)</f>
        <v>0</v>
      </c>
      <c r="M121" s="94">
        <f>IF('FY19-20'!$S121&gt;0,'FY19-20'!M121/'FY19-20'!$S121*'Multi-Year'!$J121,0)+IF('FY19-20'!$S121&lt;0,'FY19-20'!M121/'FY19-20'!$S121*'Multi-Year'!$J121,0)</f>
        <v>0</v>
      </c>
      <c r="N121" s="94">
        <f>IF('FY19-20'!$S121&gt;0,'FY19-20'!N121/'FY19-20'!$S121*'Multi-Year'!$J121,0)+IF('FY19-20'!$S121&lt;0,'FY19-20'!N121/'FY19-20'!$S121*'Multi-Year'!$J121,0)</f>
        <v>0</v>
      </c>
      <c r="O121" s="94">
        <f>IF('FY19-20'!$S121&gt;0,'FY19-20'!O121/'FY19-20'!$S121*'Multi-Year'!$J121,0)+IF('FY19-20'!$S121&lt;0,'FY19-20'!O121/'FY19-20'!$S121*'Multi-Year'!$J121,0)</f>
        <v>0</v>
      </c>
      <c r="P121" s="94">
        <f>IF('FY19-20'!$S121&gt;0,'FY19-20'!P121/'FY19-20'!$S121*'Multi-Year'!$J121,0)+IF('FY19-20'!$S121&lt;0,'FY19-20'!P121/'FY19-20'!$S121*'Multi-Year'!$J121,0)</f>
        <v>0</v>
      </c>
      <c r="Q121" s="606">
        <f>IF('FY19-20'!$S121&gt;0,'FY19-20'!Q121/'FY19-20'!$S121*'Multi-Year'!$J121,0)+IF('FY19-20'!$S121&lt;0,'FY19-20'!Q121/'FY19-20'!$S121*'Multi-Year'!$J121,0)</f>
        <v>0</v>
      </c>
      <c r="R121" s="94"/>
      <c r="S121" s="625">
        <f t="shared" si="44"/>
        <v>0</v>
      </c>
      <c r="T121" s="94"/>
      <c r="U121" s="94">
        <f>'FY19-20'!S121</f>
        <v>0</v>
      </c>
      <c r="V121" s="94">
        <f t="shared" si="45"/>
        <v>0</v>
      </c>
      <c r="W121" s="214"/>
    </row>
    <row r="122" spans="1:23" s="95" customFormat="1" ht="12" customHeight="1">
      <c r="A122" s="124"/>
      <c r="B122" s="124" t="s">
        <v>186</v>
      </c>
      <c r="C122" s="102">
        <v>5803</v>
      </c>
      <c r="D122" s="127" t="s">
        <v>93</v>
      </c>
      <c r="E122" s="94">
        <f>IF('FY19-20'!$S122&gt;0,'FY19-20'!E122/'FY19-20'!$S122*'Multi-Year'!$J122,0)+IF('FY19-20'!$S122&lt;0,'FY19-20'!E122/'FY19-20'!$S122*'Multi-Year'!$J122,0)</f>
        <v>3516.6438000000003</v>
      </c>
      <c r="F122" s="94">
        <f>IF('FY19-20'!$S122&gt;0,'FY19-20'!F122/'FY19-20'!$S122*'Multi-Year'!$J122,0)+IF('FY19-20'!$S122&lt;0,'FY19-20'!F122/'FY19-20'!$S122*'Multi-Year'!$J122,0)</f>
        <v>367.2</v>
      </c>
      <c r="G122" s="94">
        <f>IF('FY19-20'!$S122&gt;0,'FY19-20'!G122/'FY19-20'!$S122*'Multi-Year'!$J122,0)+IF('FY19-20'!$S122&lt;0,'FY19-20'!G122/'FY19-20'!$S122*'Multi-Year'!$J122,0)</f>
        <v>448.8</v>
      </c>
      <c r="H122" s="94">
        <f>IF('FY19-20'!$S122&gt;0,'FY19-20'!H122/'FY19-20'!$S122*'Multi-Year'!$J122,0)+IF('FY19-20'!$S122&lt;0,'FY19-20'!H122/'FY19-20'!$S122*'Multi-Year'!$J122,0)</f>
        <v>1551.42</v>
      </c>
      <c r="I122" s="94">
        <f>IF('FY19-20'!$S122&gt;0,'FY19-20'!I122/'FY19-20'!$S122*'Multi-Year'!$J122,0)+IF('FY19-20'!$S122&lt;0,'FY19-20'!I122/'FY19-20'!$S122*'Multi-Year'!$J122,0)</f>
        <v>0</v>
      </c>
      <c r="J122" s="94">
        <f>IF('FY19-20'!$S122&gt;0,'FY19-20'!J122/'FY19-20'!$S122*'Multi-Year'!$J122,0)+IF('FY19-20'!$S122&lt;0,'FY19-20'!J122/'FY19-20'!$S122*'Multi-Year'!$J122,0)</f>
        <v>280.5</v>
      </c>
      <c r="K122" s="94">
        <f>IF('FY19-20'!$S122&gt;0,'FY19-20'!K122/'FY19-20'!$S122*'Multi-Year'!$J122,0)+IF('FY19-20'!$S122&lt;0,'FY19-20'!K122/'FY19-20'!$S122*'Multi-Year'!$J122,0)</f>
        <v>1321.002</v>
      </c>
      <c r="L122" s="94">
        <f>IF('FY19-20'!$S122&gt;0,'FY19-20'!L122/'FY19-20'!$S122*'Multi-Year'!$J122,0)+IF('FY19-20'!$S122&lt;0,'FY19-20'!L122/'FY19-20'!$S122*'Multi-Year'!$J122,0)</f>
        <v>1005.9342</v>
      </c>
      <c r="M122" s="94">
        <f>IF('FY19-20'!$S122&gt;0,'FY19-20'!M122/'FY19-20'!$S122*'Multi-Year'!$J122,0)+IF('FY19-20'!$S122&lt;0,'FY19-20'!M122/'FY19-20'!$S122*'Multi-Year'!$J122,0)</f>
        <v>3611.4630000000002</v>
      </c>
      <c r="N122" s="94">
        <f>IF('FY19-20'!$S122&gt;0,'FY19-20'!N122/'FY19-20'!$S122*'Multi-Year'!$J122,0)+IF('FY19-20'!$S122&lt;0,'FY19-20'!N122/'FY19-20'!$S122*'Multi-Year'!$J122,0)</f>
        <v>6313.7999999999993</v>
      </c>
      <c r="O122" s="94">
        <f>IF('FY19-20'!$S122&gt;0,'FY19-20'!O122/'FY19-20'!$S122*'Multi-Year'!$J122,0)+IF('FY19-20'!$S122&lt;0,'FY19-20'!O122/'FY19-20'!$S122*'Multi-Year'!$J122,0)</f>
        <v>314.16000000000003</v>
      </c>
      <c r="P122" s="94">
        <f>IF('FY19-20'!$S122&gt;0,'FY19-20'!P122/'FY19-20'!$S122*'Multi-Year'!$J122,0)+IF('FY19-20'!$S122&lt;0,'FY19-20'!P122/'FY19-20'!$S122*'Multi-Year'!$J122,0)</f>
        <v>45555.107400000001</v>
      </c>
      <c r="Q122" s="606">
        <f>IF('FY19-20'!$S122&gt;0,'FY19-20'!Q122/'FY19-20'!$S122*'Multi-Year'!$J122,0)+IF('FY19-20'!$S122&lt;0,'FY19-20'!Q122/'FY19-20'!$S122*'Multi-Year'!$J122,0)</f>
        <v>0</v>
      </c>
      <c r="R122" s="94"/>
      <c r="S122" s="625">
        <f t="shared" si="44"/>
        <v>64286.030400000003</v>
      </c>
      <c r="T122" s="94"/>
      <c r="U122" s="94">
        <f>'FY19-20'!S122</f>
        <v>63025.520000000004</v>
      </c>
      <c r="V122" s="94">
        <f t="shared" si="45"/>
        <v>-1260.5103999999992</v>
      </c>
      <c r="W122" s="214"/>
    </row>
    <row r="123" spans="1:23" s="95" customFormat="1" ht="12" customHeight="1">
      <c r="A123" s="124"/>
      <c r="B123" s="124" t="s">
        <v>186</v>
      </c>
      <c r="C123" s="102">
        <v>5804</v>
      </c>
      <c r="D123" s="127" t="s">
        <v>35</v>
      </c>
      <c r="E123" s="94">
        <f>IF('FY19-20'!$S123&gt;0,'FY19-20'!E123/'FY19-20'!$S123*'Multi-Year'!$J123,0)+IF('FY19-20'!$S123&lt;0,'FY19-20'!E123/'FY19-20'!$S123*'Multi-Year'!$J123,0)</f>
        <v>319.23202177274385</v>
      </c>
      <c r="F123" s="94">
        <f>IF('FY19-20'!$S123&gt;0,'FY19-20'!F123/'FY19-20'!$S123*'Multi-Year'!$J123,0)+IF('FY19-20'!$S123&lt;0,'FY19-20'!F123/'FY19-20'!$S123*'Multi-Year'!$J123,0)</f>
        <v>0</v>
      </c>
      <c r="G123" s="94">
        <f>IF('FY19-20'!$S123&gt;0,'FY19-20'!G123/'FY19-20'!$S123*'Multi-Year'!$J123,0)+IF('FY19-20'!$S123&lt;0,'FY19-20'!G123/'FY19-20'!$S123*'Multi-Year'!$J123,0)</f>
        <v>0</v>
      </c>
      <c r="H123" s="94">
        <f>IF('FY19-20'!$S123&gt;0,'FY19-20'!H123/'FY19-20'!$S123*'Multi-Year'!$J123,0)+IF('FY19-20'!$S123&lt;0,'FY19-20'!H123/'FY19-20'!$S123*'Multi-Year'!$J123,0)</f>
        <v>161.987448762398</v>
      </c>
      <c r="I123" s="94">
        <f>IF('FY19-20'!$S123&gt;0,'FY19-20'!I123/'FY19-20'!$S123*'Multi-Year'!$J123,0)+IF('FY19-20'!$S123&lt;0,'FY19-20'!I123/'FY19-20'!$S123*'Multi-Year'!$J123,0)</f>
        <v>8806.7500609687104</v>
      </c>
      <c r="J123" s="94">
        <f>IF('FY19-20'!$S123&gt;0,'FY19-20'!J123/'FY19-20'!$S123*'Multi-Year'!$J123,0)+IF('FY19-20'!$S123&lt;0,'FY19-20'!J123/'FY19-20'!$S123*'Multi-Year'!$J123,0)</f>
        <v>0</v>
      </c>
      <c r="K123" s="94">
        <f>IF('FY19-20'!$S123&gt;0,'FY19-20'!K123/'FY19-20'!$S123*'Multi-Year'!$J123,0)+IF('FY19-20'!$S123&lt;0,'FY19-20'!K123/'FY19-20'!$S123*'Multi-Year'!$J123,0)</f>
        <v>5622.5373231593103</v>
      </c>
      <c r="L123" s="94">
        <f>IF('FY19-20'!$S123&gt;0,'FY19-20'!L123/'FY19-20'!$S123*'Multi-Year'!$J123,0)+IF('FY19-20'!$S123&lt;0,'FY19-20'!L123/'FY19-20'!$S123*'Multi-Year'!$J123,0)</f>
        <v>0</v>
      </c>
      <c r="M123" s="94">
        <f>IF('FY19-20'!$S123&gt;0,'FY19-20'!M123/'FY19-20'!$S123*'Multi-Year'!$J123,0)+IF('FY19-20'!$S123&lt;0,'FY19-20'!M123/'FY19-20'!$S123*'Multi-Year'!$J123,0)</f>
        <v>0</v>
      </c>
      <c r="N123" s="94">
        <f>IF('FY19-20'!$S123&gt;0,'FY19-20'!N123/'FY19-20'!$S123*'Multi-Year'!$J123,0)+IF('FY19-20'!$S123&lt;0,'FY19-20'!N123/'FY19-20'!$S123*'Multi-Year'!$J123,0)</f>
        <v>134.3308078919911</v>
      </c>
      <c r="O123" s="94">
        <f>IF('FY19-20'!$S123&gt;0,'FY19-20'!O123/'FY19-20'!$S123*'Multi-Year'!$J123,0)+IF('FY19-20'!$S123&lt;0,'FY19-20'!O123/'FY19-20'!$S123*'Multi-Year'!$J123,0)</f>
        <v>124.14578624495593</v>
      </c>
      <c r="P123" s="94">
        <f>IF('FY19-20'!$S123&gt;0,'FY19-20'!P123/'FY19-20'!$S123*'Multi-Year'!$J123,0)+IF('FY19-20'!$S123&lt;0,'FY19-20'!P123/'FY19-20'!$S123*'Multi-Year'!$J123,0)</f>
        <v>18428.301853700235</v>
      </c>
      <c r="Q123" s="606">
        <f>IF('FY19-20'!$S123&gt;0,'FY19-20'!Q123/'FY19-20'!$S123*'Multi-Year'!$J123,0)+IF('FY19-20'!$S123&lt;0,'FY19-20'!Q123/'FY19-20'!$S123*'Multi-Year'!$J123,0)</f>
        <v>0</v>
      </c>
      <c r="R123" s="94"/>
      <c r="S123" s="625">
        <f t="shared" si="44"/>
        <v>33597.285302500342</v>
      </c>
      <c r="T123" s="94"/>
      <c r="U123" s="94">
        <f>'FY19-20'!S123</f>
        <v>33151.89</v>
      </c>
      <c r="V123" s="94">
        <f t="shared" si="45"/>
        <v>-445.39530250034295</v>
      </c>
      <c r="W123" s="214"/>
    </row>
    <row r="124" spans="1:23" s="95" customFormat="1" ht="12" customHeight="1">
      <c r="A124" s="124"/>
      <c r="B124" s="124" t="s">
        <v>186</v>
      </c>
      <c r="C124" s="102">
        <v>5805</v>
      </c>
      <c r="D124" s="127" t="s">
        <v>94</v>
      </c>
      <c r="E124" s="94">
        <f>IF('FY19-20'!$S124&gt;0,'FY19-20'!E124/'FY19-20'!$S124*'Multi-Year'!$J124,0)+IF('FY19-20'!$S124&lt;0,'FY19-20'!E124/'FY19-20'!$S124*'Multi-Year'!$J124,0)</f>
        <v>760.07624231605678</v>
      </c>
      <c r="F124" s="94">
        <f>IF('FY19-20'!$S124&gt;0,'FY19-20'!F124/'FY19-20'!$S124*'Multi-Year'!$J124,0)+IF('FY19-20'!$S124&lt;0,'FY19-20'!F124/'FY19-20'!$S124*'Multi-Year'!$J124,0)</f>
        <v>506.71749487737117</v>
      </c>
      <c r="G124" s="94">
        <f>IF('FY19-20'!$S124&gt;0,'FY19-20'!G124/'FY19-20'!$S124*'Multi-Year'!$J124,0)+IF('FY19-20'!$S124&lt;0,'FY19-20'!G124/'FY19-20'!$S124*'Multi-Year'!$J124,0)</f>
        <v>0</v>
      </c>
      <c r="H124" s="94">
        <f>IF('FY19-20'!$S124&gt;0,'FY19-20'!H124/'FY19-20'!$S124*'Multi-Year'!$J124,0)+IF('FY19-20'!$S124&lt;0,'FY19-20'!H124/'FY19-20'!$S124*'Multi-Year'!$J124,0)</f>
        <v>2886.2628508215062</v>
      </c>
      <c r="I124" s="94">
        <f>IF('FY19-20'!$S124&gt;0,'FY19-20'!I124/'FY19-20'!$S124*'Multi-Year'!$J124,0)+IF('FY19-20'!$S124&lt;0,'FY19-20'!I124/'FY19-20'!$S124*'Multi-Year'!$J124,0)</f>
        <v>0</v>
      </c>
      <c r="J124" s="94">
        <f>IF('FY19-20'!$S124&gt;0,'FY19-20'!J124/'FY19-20'!$S124*'Multi-Year'!$J124,0)+IF('FY19-20'!$S124&lt;0,'FY19-20'!J124/'FY19-20'!$S124*'Multi-Year'!$J124,0)</f>
        <v>1520.1524846321136</v>
      </c>
      <c r="K124" s="94">
        <f>IF('FY19-20'!$S124&gt;0,'FY19-20'!K124/'FY19-20'!$S124*'Multi-Year'!$J124,0)+IF('FY19-20'!$S124&lt;0,'FY19-20'!K124/'FY19-20'!$S124*'Multi-Year'!$J124,0)</f>
        <v>1013.4349897547423</v>
      </c>
      <c r="L124" s="94">
        <f>IF('FY19-20'!$S124&gt;0,'FY19-20'!L124/'FY19-20'!$S124*'Multi-Year'!$J124,0)+IF('FY19-20'!$S124&lt;0,'FY19-20'!L124/'FY19-20'!$S124*'Multi-Year'!$J124,0)</f>
        <v>863.44661127104041</v>
      </c>
      <c r="M124" s="94">
        <f>IF('FY19-20'!$S124&gt;0,'FY19-20'!M124/'FY19-20'!$S124*'Multi-Year'!$J124,0)+IF('FY19-20'!$S124&lt;0,'FY19-20'!M124/'FY19-20'!$S124*'Multi-Year'!$J124,0)</f>
        <v>1266.7937371934279</v>
      </c>
      <c r="N124" s="94">
        <f>IF('FY19-20'!$S124&gt;0,'FY19-20'!N124/'FY19-20'!$S124*'Multi-Year'!$J124,0)+IF('FY19-20'!$S124&lt;0,'FY19-20'!N124/'FY19-20'!$S124*'Multi-Year'!$J124,0)</f>
        <v>8867.5561603539954</v>
      </c>
      <c r="O124" s="94">
        <f>IF('FY19-20'!$S124&gt;0,'FY19-20'!O124/'FY19-20'!$S124*'Multi-Year'!$J124,0)+IF('FY19-20'!$S124&lt;0,'FY19-20'!O124/'FY19-20'!$S124*'Multi-Year'!$J124,0)</f>
        <v>0</v>
      </c>
      <c r="P124" s="94">
        <f>IF('FY19-20'!$S124&gt;0,'FY19-20'!P124/'FY19-20'!$S124*'Multi-Year'!$J124,0)+IF('FY19-20'!$S124&lt;0,'FY19-20'!P124/'FY19-20'!$S124*'Multi-Year'!$J124,0)</f>
        <v>2128.2134784849591</v>
      </c>
      <c r="Q124" s="606">
        <f>IF('FY19-20'!$S124&gt;0,'FY19-20'!Q124/'FY19-20'!$S124*'Multi-Year'!$J124,0)+IF('FY19-20'!$S124&lt;0,'FY19-20'!Q124/'FY19-20'!$S124*'Multi-Year'!$J124,0)</f>
        <v>0</v>
      </c>
      <c r="R124" s="94"/>
      <c r="S124" s="625">
        <f t="shared" si="44"/>
        <v>19812.654049705216</v>
      </c>
      <c r="T124" s="94"/>
      <c r="U124" s="94">
        <f>'FY19-20'!S124</f>
        <v>19550</v>
      </c>
      <c r="V124" s="94">
        <f t="shared" si="45"/>
        <v>-262.65404970521558</v>
      </c>
      <c r="W124" s="214"/>
    </row>
    <row r="125" spans="1:23" s="95" customFormat="1" ht="12" customHeight="1">
      <c r="A125" s="124"/>
      <c r="B125" s="124" t="s">
        <v>186</v>
      </c>
      <c r="C125" s="102">
        <f>'Multi-Year'!D125</f>
        <v>5806</v>
      </c>
      <c r="D125" s="127" t="s">
        <v>81</v>
      </c>
      <c r="E125" s="94">
        <v>0</v>
      </c>
      <c r="F125" s="94">
        <v>0</v>
      </c>
      <c r="G125" s="94">
        <v>0</v>
      </c>
      <c r="H125" s="94">
        <v>0</v>
      </c>
      <c r="I125" s="94">
        <v>0</v>
      </c>
      <c r="J125" s="94">
        <v>0</v>
      </c>
      <c r="K125" s="94">
        <v>0</v>
      </c>
      <c r="L125" s="356">
        <f>'Multi-Year'!$J$125/3</f>
        <v>77188.444900501563</v>
      </c>
      <c r="M125" s="356">
        <f>'Multi-Year'!$J$125/3</f>
        <v>77188.444900501563</v>
      </c>
      <c r="N125" s="356">
        <f>'Multi-Year'!$J$125/3</f>
        <v>77188.444900501563</v>
      </c>
      <c r="O125" s="94">
        <v>0</v>
      </c>
      <c r="P125" s="94">
        <v>0</v>
      </c>
      <c r="Q125" s="606">
        <v>0</v>
      </c>
      <c r="R125" s="94"/>
      <c r="S125" s="625">
        <f>SUM(E125:Q125)</f>
        <v>231565.33470150467</v>
      </c>
      <c r="T125" s="94"/>
      <c r="U125" s="94">
        <f>'FY19-20'!S125</f>
        <v>228495.50000000003</v>
      </c>
      <c r="V125" s="94">
        <f>U125-S125</f>
        <v>-3069.8347015046456</v>
      </c>
      <c r="W125" s="214"/>
    </row>
    <row r="126" spans="1:23" s="95" customFormat="1" ht="12" customHeight="1">
      <c r="A126" s="124"/>
      <c r="B126" s="124" t="s">
        <v>186</v>
      </c>
      <c r="C126" s="102">
        <f>'Multi-Year'!D126</f>
        <v>5807</v>
      </c>
      <c r="D126" s="127" t="s">
        <v>41</v>
      </c>
      <c r="E126" s="94">
        <f>IF('FY19-20'!$S126&gt;0,'FY19-20'!E126/'FY19-20'!$S126*'Multi-Year'!$J126,0)+IF('FY19-20'!$S126&lt;0,'FY19-20'!E126/'FY19-20'!$S126*'Multi-Year'!$J126,0)</f>
        <v>0</v>
      </c>
      <c r="F126" s="94">
        <f>IF('FY19-20'!$S126&gt;0,'FY19-20'!F126/'FY19-20'!$S126*'Multi-Year'!$J126,0)+IF('FY19-20'!$S126&lt;0,'FY19-20'!F126/'FY19-20'!$S126*'Multi-Year'!$J126,0)</f>
        <v>24.322439754113812</v>
      </c>
      <c r="G126" s="94">
        <f>IF('FY19-20'!$S126&gt;0,'FY19-20'!G126/'FY19-20'!$S126*'Multi-Year'!$J126,0)+IF('FY19-20'!$S126&lt;0,'FY19-20'!G126/'FY19-20'!$S126*'Multi-Year'!$J126,0)</f>
        <v>343.60513327634538</v>
      </c>
      <c r="H126" s="94">
        <f>IF('FY19-20'!$S126&gt;0,'FY19-20'!H126/'FY19-20'!$S126*'Multi-Year'!$J126,0)+IF('FY19-20'!$S126&lt;0,'FY19-20'!H126/'FY19-20'!$S126*'Multi-Year'!$J126,0)</f>
        <v>896.76835373417634</v>
      </c>
      <c r="I126" s="94">
        <f>IF('FY19-20'!$S126&gt;0,'FY19-20'!I126/'FY19-20'!$S126*'Multi-Year'!$J126,0)+IF('FY19-20'!$S126&lt;0,'FY19-20'!I126/'FY19-20'!$S126*'Multi-Year'!$J126,0)</f>
        <v>3.8206499113753782</v>
      </c>
      <c r="J126" s="94">
        <f>IF('FY19-20'!$S126&gt;0,'FY19-20'!J126/'FY19-20'!$S126*'Multi-Year'!$J126,0)+IF('FY19-20'!$S126&lt;0,'FY19-20'!J126/'FY19-20'!$S126*'Multi-Year'!$J126,0)</f>
        <v>0</v>
      </c>
      <c r="K126" s="94">
        <f>IF('FY19-20'!$S126&gt;0,'FY19-20'!K126/'FY19-20'!$S126*'Multi-Year'!$J126,0)+IF('FY19-20'!$S126&lt;0,'FY19-20'!K126/'FY19-20'!$S126*'Multi-Year'!$J126,0)</f>
        <v>0</v>
      </c>
      <c r="L126" s="94">
        <f>IF('FY19-20'!$S126&gt;0,'FY19-20'!L126/'FY19-20'!$S126*'Multi-Year'!$J126,0)+IF('FY19-20'!$S126&lt;0,'FY19-20'!L126/'FY19-20'!$S126*'Multi-Year'!$J126,0)</f>
        <v>0</v>
      </c>
      <c r="M126" s="94">
        <f>IF('FY19-20'!$S126&gt;0,'FY19-20'!M126/'FY19-20'!$S126*'Multi-Year'!$J126,0)+IF('FY19-20'!$S126&lt;0,'FY19-20'!M126/'FY19-20'!$S126*'Multi-Year'!$J126,0)</f>
        <v>50.67174948773711</v>
      </c>
      <c r="N126" s="94">
        <f>IF('FY19-20'!$S126&gt;0,'FY19-20'!N126/'FY19-20'!$S126*'Multi-Year'!$J126,0)+IF('FY19-20'!$S126&lt;0,'FY19-20'!N126/'FY19-20'!$S126*'Multi-Year'!$J126,0)</f>
        <v>0</v>
      </c>
      <c r="O126" s="94">
        <f>IF('FY19-20'!$S126&gt;0,'FY19-20'!O126/'FY19-20'!$S126*'Multi-Year'!$J126,0)+IF('FY19-20'!$S126&lt;0,'FY19-20'!O126/'FY19-20'!$S126*'Multi-Year'!$J126,0)</f>
        <v>126.02064097600218</v>
      </c>
      <c r="P126" s="94">
        <f>IF('FY19-20'!$S126&gt;0,'FY19-20'!P126/'FY19-20'!$S126*'Multi-Year'!$J126,0)+IF('FY19-20'!$S126&lt;0,'FY19-20'!P126/'FY19-20'!$S126*'Multi-Year'!$J126,0)</f>
        <v>76.666356974946254</v>
      </c>
      <c r="Q126" s="606">
        <f>IF('FY19-20'!$S126&gt;0,'FY19-20'!Q126/'FY19-20'!$S126*'Multi-Year'!$J126,0)+IF('FY19-20'!$S126&lt;0,'FY19-20'!Q126/'FY19-20'!$S126*'Multi-Year'!$J126,0)</f>
        <v>0</v>
      </c>
      <c r="R126" s="94"/>
      <c r="S126" s="625">
        <f>SUM(E126:Q126)</f>
        <v>1521.8753241146962</v>
      </c>
      <c r="T126" s="94"/>
      <c r="U126" s="94">
        <f>'FY19-20'!S126</f>
        <v>1501.7</v>
      </c>
      <c r="V126" s="94">
        <f>U126-S126</f>
        <v>-20.175324114696195</v>
      </c>
      <c r="W126" s="214"/>
    </row>
    <row r="127" spans="1:23" s="95" customFormat="1" ht="12" customHeight="1">
      <c r="A127" s="124"/>
      <c r="B127" s="124" t="s">
        <v>186</v>
      </c>
      <c r="C127" s="102">
        <f>'Multi-Year'!D127</f>
        <v>5808</v>
      </c>
      <c r="D127" s="127" t="s">
        <v>42</v>
      </c>
      <c r="E127" s="94">
        <f>IF('FY19-20'!$S127&gt;0,'FY19-20'!E127/'FY19-20'!$S127*'Multi-Year'!$J127,0)+IF('FY19-20'!$S127&lt;0,'FY19-20'!E127/'FY19-20'!$S127*'Multi-Year'!$J127,0)</f>
        <v>0</v>
      </c>
      <c r="F127" s="94">
        <f>IF('FY19-20'!$S127&gt;0,'FY19-20'!F127/'FY19-20'!$S127*'Multi-Year'!$J127,0)+IF('FY19-20'!$S127&lt;0,'FY19-20'!F127/'FY19-20'!$S127*'Multi-Year'!$J127,0)</f>
        <v>0</v>
      </c>
      <c r="G127" s="94">
        <f>IF('FY19-20'!$S127&gt;0,'FY19-20'!G127/'FY19-20'!$S127*'Multi-Year'!$J127,0)+IF('FY19-20'!$S127&lt;0,'FY19-20'!G127/'FY19-20'!$S127*'Multi-Year'!$J127,0)</f>
        <v>0</v>
      </c>
      <c r="H127" s="94">
        <f>IF('FY19-20'!$S127&gt;0,'FY19-20'!H127/'FY19-20'!$S127*'Multi-Year'!$J127,0)+IF('FY19-20'!$S127&lt;0,'FY19-20'!H127/'FY19-20'!$S127*'Multi-Year'!$J127,0)</f>
        <v>0</v>
      </c>
      <c r="I127" s="94">
        <f>IF('FY19-20'!$S127&gt;0,'FY19-20'!I127/'FY19-20'!$S127*'Multi-Year'!$J127,0)+IF('FY19-20'!$S127&lt;0,'FY19-20'!I127/'FY19-20'!$S127*'Multi-Year'!$J127,0)</f>
        <v>233.80958648631662</v>
      </c>
      <c r="J127" s="94">
        <f>IF('FY19-20'!$S127&gt;0,'FY19-20'!J127/'FY19-20'!$S127*'Multi-Year'!$J127,0)+IF('FY19-20'!$S127&lt;0,'FY19-20'!J127/'FY19-20'!$S127*'Multi-Year'!$J127,0)</f>
        <v>34.385849202378409</v>
      </c>
      <c r="K127" s="94">
        <f>IF('FY19-20'!$S127&gt;0,'FY19-20'!K127/'FY19-20'!$S127*'Multi-Year'!$J127,0)+IF('FY19-20'!$S127&lt;0,'FY19-20'!K127/'FY19-20'!$S127*'Multi-Year'!$J127,0)</f>
        <v>1.510018134734566</v>
      </c>
      <c r="L127" s="94">
        <f>IF('FY19-20'!$S127&gt;0,'FY19-20'!L127/'FY19-20'!$S127*'Multi-Year'!$J127,0)+IF('FY19-20'!$S127&lt;0,'FY19-20'!L127/'FY19-20'!$S127*'Multi-Year'!$J127,0)</f>
        <v>464.0012100592088</v>
      </c>
      <c r="M127" s="94">
        <f>IF('FY19-20'!$S127&gt;0,'FY19-20'!M127/'FY19-20'!$S127*'Multi-Year'!$J127,0)+IF('FY19-20'!$S127&lt;0,'FY19-20'!M127/'FY19-20'!$S127*'Multi-Year'!$J127,0)</f>
        <v>71.051927131704986</v>
      </c>
      <c r="N127" s="94">
        <f>IF('FY19-20'!$S127&gt;0,'FY19-20'!N127/'FY19-20'!$S127*'Multi-Year'!$J127,0)+IF('FY19-20'!$S127&lt;0,'FY19-20'!N127/'FY19-20'!$S127*'Multi-Year'!$J127,0)</f>
        <v>5.2698619467246601</v>
      </c>
      <c r="O127" s="94">
        <f>IF('FY19-20'!$S127&gt;0,'FY19-20'!O127/'FY19-20'!$S127*'Multi-Year'!$J127,0)+IF('FY19-20'!$S127&lt;0,'FY19-20'!O127/'FY19-20'!$S127*'Multi-Year'!$J127,0)</f>
        <v>0</v>
      </c>
      <c r="P127" s="94">
        <f>IF('FY19-20'!$S127&gt;0,'FY19-20'!P127/'FY19-20'!$S127*'Multi-Year'!$J127,0)+IF('FY19-20'!$S127&lt;0,'FY19-20'!P127/'FY19-20'!$S127*'Multi-Year'!$J127,0)</f>
        <v>0</v>
      </c>
      <c r="Q127" s="606">
        <f>IF('FY19-20'!$S127&gt;0,'FY19-20'!Q127/'FY19-20'!$S127*'Multi-Year'!$J127,0)+IF('FY19-20'!$S127&lt;0,'FY19-20'!Q127/'FY19-20'!$S127*'Multi-Year'!$J127,0)</f>
        <v>0</v>
      </c>
      <c r="R127" s="94"/>
      <c r="S127" s="625">
        <f>SUM(E127:Q127)</f>
        <v>810.02845296106807</v>
      </c>
      <c r="T127" s="94"/>
      <c r="U127" s="94">
        <f>'FY19-20'!S127</f>
        <v>799.29000000000008</v>
      </c>
      <c r="V127" s="94">
        <f>U127-S127</f>
        <v>-10.738452961067992</v>
      </c>
      <c r="W127" s="214"/>
    </row>
    <row r="128" spans="1:23" s="95" customFormat="1" ht="12" customHeight="1">
      <c r="A128" s="124"/>
      <c r="B128" s="124" t="s">
        <v>186</v>
      </c>
      <c r="C128" s="102">
        <f>'Multi-Year'!D128</f>
        <v>5809</v>
      </c>
      <c r="D128" s="127" t="s">
        <v>43</v>
      </c>
      <c r="E128" s="94">
        <f>IF('FY19-20'!$S128&gt;0,'FY19-20'!E128/'FY19-20'!$S128*'Multi-Year'!$J128,0)+IF('FY19-20'!$S128&lt;0,'FY19-20'!E128/'FY19-20'!$S128*'Multi-Year'!$J128,0)</f>
        <v>162.14959836075877</v>
      </c>
      <c r="F128" s="94">
        <f>IF('FY19-20'!$S128&gt;0,'FY19-20'!F128/'FY19-20'!$S128*'Multi-Year'!$J128,0)+IF('FY19-20'!$S128&lt;0,'FY19-20'!F128/'FY19-20'!$S128*'Multi-Year'!$J128,0)</f>
        <v>60.806099385284533</v>
      </c>
      <c r="G128" s="94">
        <f>IF('FY19-20'!$S128&gt;0,'FY19-20'!G128/'FY19-20'!$S128*'Multi-Year'!$J128,0)+IF('FY19-20'!$S128&lt;0,'FY19-20'!G128/'FY19-20'!$S128*'Multi-Year'!$J128,0)</f>
        <v>0</v>
      </c>
      <c r="H128" s="94">
        <f>IF('FY19-20'!$S128&gt;0,'FY19-20'!H128/'FY19-20'!$S128*'Multi-Year'!$J128,0)+IF('FY19-20'!$S128&lt;0,'FY19-20'!H128/'FY19-20'!$S128*'Multi-Year'!$J128,0)</f>
        <v>0</v>
      </c>
      <c r="I128" s="94">
        <f>IF('FY19-20'!$S128&gt;0,'FY19-20'!I128/'FY19-20'!$S128*'Multi-Year'!$J128,0)+IF('FY19-20'!$S128&lt;0,'FY19-20'!I128/'FY19-20'!$S128*'Multi-Year'!$J128,0)</f>
        <v>553.29496700649906</v>
      </c>
      <c r="J128" s="94">
        <f>IF('FY19-20'!$S128&gt;0,'FY19-20'!J128/'FY19-20'!$S128*'Multi-Year'!$J128,0)+IF('FY19-20'!$S128&lt;0,'FY19-20'!J128/'FY19-20'!$S128*'Multi-Year'!$J128,0)</f>
        <v>1844.4516813536309</v>
      </c>
      <c r="K128" s="94">
        <f>IF('FY19-20'!$S128&gt;0,'FY19-20'!K128/'FY19-20'!$S128*'Multi-Year'!$J128,0)+IF('FY19-20'!$S128&lt;0,'FY19-20'!K128/'FY19-20'!$S128*'Multi-Year'!$J128,0)</f>
        <v>0</v>
      </c>
      <c r="L128" s="94">
        <f>IF('FY19-20'!$S128&gt;0,'FY19-20'!L128/'FY19-20'!$S128*'Multi-Year'!$J128,0)+IF('FY19-20'!$S128&lt;0,'FY19-20'!L128/'FY19-20'!$S128*'Multi-Year'!$J128,0)</f>
        <v>32067.596394614637</v>
      </c>
      <c r="M128" s="94">
        <f>IF('FY19-20'!$S128&gt;0,'FY19-20'!M128/'FY19-20'!$S128*'Multi-Year'!$J128,0)+IF('FY19-20'!$S128&lt;0,'FY19-20'!M128/'FY19-20'!$S128*'Multi-Year'!$J128,0)</f>
        <v>22.001673627575457</v>
      </c>
      <c r="N128" s="94">
        <f>IF('FY19-20'!$S128&gt;0,'FY19-20'!N128/'FY19-20'!$S128*'Multi-Year'!$J128,0)+IF('FY19-20'!$S128&lt;0,'FY19-20'!N128/'FY19-20'!$S128*'Multi-Year'!$J128,0)</f>
        <v>0</v>
      </c>
      <c r="O128" s="94">
        <f>IF('FY19-20'!$S128&gt;0,'FY19-20'!O128/'FY19-20'!$S128*'Multi-Year'!$J128,0)+IF('FY19-20'!$S128&lt;0,'FY19-20'!O128/'FY19-20'!$S128*'Multi-Year'!$J128,0)</f>
        <v>36.463390931375628</v>
      </c>
      <c r="P128" s="94">
        <f>IF('FY19-20'!$S128&gt;0,'FY19-20'!P128/'FY19-20'!$S128*'Multi-Year'!$J128,0)+IF('FY19-20'!$S128&lt;0,'FY19-20'!P128/'FY19-20'!$S128*'Multi-Year'!$J128,0)</f>
        <v>425.64269569699172</v>
      </c>
      <c r="Q128" s="606">
        <f>IF('FY19-20'!$S128&gt;0,'FY19-20'!Q128/'FY19-20'!$S128*'Multi-Year'!$J128,0)+IF('FY19-20'!$S128&lt;0,'FY19-20'!Q128/'FY19-20'!$S128*'Multi-Year'!$J128,0)</f>
        <v>0</v>
      </c>
      <c r="R128" s="94"/>
      <c r="S128" s="625">
        <f>SUM(E128:Q128)</f>
        <v>35172.406500976751</v>
      </c>
      <c r="T128" s="94"/>
      <c r="U128" s="94">
        <f>'FY19-20'!S128</f>
        <v>34706.130000000005</v>
      </c>
      <c r="V128" s="94">
        <f>U128-S128</f>
        <v>-466.27650097674632</v>
      </c>
      <c r="W128" s="214"/>
    </row>
    <row r="129" spans="1:23" s="95" customFormat="1" ht="12" customHeight="1">
      <c r="A129" s="124"/>
      <c r="B129" s="124" t="s">
        <v>186</v>
      </c>
      <c r="C129" s="102">
        <v>5810</v>
      </c>
      <c r="D129" s="127" t="s">
        <v>26</v>
      </c>
      <c r="E129" s="94">
        <f>IF('FY19-20'!$S129&gt;0,'FY19-20'!E129/'FY19-20'!$S129*'Multi-Year'!$J129,0)+IF('FY19-20'!$S129&lt;0,'FY19-20'!E129/'FY19-20'!$S129*'Multi-Year'!$J129,0)</f>
        <v>0</v>
      </c>
      <c r="F129" s="94">
        <f>IF('FY19-20'!$S129&gt;0,'FY19-20'!F129/'FY19-20'!$S129*'Multi-Year'!$J129,0)+IF('FY19-20'!$S129&lt;0,'FY19-20'!F129/'FY19-20'!$S129*'Multi-Year'!$J129,0)</f>
        <v>0</v>
      </c>
      <c r="G129" s="356">
        <f>IF('FY19-20'!$S129&gt;0,'FY19-20'!G129/'FY19-20'!$S129*'Multi-Year'!$J129,0)+IF('FY19-20'!$S129&lt;0,'FY19-20'!G129/'FY19-20'!$S129*'Multi-Year'!$J129,0)</f>
        <v>0</v>
      </c>
      <c r="H129" s="94">
        <f>IF('FY19-20'!$S129&gt;0,'FY19-20'!H129/'FY19-20'!$S129*'Multi-Year'!$J129,0)+IF('FY19-20'!$S129&lt;0,'FY19-20'!H129/'FY19-20'!$S129*'Multi-Year'!$J129,0)</f>
        <v>0</v>
      </c>
      <c r="I129" s="94">
        <f>IF('FY19-20'!$S129&gt;0,'FY19-20'!I129/'FY19-20'!$S129*'Multi-Year'!$J129,0)+IF('FY19-20'!$S129&lt;0,'FY19-20'!I129/'FY19-20'!$S129*'Multi-Year'!$J129,0)</f>
        <v>0</v>
      </c>
      <c r="J129" s="94">
        <f>IF('FY19-20'!$S129&gt;0,'FY19-20'!J129/'FY19-20'!$S129*'Multi-Year'!$J129,0)+IF('FY19-20'!$S129&lt;0,'FY19-20'!J129/'FY19-20'!$S129*'Multi-Year'!$J129,0)</f>
        <v>0</v>
      </c>
      <c r="K129" s="94">
        <f>IF('FY19-20'!$S129&gt;0,'FY19-20'!K129/'FY19-20'!$S129*'Multi-Year'!$J129,0)+IF('FY19-20'!$S129&lt;0,'FY19-20'!K129/'FY19-20'!$S129*'Multi-Year'!$J129,0)</f>
        <v>0</v>
      </c>
      <c r="L129" s="94">
        <f>IF('FY19-20'!$S129&gt;0,'FY19-20'!L129/'FY19-20'!$S129*'Multi-Year'!$J129,0)+IF('FY19-20'!$S129&lt;0,'FY19-20'!L129/'FY19-20'!$S129*'Multi-Year'!$J129,0)</f>
        <v>0</v>
      </c>
      <c r="M129" s="94">
        <f>IF('FY19-20'!$S129&gt;0,'FY19-20'!M129/'FY19-20'!$S129*'Multi-Year'!$J129,0)+IF('FY19-20'!$S129&lt;0,'FY19-20'!M129/'FY19-20'!$S129*'Multi-Year'!$J129,0)</f>
        <v>0</v>
      </c>
      <c r="N129" s="94">
        <f>IF('FY19-20'!$S129&gt;0,'FY19-20'!N129/'FY19-20'!$S129*'Multi-Year'!$J129,0)+IF('FY19-20'!$S129&lt;0,'FY19-20'!N129/'FY19-20'!$S129*'Multi-Year'!$J129,0)</f>
        <v>0</v>
      </c>
      <c r="O129" s="94">
        <f>IF('FY19-20'!$S129&gt;0,'FY19-20'!O129/'FY19-20'!$S129*'Multi-Year'!$J129,0)+IF('FY19-20'!$S129&lt;0,'FY19-20'!O129/'FY19-20'!$S129*'Multi-Year'!$J129,0)</f>
        <v>2122.6395860413072</v>
      </c>
      <c r="P129" s="94">
        <f>IF('FY19-20'!$S129&gt;0,'FY19-20'!P129/'FY19-20'!$S129*'Multi-Year'!$J129,0)+IF('FY19-20'!$S129&lt;0,'FY19-20'!P129/'FY19-20'!$S129*'Multi-Year'!$J129,0)</f>
        <v>2489.5030523325245</v>
      </c>
      <c r="Q129" s="606">
        <f>IF('FY19-20'!$S129&gt;0,'FY19-20'!Q129/'FY19-20'!$S129*'Multi-Year'!$J129,0)+IF('FY19-20'!$S129&lt;0,'FY19-20'!Q129/'FY19-20'!$S129*'Multi-Year'!$J129,0)</f>
        <v>0</v>
      </c>
      <c r="R129" s="94"/>
      <c r="S129" s="625">
        <f t="shared" si="44"/>
        <v>4612.1426383738317</v>
      </c>
      <c r="T129" s="94"/>
      <c r="U129" s="94">
        <f>'FY19-20'!S129</f>
        <v>4551</v>
      </c>
      <c r="V129" s="94">
        <f t="shared" si="45"/>
        <v>-61.142638373831687</v>
      </c>
      <c r="W129" s="214"/>
    </row>
    <row r="130" spans="1:23" s="95" customFormat="1" ht="12" customHeight="1">
      <c r="A130" s="124"/>
      <c r="B130" s="124" t="s">
        <v>186</v>
      </c>
      <c r="C130" s="102">
        <v>5811</v>
      </c>
      <c r="D130" s="127" t="s">
        <v>27</v>
      </c>
      <c r="E130" s="356">
        <f>'Multi-Year'!$J$130/12</f>
        <v>46965.950893872388</v>
      </c>
      <c r="F130" s="356">
        <f>'Multi-Year'!$J$130/12</f>
        <v>46965.950893872388</v>
      </c>
      <c r="G130" s="356">
        <f>'Multi-Year'!$J$130/12</f>
        <v>46965.950893872388</v>
      </c>
      <c r="H130" s="356">
        <f>'Multi-Year'!$J$130/12</f>
        <v>46965.950893872388</v>
      </c>
      <c r="I130" s="356">
        <f>'Multi-Year'!$J$130/12</f>
        <v>46965.950893872388</v>
      </c>
      <c r="J130" s="356">
        <f>'Multi-Year'!$J$130/12</f>
        <v>46965.950893872388</v>
      </c>
      <c r="K130" s="356">
        <f>'Multi-Year'!$J$130/12</f>
        <v>46965.950893872388</v>
      </c>
      <c r="L130" s="356">
        <f>'Multi-Year'!$J$130/12</f>
        <v>46965.950893872388</v>
      </c>
      <c r="M130" s="356">
        <f>'Multi-Year'!$J$130/12</f>
        <v>46965.950893872388</v>
      </c>
      <c r="N130" s="356">
        <f>'Multi-Year'!$J$130/12</f>
        <v>46965.950893872388</v>
      </c>
      <c r="O130" s="356">
        <f>'Multi-Year'!$J$130/12</f>
        <v>46965.950893872388</v>
      </c>
      <c r="P130" s="356">
        <f>'Multi-Year'!$J$130/12</f>
        <v>46965.950893872388</v>
      </c>
      <c r="Q130" s="606">
        <v>0</v>
      </c>
      <c r="R130" s="94"/>
      <c r="S130" s="625">
        <f t="shared" si="44"/>
        <v>563591.41072646878</v>
      </c>
      <c r="T130" s="94"/>
      <c r="U130" s="94">
        <f>'FY19-20'!S130</f>
        <v>1054931.6600000001</v>
      </c>
      <c r="V130" s="94">
        <f t="shared" si="45"/>
        <v>491340.24927353137</v>
      </c>
      <c r="W130" s="106"/>
    </row>
    <row r="131" spans="1:23" s="95" customFormat="1" ht="12" customHeight="1">
      <c r="A131" s="124"/>
      <c r="B131" s="124" t="s">
        <v>186</v>
      </c>
      <c r="C131" s="102">
        <v>5812</v>
      </c>
      <c r="D131" s="127" t="s">
        <v>95</v>
      </c>
      <c r="E131" s="94">
        <f>E19*'Revenue Inputs'!$D$10</f>
        <v>1505.0582646670603</v>
      </c>
      <c r="F131" s="94">
        <f>F19*'Revenue Inputs'!$D$10</f>
        <v>45089.409300737279</v>
      </c>
      <c r="G131" s="94">
        <f>G19*'Revenue Inputs'!$D$10</f>
        <v>44086.037124292568</v>
      </c>
      <c r="H131" s="94">
        <f>H19*'Revenue Inputs'!$D$10</f>
        <v>82522.201341415086</v>
      </c>
      <c r="I131" s="94">
        <f>I19*'Revenue Inputs'!$D$10</f>
        <v>77749.471341415076</v>
      </c>
      <c r="J131" s="94">
        <f>J19*'Revenue Inputs'!$D$10</f>
        <v>77749.471341415076</v>
      </c>
      <c r="K131" s="94">
        <f>K19*'Revenue Inputs'!$D$10</f>
        <v>82522.201341415086</v>
      </c>
      <c r="L131" s="94">
        <f>L19*'Revenue Inputs'!$D$10</f>
        <v>79254.529606082142</v>
      </c>
      <c r="M131" s="94">
        <f>M19*'Revenue Inputs'!$D$10</f>
        <v>76684.10861861975</v>
      </c>
      <c r="N131" s="94">
        <f>N19*'Revenue Inputs'!$D$10</f>
        <v>81365.308618619747</v>
      </c>
      <c r="O131" s="94">
        <f>O19*'Revenue Inputs'!$D$10</f>
        <v>76684.10861861975</v>
      </c>
      <c r="P131" s="94">
        <f>P19*'Revenue Inputs'!$D$10</f>
        <v>76684.10861861975</v>
      </c>
      <c r="Q131" s="606">
        <f>S19*'Revenue Inputs'!$D$10-SUM(E131:P131)</f>
        <v>79670.427309841732</v>
      </c>
      <c r="R131" s="94"/>
      <c r="S131" s="625">
        <f t="shared" si="44"/>
        <v>881566.44144576008</v>
      </c>
      <c r="T131" s="94"/>
      <c r="U131" s="94">
        <f>'FY19-20'!S131</f>
        <v>867464.43</v>
      </c>
      <c r="V131" s="94">
        <f t="shared" si="45"/>
        <v>-14102.011445760028</v>
      </c>
      <c r="W131" s="106"/>
    </row>
    <row r="132" spans="1:23" s="95" customFormat="1" ht="12" customHeight="1">
      <c r="A132" s="124"/>
      <c r="B132" s="124" t="s">
        <v>186</v>
      </c>
      <c r="C132" s="102">
        <v>5813</v>
      </c>
      <c r="D132" s="127" t="s">
        <v>243</v>
      </c>
      <c r="E132" s="94">
        <f>IF('FY19-20'!$S132&gt;0,'FY19-20'!E132/'FY19-20'!$S132*'Multi-Year'!$J132,0)+IF('FY19-20'!$S132&lt;0,'FY19-20'!E132/'FY19-20'!$S132*'Multi-Year'!$J132,0)</f>
        <v>0</v>
      </c>
      <c r="F132" s="94">
        <f>IF('FY19-20'!$S132&gt;0,'FY19-20'!F132/'FY19-20'!$S132*'Multi-Year'!$J132,0)+IF('FY19-20'!$S132&lt;0,'FY19-20'!F132/'FY19-20'!$S132*'Multi-Year'!$J132,0)</f>
        <v>0</v>
      </c>
      <c r="G132" s="94">
        <f>IF('FY19-20'!$S132&gt;0,'FY19-20'!G132/'FY19-20'!$S132*'Multi-Year'!$J132,0)+IF('FY19-20'!$S132&lt;0,'FY19-20'!G132/'FY19-20'!$S132*'Multi-Year'!$J132,0)</f>
        <v>0</v>
      </c>
      <c r="H132" s="94">
        <f>IF('FY19-20'!$S132&gt;0,'FY19-20'!H132/'FY19-20'!$S132*'Multi-Year'!$J132,0)+IF('FY19-20'!$S132&lt;0,'FY19-20'!H132/'FY19-20'!$S132*'Multi-Year'!$J132,0)</f>
        <v>0</v>
      </c>
      <c r="I132" s="94">
        <f>IF('FY19-20'!$S132&gt;0,'FY19-20'!I132/'FY19-20'!$S132*'Multi-Year'!$J132,0)+IF('FY19-20'!$S132&lt;0,'FY19-20'!I132/'FY19-20'!$S132*'Multi-Year'!$J132,0)</f>
        <v>0</v>
      </c>
      <c r="J132" s="94">
        <f>IF('FY19-20'!$S132&gt;0,'FY19-20'!J132/'FY19-20'!$S132*'Multi-Year'!$J132,0)+IF('FY19-20'!$S132&lt;0,'FY19-20'!J132/'FY19-20'!$S132*'Multi-Year'!$J132,0)</f>
        <v>0</v>
      </c>
      <c r="K132" s="94">
        <f>IF('FY19-20'!$S132&gt;0,'FY19-20'!K132/'FY19-20'!$S132*'Multi-Year'!$J132,0)+IF('FY19-20'!$S132&lt;0,'FY19-20'!K132/'FY19-20'!$S132*'Multi-Year'!$J132,0)</f>
        <v>0</v>
      </c>
      <c r="L132" s="94">
        <f>IF('FY19-20'!$S132&gt;0,'FY19-20'!L132/'FY19-20'!$S132*'Multi-Year'!$J132,0)+IF('FY19-20'!$S132&lt;0,'FY19-20'!L132/'FY19-20'!$S132*'Multi-Year'!$J132,0)</f>
        <v>0</v>
      </c>
      <c r="M132" s="94">
        <f>IF('FY19-20'!$S132&gt;0,'FY19-20'!M132/'FY19-20'!$S132*'Multi-Year'!$J132,0)+IF('FY19-20'!$S132&lt;0,'FY19-20'!M132/'FY19-20'!$S132*'Multi-Year'!$J132,0)</f>
        <v>0</v>
      </c>
      <c r="N132" s="94">
        <f>IF('FY19-20'!$S132&gt;0,'FY19-20'!N132/'FY19-20'!$S132*'Multi-Year'!$J132,0)+IF('FY19-20'!$S132&lt;0,'FY19-20'!N132/'FY19-20'!$S132*'Multi-Year'!$J132,0)</f>
        <v>0</v>
      </c>
      <c r="O132" s="94">
        <f>IF('FY19-20'!$S132&gt;0,'FY19-20'!O132/'FY19-20'!$S132*'Multi-Year'!$J132,0)+IF('FY19-20'!$S132&lt;0,'FY19-20'!O132/'FY19-20'!$S132*'Multi-Year'!$J132,0)</f>
        <v>0</v>
      </c>
      <c r="P132" s="94">
        <f>IF('FY19-20'!$S132&gt;0,'FY19-20'!P132/'FY19-20'!$S132*'Multi-Year'!$J132,0)+IF('FY19-20'!$S132&lt;0,'FY19-20'!P132/'FY19-20'!$S132*'Multi-Year'!$J132,0)</f>
        <v>0</v>
      </c>
      <c r="Q132" s="606">
        <f>IF('FY19-20'!$S132&gt;0,'FY19-20'!Q132/'FY19-20'!$S132*'Multi-Year'!$J132,0)+IF('FY19-20'!$S132&lt;0,'FY19-20'!Q132/'FY19-20'!$S132*'Multi-Year'!$J132,0)</f>
        <v>0</v>
      </c>
      <c r="R132" s="94"/>
      <c r="S132" s="625">
        <f t="shared" si="44"/>
        <v>0</v>
      </c>
      <c r="T132" s="94"/>
      <c r="U132" s="94">
        <f>'FY19-20'!S132</f>
        <v>0</v>
      </c>
      <c r="V132" s="94">
        <f t="shared" si="45"/>
        <v>0</v>
      </c>
      <c r="W132" s="214"/>
    </row>
    <row r="133" spans="1:23" s="95" customFormat="1" ht="12" customHeight="1">
      <c r="A133" s="124"/>
      <c r="B133" s="124" t="s">
        <v>186</v>
      </c>
      <c r="C133" s="102">
        <v>5814</v>
      </c>
      <c r="D133" s="127" t="s">
        <v>336</v>
      </c>
      <c r="E133" s="356">
        <f>IF('Revenue Inputs'!$D$11&lt;1,(E33+E21)*'Revenue Inputs'!$D$11,$V$11*'Revenue Inputs'!$D$11*E9)</f>
        <v>0</v>
      </c>
      <c r="F133" s="356">
        <f>IF('Revenue Inputs'!$D$11&lt;1,(F33+F21)*'Revenue Inputs'!$D$11,$V$11*'Revenue Inputs'!$D$11*F9)</f>
        <v>0</v>
      </c>
      <c r="G133" s="356">
        <f>IF('Revenue Inputs'!$D$11&lt;1,(G33+G21)*'Revenue Inputs'!$D$11,$V$11*'Revenue Inputs'!$D$11*G9)</f>
        <v>0</v>
      </c>
      <c r="H133" s="356">
        <f>IF('Revenue Inputs'!$D$11&lt;1,(H33+H21)*'Revenue Inputs'!$D$11,$V$11*'Revenue Inputs'!$D$11*H9)</f>
        <v>0</v>
      </c>
      <c r="I133" s="356">
        <f>IF('Revenue Inputs'!$D$11&lt;1,(I33+I21)*'Revenue Inputs'!$D$11,$V$11*'Revenue Inputs'!$D$11*I9)</f>
        <v>0</v>
      </c>
      <c r="J133" s="356">
        <f>IF('Revenue Inputs'!$D$11&lt;1,(J33+J21)*'Revenue Inputs'!$D$11,$V$11*'Revenue Inputs'!$D$11*J9)</f>
        <v>0</v>
      </c>
      <c r="K133" s="356">
        <f>IF('Revenue Inputs'!$D$11&lt;1,(K33+K21)*'Revenue Inputs'!$D$11,$V$11*'Revenue Inputs'!$D$11*K9)</f>
        <v>0</v>
      </c>
      <c r="L133" s="356">
        <f>IF('Revenue Inputs'!$D$11&lt;1,(L33+L21)*'Revenue Inputs'!$D$11,((($D$4*'Revenue Inputs'!$D$11)-SUM($E$133:$K$133))*L9))</f>
        <v>0</v>
      </c>
      <c r="M133" s="356">
        <f>IF('Revenue Inputs'!$D$11&lt;1,(M33+M21)*'Revenue Inputs'!$D$11,((($D$4*'Revenue Inputs'!$D$11)-SUM($E$133:$K$133))*M9))</f>
        <v>0</v>
      </c>
      <c r="N133" s="356">
        <f>IF('Revenue Inputs'!$D$11&lt;1,(N33+N21)*'Revenue Inputs'!$D$11,((($D$4*'Revenue Inputs'!$D$11)-SUM($E$133:$K$133))*N9))</f>
        <v>0</v>
      </c>
      <c r="O133" s="356">
        <f>IF('Revenue Inputs'!$D$11&lt;1,(O33+O21)*'Revenue Inputs'!$D$11,((($D$4*'Revenue Inputs'!$D$11)-SUM($E$133:$K$133))*O9))</f>
        <v>0</v>
      </c>
      <c r="P133" s="356">
        <f>IF('Revenue Inputs'!$D$11&lt;1,(P33+P21)*'Revenue Inputs'!$D$11,((($D$4*'Revenue Inputs'!$D$11)-SUM($E$133:$K$133))*P9))</f>
        <v>0</v>
      </c>
      <c r="Q133" s="616">
        <f>IF('Revenue Inputs'!$D$11&lt;1,((S33+S21)*'Revenue Inputs'!$D$11)-SUM(E133:P133),(($D$4*'Revenue Inputs'!$D$11)-SUM($E$133:$P$133)))</f>
        <v>0</v>
      </c>
      <c r="R133" s="94"/>
      <c r="S133" s="625">
        <f t="shared" si="44"/>
        <v>0</v>
      </c>
      <c r="T133" s="94"/>
      <c r="U133" s="94">
        <f>'FY19-20'!S133</f>
        <v>88491.56</v>
      </c>
      <c r="V133" s="94">
        <f t="shared" si="45"/>
        <v>88491.56</v>
      </c>
      <c r="W133" s="212"/>
    </row>
    <row r="134" spans="1:23" s="95" customFormat="1" ht="12" customHeight="1">
      <c r="A134" s="124"/>
      <c r="B134" s="124" t="s">
        <v>186</v>
      </c>
      <c r="C134" s="102">
        <f>'Multi-Year'!D134</f>
        <v>5815</v>
      </c>
      <c r="D134" s="127" t="s">
        <v>316</v>
      </c>
      <c r="E134" s="94">
        <f>IF('FY19-20'!$S134&gt;0,'FY19-20'!E134/'FY19-20'!$S134*'Multi-Year'!$J134,0)+IF('FY19-20'!$S134&lt;0,'FY19-20'!E134/'FY19-20'!$S134*'Multi-Year'!$J134,0)</f>
        <v>0</v>
      </c>
      <c r="F134" s="94">
        <f>IF('FY19-20'!$S134&gt;0,'FY19-20'!F134/'FY19-20'!$S134*'Multi-Year'!$J134,0)+IF('FY19-20'!$S134&lt;0,'FY19-20'!F134/'FY19-20'!$S134*'Multi-Year'!$J134,0)</f>
        <v>0</v>
      </c>
      <c r="G134" s="94">
        <f>IF('FY19-20'!$S134&gt;0,'FY19-20'!G134/'FY19-20'!$S134*'Multi-Year'!$J134,0)+IF('FY19-20'!$S134&lt;0,'FY19-20'!G134/'FY19-20'!$S134*'Multi-Year'!$J134,0)</f>
        <v>0</v>
      </c>
      <c r="H134" s="94">
        <f>IF('FY19-20'!$S134&gt;0,'FY19-20'!H134/'FY19-20'!$S134*'Multi-Year'!$J134,0)+IF('FY19-20'!$S134&lt;0,'FY19-20'!H134/'FY19-20'!$S134*'Multi-Year'!$J134,0)</f>
        <v>0</v>
      </c>
      <c r="I134" s="94">
        <f>IF('FY19-20'!$S134&gt;0,'FY19-20'!I134/'FY19-20'!$S134*'Multi-Year'!$J134,0)+IF('FY19-20'!$S134&lt;0,'FY19-20'!I134/'FY19-20'!$S134*'Multi-Year'!$J134,0)</f>
        <v>0</v>
      </c>
      <c r="J134" s="94">
        <f>IF('FY19-20'!$S134&gt;0,'FY19-20'!J134/'FY19-20'!$S134*'Multi-Year'!$J134,0)+IF('FY19-20'!$S134&lt;0,'FY19-20'!J134/'FY19-20'!$S134*'Multi-Year'!$J134,0)</f>
        <v>0</v>
      </c>
      <c r="K134" s="94">
        <f>IF('FY19-20'!$S134&gt;0,'FY19-20'!K134/'FY19-20'!$S134*'Multi-Year'!$J134,0)+IF('FY19-20'!$S134&lt;0,'FY19-20'!K134/'FY19-20'!$S134*'Multi-Year'!$J134,0)</f>
        <v>0</v>
      </c>
      <c r="L134" s="94">
        <f>IF('FY19-20'!$S134&gt;0,'FY19-20'!L134/'FY19-20'!$S134*'Multi-Year'!$J134,0)+IF('FY19-20'!$S134&lt;0,'FY19-20'!L134/'FY19-20'!$S134*'Multi-Year'!$J134,0)</f>
        <v>0</v>
      </c>
      <c r="M134" s="94">
        <f>IF('FY19-20'!$S134&gt;0,'FY19-20'!M134/'FY19-20'!$S134*'Multi-Year'!$J134,0)+IF('FY19-20'!$S134&lt;0,'FY19-20'!M134/'FY19-20'!$S134*'Multi-Year'!$J134,0)</f>
        <v>0</v>
      </c>
      <c r="N134" s="94">
        <f>IF('FY19-20'!$S134&gt;0,'FY19-20'!N134/'FY19-20'!$S134*'Multi-Year'!$J134,0)+IF('FY19-20'!$S134&lt;0,'FY19-20'!N134/'FY19-20'!$S134*'Multi-Year'!$J134,0)</f>
        <v>422.11679999999996</v>
      </c>
      <c r="O134" s="94">
        <f>IF('FY19-20'!$S134&gt;0,'FY19-20'!O134/'FY19-20'!$S134*'Multi-Year'!$J134,0)+IF('FY19-20'!$S134&lt;0,'FY19-20'!O134/'FY19-20'!$S134*'Multi-Year'!$J134,0)</f>
        <v>0</v>
      </c>
      <c r="P134" s="94">
        <f>IF('FY19-20'!$S134&gt;0,'FY19-20'!P134/'FY19-20'!$S134*'Multi-Year'!$J134,0)+IF('FY19-20'!$S134&lt;0,'FY19-20'!P134/'FY19-20'!$S134*'Multi-Year'!$J134,0)</f>
        <v>0</v>
      </c>
      <c r="Q134" s="606">
        <f>IF('FY19-20'!$S134&gt;0,'FY19-20'!Q134/'FY19-20'!$S134*'Multi-Year'!$J134,0)+IF('FY19-20'!$S134&lt;0,'FY19-20'!Q134/'FY19-20'!$S134*'Multi-Year'!$J134,0)</f>
        <v>0</v>
      </c>
      <c r="R134" s="94"/>
      <c r="S134" s="625">
        <f>SUM(E134:Q134)</f>
        <v>422.11679999999996</v>
      </c>
      <c r="T134" s="94"/>
      <c r="U134" s="94">
        <f>'FY19-20'!S134</f>
        <v>413.84</v>
      </c>
      <c r="V134" s="94">
        <f>U134-S134</f>
        <v>-8.2767999999999802</v>
      </c>
      <c r="W134" s="214"/>
    </row>
    <row r="135" spans="1:23" s="95" customFormat="1" ht="12" customHeight="1">
      <c r="A135" s="124"/>
      <c r="B135" s="124"/>
      <c r="C135" s="102">
        <f>'Multi-Year'!D135</f>
        <v>5820</v>
      </c>
      <c r="D135" s="127" t="s">
        <v>515</v>
      </c>
      <c r="E135" s="94">
        <f>IF('FY19-20'!$S135&gt;0,'FY19-20'!E135/'FY19-20'!$S135*'Multi-Year'!$J135,0)+IF('FY19-20'!$S135&lt;0,'FY19-20'!E135/'FY19-20'!$S135*'Multi-Year'!$J135,0)</f>
        <v>0</v>
      </c>
      <c r="F135" s="94">
        <f>IF('FY19-20'!$S135&gt;0,'FY19-20'!F135/'FY19-20'!$S135*'Multi-Year'!$J135,0)+IF('FY19-20'!$S135&lt;0,'FY19-20'!F135/'FY19-20'!$S135*'Multi-Year'!$J135,0)</f>
        <v>0</v>
      </c>
      <c r="G135" s="94">
        <f>IF('FY19-20'!$S135&gt;0,'FY19-20'!G135/'FY19-20'!$S135*'Multi-Year'!$J135,0)+IF('FY19-20'!$S135&lt;0,'FY19-20'!G135/'FY19-20'!$S135*'Multi-Year'!$J135,0)</f>
        <v>0</v>
      </c>
      <c r="H135" s="94">
        <f>IF('FY19-20'!$S135&gt;0,'FY19-20'!H135/'FY19-20'!$S135*'Multi-Year'!$J135,0)+IF('FY19-20'!$S135&lt;0,'FY19-20'!H135/'FY19-20'!$S135*'Multi-Year'!$J135,0)</f>
        <v>0</v>
      </c>
      <c r="I135" s="94">
        <f>IF('FY19-20'!$S135&gt;0,'FY19-20'!I135/'FY19-20'!$S135*'Multi-Year'!$J135,0)+IF('FY19-20'!$S135&lt;0,'FY19-20'!I135/'FY19-20'!$S135*'Multi-Year'!$J135,0)</f>
        <v>0</v>
      </c>
      <c r="J135" s="94">
        <f>IF('FY19-20'!$S135&gt;0,'FY19-20'!J135/'FY19-20'!$S135*'Multi-Year'!$J135,0)+IF('FY19-20'!$S135&lt;0,'FY19-20'!J135/'FY19-20'!$S135*'Multi-Year'!$J135,0)</f>
        <v>0</v>
      </c>
      <c r="K135" s="94">
        <f>IF('FY19-20'!$S135&gt;0,'FY19-20'!K135/'FY19-20'!$S135*'Multi-Year'!$J135,0)+IF('FY19-20'!$S135&lt;0,'FY19-20'!K135/'FY19-20'!$S135*'Multi-Year'!$J135,0)</f>
        <v>0</v>
      </c>
      <c r="L135" s="94">
        <f>IF('FY19-20'!$S135&gt;0,'FY19-20'!L135/'FY19-20'!$S135*'Multi-Year'!$J135,0)+IF('FY19-20'!$S135&lt;0,'FY19-20'!L135/'FY19-20'!$S135*'Multi-Year'!$J135,0)</f>
        <v>0</v>
      </c>
      <c r="M135" s="94">
        <f>IF('FY19-20'!$S135&gt;0,'FY19-20'!M135/'FY19-20'!$S135*'Multi-Year'!$J135,0)+IF('FY19-20'!$S135&lt;0,'FY19-20'!M135/'FY19-20'!$S135*'Multi-Year'!$J135,0)</f>
        <v>0</v>
      </c>
      <c r="N135" s="94">
        <f>IF('FY19-20'!$S135&gt;0,'FY19-20'!N135/'FY19-20'!$S135*'Multi-Year'!$J135,0)+IF('FY19-20'!$S135&lt;0,'FY19-20'!N135/'FY19-20'!$S135*'Multi-Year'!$J135,0)</f>
        <v>0</v>
      </c>
      <c r="O135" s="94">
        <f>IF('FY19-20'!$S135&gt;0,'FY19-20'!O135/'FY19-20'!$S135*'Multi-Year'!$J135,0)+IF('FY19-20'!$S135&lt;0,'FY19-20'!O135/'FY19-20'!$S135*'Multi-Year'!$J135,0)</f>
        <v>0</v>
      </c>
      <c r="P135" s="94">
        <f>IF('FY19-20'!$S135&gt;0,'FY19-20'!P135/'FY19-20'!$S135*'Multi-Year'!$J135,0)+IF('FY19-20'!$S135&lt;0,'FY19-20'!P135/'FY19-20'!$S135*'Multi-Year'!$J135,0)</f>
        <v>0</v>
      </c>
      <c r="Q135" s="606">
        <f>IF('FY19-20'!$S135&gt;0,'FY19-20'!Q135/'FY19-20'!$S135*'Multi-Year'!$J135,0)+IF('FY19-20'!$S135&lt;0,'FY19-20'!Q135/'FY19-20'!$S135*'Multi-Year'!$J135,0)</f>
        <v>0</v>
      </c>
      <c r="R135" s="94"/>
      <c r="S135" s="625">
        <f>SUM(E135:Q135)</f>
        <v>0</v>
      </c>
      <c r="T135" s="94"/>
      <c r="U135" s="94">
        <f>'FY19-20'!S135</f>
        <v>0</v>
      </c>
      <c r="V135" s="94">
        <f>U135-S135</f>
        <v>0</v>
      </c>
      <c r="W135" s="214"/>
    </row>
    <row r="136" spans="1:23" s="95" customFormat="1" ht="12" customHeight="1">
      <c r="A136" s="124"/>
      <c r="B136" s="124" t="s">
        <v>186</v>
      </c>
      <c r="C136" s="126"/>
      <c r="D136" s="126"/>
      <c r="E136" s="215">
        <f t="shared" ref="E136:Q136" si="46">SUM(E120:E135)</f>
        <v>53229.110820989008</v>
      </c>
      <c r="F136" s="215">
        <f t="shared" si="46"/>
        <v>93014.406228626438</v>
      </c>
      <c r="G136" s="215">
        <f t="shared" si="46"/>
        <v>91844.393151441298</v>
      </c>
      <c r="H136" s="215">
        <f t="shared" si="46"/>
        <v>135693.99538143387</v>
      </c>
      <c r="I136" s="215">
        <f t="shared" si="46"/>
        <v>134313.09749966036</v>
      </c>
      <c r="J136" s="215">
        <f t="shared" si="46"/>
        <v>128394.91225047558</v>
      </c>
      <c r="K136" s="215">
        <f t="shared" si="46"/>
        <v>137446.63656633627</v>
      </c>
      <c r="L136" s="215">
        <f t="shared" si="46"/>
        <v>237809.90381640097</v>
      </c>
      <c r="M136" s="215">
        <f t="shared" si="46"/>
        <v>205860.48650043414</v>
      </c>
      <c r="N136" s="215">
        <f t="shared" si="46"/>
        <v>222174.86953396568</v>
      </c>
      <c r="O136" s="215">
        <f t="shared" si="46"/>
        <v>126373.48891668578</v>
      </c>
      <c r="P136" s="215">
        <f t="shared" si="46"/>
        <v>220027.9688854522</v>
      </c>
      <c r="Q136" s="603">
        <f t="shared" si="46"/>
        <v>79670.427309841732</v>
      </c>
      <c r="R136" s="94"/>
      <c r="S136" s="626">
        <f>SUM(E136:R136)</f>
        <v>1865853.6968617435</v>
      </c>
      <c r="T136" s="94"/>
      <c r="U136" s="216">
        <f>SUM(U120:U135)</f>
        <v>2425595.4200000004</v>
      </c>
      <c r="V136" s="216">
        <f>SUM(V120:V135)</f>
        <v>559741.72313825681</v>
      </c>
      <c r="W136" s="214"/>
    </row>
    <row r="137" spans="1:23" s="95" customFormat="1" ht="12" customHeight="1">
      <c r="A137" s="124"/>
      <c r="B137" s="124" t="s">
        <v>107</v>
      </c>
      <c r="C137" s="102"/>
      <c r="D137" s="103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606"/>
      <c r="R137" s="94"/>
      <c r="S137" s="627"/>
      <c r="T137" s="94"/>
      <c r="U137" s="94"/>
      <c r="V137" s="94"/>
      <c r="W137" s="214"/>
    </row>
    <row r="138" spans="1:23" s="95" customFormat="1" ht="12" customHeight="1">
      <c r="A138" s="124"/>
      <c r="B138" s="124" t="s">
        <v>186</v>
      </c>
      <c r="C138" s="102">
        <v>6900</v>
      </c>
      <c r="D138" s="103" t="s">
        <v>44</v>
      </c>
      <c r="E138" s="94">
        <f>IF('FY19-20'!$S138&gt;0,'FY19-20'!E138/'FY19-20'!$S138*'Multi-Year'!$J138,0)+IF('FY19-20'!$S138&lt;0,'FY19-20'!E138/'FY19-20'!$S138*'Multi-Year'!$J138,0)</f>
        <v>0</v>
      </c>
      <c r="F138" s="94">
        <f>IF('FY19-20'!$S138&gt;0,'FY19-20'!F138/'FY19-20'!$S138*'Multi-Year'!$J138,0)+IF('FY19-20'!$S138&lt;0,'FY19-20'!F138/'FY19-20'!$S138*'Multi-Year'!$J138,0)</f>
        <v>0</v>
      </c>
      <c r="G138" s="94">
        <f>IF('FY19-20'!$S138&gt;0,'FY19-20'!G138/'FY19-20'!$S138*'Multi-Year'!$J138,0)+IF('FY19-20'!$S138&lt;0,'FY19-20'!G138/'FY19-20'!$S138*'Multi-Year'!$J138,0)</f>
        <v>0</v>
      </c>
      <c r="H138" s="94">
        <f>IF('FY19-20'!$S138&gt;0,'FY19-20'!H138/'FY19-20'!$S138*'Multi-Year'!$J138,0)+IF('FY19-20'!$S138&lt;0,'FY19-20'!H138/'FY19-20'!$S138*'Multi-Year'!$J138,0)</f>
        <v>0</v>
      </c>
      <c r="I138" s="94">
        <f>IF('FY19-20'!$S138&gt;0,'FY19-20'!I138/'FY19-20'!$S138*'Multi-Year'!$J138,0)+IF('FY19-20'!$S138&lt;0,'FY19-20'!I138/'FY19-20'!$S138*'Multi-Year'!$J138,0)</f>
        <v>0</v>
      </c>
      <c r="J138" s="94">
        <f>IF('FY19-20'!$S138&gt;0,'FY19-20'!J138/'FY19-20'!$S138*'Multi-Year'!$J138,0)+IF('FY19-20'!$S138&lt;0,'FY19-20'!J138/'FY19-20'!$S138*'Multi-Year'!$J138,0)</f>
        <v>0</v>
      </c>
      <c r="K138" s="94">
        <f>IF('FY19-20'!$S138&gt;0,'FY19-20'!K138/'FY19-20'!$S138*'Multi-Year'!$J138,0)+IF('FY19-20'!$S138&lt;0,'FY19-20'!K138/'FY19-20'!$S138*'Multi-Year'!$J138,0)</f>
        <v>102</v>
      </c>
      <c r="L138" s="94">
        <f>IF('FY19-20'!$S138&gt;0,'FY19-20'!L138/'FY19-20'!$S138*'Multi-Year'!$J138,0)+IF('FY19-20'!$S138&lt;0,'FY19-20'!L138/'FY19-20'!$S138*'Multi-Year'!$J138,0)</f>
        <v>51</v>
      </c>
      <c r="M138" s="94">
        <f>IF('FY19-20'!$S138&gt;0,'FY19-20'!M138/'FY19-20'!$S138*'Multi-Year'!$J138,0)+IF('FY19-20'!$S138&lt;0,'FY19-20'!M138/'FY19-20'!$S138*'Multi-Year'!$J138,0)</f>
        <v>51</v>
      </c>
      <c r="N138" s="94">
        <f>IF('FY19-20'!$S138&gt;0,'FY19-20'!N138/'FY19-20'!$S138*'Multi-Year'!$J138,0)+IF('FY19-20'!$S138&lt;0,'FY19-20'!N138/'FY19-20'!$S138*'Multi-Year'!$J138,0)</f>
        <v>51</v>
      </c>
      <c r="O138" s="94">
        <f>IF('FY19-20'!$S138&gt;0,'FY19-20'!O138/'FY19-20'!$S138*'Multi-Year'!$J138,0)+IF('FY19-20'!$S138&lt;0,'FY19-20'!O138/'FY19-20'!$S138*'Multi-Year'!$J138,0)</f>
        <v>51</v>
      </c>
      <c r="P138" s="94">
        <f>IF('FY19-20'!$S138&gt;0,'FY19-20'!P138/'FY19-20'!$S138*'Multi-Year'!$J138,0)+IF('FY19-20'!$S138&lt;0,'FY19-20'!P138/'FY19-20'!$S138*'Multi-Year'!$J138,0)</f>
        <v>51</v>
      </c>
      <c r="Q138" s="606">
        <f>IF('FY19-20'!$S138&gt;0,'FY19-20'!Q138/'FY19-20'!$S138*'Multi-Year'!$J138,0)+IF('FY19-20'!$S138&lt;0,'FY19-20'!Q138/'FY19-20'!$S138*'Multi-Year'!$J138,0)</f>
        <v>0</v>
      </c>
      <c r="R138" s="94"/>
      <c r="S138" s="625">
        <f t="shared" ref="S138" si="47">SUM(E138:Q138)</f>
        <v>357</v>
      </c>
      <c r="T138" s="94"/>
      <c r="U138" s="94">
        <f>'FY19-20'!S138</f>
        <v>350</v>
      </c>
      <c r="V138" s="94">
        <f t="shared" ref="V138" si="48">U138-S138</f>
        <v>-7</v>
      </c>
      <c r="W138" s="214"/>
    </row>
    <row r="139" spans="1:23" s="95" customFormat="1" ht="12" customHeight="1">
      <c r="A139" s="124"/>
      <c r="B139" s="124" t="s">
        <v>186</v>
      </c>
      <c r="C139" s="126"/>
      <c r="D139" s="126"/>
      <c r="E139" s="215">
        <f t="shared" ref="E139:Q139" si="49">SUM(E138:E138)</f>
        <v>0</v>
      </c>
      <c r="F139" s="215">
        <f t="shared" si="49"/>
        <v>0</v>
      </c>
      <c r="G139" s="215">
        <f t="shared" si="49"/>
        <v>0</v>
      </c>
      <c r="H139" s="215">
        <f t="shared" si="49"/>
        <v>0</v>
      </c>
      <c r="I139" s="215">
        <f t="shared" si="49"/>
        <v>0</v>
      </c>
      <c r="J139" s="215">
        <f t="shared" si="49"/>
        <v>0</v>
      </c>
      <c r="K139" s="215">
        <f t="shared" si="49"/>
        <v>102</v>
      </c>
      <c r="L139" s="215">
        <f t="shared" si="49"/>
        <v>51</v>
      </c>
      <c r="M139" s="215">
        <f t="shared" si="49"/>
        <v>51</v>
      </c>
      <c r="N139" s="215">
        <f t="shared" si="49"/>
        <v>51</v>
      </c>
      <c r="O139" s="215">
        <f t="shared" si="49"/>
        <v>51</v>
      </c>
      <c r="P139" s="215">
        <f t="shared" si="49"/>
        <v>51</v>
      </c>
      <c r="Q139" s="603">
        <f t="shared" si="49"/>
        <v>0</v>
      </c>
      <c r="R139" s="94"/>
      <c r="S139" s="626">
        <f>SUM(E139:R139)</f>
        <v>357</v>
      </c>
      <c r="T139" s="113"/>
      <c r="U139" s="216">
        <f>U138</f>
        <v>350</v>
      </c>
      <c r="V139" s="216">
        <f>V138</f>
        <v>-7</v>
      </c>
      <c r="W139" s="214"/>
    </row>
    <row r="140" spans="1:23" s="95" customFormat="1" ht="12" customHeight="1">
      <c r="A140" s="124"/>
      <c r="B140" s="124" t="s">
        <v>5</v>
      </c>
      <c r="C140" s="102"/>
      <c r="D140" s="103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606"/>
      <c r="R140" s="94"/>
      <c r="S140" s="627"/>
      <c r="T140" s="94"/>
      <c r="U140" s="94"/>
      <c r="V140" s="94"/>
      <c r="W140" s="214"/>
    </row>
    <row r="141" spans="1:23" s="95" customFormat="1" ht="12" customHeight="1">
      <c r="A141" s="124"/>
      <c r="B141" s="124"/>
      <c r="C141" s="102">
        <v>7438</v>
      </c>
      <c r="D141" s="103" t="s">
        <v>45</v>
      </c>
      <c r="E141" s="94">
        <f>$E$177*0.07/12+E164*0.028</f>
        <v>190871.67201108468</v>
      </c>
      <c r="F141" s="94">
        <f t="shared" ref="F141:P141" si="50">$E$177*0.07/12+F164*0.028</f>
        <v>0</v>
      </c>
      <c r="G141" s="94">
        <f t="shared" si="50"/>
        <v>0</v>
      </c>
      <c r="H141" s="94">
        <f t="shared" si="50"/>
        <v>0</v>
      </c>
      <c r="I141" s="94">
        <f t="shared" si="50"/>
        <v>0</v>
      </c>
      <c r="J141" s="94">
        <f t="shared" si="50"/>
        <v>315382.66723142914</v>
      </c>
      <c r="K141" s="94">
        <f t="shared" si="50"/>
        <v>0</v>
      </c>
      <c r="L141" s="94">
        <f t="shared" si="50"/>
        <v>0</v>
      </c>
      <c r="M141" s="94">
        <f t="shared" si="50"/>
        <v>0</v>
      </c>
      <c r="N141" s="94">
        <f t="shared" si="50"/>
        <v>0</v>
      </c>
      <c r="O141" s="94">
        <f t="shared" si="50"/>
        <v>0</v>
      </c>
      <c r="P141" s="94">
        <f t="shared" si="50"/>
        <v>0</v>
      </c>
      <c r="Q141" s="606">
        <v>0</v>
      </c>
      <c r="R141" s="94"/>
      <c r="S141" s="625">
        <f t="shared" ref="S141" si="51">SUM(E141:Q141)</f>
        <v>506254.33924251382</v>
      </c>
      <c r="T141" s="94"/>
      <c r="U141" s="94">
        <f>'FY19-20'!S141</f>
        <v>813183</v>
      </c>
      <c r="V141" s="94">
        <f t="shared" ref="V141" si="52">U141-S141</f>
        <v>306928.66075748618</v>
      </c>
      <c r="W141" s="214"/>
    </row>
    <row r="142" spans="1:23" s="95" customFormat="1" ht="12" customHeight="1">
      <c r="A142" s="124"/>
      <c r="B142" s="124"/>
      <c r="C142" s="126"/>
      <c r="D142" s="126"/>
      <c r="E142" s="215">
        <f t="shared" ref="E142:Q142" si="53">SUM(E141:E141)</f>
        <v>190871.67201108468</v>
      </c>
      <c r="F142" s="215">
        <f t="shared" si="53"/>
        <v>0</v>
      </c>
      <c r="G142" s="215">
        <f t="shared" si="53"/>
        <v>0</v>
      </c>
      <c r="H142" s="215">
        <f t="shared" si="53"/>
        <v>0</v>
      </c>
      <c r="I142" s="215">
        <f t="shared" si="53"/>
        <v>0</v>
      </c>
      <c r="J142" s="215">
        <f t="shared" si="53"/>
        <v>315382.66723142914</v>
      </c>
      <c r="K142" s="215">
        <f t="shared" si="53"/>
        <v>0</v>
      </c>
      <c r="L142" s="215">
        <f t="shared" si="53"/>
        <v>0</v>
      </c>
      <c r="M142" s="215">
        <f t="shared" si="53"/>
        <v>0</v>
      </c>
      <c r="N142" s="215">
        <f t="shared" si="53"/>
        <v>0</v>
      </c>
      <c r="O142" s="215">
        <f t="shared" si="53"/>
        <v>0</v>
      </c>
      <c r="P142" s="215">
        <f t="shared" si="53"/>
        <v>0</v>
      </c>
      <c r="Q142" s="603">
        <f t="shared" si="53"/>
        <v>0</v>
      </c>
      <c r="R142" s="94"/>
      <c r="S142" s="626">
        <f>SUM(E142:R142)</f>
        <v>506254.33924251382</v>
      </c>
      <c r="T142" s="113"/>
      <c r="U142" s="216">
        <f>U141</f>
        <v>813183</v>
      </c>
      <c r="V142" s="216">
        <f>V141</f>
        <v>306928.66075748618</v>
      </c>
      <c r="W142" s="214"/>
    </row>
    <row r="143" spans="1:23" s="95" customFormat="1" ht="12" customHeight="1">
      <c r="A143" s="124"/>
      <c r="B143" s="124"/>
      <c r="C143" s="126"/>
      <c r="D143" s="126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606"/>
      <c r="R143" s="94"/>
      <c r="S143" s="627"/>
      <c r="T143" s="94"/>
      <c r="U143" s="94"/>
      <c r="V143" s="94"/>
      <c r="W143" s="214"/>
    </row>
    <row r="144" spans="1:23" s="112" customFormat="1" ht="12" customHeight="1">
      <c r="A144" s="91" t="s">
        <v>6</v>
      </c>
      <c r="B144" s="91"/>
      <c r="C144" s="91"/>
      <c r="D144" s="91"/>
      <c r="E144" s="216">
        <f t="shared" ref="E144:Q144" si="54">E139+E110+E118+E136+E99+E90+E79+E69+E142+E62</f>
        <v>1423119.7097519846</v>
      </c>
      <c r="F144" s="216">
        <f t="shared" si="54"/>
        <v>1959249.4281694188</v>
      </c>
      <c r="G144" s="216">
        <f t="shared" si="54"/>
        <v>2151544.9312663632</v>
      </c>
      <c r="H144" s="216">
        <f t="shared" si="54"/>
        <v>2558955.7523784298</v>
      </c>
      <c r="I144" s="216">
        <f t="shared" si="54"/>
        <v>1436582.3018648382</v>
      </c>
      <c r="J144" s="216">
        <f t="shared" si="54"/>
        <v>3397190.4598583998</v>
      </c>
      <c r="K144" s="216">
        <f t="shared" si="54"/>
        <v>2479137.6468017418</v>
      </c>
      <c r="L144" s="216">
        <f t="shared" si="54"/>
        <v>2398222.1863425374</v>
      </c>
      <c r="M144" s="216">
        <f t="shared" si="54"/>
        <v>2342760.0532978629</v>
      </c>
      <c r="N144" s="216">
        <f t="shared" si="54"/>
        <v>2525251.3868026556</v>
      </c>
      <c r="O144" s="216">
        <f t="shared" si="54"/>
        <v>2493497.5365405725</v>
      </c>
      <c r="P144" s="216">
        <f t="shared" si="54"/>
        <v>3954338.7956649479</v>
      </c>
      <c r="Q144" s="607">
        <f t="shared" si="54"/>
        <v>79670.427309841732</v>
      </c>
      <c r="R144" s="113"/>
      <c r="S144" s="626">
        <f>SUM(E144:R144)</f>
        <v>29199520.616049591</v>
      </c>
      <c r="T144" s="113"/>
      <c r="U144" s="216">
        <f>U142+U139+U110+U118+U136+U99+U90+U79+U69+U62</f>
        <v>29812155.659999996</v>
      </c>
      <c r="V144" s="216">
        <f>V142+V139+V110+V118+V136+V99+V90+V79+V69+V62</f>
        <v>612635.04395040625</v>
      </c>
      <c r="W144" s="214"/>
    </row>
    <row r="145" spans="1:23" s="95" customFormat="1" ht="12" customHeight="1"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606"/>
      <c r="R145" s="94"/>
      <c r="S145" s="627"/>
      <c r="T145" s="113"/>
      <c r="U145" s="113"/>
      <c r="V145" s="113"/>
      <c r="W145" s="214"/>
    </row>
    <row r="146" spans="1:23" s="128" customFormat="1" ht="12" customHeight="1" thickBot="1">
      <c r="A146" s="128" t="s">
        <v>46</v>
      </c>
      <c r="E146" s="129">
        <f t="shared" ref="E146:S146" si="55">E52-E144</f>
        <v>-1372951.1009297492</v>
      </c>
      <c r="F146" s="129">
        <f t="shared" si="55"/>
        <v>-358942.45863854978</v>
      </c>
      <c r="G146" s="129">
        <f t="shared" si="55"/>
        <v>-584683.70095031778</v>
      </c>
      <c r="H146" s="129">
        <f t="shared" si="55"/>
        <v>366972.27944673365</v>
      </c>
      <c r="I146" s="129">
        <f t="shared" si="55"/>
        <v>1330254.7299603252</v>
      </c>
      <c r="J146" s="129">
        <f t="shared" si="55"/>
        <v>-564577.94123323634</v>
      </c>
      <c r="K146" s="129">
        <f t="shared" si="55"/>
        <v>602636.58913764684</v>
      </c>
      <c r="L146" s="129">
        <f t="shared" si="55"/>
        <v>418783.45430486137</v>
      </c>
      <c r="M146" s="129">
        <f t="shared" si="55"/>
        <v>386059.1994662974</v>
      </c>
      <c r="N146" s="129">
        <f t="shared" si="55"/>
        <v>652213.31659410195</v>
      </c>
      <c r="O146" s="129">
        <f t="shared" si="55"/>
        <v>235321.71622358775</v>
      </c>
      <c r="P146" s="129">
        <f t="shared" si="55"/>
        <v>-1165768.4194042007</v>
      </c>
      <c r="Q146" s="608">
        <f t="shared" si="55"/>
        <v>3060385.1900568339</v>
      </c>
      <c r="R146" s="113">
        <f t="shared" si="55"/>
        <v>0</v>
      </c>
      <c r="S146" s="631">
        <f t="shared" si="55"/>
        <v>3005702.8540343381</v>
      </c>
      <c r="T146" s="113"/>
      <c r="U146" s="129">
        <f>U52-U144</f>
        <v>1698363.070000004</v>
      </c>
      <c r="V146" s="129">
        <f>V52+V144</f>
        <v>1307339.7840343355</v>
      </c>
      <c r="W146" s="214"/>
    </row>
    <row r="147" spans="1:23" s="95" customFormat="1" ht="12" customHeight="1" thickTop="1"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606"/>
      <c r="R147" s="94"/>
      <c r="S147" s="632"/>
      <c r="T147" s="94"/>
      <c r="U147" s="94"/>
      <c r="V147" s="94"/>
      <c r="W147" s="214"/>
    </row>
    <row r="148" spans="1:23" s="95" customFormat="1" ht="12" customHeight="1">
      <c r="A148" s="112" t="s">
        <v>47</v>
      </c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606"/>
      <c r="R148" s="94"/>
      <c r="S148" s="633"/>
      <c r="T148" s="94"/>
      <c r="U148" s="94"/>
      <c r="V148" s="94"/>
      <c r="W148" s="94"/>
    </row>
    <row r="149" spans="1:23" s="112" customFormat="1" ht="12" customHeight="1">
      <c r="C149" s="95" t="s">
        <v>46</v>
      </c>
      <c r="D149" s="95"/>
      <c r="E149" s="94">
        <f t="shared" ref="E149:Q149" si="56">E146</f>
        <v>-1372951.1009297492</v>
      </c>
      <c r="F149" s="94">
        <f t="shared" si="56"/>
        <v>-358942.45863854978</v>
      </c>
      <c r="G149" s="94">
        <f t="shared" si="56"/>
        <v>-584683.70095031778</v>
      </c>
      <c r="H149" s="94">
        <f t="shared" si="56"/>
        <v>366972.27944673365</v>
      </c>
      <c r="I149" s="94">
        <f t="shared" si="56"/>
        <v>1330254.7299603252</v>
      </c>
      <c r="J149" s="94">
        <f t="shared" si="56"/>
        <v>-564577.94123323634</v>
      </c>
      <c r="K149" s="94">
        <f t="shared" si="56"/>
        <v>602636.58913764684</v>
      </c>
      <c r="L149" s="94">
        <f t="shared" si="56"/>
        <v>418783.45430486137</v>
      </c>
      <c r="M149" s="94">
        <f t="shared" si="56"/>
        <v>386059.1994662974</v>
      </c>
      <c r="N149" s="94">
        <f t="shared" si="56"/>
        <v>652213.31659410195</v>
      </c>
      <c r="O149" s="94">
        <f t="shared" si="56"/>
        <v>235321.71622358775</v>
      </c>
      <c r="P149" s="94">
        <f t="shared" si="56"/>
        <v>-1165768.4194042007</v>
      </c>
      <c r="Q149" s="606">
        <f t="shared" si="56"/>
        <v>3060385.1900568339</v>
      </c>
      <c r="R149" s="94"/>
      <c r="S149" s="627">
        <f>SUM(E149:R149)</f>
        <v>3005702.854034334</v>
      </c>
      <c r="T149" s="113"/>
      <c r="U149" s="113"/>
      <c r="V149" s="113"/>
      <c r="W149" s="113"/>
    </row>
    <row r="150" spans="1:23" s="95" customFormat="1" ht="12" customHeight="1">
      <c r="C150" s="95" t="s">
        <v>48</v>
      </c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606"/>
      <c r="R150" s="94"/>
      <c r="S150" s="627"/>
      <c r="T150" s="94"/>
      <c r="U150" s="94"/>
      <c r="V150" s="113"/>
      <c r="W150" s="94"/>
    </row>
    <row r="151" spans="1:23" s="95" customFormat="1" ht="12" customHeight="1">
      <c r="D151" s="130" t="s">
        <v>289</v>
      </c>
      <c r="E151" s="94">
        <f t="shared" ref="E151:Q151" si="57">+E138</f>
        <v>0</v>
      </c>
      <c r="F151" s="94">
        <f t="shared" si="57"/>
        <v>0</v>
      </c>
      <c r="G151" s="94">
        <f t="shared" si="57"/>
        <v>0</v>
      </c>
      <c r="H151" s="94">
        <f t="shared" si="57"/>
        <v>0</v>
      </c>
      <c r="I151" s="94">
        <f t="shared" si="57"/>
        <v>0</v>
      </c>
      <c r="J151" s="94">
        <f t="shared" si="57"/>
        <v>0</v>
      </c>
      <c r="K151" s="94">
        <f t="shared" si="57"/>
        <v>102</v>
      </c>
      <c r="L151" s="94">
        <f t="shared" si="57"/>
        <v>51</v>
      </c>
      <c r="M151" s="94">
        <f t="shared" si="57"/>
        <v>51</v>
      </c>
      <c r="N151" s="94">
        <f t="shared" si="57"/>
        <v>51</v>
      </c>
      <c r="O151" s="94">
        <f t="shared" si="57"/>
        <v>51</v>
      </c>
      <c r="P151" s="94">
        <f t="shared" si="57"/>
        <v>51</v>
      </c>
      <c r="Q151" s="606">
        <f t="shared" si="57"/>
        <v>0</v>
      </c>
      <c r="R151" s="94"/>
      <c r="S151" s="627">
        <f>SUM(E151:R151)</f>
        <v>357</v>
      </c>
      <c r="T151" s="94"/>
      <c r="U151" s="94"/>
      <c r="V151" s="66"/>
      <c r="W151" s="94"/>
    </row>
    <row r="152" spans="1:23" s="95" customFormat="1" ht="12" customHeight="1">
      <c r="D152" s="130" t="s">
        <v>290</v>
      </c>
      <c r="E152" s="304">
        <v>0</v>
      </c>
      <c r="F152" s="304">
        <f>'FY19-20'!Q19+'FY19-20'!Q23+'FY19-20'!Q34</f>
        <v>0</v>
      </c>
      <c r="G152" s="94">
        <f>'FY19-20'!Q39</f>
        <v>0</v>
      </c>
      <c r="H152" s="94">
        <v>0</v>
      </c>
      <c r="I152" s="94">
        <f>'FY19-20'!Q35</f>
        <v>0</v>
      </c>
      <c r="J152" s="94">
        <f>'FY19-20'!Q37</f>
        <v>0</v>
      </c>
      <c r="K152" s="94">
        <f>'FY19-20'!Q52-SUM(E152:J152)</f>
        <v>0</v>
      </c>
      <c r="L152" s="94">
        <v>0</v>
      </c>
      <c r="M152" s="94">
        <v>0</v>
      </c>
      <c r="N152" s="94">
        <v>0</v>
      </c>
      <c r="O152" s="94">
        <v>0</v>
      </c>
      <c r="P152" s="94">
        <v>0</v>
      </c>
      <c r="Q152" s="606">
        <f>-Q52</f>
        <v>-3140055.6173666758</v>
      </c>
      <c r="R152" s="94"/>
      <c r="S152" s="627">
        <f t="shared" ref="S152:S166" si="58">SUM(E152:R152)</f>
        <v>-3140055.6173666758</v>
      </c>
      <c r="T152" s="94"/>
      <c r="U152" s="94"/>
      <c r="V152" s="113"/>
      <c r="W152" s="94"/>
    </row>
    <row r="153" spans="1:23" s="95" customFormat="1" ht="12" customHeight="1">
      <c r="D153" s="130" t="s">
        <v>297</v>
      </c>
      <c r="E153" s="94">
        <v>0</v>
      </c>
      <c r="F153" s="94">
        <v>0</v>
      </c>
      <c r="G153" s="94">
        <v>0</v>
      </c>
      <c r="H153" s="94">
        <v>0</v>
      </c>
      <c r="I153" s="94">
        <v>0</v>
      </c>
      <c r="J153" s="94">
        <v>0</v>
      </c>
      <c r="K153" s="94">
        <v>0</v>
      </c>
      <c r="L153" s="94">
        <v>0</v>
      </c>
      <c r="M153" s="94">
        <v>0</v>
      </c>
      <c r="N153" s="94">
        <v>0</v>
      </c>
      <c r="O153" s="94">
        <v>0</v>
      </c>
      <c r="P153" s="94">
        <v>0</v>
      </c>
      <c r="Q153" s="606">
        <v>0</v>
      </c>
      <c r="R153" s="94"/>
      <c r="S153" s="627">
        <f t="shared" si="58"/>
        <v>0</v>
      </c>
      <c r="T153" s="94"/>
      <c r="U153" s="94"/>
      <c r="V153" s="113"/>
      <c r="W153" s="94"/>
    </row>
    <row r="154" spans="1:23" s="95" customFormat="1" ht="12" customHeight="1">
      <c r="D154" s="130" t="s">
        <v>233</v>
      </c>
      <c r="E154" s="94">
        <v>0</v>
      </c>
      <c r="F154" s="94">
        <v>168710.10249999998</v>
      </c>
      <c r="G154" s="94">
        <v>755833.32499999995</v>
      </c>
      <c r="H154" s="94">
        <v>250263.91250000001</v>
      </c>
      <c r="I154" s="94">
        <v>0</v>
      </c>
      <c r="J154" s="94">
        <v>791547.76500000001</v>
      </c>
      <c r="K154" s="94">
        <v>250263.91250000001</v>
      </c>
      <c r="L154" s="94">
        <v>791547.76500000001</v>
      </c>
      <c r="M154" s="94">
        <v>250263.91250000001</v>
      </c>
      <c r="N154" s="94">
        <v>392930.5</v>
      </c>
      <c r="O154" s="94">
        <v>974200.625</v>
      </c>
      <c r="P154" s="94">
        <v>0</v>
      </c>
      <c r="Q154" s="606">
        <v>0</v>
      </c>
      <c r="R154" s="94"/>
      <c r="S154" s="627">
        <f t="shared" si="58"/>
        <v>4625561.82</v>
      </c>
      <c r="T154" s="94"/>
      <c r="U154" s="94"/>
      <c r="V154" s="113"/>
      <c r="W154" s="94"/>
    </row>
    <row r="155" spans="1:23" s="95" customFormat="1" ht="12" customHeight="1">
      <c r="D155" s="130" t="s">
        <v>291</v>
      </c>
      <c r="E155" s="94">
        <v>0</v>
      </c>
      <c r="F155" s="94">
        <v>0</v>
      </c>
      <c r="G155" s="94">
        <v>0</v>
      </c>
      <c r="H155" s="94">
        <v>0</v>
      </c>
      <c r="I155" s="94">
        <v>0</v>
      </c>
      <c r="J155" s="94">
        <v>0</v>
      </c>
      <c r="K155" s="94">
        <v>0</v>
      </c>
      <c r="L155" s="94">
        <v>0</v>
      </c>
      <c r="M155" s="94">
        <v>0</v>
      </c>
      <c r="N155" s="94">
        <v>0</v>
      </c>
      <c r="O155" s="94">
        <v>0</v>
      </c>
      <c r="P155" s="94">
        <v>0</v>
      </c>
      <c r="Q155" s="606">
        <v>0</v>
      </c>
      <c r="R155" s="94"/>
      <c r="S155" s="627">
        <f t="shared" si="58"/>
        <v>0</v>
      </c>
      <c r="T155" s="94"/>
      <c r="U155" s="94"/>
      <c r="V155" s="113"/>
      <c r="W155" s="94"/>
    </row>
    <row r="156" spans="1:23" s="95" customFormat="1" ht="12" customHeight="1">
      <c r="D156" s="130" t="s">
        <v>292</v>
      </c>
      <c r="E156" s="94">
        <v>0</v>
      </c>
      <c r="F156" s="94">
        <v>0</v>
      </c>
      <c r="G156" s="94">
        <v>0</v>
      </c>
      <c r="H156" s="94">
        <v>0</v>
      </c>
      <c r="I156" s="94">
        <v>0</v>
      </c>
      <c r="J156" s="94">
        <v>0</v>
      </c>
      <c r="K156" s="94">
        <v>0</v>
      </c>
      <c r="L156" s="94">
        <v>0</v>
      </c>
      <c r="M156" s="94">
        <v>0</v>
      </c>
      <c r="N156" s="94">
        <v>0</v>
      </c>
      <c r="O156" s="94">
        <v>0</v>
      </c>
      <c r="P156" s="94">
        <v>0</v>
      </c>
      <c r="Q156" s="606">
        <v>0</v>
      </c>
      <c r="R156" s="94"/>
      <c r="S156" s="627">
        <f t="shared" si="58"/>
        <v>0</v>
      </c>
      <c r="T156" s="94"/>
      <c r="U156" s="94"/>
      <c r="V156" s="113"/>
      <c r="W156" s="94"/>
    </row>
    <row r="157" spans="1:23" s="95" customFormat="1" ht="12" customHeight="1">
      <c r="D157" s="130" t="s">
        <v>293</v>
      </c>
      <c r="E157" s="94">
        <f>-'FY19-20'!Q157</f>
        <v>0</v>
      </c>
      <c r="F157" s="94">
        <v>0</v>
      </c>
      <c r="G157" s="94">
        <v>0</v>
      </c>
      <c r="H157" s="94">
        <v>0</v>
      </c>
      <c r="I157" s="94">
        <v>0</v>
      </c>
      <c r="J157" s="94">
        <v>0</v>
      </c>
      <c r="K157" s="94">
        <v>0</v>
      </c>
      <c r="L157" s="94">
        <v>0</v>
      </c>
      <c r="M157" s="94">
        <v>0</v>
      </c>
      <c r="N157" s="94">
        <v>0</v>
      </c>
      <c r="O157" s="94">
        <v>0</v>
      </c>
      <c r="P157" s="94">
        <v>0</v>
      </c>
      <c r="Q157" s="606">
        <f>Q144</f>
        <v>79670.427309841732</v>
      </c>
      <c r="R157" s="94"/>
      <c r="S157" s="627">
        <f t="shared" si="58"/>
        <v>79670.427309841732</v>
      </c>
      <c r="T157" s="94"/>
      <c r="U157" s="94"/>
      <c r="V157" s="113"/>
      <c r="W157" s="94"/>
    </row>
    <row r="158" spans="1:23" s="95" customFormat="1" ht="12" customHeight="1">
      <c r="D158" s="130" t="s">
        <v>294</v>
      </c>
      <c r="E158" s="94">
        <v>0</v>
      </c>
      <c r="F158" s="94">
        <v>0</v>
      </c>
      <c r="G158" s="94">
        <v>0</v>
      </c>
      <c r="H158" s="94">
        <v>0</v>
      </c>
      <c r="I158" s="94">
        <v>0</v>
      </c>
      <c r="J158" s="94">
        <v>0</v>
      </c>
      <c r="K158" s="94">
        <v>0</v>
      </c>
      <c r="L158" s="94">
        <v>0</v>
      </c>
      <c r="M158" s="94">
        <v>0</v>
      </c>
      <c r="N158" s="94">
        <v>0</v>
      </c>
      <c r="O158" s="94">
        <v>0</v>
      </c>
      <c r="P158" s="94">
        <v>0</v>
      </c>
      <c r="Q158" s="606">
        <v>0</v>
      </c>
      <c r="R158" s="94"/>
      <c r="S158" s="627">
        <f t="shared" si="58"/>
        <v>0</v>
      </c>
      <c r="T158" s="94"/>
      <c r="U158" s="94"/>
      <c r="V158" s="113"/>
      <c r="W158" s="94"/>
    </row>
    <row r="159" spans="1:23" s="95" customFormat="1" ht="12" customHeight="1">
      <c r="D159" s="130" t="s">
        <v>234</v>
      </c>
      <c r="E159" s="94">
        <v>0</v>
      </c>
      <c r="F159" s="94">
        <v>0</v>
      </c>
      <c r="G159" s="94">
        <v>0</v>
      </c>
      <c r="H159" s="94">
        <v>0</v>
      </c>
      <c r="I159" s="94">
        <v>0</v>
      </c>
      <c r="J159" s="94">
        <v>0</v>
      </c>
      <c r="K159" s="94">
        <v>0</v>
      </c>
      <c r="L159" s="94">
        <v>0</v>
      </c>
      <c r="M159" s="94">
        <v>0</v>
      </c>
      <c r="N159" s="94">
        <v>0</v>
      </c>
      <c r="O159" s="94">
        <v>0</v>
      </c>
      <c r="P159" s="94">
        <v>0</v>
      </c>
      <c r="Q159" s="606">
        <v>0</v>
      </c>
      <c r="R159" s="94"/>
      <c r="S159" s="627">
        <f t="shared" si="58"/>
        <v>0</v>
      </c>
      <c r="T159" s="94"/>
      <c r="U159" s="94"/>
      <c r="V159" s="113"/>
      <c r="W159" s="94"/>
    </row>
    <row r="160" spans="1:23" s="95" customFormat="1" ht="11" customHeight="1">
      <c r="C160" s="95" t="s">
        <v>49</v>
      </c>
      <c r="D160" s="130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606"/>
      <c r="R160" s="94"/>
      <c r="S160" s="627"/>
      <c r="T160" s="94"/>
      <c r="U160" s="94"/>
      <c r="V160" s="113"/>
      <c r="W160" s="94"/>
    </row>
    <row r="161" spans="2:23" s="95" customFormat="1" ht="11" customHeight="1">
      <c r="D161" s="130" t="s">
        <v>296</v>
      </c>
      <c r="E161" s="94">
        <v>0</v>
      </c>
      <c r="F161" s="94">
        <v>0</v>
      </c>
      <c r="G161" s="94">
        <v>0</v>
      </c>
      <c r="H161" s="94">
        <v>0</v>
      </c>
      <c r="I161" s="94">
        <v>0</v>
      </c>
      <c r="J161" s="94">
        <v>0</v>
      </c>
      <c r="K161" s="94">
        <v>0</v>
      </c>
      <c r="L161" s="94">
        <v>0</v>
      </c>
      <c r="M161" s="94">
        <v>0</v>
      </c>
      <c r="N161" s="94">
        <v>0</v>
      </c>
      <c r="O161" s="94">
        <v>0</v>
      </c>
      <c r="P161" s="94">
        <v>0</v>
      </c>
      <c r="Q161" s="606">
        <v>0</v>
      </c>
      <c r="R161" s="94"/>
      <c r="S161" s="627">
        <f t="shared" si="58"/>
        <v>0</v>
      </c>
      <c r="T161" s="94"/>
      <c r="U161" s="94"/>
      <c r="V161" s="113"/>
      <c r="W161" s="94"/>
    </row>
    <row r="162" spans="2:23" s="95" customFormat="1" ht="12" customHeight="1">
      <c r="D162" s="95" t="s">
        <v>295</v>
      </c>
      <c r="E162" s="94">
        <v>0</v>
      </c>
      <c r="F162" s="94">
        <v>0</v>
      </c>
      <c r="G162" s="94">
        <v>0</v>
      </c>
      <c r="H162" s="94">
        <v>0</v>
      </c>
      <c r="I162" s="94">
        <v>0</v>
      </c>
      <c r="J162" s="94">
        <v>0</v>
      </c>
      <c r="K162" s="94">
        <v>0</v>
      </c>
      <c r="L162" s="94">
        <v>0</v>
      </c>
      <c r="M162" s="94">
        <v>0</v>
      </c>
      <c r="N162" s="94">
        <v>0</v>
      </c>
      <c r="O162" s="94">
        <v>0</v>
      </c>
      <c r="P162" s="94">
        <v>0</v>
      </c>
      <c r="Q162" s="606">
        <v>0</v>
      </c>
      <c r="R162" s="94"/>
      <c r="S162" s="627">
        <f t="shared" si="58"/>
        <v>0</v>
      </c>
      <c r="T162" s="94"/>
      <c r="U162" s="94"/>
      <c r="V162" s="113"/>
      <c r="W162" s="94"/>
    </row>
    <row r="163" spans="2:23" s="95" customFormat="1" ht="12" customHeight="1">
      <c r="C163" s="95" t="s">
        <v>50</v>
      </c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606"/>
      <c r="R163" s="94"/>
      <c r="S163" s="627"/>
      <c r="T163" s="94"/>
      <c r="U163" s="94"/>
      <c r="V163" s="113"/>
      <c r="W163" s="94"/>
    </row>
    <row r="164" spans="2:23" s="95" customFormat="1" ht="12" customHeight="1">
      <c r="D164" s="95" t="s">
        <v>317</v>
      </c>
      <c r="E164" s="94">
        <f>SUM(I15:K15)*0.9</f>
        <v>6816845.4289673101</v>
      </c>
      <c r="F164" s="94">
        <v>0</v>
      </c>
      <c r="G164" s="94"/>
      <c r="H164" s="94"/>
      <c r="I164" s="94"/>
      <c r="J164" s="94">
        <f>SUM(L15:P15)*0.9</f>
        <v>11263666.686836755</v>
      </c>
      <c r="K164" s="94"/>
      <c r="L164" s="94">
        <v>0</v>
      </c>
      <c r="M164" s="94">
        <v>0</v>
      </c>
      <c r="N164" s="94">
        <v>0</v>
      </c>
      <c r="O164" s="94">
        <v>0</v>
      </c>
      <c r="P164" s="94">
        <v>0</v>
      </c>
      <c r="Q164" s="606">
        <v>0</v>
      </c>
      <c r="R164" s="94"/>
      <c r="S164" s="627">
        <f t="shared" si="58"/>
        <v>18080512.115804065</v>
      </c>
      <c r="T164" s="94"/>
      <c r="U164" s="94"/>
      <c r="V164" s="113"/>
      <c r="W164" s="94"/>
    </row>
    <row r="165" spans="2:23" s="95" customFormat="1" ht="12" customHeight="1">
      <c r="D165" s="95" t="s">
        <v>318</v>
      </c>
      <c r="E165" s="94">
        <v>0</v>
      </c>
      <c r="F165" s="1037">
        <f t="shared" ref="F165:K165" si="59">-F15*0.9</f>
        <v>-1262378.7831420947</v>
      </c>
      <c r="G165" s="1037">
        <f t="shared" si="59"/>
        <v>-1262378.7831420947</v>
      </c>
      <c r="H165" s="1037">
        <f t="shared" si="59"/>
        <v>-2272281.8096557702</v>
      </c>
      <c r="I165" s="1032">
        <f t="shared" si="59"/>
        <v>-2272281.8096557702</v>
      </c>
      <c r="J165" s="1032">
        <f t="shared" si="59"/>
        <v>-2272281.8096557702</v>
      </c>
      <c r="K165" s="1032">
        <f t="shared" si="59"/>
        <v>-2272281.8096557702</v>
      </c>
      <c r="L165" s="1032">
        <f t="shared" ref="L165:P165" si="60">-L15*0.9</f>
        <v>-2272281.8096557702</v>
      </c>
      <c r="M165" s="1032">
        <f t="shared" si="60"/>
        <v>-2247846.2192952456</v>
      </c>
      <c r="N165" s="1032">
        <f t="shared" si="60"/>
        <v>-2247846.2192952456</v>
      </c>
      <c r="O165" s="1032">
        <f t="shared" si="60"/>
        <v>-2247846.2192952456</v>
      </c>
      <c r="P165" s="1032">
        <f t="shared" si="60"/>
        <v>-2247846.2192952456</v>
      </c>
      <c r="Q165" s="606">
        <v>0</v>
      </c>
      <c r="R165" s="94"/>
      <c r="S165" s="627">
        <f t="shared" si="58"/>
        <v>-22877551.491744023</v>
      </c>
      <c r="T165" s="94"/>
      <c r="U165" s="94"/>
      <c r="V165" s="113"/>
      <c r="W165" s="94"/>
    </row>
    <row r="166" spans="2:23" s="95" customFormat="1" ht="12" customHeight="1">
      <c r="D166" s="95" t="s">
        <v>552</v>
      </c>
      <c r="E166" s="94">
        <f>E177</f>
        <v>0</v>
      </c>
      <c r="F166" s="94">
        <f t="shared" ref="F166:P166" si="61">F177</f>
        <v>0</v>
      </c>
      <c r="G166" s="94">
        <f t="shared" si="61"/>
        <v>0</v>
      </c>
      <c r="H166" s="94">
        <f t="shared" si="61"/>
        <v>0</v>
      </c>
      <c r="I166" s="94">
        <f t="shared" si="61"/>
        <v>0</v>
      </c>
      <c r="J166" s="94">
        <f t="shared" si="61"/>
        <v>0</v>
      </c>
      <c r="K166" s="94">
        <f t="shared" si="61"/>
        <v>0</v>
      </c>
      <c r="L166" s="94">
        <f t="shared" si="61"/>
        <v>0</v>
      </c>
      <c r="M166" s="94">
        <f t="shared" si="61"/>
        <v>0</v>
      </c>
      <c r="N166" s="94">
        <f t="shared" si="61"/>
        <v>0</v>
      </c>
      <c r="O166" s="94">
        <f t="shared" si="61"/>
        <v>0</v>
      </c>
      <c r="P166" s="94">
        <f t="shared" si="61"/>
        <v>0</v>
      </c>
      <c r="Q166" s="606">
        <v>0</v>
      </c>
      <c r="R166" s="94"/>
      <c r="S166" s="627">
        <f t="shared" si="58"/>
        <v>0</v>
      </c>
      <c r="T166" s="94"/>
      <c r="U166" s="94"/>
      <c r="V166" s="113"/>
      <c r="W166" s="94"/>
    </row>
    <row r="167" spans="2:23" s="95" customFormat="1" ht="12" customHeight="1">
      <c r="D167" s="95" t="s">
        <v>553</v>
      </c>
      <c r="E167" s="132">
        <f>E178</f>
        <v>0</v>
      </c>
      <c r="F167" s="132">
        <f t="shared" ref="F167:P167" si="62">F178</f>
        <v>0</v>
      </c>
      <c r="G167" s="132">
        <f t="shared" si="62"/>
        <v>0</v>
      </c>
      <c r="H167" s="132">
        <f t="shared" si="62"/>
        <v>0</v>
      </c>
      <c r="I167" s="132">
        <f t="shared" si="62"/>
        <v>0</v>
      </c>
      <c r="J167" s="132">
        <f t="shared" si="62"/>
        <v>0</v>
      </c>
      <c r="K167" s="132">
        <f t="shared" si="62"/>
        <v>0</v>
      </c>
      <c r="L167" s="132">
        <f t="shared" si="62"/>
        <v>0</v>
      </c>
      <c r="M167" s="132">
        <f t="shared" si="62"/>
        <v>0</v>
      </c>
      <c r="N167" s="132">
        <f t="shared" si="62"/>
        <v>0</v>
      </c>
      <c r="O167" s="132">
        <f t="shared" si="62"/>
        <v>0</v>
      </c>
      <c r="P167" s="132">
        <f t="shared" si="62"/>
        <v>0</v>
      </c>
      <c r="Q167" s="606">
        <v>0</v>
      </c>
      <c r="R167" s="94"/>
      <c r="S167" s="627">
        <f t="shared" ref="S167" si="63">SUM(E167:R167)</f>
        <v>0</v>
      </c>
      <c r="T167" s="94"/>
      <c r="U167" s="94"/>
      <c r="V167" s="113"/>
      <c r="W167" s="94"/>
    </row>
    <row r="168" spans="2:23" s="95" customFormat="1" ht="12" customHeight="1"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131"/>
      <c r="T168" s="94"/>
      <c r="U168" s="94"/>
      <c r="V168" s="113"/>
      <c r="W168" s="94"/>
    </row>
    <row r="169" spans="2:23" s="95" customFormat="1" ht="12" customHeight="1">
      <c r="B169" s="95" t="s">
        <v>51</v>
      </c>
      <c r="E169" s="94">
        <f>SUBTOTAL(9,E149:E168)</f>
        <v>5443894.3280375609</v>
      </c>
      <c r="F169" s="94">
        <f t="shared" ref="F169:P169" si="64">SUBTOTAL(9,F149:F168)</f>
        <v>-1452611.1392806445</v>
      </c>
      <c r="G169" s="94">
        <f t="shared" si="64"/>
        <v>-1091229.1590924126</v>
      </c>
      <c r="H169" s="94">
        <f t="shared" si="64"/>
        <v>-1655045.6177090365</v>
      </c>
      <c r="I169" s="94">
        <f t="shared" si="64"/>
        <v>-942027.07969544502</v>
      </c>
      <c r="J169" s="94">
        <f t="shared" si="64"/>
        <v>9218354.7009477485</v>
      </c>
      <c r="K169" s="94">
        <f t="shared" si="64"/>
        <v>-1419279.3080181233</v>
      </c>
      <c r="L169" s="94">
        <f t="shared" si="64"/>
        <v>-1061899.5903509087</v>
      </c>
      <c r="M169" s="94">
        <f t="shared" si="64"/>
        <v>-1611472.1073289481</v>
      </c>
      <c r="N169" s="94">
        <f t="shared" si="64"/>
        <v>-1202651.4027011436</v>
      </c>
      <c r="O169" s="94">
        <f t="shared" si="64"/>
        <v>-1038272.8780716578</v>
      </c>
      <c r="P169" s="94">
        <f t="shared" si="64"/>
        <v>-3413563.6386994463</v>
      </c>
      <c r="R169" s="94"/>
      <c r="S169" s="94"/>
      <c r="T169" s="94"/>
      <c r="U169" s="113"/>
      <c r="V169" s="94"/>
      <c r="W169" s="113"/>
    </row>
    <row r="170" spans="2:23" s="95" customFormat="1" ht="12" customHeight="1"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R170" s="94"/>
      <c r="S170" s="94"/>
      <c r="T170" s="94"/>
      <c r="U170" s="94"/>
      <c r="V170" s="94"/>
      <c r="W170" s="113"/>
    </row>
    <row r="171" spans="2:23" s="95" customFormat="1" ht="12" customHeight="1">
      <c r="B171" s="95" t="s">
        <v>52</v>
      </c>
      <c r="E171" s="132">
        <f>'FY19-20'!P173</f>
        <v>3676607.8000000035</v>
      </c>
      <c r="F171" s="132">
        <f t="shared" ref="F171:O171" si="65">E173</f>
        <v>9120502.1280375645</v>
      </c>
      <c r="G171" s="132">
        <f t="shared" si="65"/>
        <v>7667890.9887569202</v>
      </c>
      <c r="H171" s="132">
        <f t="shared" si="65"/>
        <v>6576661.8296645079</v>
      </c>
      <c r="I171" s="132">
        <f t="shared" si="65"/>
        <v>4921616.211955471</v>
      </c>
      <c r="J171" s="132">
        <f t="shared" si="65"/>
        <v>3979589.1322600259</v>
      </c>
      <c r="K171" s="132">
        <f t="shared" si="65"/>
        <v>13197943.833207775</v>
      </c>
      <c r="L171" s="132">
        <f t="shared" si="65"/>
        <v>11778664.525189651</v>
      </c>
      <c r="M171" s="132">
        <f t="shared" si="65"/>
        <v>10716764.934838742</v>
      </c>
      <c r="N171" s="132">
        <f t="shared" si="65"/>
        <v>9105292.8275097944</v>
      </c>
      <c r="O171" s="132">
        <f t="shared" si="65"/>
        <v>7902641.4248086512</v>
      </c>
      <c r="P171" s="132">
        <f>O173</f>
        <v>6864368.5467369929</v>
      </c>
      <c r="R171" s="94"/>
      <c r="S171" s="94"/>
      <c r="T171" s="94"/>
      <c r="U171" s="94"/>
      <c r="V171" s="94"/>
      <c r="W171" s="113"/>
    </row>
    <row r="172" spans="2:23" s="95" customFormat="1" ht="12" customHeight="1"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R172" s="94"/>
      <c r="S172" s="94"/>
      <c r="T172" s="94"/>
      <c r="U172" s="94"/>
      <c r="V172" s="94"/>
      <c r="W172" s="113"/>
    </row>
    <row r="173" spans="2:23" s="112" customFormat="1" ht="12" customHeight="1" thickBot="1">
      <c r="B173" s="112" t="s">
        <v>53</v>
      </c>
      <c r="E173" s="129">
        <f t="shared" ref="E173:O173" si="66">E169+E171</f>
        <v>9120502.1280375645</v>
      </c>
      <c r="F173" s="129">
        <f t="shared" si="66"/>
        <v>7667890.9887569202</v>
      </c>
      <c r="G173" s="129">
        <f t="shared" si="66"/>
        <v>6576661.8296645079</v>
      </c>
      <c r="H173" s="129">
        <f t="shared" si="66"/>
        <v>4921616.211955471</v>
      </c>
      <c r="I173" s="129">
        <f t="shared" si="66"/>
        <v>3979589.1322600259</v>
      </c>
      <c r="J173" s="129">
        <f t="shared" si="66"/>
        <v>13197943.833207775</v>
      </c>
      <c r="K173" s="129">
        <f t="shared" si="66"/>
        <v>11778664.525189651</v>
      </c>
      <c r="L173" s="129">
        <f t="shared" si="66"/>
        <v>10716764.934838742</v>
      </c>
      <c r="M173" s="129">
        <f t="shared" si="66"/>
        <v>9105292.8275097944</v>
      </c>
      <c r="N173" s="129">
        <f t="shared" si="66"/>
        <v>7902641.4248086512</v>
      </c>
      <c r="O173" s="129">
        <f t="shared" si="66"/>
        <v>6864368.5467369929</v>
      </c>
      <c r="P173" s="129">
        <f>P169+P171</f>
        <v>3450804.9080375466</v>
      </c>
      <c r="R173" s="113"/>
      <c r="S173" s="113"/>
      <c r="T173" s="113"/>
      <c r="U173" s="113"/>
      <c r="V173" s="113"/>
      <c r="W173" s="113"/>
    </row>
    <row r="174" spans="2:23" s="95" customFormat="1" ht="12" customHeight="1" thickTop="1">
      <c r="E174" s="316"/>
      <c r="F174" s="316"/>
      <c r="G174" s="316"/>
      <c r="H174" s="316"/>
      <c r="I174" s="316"/>
      <c r="J174" s="316"/>
      <c r="K174" s="316"/>
      <c r="L174" s="316"/>
      <c r="M174" s="316"/>
      <c r="N174" s="316"/>
      <c r="O174" s="316"/>
      <c r="P174" s="316"/>
      <c r="Q174" s="316"/>
      <c r="R174" s="316"/>
      <c r="S174" s="317"/>
      <c r="T174" s="316"/>
      <c r="U174" s="316"/>
      <c r="V174" s="94"/>
      <c r="W174" s="113"/>
    </row>
    <row r="175" spans="2:23" s="95" customFormat="1" ht="12" customHeight="1">
      <c r="E175" s="315"/>
      <c r="F175" s="315"/>
      <c r="G175" s="315"/>
      <c r="H175" s="315"/>
      <c r="I175" s="315"/>
      <c r="J175" s="315"/>
      <c r="K175" s="315"/>
      <c r="L175" s="315"/>
      <c r="M175" s="316"/>
      <c r="N175" s="316"/>
      <c r="O175" s="316"/>
      <c r="P175" s="316"/>
      <c r="Q175" s="316"/>
      <c r="R175" s="316"/>
      <c r="S175" s="317"/>
      <c r="T175" s="316"/>
      <c r="U175" s="316"/>
      <c r="V175" s="94"/>
      <c r="W175" s="113"/>
    </row>
    <row r="176" spans="2:23" s="95" customFormat="1" ht="12" customHeight="1">
      <c r="D176" s="95" t="s">
        <v>557</v>
      </c>
      <c r="E176" s="315">
        <f>+'FY19-20'!P179</f>
        <v>0</v>
      </c>
      <c r="F176" s="315">
        <f>E179</f>
        <v>0</v>
      </c>
      <c r="G176" s="315">
        <f t="shared" ref="G176:P176" si="67">F179</f>
        <v>0</v>
      </c>
      <c r="H176" s="315">
        <f t="shared" si="67"/>
        <v>0</v>
      </c>
      <c r="I176" s="315">
        <f t="shared" si="67"/>
        <v>0</v>
      </c>
      <c r="J176" s="315">
        <f t="shared" si="67"/>
        <v>0</v>
      </c>
      <c r="K176" s="315">
        <f t="shared" si="67"/>
        <v>0</v>
      </c>
      <c r="L176" s="315">
        <f t="shared" si="67"/>
        <v>0</v>
      </c>
      <c r="M176" s="315">
        <f t="shared" si="67"/>
        <v>0</v>
      </c>
      <c r="N176" s="315">
        <f t="shared" si="67"/>
        <v>0</v>
      </c>
      <c r="O176" s="315">
        <f t="shared" si="67"/>
        <v>0</v>
      </c>
      <c r="P176" s="315">
        <f t="shared" si="67"/>
        <v>0</v>
      </c>
      <c r="Q176" s="316"/>
      <c r="R176" s="316"/>
      <c r="S176" s="317"/>
      <c r="T176" s="316"/>
      <c r="U176" s="316"/>
      <c r="V176" s="94"/>
      <c r="W176" s="113"/>
    </row>
    <row r="177" spans="1:28" s="95" customFormat="1" ht="12" customHeight="1">
      <c r="D177" s="95" t="s">
        <v>558</v>
      </c>
      <c r="E177" s="316">
        <v>0</v>
      </c>
      <c r="F177" s="316">
        <v>0</v>
      </c>
      <c r="G177" s="316">
        <v>0</v>
      </c>
      <c r="H177" s="316">
        <v>0</v>
      </c>
      <c r="I177" s="316">
        <v>0</v>
      </c>
      <c r="J177" s="316">
        <v>0</v>
      </c>
      <c r="K177" s="316">
        <v>0</v>
      </c>
      <c r="L177" s="316">
        <v>0</v>
      </c>
      <c r="M177" s="316">
        <v>0</v>
      </c>
      <c r="N177" s="316">
        <v>0</v>
      </c>
      <c r="O177" s="316">
        <v>0</v>
      </c>
      <c r="P177" s="316">
        <v>0</v>
      </c>
      <c r="Q177" s="316"/>
      <c r="R177" s="316"/>
      <c r="S177" s="317"/>
      <c r="T177" s="316"/>
      <c r="U177" s="316"/>
      <c r="V177" s="94"/>
      <c r="W177" s="113"/>
    </row>
    <row r="178" spans="1:28" s="95" customFormat="1" ht="12">
      <c r="D178" s="95" t="s">
        <v>559</v>
      </c>
      <c r="E178" s="316">
        <f>-E176</f>
        <v>0</v>
      </c>
      <c r="F178" s="316">
        <v>0</v>
      </c>
      <c r="G178" s="316">
        <v>0</v>
      </c>
      <c r="H178" s="316">
        <v>0</v>
      </c>
      <c r="I178" s="316">
        <v>0</v>
      </c>
      <c r="J178" s="316">
        <v>0</v>
      </c>
      <c r="K178" s="316">
        <v>0</v>
      </c>
      <c r="L178" s="316">
        <v>0</v>
      </c>
      <c r="M178" s="316">
        <v>0</v>
      </c>
      <c r="N178" s="316">
        <v>0</v>
      </c>
      <c r="O178" s="316">
        <v>0</v>
      </c>
      <c r="P178" s="316">
        <f>-E177/2</f>
        <v>0</v>
      </c>
      <c r="Q178" s="316"/>
      <c r="R178" s="316"/>
      <c r="S178" s="317"/>
      <c r="T178" s="316"/>
      <c r="U178" s="92"/>
      <c r="V178" s="94"/>
      <c r="W178" s="113"/>
    </row>
    <row r="179" spans="1:28" s="95" customFormat="1" ht="12">
      <c r="D179" s="95" t="s">
        <v>560</v>
      </c>
      <c r="E179" s="94">
        <f>SUM(E176:E178)</f>
        <v>0</v>
      </c>
      <c r="F179" s="94">
        <f>SUM(F176:F178)</f>
        <v>0</v>
      </c>
      <c r="G179" s="94">
        <f t="shared" ref="G179:P179" si="68">SUM(G176:G178)</f>
        <v>0</v>
      </c>
      <c r="H179" s="94">
        <f t="shared" si="68"/>
        <v>0</v>
      </c>
      <c r="I179" s="94">
        <f t="shared" si="68"/>
        <v>0</v>
      </c>
      <c r="J179" s="94">
        <f t="shared" si="68"/>
        <v>0</v>
      </c>
      <c r="K179" s="94">
        <f t="shared" si="68"/>
        <v>0</v>
      </c>
      <c r="L179" s="94">
        <f t="shared" si="68"/>
        <v>0</v>
      </c>
      <c r="M179" s="94">
        <f t="shared" si="68"/>
        <v>0</v>
      </c>
      <c r="N179" s="94">
        <f t="shared" si="68"/>
        <v>0</v>
      </c>
      <c r="O179" s="94">
        <f t="shared" si="68"/>
        <v>0</v>
      </c>
      <c r="P179" s="94">
        <f t="shared" si="68"/>
        <v>0</v>
      </c>
      <c r="Q179" s="94"/>
      <c r="R179" s="94"/>
      <c r="S179" s="133"/>
      <c r="T179" s="94"/>
      <c r="U179" s="94"/>
      <c r="V179" s="94"/>
      <c r="W179" s="113"/>
    </row>
    <row r="180" spans="1:28" ht="12">
      <c r="A180" s="62"/>
      <c r="B180" s="62"/>
      <c r="S180" s="140"/>
      <c r="X180" s="62"/>
      <c r="Y180" s="62"/>
      <c r="Z180" s="62"/>
      <c r="AA180" s="62"/>
      <c r="AB180" s="62"/>
    </row>
    <row r="181" spans="1:28">
      <c r="A181" s="62"/>
      <c r="B181" s="62"/>
      <c r="S181" s="140"/>
    </row>
    <row r="182" spans="1:28">
      <c r="A182" s="62"/>
      <c r="B182" s="62"/>
      <c r="S182" s="140"/>
    </row>
    <row r="183" spans="1:28">
      <c r="A183" s="62"/>
      <c r="B183" s="62"/>
      <c r="S183" s="140"/>
    </row>
    <row r="184" spans="1:28">
      <c r="A184" s="62"/>
      <c r="B184" s="62"/>
      <c r="S184" s="140"/>
    </row>
    <row r="185" spans="1:28">
      <c r="A185" s="62"/>
      <c r="B185" s="62"/>
      <c r="S185" s="140"/>
    </row>
  </sheetData>
  <mergeCells count="1">
    <mergeCell ref="W10:W12"/>
  </mergeCells>
  <printOptions horizontalCentered="1"/>
  <pageMargins left="0.15" right="0.15" top="0.35" bottom="0.35" header="0.3" footer="0.3"/>
  <pageSetup scale="75" fitToWidth="2" fitToHeight="4" orientation="landscape" copies="4" r:id="rId1"/>
  <headerFooter alignWithMargins="0">
    <oddFooter xml:space="preserve">&amp;R
</oddFooter>
  </headerFooter>
  <rowBreaks count="2" manualBreakCount="2">
    <brk id="90" max="21" man="1"/>
    <brk id="146" max="21" man="1"/>
  </rowBreaks>
  <colBreaks count="1" manualBreakCount="1">
    <brk id="22" max="199" man="1"/>
  </colBreaks>
  <customProperties>
    <customPr name="DrillPoint.Configuration" r:id="rId2"/>
    <customPr name="DrillPoint.FROID" r:id="rId3"/>
    <customPr name="DrillPoint.MIPOrganization" r:id="rId4"/>
    <customPr name="DrillPoint.Mode" r:id="rId5"/>
    <customPr name="DrillPoint.Subsheet" r:id="rId6"/>
    <customPr name="DrillPoint.WorksheetID" r:id="rId7"/>
  </customProperties>
  <drawing r:id="rId8"/>
  <legacy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2"/>
  <sheetViews>
    <sheetView view="pageBreakPreview" zoomScaleNormal="85" zoomScaleSheetLayoutView="100" workbookViewId="0">
      <pane xSplit="4" ySplit="4" topLeftCell="E129" activePane="bottomRight" state="frozen"/>
      <selection activeCell="L156" sqref="L156"/>
      <selection pane="topRight" activeCell="L156" sqref="L156"/>
      <selection pane="bottomLeft" activeCell="L156" sqref="L156"/>
      <selection pane="bottomRight" activeCell="P154" sqref="P154"/>
    </sheetView>
  </sheetViews>
  <sheetFormatPr baseColWidth="10" defaultColWidth="8.83203125" defaultRowHeight="15"/>
  <cols>
    <col min="1" max="1" width="2.5" style="54" customWidth="1"/>
    <col min="2" max="2" width="1.6640625" style="54" customWidth="1"/>
    <col min="3" max="3" width="5.33203125" style="62" customWidth="1"/>
    <col min="4" max="4" width="22.6640625" style="62" customWidth="1"/>
    <col min="5" max="6" width="9.5" style="63" bestFit="1" customWidth="1"/>
    <col min="7" max="7" width="9.33203125" style="63" bestFit="1" customWidth="1"/>
    <col min="8" max="16" width="9.5" style="63" bestFit="1" customWidth="1"/>
    <col min="17" max="17" width="8.6640625" style="63" customWidth="1"/>
    <col min="18" max="18" width="1.6640625" style="63" customWidth="1"/>
    <col min="19" max="19" width="9.6640625" style="59" customWidth="1"/>
    <col min="20" max="20" width="1.83203125" style="63" customWidth="1"/>
    <col min="21" max="22" width="9.6640625" style="63" customWidth="1"/>
    <col min="23" max="23" width="8.83203125" style="188"/>
    <col min="24" max="16384" width="8.83203125" style="62"/>
  </cols>
  <sheetData>
    <row r="1" spans="1:22" s="54" customFormat="1" ht="21">
      <c r="A1" s="678" t="str">
        <f>'Revenue Inputs'!$C$3</f>
        <v>Granite Mountain Charter School</v>
      </c>
      <c r="E1" s="55"/>
      <c r="F1" s="55"/>
      <c r="G1" s="55"/>
      <c r="H1" s="55"/>
      <c r="I1" s="55"/>
      <c r="J1" s="55"/>
      <c r="K1" s="55"/>
      <c r="L1" s="55"/>
      <c r="M1" s="221"/>
      <c r="N1" s="221"/>
      <c r="O1" s="221"/>
      <c r="P1" s="221"/>
      <c r="Q1" s="221"/>
      <c r="R1" s="221"/>
      <c r="S1" s="222"/>
      <c r="T1" s="221"/>
      <c r="U1" s="221"/>
      <c r="V1" s="55"/>
    </row>
    <row r="2" spans="1:22" s="54" customFormat="1">
      <c r="A2" s="56" t="s">
        <v>400</v>
      </c>
      <c r="B2" s="57"/>
      <c r="C2" s="57"/>
      <c r="D2" s="57"/>
      <c r="E2" s="58"/>
      <c r="F2" s="55"/>
      <c r="G2" s="55"/>
      <c r="H2" s="55"/>
      <c r="I2" s="55"/>
      <c r="J2" s="55"/>
      <c r="M2" s="59"/>
      <c r="N2" s="55"/>
      <c r="O2" s="55"/>
      <c r="R2" s="59"/>
      <c r="S2" s="59"/>
      <c r="V2" s="60"/>
    </row>
    <row r="3" spans="1:22" ht="13.5" customHeight="1">
      <c r="A3" s="61" t="str">
        <f>'FY19-20'!A3</f>
        <v>Revised 08/06/20</v>
      </c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674"/>
      <c r="P3" s="674"/>
      <c r="Q3" s="674"/>
      <c r="R3" s="59"/>
      <c r="S3" s="674"/>
      <c r="V3" s="64"/>
    </row>
    <row r="4" spans="1:22" s="67" customFormat="1" ht="29.5" customHeight="1">
      <c r="C4" s="374" t="s">
        <v>280</v>
      </c>
      <c r="D4" s="372">
        <f>LCFF!L23</f>
        <v>3161.4799999999996</v>
      </c>
      <c r="E4" s="679">
        <v>44378</v>
      </c>
      <c r="F4" s="679">
        <f t="shared" ref="F4:P4" si="0">E4+31</f>
        <v>44409</v>
      </c>
      <c r="G4" s="679">
        <f t="shared" si="0"/>
        <v>44440</v>
      </c>
      <c r="H4" s="679">
        <f t="shared" si="0"/>
        <v>44471</v>
      </c>
      <c r="I4" s="679">
        <f t="shared" si="0"/>
        <v>44502</v>
      </c>
      <c r="J4" s="679">
        <f t="shared" si="0"/>
        <v>44533</v>
      </c>
      <c r="K4" s="679">
        <f t="shared" si="0"/>
        <v>44564</v>
      </c>
      <c r="L4" s="679">
        <f t="shared" si="0"/>
        <v>44595</v>
      </c>
      <c r="M4" s="679">
        <f t="shared" si="0"/>
        <v>44626</v>
      </c>
      <c r="N4" s="679">
        <f t="shared" si="0"/>
        <v>44657</v>
      </c>
      <c r="O4" s="679">
        <f t="shared" si="0"/>
        <v>44688</v>
      </c>
      <c r="P4" s="679">
        <f t="shared" si="0"/>
        <v>44719</v>
      </c>
      <c r="Q4" s="680" t="s">
        <v>345</v>
      </c>
      <c r="R4" s="65"/>
      <c r="S4" s="675" t="s">
        <v>396</v>
      </c>
      <c r="T4" s="66"/>
      <c r="U4" s="680" t="s">
        <v>254</v>
      </c>
      <c r="V4" s="680" t="s">
        <v>383</v>
      </c>
    </row>
    <row r="5" spans="1:22" s="293" customFormat="1" ht="12" customHeight="1">
      <c r="A5" s="286" t="s">
        <v>258</v>
      </c>
      <c r="B5" s="286"/>
      <c r="C5" s="287"/>
      <c r="D5" s="287"/>
      <c r="E5" s="288">
        <v>0.05</v>
      </c>
      <c r="F5" s="289">
        <v>0.05</v>
      </c>
      <c r="G5" s="289">
        <v>0.09</v>
      </c>
      <c r="H5" s="289">
        <v>0.09</v>
      </c>
      <c r="I5" s="289">
        <v>0.09</v>
      </c>
      <c r="J5" s="289">
        <v>0.09</v>
      </c>
      <c r="K5" s="510">
        <v>0.09</v>
      </c>
      <c r="L5" s="590">
        <v>0.2</v>
      </c>
      <c r="M5" s="510">
        <v>0.19999999999999998</v>
      </c>
      <c r="N5" s="510">
        <v>0.19999999999999998</v>
      </c>
      <c r="O5" s="591">
        <v>0.19999999999999998</v>
      </c>
      <c r="P5" s="510">
        <v>0.19999999999999998</v>
      </c>
      <c r="Q5" s="609">
        <v>0</v>
      </c>
      <c r="R5" s="290"/>
      <c r="S5" s="621"/>
      <c r="T5" s="55"/>
      <c r="U5" s="280"/>
      <c r="V5" s="280"/>
    </row>
    <row r="6" spans="1:22" s="293" customFormat="1" ht="12" customHeight="1">
      <c r="A6" s="286" t="s">
        <v>7</v>
      </c>
      <c r="B6" s="286"/>
      <c r="C6" s="287"/>
      <c r="D6" s="287"/>
      <c r="E6" s="288">
        <v>0</v>
      </c>
      <c r="F6" s="289">
        <v>0</v>
      </c>
      <c r="G6" s="289">
        <v>0.37</v>
      </c>
      <c r="H6" s="289">
        <v>0</v>
      </c>
      <c r="I6" s="289">
        <v>0</v>
      </c>
      <c r="J6" s="289">
        <v>0.18</v>
      </c>
      <c r="K6" s="289">
        <v>0</v>
      </c>
      <c r="L6" s="294" t="s">
        <v>229</v>
      </c>
      <c r="M6" s="295" t="s">
        <v>229</v>
      </c>
      <c r="N6" s="295" t="s">
        <v>229</v>
      </c>
      <c r="O6" s="296" t="s">
        <v>229</v>
      </c>
      <c r="P6" s="510" t="s">
        <v>229</v>
      </c>
      <c r="Q6" s="609" t="s">
        <v>229</v>
      </c>
      <c r="R6" s="290"/>
      <c r="S6" s="621"/>
      <c r="T6" s="292"/>
      <c r="U6" s="290"/>
      <c r="V6" s="290"/>
    </row>
    <row r="7" spans="1:22" s="302" customFormat="1" ht="12" customHeight="1">
      <c r="A7" s="286" t="s">
        <v>8</v>
      </c>
      <c r="B7" s="297"/>
      <c r="C7" s="298"/>
      <c r="D7" s="298"/>
      <c r="E7" s="299">
        <v>0.06</v>
      </c>
      <c r="F7" s="300">
        <v>0.12</v>
      </c>
      <c r="G7" s="300">
        <v>0.08</v>
      </c>
      <c r="H7" s="300">
        <v>0.08</v>
      </c>
      <c r="I7" s="300">
        <v>0.08</v>
      </c>
      <c r="J7" s="300">
        <v>0.08</v>
      </c>
      <c r="K7" s="510">
        <v>0.08</v>
      </c>
      <c r="L7" s="294">
        <v>0.33333333333333331</v>
      </c>
      <c r="M7" s="295">
        <v>0.16666666666666666</v>
      </c>
      <c r="N7" s="295">
        <v>0.16666666666666666</v>
      </c>
      <c r="O7" s="296">
        <v>0.16666666666666666</v>
      </c>
      <c r="P7" s="295">
        <v>0.16666666666666666</v>
      </c>
      <c r="Q7" s="610">
        <v>0</v>
      </c>
      <c r="R7" s="301"/>
      <c r="S7" s="621"/>
      <c r="U7" s="301"/>
      <c r="V7" s="301"/>
    </row>
    <row r="8" spans="1:22" s="302" customFormat="1" ht="12" customHeight="1">
      <c r="A8" s="286" t="s">
        <v>281</v>
      </c>
      <c r="B8" s="297"/>
      <c r="C8" s="298"/>
      <c r="D8" s="298"/>
      <c r="E8" s="299">
        <v>0</v>
      </c>
      <c r="F8" s="300">
        <v>0</v>
      </c>
      <c r="G8" s="300">
        <v>0.26</v>
      </c>
      <c r="H8" s="300">
        <v>0.08</v>
      </c>
      <c r="I8" s="300">
        <v>0.08</v>
      </c>
      <c r="J8" s="300">
        <v>0.08</v>
      </c>
      <c r="K8" s="510">
        <v>0.08</v>
      </c>
      <c r="L8" s="294" t="s">
        <v>229</v>
      </c>
      <c r="M8" s="295" t="s">
        <v>229</v>
      </c>
      <c r="N8" s="295" t="s">
        <v>229</v>
      </c>
      <c r="O8" s="296" t="s">
        <v>229</v>
      </c>
      <c r="P8" s="510" t="s">
        <v>229</v>
      </c>
      <c r="Q8" s="609" t="s">
        <v>229</v>
      </c>
      <c r="R8" s="301"/>
      <c r="S8" s="621"/>
      <c r="U8" s="301"/>
      <c r="V8" s="301"/>
    </row>
    <row r="9" spans="1:22" s="302" customFormat="1" ht="12" customHeight="1">
      <c r="A9" s="286" t="s">
        <v>142</v>
      </c>
      <c r="B9" s="286"/>
      <c r="C9" s="298"/>
      <c r="D9" s="298"/>
      <c r="E9" s="473">
        <v>0.05</v>
      </c>
      <c r="F9" s="474">
        <v>0.05</v>
      </c>
      <c r="G9" s="474">
        <v>0.09</v>
      </c>
      <c r="H9" s="474">
        <v>0.09</v>
      </c>
      <c r="I9" s="474">
        <v>0.09</v>
      </c>
      <c r="J9" s="474">
        <v>0.09</v>
      </c>
      <c r="K9" s="474">
        <v>0.09</v>
      </c>
      <c r="L9" s="473">
        <v>0.2</v>
      </c>
      <c r="M9" s="474">
        <v>0.2</v>
      </c>
      <c r="N9" s="474">
        <v>0.2</v>
      </c>
      <c r="O9" s="511">
        <v>0.2</v>
      </c>
      <c r="P9" s="474">
        <v>0.2</v>
      </c>
      <c r="Q9" s="611">
        <v>0</v>
      </c>
      <c r="R9" s="290"/>
      <c r="S9" s="621"/>
      <c r="U9" s="290"/>
      <c r="V9" s="290"/>
    </row>
    <row r="10" spans="1:22" s="95" customFormat="1" ht="12" customHeight="1">
      <c r="A10" s="91"/>
      <c r="B10" s="91"/>
      <c r="C10" s="91"/>
      <c r="D10" s="91"/>
      <c r="E10" s="92"/>
      <c r="F10" s="92"/>
      <c r="G10" s="92"/>
      <c r="H10" s="92"/>
      <c r="I10" s="92"/>
      <c r="J10" s="92"/>
      <c r="K10" s="92"/>
      <c r="L10" s="303"/>
      <c r="M10" s="303"/>
      <c r="N10" s="303"/>
      <c r="O10" s="303"/>
      <c r="P10" s="303"/>
      <c r="Q10" s="612"/>
      <c r="R10" s="303"/>
      <c r="S10" s="622"/>
      <c r="T10" s="303"/>
    </row>
    <row r="11" spans="1:22" s="95" customFormat="1" ht="12" customHeight="1">
      <c r="A11" s="96" t="s">
        <v>9</v>
      </c>
      <c r="B11" s="96"/>
      <c r="C11" s="97"/>
      <c r="D11" s="98"/>
      <c r="E11" s="304"/>
      <c r="F11" s="304" t="s">
        <v>25</v>
      </c>
      <c r="G11" s="304"/>
      <c r="H11" s="304"/>
      <c r="I11" s="304"/>
      <c r="J11" s="304"/>
      <c r="K11" s="304"/>
      <c r="L11" s="305"/>
      <c r="M11" s="305"/>
      <c r="N11" s="305"/>
      <c r="O11" s="305"/>
      <c r="P11" s="305"/>
      <c r="Q11" s="613"/>
      <c r="R11" s="305"/>
      <c r="S11" s="623"/>
      <c r="T11" s="305"/>
      <c r="U11" s="375" t="s">
        <v>280</v>
      </c>
      <c r="V11" s="372">
        <f>'FY20-21'!D4</f>
        <v>3161.4799999999996</v>
      </c>
    </row>
    <row r="12" spans="1:22" s="95" customFormat="1" ht="12" customHeight="1">
      <c r="A12" s="96"/>
      <c r="B12" s="96" t="s">
        <v>255</v>
      </c>
      <c r="C12" s="97"/>
      <c r="D12" s="98"/>
      <c r="E12" s="304"/>
      <c r="F12" s="304"/>
      <c r="G12" s="304"/>
      <c r="H12" s="304"/>
      <c r="I12" s="304"/>
      <c r="J12" s="304"/>
      <c r="K12" s="304"/>
      <c r="L12" s="306"/>
      <c r="M12" s="306"/>
      <c r="N12" s="306"/>
      <c r="O12" s="306"/>
      <c r="P12" s="306"/>
      <c r="Q12" s="614"/>
      <c r="R12" s="306"/>
      <c r="S12" s="624"/>
      <c r="T12" s="306"/>
    </row>
    <row r="13" spans="1:22" s="95" customFormat="1" ht="12" customHeight="1">
      <c r="A13" s="114"/>
      <c r="B13" s="114" t="s">
        <v>186</v>
      </c>
      <c r="C13" s="115"/>
      <c r="D13" s="116" t="s">
        <v>176</v>
      </c>
      <c r="E13" s="118">
        <f>(LCFF!$L$25*(LCFF!L47*(1-'Revenue Inputs'!$D$9)-'Revenue Inputs'!$G$31))*D6</f>
        <v>0</v>
      </c>
      <c r="F13" s="118">
        <f>(LCFF!$L$25*(LCFF!L47*(1-'Revenue Inputs'!$D$9)-'Revenue Inputs'!$G$31))*E6</f>
        <v>0</v>
      </c>
      <c r="G13" s="118">
        <f>(LCFF!$L$25*(LCFF!L47*(1-'Revenue Inputs'!$D$9)-'Revenue Inputs'!$G$31))*F6</f>
        <v>0</v>
      </c>
      <c r="H13" s="118">
        <f>(LCFF!$L$25*(LCFF!L47*(1-'Revenue Inputs'!$D$9)-'Revenue Inputs'!$G$31))*G6</f>
        <v>0</v>
      </c>
      <c r="I13" s="118">
        <f>(LCFF!$L$25*(LCFF!L47*(1-'Revenue Inputs'!$D$9)-'Revenue Inputs'!$G$31))*H6</f>
        <v>0</v>
      </c>
      <c r="J13" s="118">
        <f>(LCFF!$L$25*(LCFF!L47*(1-'Revenue Inputs'!$D$9)-'Revenue Inputs'!$G$31))*I6</f>
        <v>0</v>
      </c>
      <c r="K13" s="118">
        <f>(LCFF!$L$25*(LCFF!L47*(1-'Revenue Inputs'!$D$9)-'Revenue Inputs'!$G$31))*J6</f>
        <v>0</v>
      </c>
      <c r="L13" s="118">
        <f>(LCFF!$L$25*(LCFF!L47*(1-'Revenue Inputs'!$D$9)-'Revenue Inputs'!$G$31))*K6</f>
        <v>0</v>
      </c>
      <c r="M13" s="117"/>
      <c r="N13" s="117"/>
      <c r="O13" s="117"/>
      <c r="P13" s="117"/>
      <c r="Q13" s="599"/>
      <c r="R13" s="310"/>
      <c r="S13" s="311">
        <f>SUM(E13:Q13)</f>
        <v>0</v>
      </c>
      <c r="T13" s="341"/>
      <c r="U13" s="94">
        <f>'FY20-21'!S13</f>
        <v>0</v>
      </c>
      <c r="V13" s="94">
        <f>S13-U13</f>
        <v>0</v>
      </c>
    </row>
    <row r="14" spans="1:22" s="112" customFormat="1" ht="12" customHeight="1">
      <c r="A14" s="114"/>
      <c r="B14" s="114" t="s">
        <v>186</v>
      </c>
      <c r="C14" s="115"/>
      <c r="D14" s="116" t="s">
        <v>177</v>
      </c>
      <c r="E14" s="118">
        <v>0</v>
      </c>
      <c r="F14" s="118">
        <f>((LCFF!$L$47-'Revenue Inputs'!$G$31-('Multi-Year'!$L$16/'Multi-Year'!$L$11))*LCFF!$J$23)*E5</f>
        <v>1433405.1972966399</v>
      </c>
      <c r="G14" s="118">
        <f>((LCFF!$L$47-'Revenue Inputs'!$G$31-('Multi-Year'!$L$16/'Multi-Year'!$L$11))*LCFF!$J$23)*F5</f>
        <v>1433405.1972966399</v>
      </c>
      <c r="H14" s="118">
        <f>((LCFF!$L$47-'Revenue Inputs'!$G$31-('Multi-Year'!$L$16/'Multi-Year'!$L$11))*LCFF!$J$23)*G5</f>
        <v>2580129.3551339516</v>
      </c>
      <c r="I14" s="118">
        <f>((LCFF!$L$47-'Revenue Inputs'!$G$31-('Multi-Year'!$L$16/'Multi-Year'!$L$11))*LCFF!$J$23)*H5</f>
        <v>2580129.3551339516</v>
      </c>
      <c r="J14" s="118">
        <f>((LCFF!$L$47-'Revenue Inputs'!$G$31-('Multi-Year'!$L$16/'Multi-Year'!$L$11))*LCFF!$J$23)*I5</f>
        <v>2580129.3551339516</v>
      </c>
      <c r="K14" s="118">
        <f>((LCFF!$L$47-'Revenue Inputs'!$G$31-('Multi-Year'!$L$16/'Multi-Year'!$L$11))*LCFF!$J$23)*J5</f>
        <v>2580129.3551339516</v>
      </c>
      <c r="L14" s="118">
        <f>((LCFF!$L$47-'Revenue Inputs'!$G$31-('Multi-Year'!$L$16/'Multi-Year'!$L$11))*LCFF!$J$23)*K5</f>
        <v>2580129.3551339516</v>
      </c>
      <c r="M14" s="117">
        <f>(LCFF!L46-$S$16-$S$18-SUM($E$13:$L$14))*L5</f>
        <v>2589089.9394598342</v>
      </c>
      <c r="N14" s="117">
        <f>(LCFF!L46-$S$16-$S$18-SUM($E$13:$L$14))*M5</f>
        <v>2589089.9394598342</v>
      </c>
      <c r="O14" s="117">
        <f>(LCFF!L46-$S$16-$S$18-SUM($E$13:$L$14))*N5</f>
        <v>2589089.9394598342</v>
      </c>
      <c r="P14" s="117">
        <f>(LCFF!L46-$S$16-$S$18-SUM($E$13:$L$14))*O5</f>
        <v>2589089.9394598342</v>
      </c>
      <c r="Q14" s="599">
        <f>LCFF!L46-S16-S18-SUM(E13:P14)</f>
        <v>2589089.9394598342</v>
      </c>
      <c r="R14" s="312"/>
      <c r="S14" s="311">
        <f>SUM(E14:Q14)</f>
        <v>28712906.867562208</v>
      </c>
      <c r="T14" s="304"/>
      <c r="U14" s="94">
        <f>'FY20-21'!S14</f>
        <v>27917108.56782141</v>
      </c>
      <c r="V14" s="94">
        <f>S14-U14</f>
        <v>795798.29974079877</v>
      </c>
    </row>
    <row r="15" spans="1:22" s="112" customFormat="1" ht="12" customHeight="1">
      <c r="A15" s="109"/>
      <c r="B15" s="109" t="s">
        <v>186</v>
      </c>
      <c r="C15" s="102">
        <v>8011</v>
      </c>
      <c r="D15" s="104" t="s">
        <v>258</v>
      </c>
      <c r="E15" s="94">
        <f t="shared" ref="E15:Q15" si="1">SUM(E13:E14)</f>
        <v>0</v>
      </c>
      <c r="F15" s="94">
        <f t="shared" si="1"/>
        <v>1433405.1972966399</v>
      </c>
      <c r="G15" s="94">
        <f t="shared" si="1"/>
        <v>1433405.1972966399</v>
      </c>
      <c r="H15" s="94">
        <f t="shared" si="1"/>
        <v>2580129.3551339516</v>
      </c>
      <c r="I15" s="94">
        <f t="shared" si="1"/>
        <v>2580129.3551339516</v>
      </c>
      <c r="J15" s="94">
        <f t="shared" si="1"/>
        <v>2580129.3551339516</v>
      </c>
      <c r="K15" s="94">
        <f t="shared" si="1"/>
        <v>2580129.3551339516</v>
      </c>
      <c r="L15" s="94">
        <f t="shared" si="1"/>
        <v>2580129.3551339516</v>
      </c>
      <c r="M15" s="94">
        <f t="shared" si="1"/>
        <v>2589089.9394598342</v>
      </c>
      <c r="N15" s="94">
        <f t="shared" si="1"/>
        <v>2589089.9394598342</v>
      </c>
      <c r="O15" s="94">
        <f t="shared" si="1"/>
        <v>2589089.9394598342</v>
      </c>
      <c r="P15" s="94">
        <f t="shared" si="1"/>
        <v>2589089.9394598342</v>
      </c>
      <c r="Q15" s="606">
        <f t="shared" si="1"/>
        <v>2589089.9394598342</v>
      </c>
      <c r="R15" s="304"/>
      <c r="S15" s="625">
        <f>SUM(E15:Q15)</f>
        <v>28712906.867562208</v>
      </c>
      <c r="T15" s="304"/>
      <c r="U15" s="94">
        <f>'FY20-21'!S15</f>
        <v>27917108.56782141</v>
      </c>
      <c r="V15" s="94">
        <f>S15-U15</f>
        <v>795798.29974079877</v>
      </c>
    </row>
    <row r="16" spans="1:22" s="112" customFormat="1" ht="12" customHeight="1">
      <c r="A16" s="109"/>
      <c r="B16" s="109" t="s">
        <v>186</v>
      </c>
      <c r="C16" s="102">
        <v>8012</v>
      </c>
      <c r="D16" s="104" t="s">
        <v>257</v>
      </c>
      <c r="E16" s="94">
        <f>IF('FY20-21'!E16&gt;0,'FY20-21'!E16/'FY20-21'!$S16*'Multi-Year'!$L16,0)</f>
        <v>0</v>
      </c>
      <c r="F16" s="94">
        <f>IF('FY20-21'!F16&gt;0,'FY20-21'!F16/'FY20-21'!$S16*'Multi-Year'!$L16,0)</f>
        <v>0</v>
      </c>
      <c r="G16" s="94">
        <f>IF('FY20-21'!G16&gt;0,'FY20-21'!G16/'FY20-21'!$S16*'Multi-Year'!$L16,0)</f>
        <v>0</v>
      </c>
      <c r="H16" s="94">
        <f>'Multi-Year'!$J16*0.25</f>
        <v>158073.99999999997</v>
      </c>
      <c r="I16" s="94">
        <f>IF('FY20-21'!I16&gt;0,'FY20-21'!I16/'FY20-21'!$S16*'Multi-Year'!$L16,0)</f>
        <v>0</v>
      </c>
      <c r="J16" s="94">
        <f>IF('FY20-21'!J16&gt;0,'FY20-21'!J16/'FY20-21'!$S16*'Multi-Year'!$L16,0)</f>
        <v>0</v>
      </c>
      <c r="K16" s="94">
        <f>'Multi-Year'!$J16*0.25</f>
        <v>158073.99999999997</v>
      </c>
      <c r="L16" s="94">
        <f>IF('FY20-21'!L16&gt;0,'FY20-21'!L16/'FY20-21'!$S16*'Multi-Year'!$L16,0)</f>
        <v>0</v>
      </c>
      <c r="M16" s="94">
        <f>IF('FY20-21'!M16&gt;0,'FY20-21'!M16/'FY20-21'!$S16*'Multi-Year'!$L16,0)</f>
        <v>0</v>
      </c>
      <c r="N16" s="94">
        <f>'Multi-Year'!L16*0.75-SUM('FY21-22'!E16:M16)</f>
        <v>158073.99999999994</v>
      </c>
      <c r="O16" s="94">
        <f>IF('FY20-21'!O16&gt;0,'FY20-21'!O16/'FY20-21'!$S16*'Multi-Year'!$L16,0)</f>
        <v>0</v>
      </c>
      <c r="P16" s="94">
        <f>IF('FY20-21'!P16&gt;0,'FY20-21'!P16/'FY20-21'!$S16*'Multi-Year'!$L16,0)</f>
        <v>0</v>
      </c>
      <c r="Q16" s="606">
        <f>'Multi-Year'!L16-SUM('FY21-22'!E16:P16)</f>
        <v>158074</v>
      </c>
      <c r="R16" s="304"/>
      <c r="S16" s="625">
        <f t="shared" ref="S16:S18" si="2">SUM(E16:Q16)</f>
        <v>632295.99999999988</v>
      </c>
      <c r="T16" s="304"/>
      <c r="U16" s="94">
        <f>'FY20-21'!S16</f>
        <v>632295.99999999988</v>
      </c>
      <c r="V16" s="94">
        <f>S16-U16</f>
        <v>0</v>
      </c>
    </row>
    <row r="17" spans="1:23" s="112" customFormat="1" ht="12" customHeight="1">
      <c r="A17" s="109"/>
      <c r="B17" s="109" t="s">
        <v>186</v>
      </c>
      <c r="C17" s="102">
        <v>8019</v>
      </c>
      <c r="D17" s="104" t="s">
        <v>259</v>
      </c>
      <c r="E17" s="94">
        <f>IF('FY20-21'!$S17&gt;0,'FY20-21'!E17/'FY20-21'!$S17*'Multi-Year'!$L17,0)+IF('FY20-21'!$S17&lt;0,'FY20-21'!E17/'FY20-21'!$S17*'Multi-Year'!$L17,0)</f>
        <v>0</v>
      </c>
      <c r="F17" s="94">
        <f>IF('FY20-21'!$S17&gt;0,'FY20-21'!F17/'FY20-21'!$S17*'Multi-Year'!$L17,0)+IF('FY20-21'!$S17&lt;0,'FY20-21'!F17/'FY20-21'!$S17*'Multi-Year'!$L17,0)</f>
        <v>0</v>
      </c>
      <c r="G17" s="94">
        <f>IF('FY20-21'!$S17&gt;0,'FY20-21'!G17/'FY20-21'!$S17*'Multi-Year'!$L17,0)+IF('FY20-21'!$S17&lt;0,'FY20-21'!G17/'FY20-21'!$S17*'Multi-Year'!$L17,0)</f>
        <v>0</v>
      </c>
      <c r="H17" s="94">
        <f>IF('FY20-21'!$S17&gt;0,'FY20-21'!H17/'FY20-21'!$S17*'Multi-Year'!$L17,0)+IF('FY20-21'!$S17&lt;0,'FY20-21'!H17/'FY20-21'!$S17*'Multi-Year'!$L17,0)</f>
        <v>0</v>
      </c>
      <c r="I17" s="94">
        <f>IF('FY20-21'!$S17&gt;0,'FY20-21'!I17/'FY20-21'!$S17*'Multi-Year'!$L17,0)+IF('FY20-21'!$S17&lt;0,'FY20-21'!I17/'FY20-21'!$S17*'Multi-Year'!$L17,0)</f>
        <v>0</v>
      </c>
      <c r="J17" s="94">
        <f>IF('FY20-21'!$S17&gt;0,'FY20-21'!J17/'FY20-21'!$S17*'Multi-Year'!$L17,0)+IF('FY20-21'!$S17&lt;0,'FY20-21'!J17/'FY20-21'!$S17*'Multi-Year'!$L17,0)</f>
        <v>0</v>
      </c>
      <c r="K17" s="94">
        <f>IF('FY20-21'!$S17&gt;0,'FY20-21'!K17/'FY20-21'!$S17*'Multi-Year'!$L17,0)+IF('FY20-21'!$S17&lt;0,'FY20-21'!K17/'FY20-21'!$S17*'Multi-Year'!$L17,0)</f>
        <v>0</v>
      </c>
      <c r="L17" s="94">
        <f>IF('FY20-21'!$S17&gt;0,'FY20-21'!L17/'FY20-21'!$S17*'Multi-Year'!$L17,0)+IF('FY20-21'!$S17&lt;0,'FY20-21'!L17/'FY20-21'!$S17*'Multi-Year'!$L17,0)</f>
        <v>0</v>
      </c>
      <c r="M17" s="94">
        <f>IF('FY20-21'!$S17&gt;0,'FY20-21'!M17/'FY20-21'!$S17*'Multi-Year'!$L17,0)+IF('FY20-21'!$S17&lt;0,'FY20-21'!M17/'FY20-21'!$S17*'Multi-Year'!$L17,0)</f>
        <v>0</v>
      </c>
      <c r="N17" s="94">
        <f>IF('FY20-21'!$S17&gt;0,'FY20-21'!N17/'FY20-21'!$S17*'Multi-Year'!$L17,0)+IF('FY20-21'!$S17&lt;0,'FY20-21'!N17/'FY20-21'!$S17*'Multi-Year'!$L17,0)</f>
        <v>0</v>
      </c>
      <c r="O17" s="94">
        <f>IF('FY20-21'!$S17&gt;0,'FY20-21'!O17/'FY20-21'!$S17*'Multi-Year'!$L17,0)+IF('FY20-21'!$S17&lt;0,'FY20-21'!O17/'FY20-21'!$S17*'Multi-Year'!$L17,0)</f>
        <v>0</v>
      </c>
      <c r="P17" s="94">
        <f>IF('FY20-21'!$S17&gt;0,'FY20-21'!P17/'FY20-21'!$S17*'Multi-Year'!$L17,0)+IF('FY20-21'!$S17&lt;0,'FY20-21'!P17/'FY20-21'!$S17*'Multi-Year'!$L17,0)</f>
        <v>0</v>
      </c>
      <c r="Q17" s="606">
        <f>IF('FY20-21'!$S17&gt;0,'FY20-21'!Q17/'FY20-21'!$S17*'Multi-Year'!$L17,0)+IF('FY20-21'!$S17&lt;0,'FY20-21'!Q17/'FY20-21'!$S17*'Multi-Year'!$L17,0)</f>
        <v>0</v>
      </c>
      <c r="R17" s="92"/>
      <c r="S17" s="625">
        <f t="shared" si="2"/>
        <v>0</v>
      </c>
      <c r="T17" s="92"/>
      <c r="U17" s="94">
        <f>'FY20-21'!S17</f>
        <v>0</v>
      </c>
      <c r="V17" s="94">
        <f t="shared" ref="V17" si="3">S17-U17</f>
        <v>0</v>
      </c>
    </row>
    <row r="18" spans="1:23" s="112" customFormat="1" ht="12" customHeight="1">
      <c r="A18" s="109"/>
      <c r="B18" s="109" t="s">
        <v>186</v>
      </c>
      <c r="C18" s="102">
        <v>8096</v>
      </c>
      <c r="D18" s="103" t="s">
        <v>8</v>
      </c>
      <c r="E18" s="356">
        <f>(E$7*(LCFF!$L$23-LCFF!$L$25)*('Multi-Year'!$L18/LCFF!$L$23))+(E$8*(LCFF!$L$25)*('Multi-Year'!$L18/LCFF!$L$23))</f>
        <v>50168.608822235343</v>
      </c>
      <c r="F18" s="356">
        <f>(F$7*(LCFF!$L$23-LCFF!$L$25)*('Multi-Year'!$L18/LCFF!$L$23))+(F$8*(LCFF!$L$25)*('Multi-Year'!$L18/LCFF!$L$23))</f>
        <v>100337.21764447069</v>
      </c>
      <c r="G18" s="356">
        <f>(G$7*(LCFF!$L$23-LCFF!$L$25)*('Multi-Year'!$L18/LCFF!$L$23))+(G$8*(LCFF!$L$25)*('Multi-Year'!$L18/LCFF!$L$23))</f>
        <v>66891.478429647119</v>
      </c>
      <c r="H18" s="356">
        <f>(H$7*(LCFF!$L$23-LCFF!$L$25)*('Multi-Year'!$L18/LCFF!$L$23))+(H$8*(LCFF!$L$25)*('Multi-Year'!$L18/LCFF!$L$23))</f>
        <v>66891.478429647119</v>
      </c>
      <c r="I18" s="356">
        <f>(I$7*(LCFF!$L$23-LCFF!$L$25)*('Multi-Year'!$L18/LCFF!$L$23))+(I$8*(LCFF!$L$25)*('Multi-Year'!$L18/LCFF!$L$23))</f>
        <v>66891.478429647119</v>
      </c>
      <c r="J18" s="356">
        <f>(J$7*(LCFF!$L$23-LCFF!$L$25)*('Multi-Year'!$L18/LCFF!$L$23))+(J$8*(LCFF!$L$25)*('Multi-Year'!$L18/LCFF!$L$23))</f>
        <v>66891.478429647119</v>
      </c>
      <c r="K18" s="356">
        <f>(K$7*(LCFF!$L$23-LCFF!$L$25)*('Multi-Year'!$L18/LCFF!$L$23))+(K$8*(LCFF!$L$25)*('Multi-Year'!$L18/LCFF!$L$23))</f>
        <v>66891.478429647119</v>
      </c>
      <c r="L18" s="94">
        <f>('Multi-Year'!$L18-SUM('FY21-22'!$E18:$K18))*L$7</f>
        <v>117060.08725188249</v>
      </c>
      <c r="M18" s="94">
        <f>('Multi-Year'!$L18-SUM('FY21-22'!$E18:$K18))*M$7</f>
        <v>58530.043625941245</v>
      </c>
      <c r="N18" s="94">
        <f>('Multi-Year'!$L18-SUM('FY21-22'!$E18:$K18))*N$7</f>
        <v>58530.043625941245</v>
      </c>
      <c r="O18" s="94">
        <f>('Multi-Year'!$L18-SUM('FY21-22'!$E18:$K18))*O$7</f>
        <v>58530.043625941245</v>
      </c>
      <c r="P18" s="94">
        <f>('Multi-Year'!$L18-SUM('FY21-22'!$E18:$K18))*P$7</f>
        <v>58530.043625941245</v>
      </c>
      <c r="Q18" s="606">
        <f>'Multi-Year'!L18-SUM('FY21-22'!E18:P18)</f>
        <v>0</v>
      </c>
      <c r="R18" s="304"/>
      <c r="S18" s="625">
        <f t="shared" si="2"/>
        <v>836143.48037058918</v>
      </c>
      <c r="T18" s="304"/>
      <c r="U18" s="94">
        <f>'FY20-21'!S18</f>
        <v>836143.48037058918</v>
      </c>
      <c r="V18" s="94">
        <f>S18-U18</f>
        <v>0</v>
      </c>
    </row>
    <row r="19" spans="1:23" s="95" customFormat="1" ht="12" customHeight="1">
      <c r="A19" s="96"/>
      <c r="B19" s="96" t="s">
        <v>186</v>
      </c>
      <c r="C19" s="102"/>
      <c r="D19" s="103"/>
      <c r="E19" s="215">
        <f>SUM(E15:E18)</f>
        <v>50168.608822235343</v>
      </c>
      <c r="F19" s="215">
        <f t="shared" ref="F19:Q19" si="4">SUM(F15:F18)</f>
        <v>1533742.4149411106</v>
      </c>
      <c r="G19" s="215">
        <f t="shared" si="4"/>
        <v>1500296.6757262871</v>
      </c>
      <c r="H19" s="215">
        <f t="shared" si="4"/>
        <v>2805094.8335635988</v>
      </c>
      <c r="I19" s="215">
        <f t="shared" si="4"/>
        <v>2647020.8335635988</v>
      </c>
      <c r="J19" s="215">
        <f t="shared" si="4"/>
        <v>2647020.8335635988</v>
      </c>
      <c r="K19" s="215">
        <f t="shared" si="4"/>
        <v>2805094.8335635988</v>
      </c>
      <c r="L19" s="215">
        <f t="shared" si="4"/>
        <v>2697189.4423858342</v>
      </c>
      <c r="M19" s="215">
        <f t="shared" si="4"/>
        <v>2647619.9830857753</v>
      </c>
      <c r="N19" s="215">
        <f t="shared" si="4"/>
        <v>2805693.9830857753</v>
      </c>
      <c r="O19" s="215">
        <f t="shared" si="4"/>
        <v>2647619.9830857753</v>
      </c>
      <c r="P19" s="215">
        <f t="shared" si="4"/>
        <v>2647619.9830857753</v>
      </c>
      <c r="Q19" s="603">
        <f t="shared" si="4"/>
        <v>2747163.9394598342</v>
      </c>
      <c r="R19" s="306"/>
      <c r="S19" s="626">
        <f>SUM(E19:R19)</f>
        <v>30181346.347932793</v>
      </c>
      <c r="T19" s="306"/>
      <c r="U19" s="216">
        <f>SUM(U15:U18)</f>
        <v>29385548.048191998</v>
      </c>
      <c r="V19" s="216">
        <f>SUM(V15:V18)</f>
        <v>795798.29974079877</v>
      </c>
    </row>
    <row r="20" spans="1:23" s="95" customFormat="1" ht="12.5" customHeight="1">
      <c r="A20" s="91"/>
      <c r="B20" s="91" t="s">
        <v>282</v>
      </c>
      <c r="C20" s="91"/>
      <c r="D20" s="91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602"/>
      <c r="R20" s="92"/>
      <c r="S20" s="627"/>
      <c r="T20" s="92"/>
      <c r="U20" s="92"/>
      <c r="V20" s="92"/>
    </row>
    <row r="21" spans="1:23" s="95" customFormat="1" ht="12" customHeight="1">
      <c r="A21" s="91"/>
      <c r="B21" s="91" t="s">
        <v>186</v>
      </c>
      <c r="C21" s="102">
        <v>8181</v>
      </c>
      <c r="D21" s="105" t="s">
        <v>315</v>
      </c>
      <c r="E21" s="94">
        <v>0</v>
      </c>
      <c r="F21" s="94">
        <f>LCFF!$J$23*'Revenue Inputs'!$G$7*'FY21-22'!E$9+LCFF!$L$25*'Revenue Inputs'!$G$7*'FY21-22'!E$8</f>
        <v>16439.695999999996</v>
      </c>
      <c r="G21" s="94">
        <f>LCFF!$J$23*'Revenue Inputs'!$G$7*'FY21-22'!F$9+LCFF!$L$25*'Revenue Inputs'!$G$7*'FY21-22'!F$8</f>
        <v>16439.695999999996</v>
      </c>
      <c r="H21" s="94">
        <f>LCFF!$J$23*'Revenue Inputs'!$G$7*'FY21-22'!G$9+LCFF!$L$25*'Revenue Inputs'!$G$7*'FY21-22'!G$8</f>
        <v>29591.452799999992</v>
      </c>
      <c r="I21" s="94">
        <f>LCFF!$J$23*'Revenue Inputs'!$G$7*'FY21-22'!H$9+LCFF!$L$25*'Revenue Inputs'!$G$7*'FY21-22'!H$8</f>
        <v>29591.452799999992</v>
      </c>
      <c r="J21" s="94">
        <f>LCFF!$J$23*'Revenue Inputs'!$G$7*'FY21-22'!I$9+LCFF!$L$25*'Revenue Inputs'!$G$7*'FY21-22'!I$8</f>
        <v>29591.452799999992</v>
      </c>
      <c r="K21" s="94">
        <f>LCFF!$J$23*'Revenue Inputs'!$G$7*'FY21-22'!J$9+LCFF!$L$25*'Revenue Inputs'!$G$7*'FY21-22'!J$8</f>
        <v>29591.452799999992</v>
      </c>
      <c r="L21" s="94">
        <f>LCFF!$J$23*'Revenue Inputs'!$G$7*'FY21-22'!K$9+LCFF!$L$25*'Revenue Inputs'!$G$7*'FY21-22'!K$8</f>
        <v>29591.452799999992</v>
      </c>
      <c r="M21" s="94">
        <f>(LCFF!$L$23*'Revenue Inputs'!$G$7-SUM($E$21:$L$21))*'FY21-22'!L$9</f>
        <v>29591.452799999995</v>
      </c>
      <c r="N21" s="94">
        <f>(LCFF!$L$23*'Revenue Inputs'!$G$7-SUM($E$21:$L$21))*'FY21-22'!M$9</f>
        <v>29591.452799999995</v>
      </c>
      <c r="O21" s="94">
        <f>(LCFF!$L$23*'Revenue Inputs'!$G$7-SUM($E$21:$L$21))*'FY21-22'!N$9</f>
        <v>29591.452799999995</v>
      </c>
      <c r="P21" s="94">
        <f>(LCFF!$L$23*'Revenue Inputs'!$G$7-SUM($E$21:$L$21))*'FY21-22'!O$9</f>
        <v>29591.452799999995</v>
      </c>
      <c r="Q21" s="606">
        <f>'Multi-Year'!L21-SUM('FY21-22'!E21:P21)</f>
        <v>29591.452800000028</v>
      </c>
      <c r="R21" s="304"/>
      <c r="S21" s="625">
        <f t="shared" ref="S21:S29" si="5">SUM(E21:Q21)</f>
        <v>328793.91999999993</v>
      </c>
      <c r="T21" s="304"/>
      <c r="U21" s="94">
        <f>'FY20-21'!S21</f>
        <v>328793.91999999993</v>
      </c>
      <c r="V21" s="94">
        <f t="shared" ref="V21:V52" si="6">S21-U21</f>
        <v>0</v>
      </c>
    </row>
    <row r="22" spans="1:23" s="95" customFormat="1" ht="12" customHeight="1">
      <c r="A22" s="91"/>
      <c r="B22" s="91" t="s">
        <v>186</v>
      </c>
      <c r="C22" s="102">
        <v>8182</v>
      </c>
      <c r="D22" s="105" t="s">
        <v>270</v>
      </c>
      <c r="E22" s="94">
        <f>IF('FY20-21'!$S22&gt;0,'FY20-21'!E22/'FY20-21'!$S22*'Multi-Year'!$L22,0)+IF('FY20-21'!$S22&lt;0,'FY20-21'!E22/'FY20-21'!$S22*'Multi-Year'!$L22,0)</f>
        <v>0</v>
      </c>
      <c r="F22" s="94">
        <f>IF('FY20-21'!$S22&gt;0,'FY20-21'!F22/'FY20-21'!$S22*'Multi-Year'!$L22,0)+IF('FY20-21'!$S22&lt;0,'FY20-21'!F22/'FY20-21'!$S22*'Multi-Year'!$L22,0)</f>
        <v>0</v>
      </c>
      <c r="G22" s="94">
        <f>IF('FY20-21'!$S22&gt;0,'FY20-21'!G22/'FY20-21'!$S22*'Multi-Year'!$L22,0)+IF('FY20-21'!$S22&lt;0,'FY20-21'!G22/'FY20-21'!$S22*'Multi-Year'!$L22,0)</f>
        <v>0</v>
      </c>
      <c r="H22" s="94">
        <f>IF('FY20-21'!$S22&gt;0,'FY20-21'!H22/'FY20-21'!$S22*'Multi-Year'!$L22,0)+IF('FY20-21'!$S22&lt;0,'FY20-21'!H22/'FY20-21'!$S22*'Multi-Year'!$L22,0)</f>
        <v>0</v>
      </c>
      <c r="I22" s="94">
        <f>IF('FY20-21'!$S22&gt;0,'FY20-21'!I22/'FY20-21'!$S22*'Multi-Year'!$L22,0)+IF('FY20-21'!$S22&lt;0,'FY20-21'!I22/'FY20-21'!$S22*'Multi-Year'!$L22,0)</f>
        <v>0</v>
      </c>
      <c r="J22" s="94">
        <f>IF('FY20-21'!$S22&gt;0,'FY20-21'!J22/'FY20-21'!$S22*'Multi-Year'!$L22,0)+IF('FY20-21'!$S22&lt;0,'FY20-21'!J22/'FY20-21'!$S22*'Multi-Year'!$L22,0)</f>
        <v>0</v>
      </c>
      <c r="K22" s="94">
        <f>IF('FY20-21'!$S22&gt;0,'FY20-21'!K22/'FY20-21'!$S22*'Multi-Year'!$L22,0)+IF('FY20-21'!$S22&lt;0,'FY20-21'!K22/'FY20-21'!$S22*'Multi-Year'!$L22,0)</f>
        <v>0</v>
      </c>
      <c r="L22" s="94">
        <f>IF('FY20-21'!$S22&gt;0,'FY20-21'!L22/'FY20-21'!$S22*'Multi-Year'!$L22,0)+IF('FY20-21'!$S22&lt;0,'FY20-21'!L22/'FY20-21'!$S22*'Multi-Year'!$L22,0)</f>
        <v>0</v>
      </c>
      <c r="M22" s="94">
        <f>IF('FY20-21'!$S22&gt;0,'FY20-21'!M22/'FY20-21'!$S22*'Multi-Year'!$L22,0)+IF('FY20-21'!$S22&lt;0,'FY20-21'!M22/'FY20-21'!$S22*'Multi-Year'!$L22,0)</f>
        <v>0</v>
      </c>
      <c r="N22" s="94">
        <f>IF('FY20-21'!$S22&gt;0,'FY20-21'!N22/'FY20-21'!$S22*'Multi-Year'!$L22,0)+IF('FY20-21'!$S22&lt;0,'FY20-21'!N22/'FY20-21'!$S22*'Multi-Year'!$L22,0)</f>
        <v>0</v>
      </c>
      <c r="O22" s="94">
        <f>IF('FY20-21'!$S22&gt;0,'FY20-21'!O22/'FY20-21'!$S22*'Multi-Year'!$L22,0)+IF('FY20-21'!$S22&lt;0,'FY20-21'!O22/'FY20-21'!$S22*'Multi-Year'!$L22,0)</f>
        <v>0</v>
      </c>
      <c r="P22" s="94">
        <f>IF('FY20-21'!$S22&gt;0,'FY20-21'!P22/'FY20-21'!$S22*'Multi-Year'!$L22,0)+IF('FY20-21'!$S22&lt;0,'FY20-21'!P22/'FY20-21'!$S22*'Multi-Year'!$L22,0)</f>
        <v>0</v>
      </c>
      <c r="Q22" s="606">
        <f>IF('FY20-21'!$S22&gt;0,'FY20-21'!Q22/'FY20-21'!$S22*'Multi-Year'!$L22,0)+IF('FY20-21'!$S22&lt;0,'FY20-21'!Q22/'FY20-21'!$S22*'Multi-Year'!$L22,0)</f>
        <v>0</v>
      </c>
      <c r="R22" s="304"/>
      <c r="S22" s="625">
        <f t="shared" si="5"/>
        <v>0</v>
      </c>
      <c r="T22" s="304"/>
      <c r="U22" s="94">
        <f>'FY20-21'!S22</f>
        <v>0</v>
      </c>
      <c r="V22" s="94">
        <f t="shared" ref="V22" si="7">S22-U22</f>
        <v>0</v>
      </c>
    </row>
    <row r="23" spans="1:23" s="95" customFormat="1" ht="12" customHeight="1">
      <c r="A23" s="91"/>
      <c r="B23" s="91" t="s">
        <v>186</v>
      </c>
      <c r="C23" s="102">
        <v>8220</v>
      </c>
      <c r="D23" s="103" t="s">
        <v>12</v>
      </c>
      <c r="E23" s="94">
        <v>0</v>
      </c>
      <c r="F23" s="94">
        <v>0</v>
      </c>
      <c r="G23" s="94">
        <f>'Multi-Year'!$L23*0.05</f>
        <v>0</v>
      </c>
      <c r="H23" s="94">
        <f>'Multi-Year'!$L23*0.05</f>
        <v>0</v>
      </c>
      <c r="I23" s="94">
        <f>'Multi-Year'!$L23*0.1</f>
        <v>0</v>
      </c>
      <c r="J23" s="94">
        <f>'Multi-Year'!$L23*0.1</f>
        <v>0</v>
      </c>
      <c r="K23" s="94">
        <f>'Multi-Year'!$L23*0.1</f>
        <v>0</v>
      </c>
      <c r="L23" s="94">
        <f>'Multi-Year'!$L23*0.1</f>
        <v>0</v>
      </c>
      <c r="M23" s="94">
        <f>'Multi-Year'!$L23*0.1</f>
        <v>0</v>
      </c>
      <c r="N23" s="94">
        <f>'Multi-Year'!$L23*0.1</f>
        <v>0</v>
      </c>
      <c r="O23" s="94">
        <f>'Multi-Year'!$L23*0.1</f>
        <v>0</v>
      </c>
      <c r="P23" s="94">
        <f>'Multi-Year'!$L23*0.1</f>
        <v>0</v>
      </c>
      <c r="Q23" s="606">
        <f>'Multi-Year'!L23-SUM('FY21-22'!E23:P23)</f>
        <v>0</v>
      </c>
      <c r="R23" s="92"/>
      <c r="S23" s="625">
        <f t="shared" si="5"/>
        <v>0</v>
      </c>
      <c r="T23" s="92"/>
      <c r="U23" s="94">
        <f>'FY20-21'!S23</f>
        <v>0</v>
      </c>
      <c r="V23" s="94">
        <f t="shared" si="6"/>
        <v>0</v>
      </c>
    </row>
    <row r="24" spans="1:23" s="95" customFormat="1" ht="12" customHeight="1">
      <c r="A24" s="91"/>
      <c r="B24" s="91" t="s">
        <v>186</v>
      </c>
      <c r="C24" s="102">
        <v>8290</v>
      </c>
      <c r="D24" s="103" t="s">
        <v>116</v>
      </c>
      <c r="E24" s="94">
        <v>0</v>
      </c>
      <c r="F24" s="94">
        <v>0</v>
      </c>
      <c r="G24" s="94">
        <f>'Multi-Year'!$L24*0.25</f>
        <v>0</v>
      </c>
      <c r="H24" s="94">
        <v>0</v>
      </c>
      <c r="I24" s="94">
        <v>0</v>
      </c>
      <c r="J24" s="94">
        <f>'Multi-Year'!$L24*0.25</f>
        <v>0</v>
      </c>
      <c r="K24" s="94">
        <v>0</v>
      </c>
      <c r="L24" s="94">
        <v>0</v>
      </c>
      <c r="M24" s="94">
        <f>'Multi-Year'!$L24*0.25</f>
        <v>0</v>
      </c>
      <c r="N24" s="94">
        <v>0</v>
      </c>
      <c r="O24" s="94">
        <v>0</v>
      </c>
      <c r="P24" s="94">
        <v>0</v>
      </c>
      <c r="Q24" s="606">
        <f>'Multi-Year'!L24-SUM('FY21-22'!E24:P24)</f>
        <v>0</v>
      </c>
      <c r="R24" s="107"/>
      <c r="S24" s="625">
        <f t="shared" si="5"/>
        <v>0</v>
      </c>
      <c r="T24" s="107"/>
      <c r="U24" s="94">
        <f>'FY20-21'!S24</f>
        <v>0</v>
      </c>
      <c r="V24" s="94">
        <f t="shared" si="6"/>
        <v>0</v>
      </c>
    </row>
    <row r="25" spans="1:23" s="95" customFormat="1" ht="12" customHeight="1">
      <c r="A25" s="91"/>
      <c r="B25" s="91" t="s">
        <v>186</v>
      </c>
      <c r="C25" s="102">
        <v>8291</v>
      </c>
      <c r="D25" s="103" t="s">
        <v>117</v>
      </c>
      <c r="E25" s="94">
        <f>IF('FY19-20'!E25&gt;0,'FY19-20'!E25/'FY19-20'!$S25*'Multi-Year'!$J25,0)</f>
        <v>0</v>
      </c>
      <c r="F25" s="94">
        <f>IF('FY19-20'!F25&gt;0,'FY19-20'!F25/'FY19-20'!$S25*'Multi-Year'!$J25,0)</f>
        <v>0</v>
      </c>
      <c r="G25" s="94">
        <f>'Multi-Year'!$L25*0.25</f>
        <v>0</v>
      </c>
      <c r="H25" s="94">
        <f>IF('FY19-20'!H25&gt;0,'FY19-20'!H25/'FY19-20'!$S25*'Multi-Year'!$J25,0)</f>
        <v>0</v>
      </c>
      <c r="I25" s="94">
        <f>IF('FY19-20'!I25&gt;0,'FY19-20'!I25/'FY19-20'!$S25*'Multi-Year'!$J25,0)</f>
        <v>0</v>
      </c>
      <c r="J25" s="94">
        <f>'Multi-Year'!$L25*0.25</f>
        <v>0</v>
      </c>
      <c r="K25" s="94">
        <f>IF('FY19-20'!K25&gt;0,'FY19-20'!K25/'FY19-20'!$S25*'Multi-Year'!$J25,0)</f>
        <v>0</v>
      </c>
      <c r="L25" s="94">
        <f>IF('FY19-20'!L25&gt;0,'FY19-20'!L25/'FY19-20'!$S25*'Multi-Year'!$J25,0)</f>
        <v>0</v>
      </c>
      <c r="M25" s="94">
        <f>'Multi-Year'!$L25*0.25</f>
        <v>0</v>
      </c>
      <c r="N25" s="94">
        <f>IF('FY19-20'!N25&gt;0,'FY19-20'!N25/'FY19-20'!$S25*'Multi-Year'!$J25,0)</f>
        <v>0</v>
      </c>
      <c r="O25" s="94">
        <f>IF('FY19-20'!O25&gt;0,'FY19-20'!O25/'FY19-20'!$S25*'Multi-Year'!$J25,0)</f>
        <v>0</v>
      </c>
      <c r="P25" s="94">
        <v>0</v>
      </c>
      <c r="Q25" s="606">
        <f>'Multi-Year'!L25-SUM('FY21-22'!E25:P25)</f>
        <v>0</v>
      </c>
      <c r="R25" s="92"/>
      <c r="S25" s="625">
        <f t="shared" si="5"/>
        <v>0</v>
      </c>
      <c r="T25" s="92"/>
      <c r="U25" s="94">
        <f>'FY20-21'!S25</f>
        <v>0</v>
      </c>
      <c r="V25" s="94">
        <f t="shared" si="6"/>
        <v>0</v>
      </c>
    </row>
    <row r="26" spans="1:23" s="95" customFormat="1" ht="12" customHeight="1">
      <c r="A26" s="91"/>
      <c r="B26" s="91" t="s">
        <v>186</v>
      </c>
      <c r="C26" s="102">
        <v>8293</v>
      </c>
      <c r="D26" s="103" t="s">
        <v>118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f>'Multi-Year'!L26</f>
        <v>0</v>
      </c>
      <c r="Q26" s="606">
        <f>'Multi-Year'!L26-SUM('FY21-22'!E26:P26)</f>
        <v>0</v>
      </c>
      <c r="R26" s="92"/>
      <c r="S26" s="625">
        <f t="shared" si="5"/>
        <v>0</v>
      </c>
      <c r="T26" s="92"/>
      <c r="U26" s="94">
        <f>'FY20-21'!S26</f>
        <v>0</v>
      </c>
      <c r="V26" s="94">
        <f t="shared" si="6"/>
        <v>0</v>
      </c>
    </row>
    <row r="27" spans="1:23" s="95" customFormat="1" ht="12" customHeight="1">
      <c r="A27" s="91"/>
      <c r="B27" s="91" t="s">
        <v>186</v>
      </c>
      <c r="C27" s="102">
        <v>8294</v>
      </c>
      <c r="D27" s="108" t="s">
        <v>263</v>
      </c>
      <c r="E27" s="94">
        <v>0</v>
      </c>
      <c r="F27" s="94">
        <v>0</v>
      </c>
      <c r="G27" s="94">
        <f>'Multi-Year'!$L27*0.25</f>
        <v>0</v>
      </c>
      <c r="H27" s="94">
        <v>0</v>
      </c>
      <c r="I27" s="94">
        <v>0</v>
      </c>
      <c r="J27" s="94">
        <f>'Multi-Year'!$L27*0.25</f>
        <v>0</v>
      </c>
      <c r="K27" s="94">
        <v>0</v>
      </c>
      <c r="L27" s="94">
        <v>0</v>
      </c>
      <c r="M27" s="94">
        <f>'Multi-Year'!$L27*0.25</f>
        <v>0</v>
      </c>
      <c r="N27" s="94">
        <v>0</v>
      </c>
      <c r="O27" s="94">
        <v>0</v>
      </c>
      <c r="P27" s="94">
        <f>'Multi-Year'!$L27*0.25</f>
        <v>0</v>
      </c>
      <c r="Q27" s="606">
        <f>'Multi-Year'!L27-SUM('FY21-22'!E27:P27)</f>
        <v>0</v>
      </c>
      <c r="R27" s="92"/>
      <c r="S27" s="625">
        <f t="shared" si="5"/>
        <v>0</v>
      </c>
      <c r="T27" s="92"/>
      <c r="U27" s="94">
        <f>'FY20-21'!S27</f>
        <v>0</v>
      </c>
      <c r="V27" s="94">
        <f t="shared" si="6"/>
        <v>0</v>
      </c>
    </row>
    <row r="28" spans="1:23" s="95" customFormat="1" ht="12" customHeight="1">
      <c r="A28" s="91"/>
      <c r="B28" s="91" t="s">
        <v>186</v>
      </c>
      <c r="C28" s="102">
        <v>8295</v>
      </c>
      <c r="D28" s="103" t="s">
        <v>264</v>
      </c>
      <c r="E28" s="94">
        <f>'Multi-Year'!$L$28/12</f>
        <v>0</v>
      </c>
      <c r="F28" s="94">
        <f>'Multi-Year'!$L$28/12</f>
        <v>0</v>
      </c>
      <c r="G28" s="94">
        <f>'Multi-Year'!$L$28/12</f>
        <v>0</v>
      </c>
      <c r="H28" s="94">
        <f>'Multi-Year'!$L$28/12</f>
        <v>0</v>
      </c>
      <c r="I28" s="94">
        <f>'Multi-Year'!$L$28/12</f>
        <v>0</v>
      </c>
      <c r="J28" s="94">
        <f>'Multi-Year'!$L$28/12</f>
        <v>0</v>
      </c>
      <c r="K28" s="94">
        <f>'Multi-Year'!$L$28/12</f>
        <v>0</v>
      </c>
      <c r="L28" s="94">
        <f>'Multi-Year'!$L$28/12</f>
        <v>0</v>
      </c>
      <c r="M28" s="94">
        <f>'Multi-Year'!$L$28/12</f>
        <v>0</v>
      </c>
      <c r="N28" s="94">
        <f>'Multi-Year'!$L$28/12</f>
        <v>0</v>
      </c>
      <c r="O28" s="94">
        <f>'Multi-Year'!$L$28/12</f>
        <v>0</v>
      </c>
      <c r="P28" s="94">
        <f>'Multi-Year'!$L$28/12</f>
        <v>0</v>
      </c>
      <c r="Q28" s="606">
        <f>'Multi-Year'!L28-SUM('FY21-22'!E28:P28)</f>
        <v>0</v>
      </c>
      <c r="R28" s="92"/>
      <c r="S28" s="625">
        <f t="shared" si="5"/>
        <v>0</v>
      </c>
      <c r="T28" s="92"/>
      <c r="U28" s="94">
        <f>'FY20-21'!S28</f>
        <v>0</v>
      </c>
      <c r="V28" s="94">
        <f t="shared" si="6"/>
        <v>0</v>
      </c>
    </row>
    <row r="29" spans="1:23" s="95" customFormat="1" ht="12" customHeight="1">
      <c r="A29" s="91"/>
      <c r="B29" s="91" t="s">
        <v>186</v>
      </c>
      <c r="C29" s="102">
        <v>8296</v>
      </c>
      <c r="D29" s="103" t="s">
        <v>133</v>
      </c>
      <c r="E29" s="94">
        <f>IF('FY20-21'!$S29&gt;0,'FY20-21'!E29/'FY20-21'!$S29*'Multi-Year'!$L29,0)+IF('FY20-21'!$S29&lt;0,'FY20-21'!E29/'FY20-21'!$S29*'Multi-Year'!$L29,0)</f>
        <v>0</v>
      </c>
      <c r="F29" s="94">
        <f>IF('FY20-21'!$S29&gt;0,'FY20-21'!F29/'FY20-21'!$S29*'Multi-Year'!$L29,0)+IF('FY20-21'!$S29&lt;0,'FY20-21'!F29/'FY20-21'!$S29*'Multi-Year'!$L29,0)</f>
        <v>0</v>
      </c>
      <c r="G29" s="94">
        <f>IF('FY20-21'!$S29&gt;0,'FY20-21'!G29/'FY20-21'!$S29*'Multi-Year'!$L29,0)+IF('FY20-21'!$S29&lt;0,'FY20-21'!G29/'FY20-21'!$S29*'Multi-Year'!$L29,0)</f>
        <v>0</v>
      </c>
      <c r="H29" s="94">
        <f>IF('FY20-21'!$S29&gt;0,'FY20-21'!H29/'FY20-21'!$S29*'Multi-Year'!$L29,0)+IF('FY20-21'!$S29&lt;0,'FY20-21'!H29/'FY20-21'!$S29*'Multi-Year'!$L29,0)</f>
        <v>0</v>
      </c>
      <c r="I29" s="94">
        <f>IF('FY20-21'!$S29&gt;0,'FY20-21'!I29/'FY20-21'!$S29*'Multi-Year'!$L29,0)+IF('FY20-21'!$S29&lt;0,'FY20-21'!I29/'FY20-21'!$S29*'Multi-Year'!$L29,0)</f>
        <v>0</v>
      </c>
      <c r="J29" s="94">
        <f>IF('FY20-21'!$S29&gt;0,'FY20-21'!J29/'FY20-21'!$S29*'Multi-Year'!$L29,0)+IF('FY20-21'!$S29&lt;0,'FY20-21'!J29/'FY20-21'!$S29*'Multi-Year'!$L29,0)</f>
        <v>0</v>
      </c>
      <c r="K29" s="94">
        <f>IF('FY20-21'!$S29&gt;0,'FY20-21'!K29/'FY20-21'!$S29*'Multi-Year'!$L29,0)+IF('FY20-21'!$S29&lt;0,'FY20-21'!K29/'FY20-21'!$S29*'Multi-Year'!$L29,0)</f>
        <v>0</v>
      </c>
      <c r="L29" s="94">
        <f>IF('FY20-21'!$S29&gt;0,'FY20-21'!L29/'FY20-21'!$S29*'Multi-Year'!$L29,0)+IF('FY20-21'!$S29&lt;0,'FY20-21'!L29/'FY20-21'!$S29*'Multi-Year'!$L29,0)</f>
        <v>0</v>
      </c>
      <c r="M29" s="94">
        <f>IF('FY20-21'!$S29&gt;0,'FY20-21'!M29/'FY20-21'!$S29*'Multi-Year'!$L29,0)+IF('FY20-21'!$S29&lt;0,'FY20-21'!M29/'FY20-21'!$S29*'Multi-Year'!$L29,0)</f>
        <v>0</v>
      </c>
      <c r="N29" s="94">
        <f>IF('FY20-21'!$S29&gt;0,'FY20-21'!N29/'FY20-21'!$S29*'Multi-Year'!$L29,0)+IF('FY20-21'!$S29&lt;0,'FY20-21'!N29/'FY20-21'!$S29*'Multi-Year'!$L29,0)</f>
        <v>136759.2465183723</v>
      </c>
      <c r="O29" s="94">
        <f>IF('FY20-21'!$S29&gt;0,'FY20-21'!O29/'FY20-21'!$S29*'Multi-Year'!$L29,0)+IF('FY20-21'!$S29&lt;0,'FY20-21'!O29/'FY20-21'!$S29*'Multi-Year'!$L29,0)</f>
        <v>0</v>
      </c>
      <c r="P29" s="94">
        <f>IF('FY20-21'!$S29&gt;0,'FY20-21'!P29/'FY20-21'!$S29*'Multi-Year'!$L29,0)+IF('FY20-21'!$S29&lt;0,'FY20-21'!P29/'FY20-21'!$S29*'Multi-Year'!$L29,0)</f>
        <v>59751.123496586995</v>
      </c>
      <c r="Q29" s="606">
        <f>IF('FY20-21'!$S29&gt;0,'FY20-21'!Q29/'FY20-21'!$S29*'Multi-Year'!$L29,0)+IF('FY20-21'!$S29&lt;0,'FY20-21'!Q29/'FY20-21'!$S29*'Multi-Year'!$L29,0)</f>
        <v>0</v>
      </c>
      <c r="R29" s="92"/>
      <c r="S29" s="625">
        <f t="shared" si="5"/>
        <v>196510.37001495931</v>
      </c>
      <c r="T29" s="92"/>
      <c r="U29" s="94">
        <f>'FY20-21'!S29</f>
        <v>196510.37001495931</v>
      </c>
      <c r="V29" s="94">
        <f t="shared" si="6"/>
        <v>0</v>
      </c>
    </row>
    <row r="30" spans="1:23" s="95" customFormat="1" ht="12" customHeight="1">
      <c r="A30" s="91"/>
      <c r="B30" s="91"/>
      <c r="C30" s="102">
        <v>8299</v>
      </c>
      <c r="D30" s="103" t="s">
        <v>385</v>
      </c>
      <c r="E30" s="94">
        <f>IF('FY20-21'!$S30&gt;0,'FY20-21'!E30/'FY20-21'!$S30*'Multi-Year'!$L30,0)+IF('FY20-21'!$S30&lt;0,'FY20-21'!E30/'FY20-21'!$S30*'Multi-Year'!$L30,0)</f>
        <v>0</v>
      </c>
      <c r="F30" s="94">
        <f>IF('FY20-21'!$S30&gt;0,'FY20-21'!F30/'FY20-21'!$S30*'Multi-Year'!$L30,0)+IF('FY20-21'!$S30&lt;0,'FY20-21'!F30/'FY20-21'!$S30*'Multi-Year'!$L30,0)</f>
        <v>0</v>
      </c>
      <c r="G30" s="94">
        <f>IF('FY20-21'!$S30&gt;0,'FY20-21'!G30/'FY20-21'!$S30*'Multi-Year'!$L30,0)+IF('FY20-21'!$S30&lt;0,'FY20-21'!G30/'FY20-21'!$S30*'Multi-Year'!$L30,0)</f>
        <v>0</v>
      </c>
      <c r="H30" s="94">
        <f>IF('FY20-21'!$S30&gt;0,'FY20-21'!H30/'FY20-21'!$S30*'Multi-Year'!$L30,0)+IF('FY20-21'!$S30&lt;0,'FY20-21'!H30/'FY20-21'!$S30*'Multi-Year'!$L30,0)</f>
        <v>0</v>
      </c>
      <c r="I30" s="94">
        <f>IF('FY20-21'!$S30&gt;0,'FY20-21'!I30/'FY20-21'!$S30*'Multi-Year'!$L30,0)+IF('FY20-21'!$S30&lt;0,'FY20-21'!I30/'FY20-21'!$S30*'Multi-Year'!$L30,0)</f>
        <v>0</v>
      </c>
      <c r="J30" s="94">
        <f>IF('FY20-21'!$S30&gt;0,'FY20-21'!J30/'FY20-21'!$S30*'Multi-Year'!$L30,0)+IF('FY20-21'!$S30&lt;0,'FY20-21'!J30/'FY20-21'!$S30*'Multi-Year'!$L30,0)</f>
        <v>0</v>
      </c>
      <c r="K30" s="94">
        <f>IF('FY20-21'!$S30&gt;0,'FY20-21'!K30/'FY20-21'!$S30*'Multi-Year'!$L30,0)+IF('FY20-21'!$S30&lt;0,'FY20-21'!K30/'FY20-21'!$S30*'Multi-Year'!$L30,0)</f>
        <v>0</v>
      </c>
      <c r="L30" s="94">
        <f>IF('FY20-21'!$S30&gt;0,'FY20-21'!L30/'FY20-21'!$S30*'Multi-Year'!$L30,0)+IF('FY20-21'!$S30&lt;0,'FY20-21'!L30/'FY20-21'!$S30*'Multi-Year'!$L30,0)</f>
        <v>0</v>
      </c>
      <c r="M30" s="94">
        <f>IF('FY20-21'!$S30&gt;0,'FY20-21'!M30/'FY20-21'!$S30*'Multi-Year'!$L30,0)+IF('FY20-21'!$S30&lt;0,'FY20-21'!M30/'FY20-21'!$S30*'Multi-Year'!$L30,0)</f>
        <v>0</v>
      </c>
      <c r="N30" s="94">
        <f>IF('FY20-21'!$S30&gt;0,'FY20-21'!N30/'FY20-21'!$S30*'Multi-Year'!$L30,0)+IF('FY20-21'!$S30&lt;0,'FY20-21'!N30/'FY20-21'!$S30*'Multi-Year'!$L30,0)</f>
        <v>0</v>
      </c>
      <c r="O30" s="94">
        <f>IF('FY20-21'!$S30&gt;0,'FY20-21'!O30/'FY20-21'!$S30*'Multi-Year'!$L30,0)+IF('FY20-21'!$S30&lt;0,'FY20-21'!O30/'FY20-21'!$S30*'Multi-Year'!$L30,0)</f>
        <v>0</v>
      </c>
      <c r="P30" s="94">
        <f>IF('FY20-21'!$S30&gt;0,'FY20-21'!P30/'FY20-21'!$S30*'Multi-Year'!$L30,0)+IF('FY20-21'!$S30&lt;0,'FY20-21'!P30/'FY20-21'!$S30*'Multi-Year'!$L30,0)</f>
        <v>0</v>
      </c>
      <c r="Q30" s="606">
        <f>IF('FY20-21'!$S30&gt;0,'FY20-21'!Q30/'FY20-21'!$S30*'Multi-Year'!$L30,0)+IF('FY20-21'!$S30&lt;0,'FY20-21'!Q30/'FY20-21'!$S30*'Multi-Year'!$L30,0)</f>
        <v>0</v>
      </c>
      <c r="R30" s="92"/>
      <c r="S30" s="625">
        <f t="shared" ref="S30" si="8">SUM(E30:Q30)</f>
        <v>0</v>
      </c>
      <c r="T30" s="92"/>
      <c r="U30" s="94">
        <f>'FY20-21'!S30</f>
        <v>0</v>
      </c>
      <c r="V30" s="94">
        <f t="shared" ref="V30" si="9">S30-U30</f>
        <v>0</v>
      </c>
    </row>
    <row r="31" spans="1:23" s="112" customFormat="1" ht="12" customHeight="1">
      <c r="A31" s="109"/>
      <c r="B31" s="109" t="s">
        <v>186</v>
      </c>
      <c r="C31" s="109"/>
      <c r="D31" s="110"/>
      <c r="E31" s="307">
        <f>SUM(E21:E30)</f>
        <v>0</v>
      </c>
      <c r="F31" s="307">
        <f t="shared" ref="F31:P31" si="10">SUM(F21:F30)</f>
        <v>16439.695999999996</v>
      </c>
      <c r="G31" s="307">
        <f t="shared" si="10"/>
        <v>16439.695999999996</v>
      </c>
      <c r="H31" s="307">
        <f t="shared" si="10"/>
        <v>29591.452799999992</v>
      </c>
      <c r="I31" s="307">
        <f t="shared" si="10"/>
        <v>29591.452799999992</v>
      </c>
      <c r="J31" s="307">
        <f t="shared" si="10"/>
        <v>29591.452799999992</v>
      </c>
      <c r="K31" s="307">
        <f t="shared" si="10"/>
        <v>29591.452799999992</v>
      </c>
      <c r="L31" s="307">
        <f t="shared" si="10"/>
        <v>29591.452799999992</v>
      </c>
      <c r="M31" s="307">
        <f t="shared" si="10"/>
        <v>29591.452799999995</v>
      </c>
      <c r="N31" s="307">
        <f t="shared" si="10"/>
        <v>166350.6993183723</v>
      </c>
      <c r="O31" s="307">
        <f t="shared" si="10"/>
        <v>29591.452799999995</v>
      </c>
      <c r="P31" s="307">
        <f t="shared" si="10"/>
        <v>89342.576296586994</v>
      </c>
      <c r="Q31" s="615">
        <f>SUM(Q21:Q30)</f>
        <v>29591.452800000028</v>
      </c>
      <c r="R31" s="304"/>
      <c r="S31" s="628">
        <f>SUM(S21:S30)</f>
        <v>525304.29001495917</v>
      </c>
      <c r="T31" s="304"/>
      <c r="U31" s="308">
        <f>SUM(U21:U30)</f>
        <v>525304.29001495917</v>
      </c>
      <c r="V31" s="308">
        <f>SUM(V21:V30)</f>
        <v>0</v>
      </c>
      <c r="W31" s="95"/>
    </row>
    <row r="32" spans="1:23" s="95" customFormat="1" ht="12" customHeight="1">
      <c r="A32" s="91"/>
      <c r="B32" s="96" t="s">
        <v>168</v>
      </c>
      <c r="C32" s="91"/>
      <c r="D32" s="91"/>
      <c r="E32" s="304"/>
      <c r="F32" s="304"/>
      <c r="G32" s="304"/>
      <c r="H32" s="304"/>
      <c r="I32" s="304"/>
      <c r="J32" s="304"/>
      <c r="K32" s="304"/>
      <c r="L32" s="306"/>
      <c r="M32" s="306"/>
      <c r="N32" s="306"/>
      <c r="O32" s="306"/>
      <c r="P32" s="306"/>
      <c r="Q32" s="614"/>
      <c r="R32" s="306"/>
      <c r="S32" s="624"/>
      <c r="T32" s="306"/>
      <c r="U32" s="306"/>
      <c r="V32" s="306"/>
    </row>
    <row r="33" spans="1:22" s="95" customFormat="1" ht="12" customHeight="1">
      <c r="A33" s="91"/>
      <c r="B33" s="91" t="s">
        <v>186</v>
      </c>
      <c r="C33" s="102">
        <v>8311</v>
      </c>
      <c r="D33" s="105" t="s">
        <v>261</v>
      </c>
      <c r="E33" s="94">
        <v>0</v>
      </c>
      <c r="F33" s="356">
        <f>LCFF!$J$23*'Revenue Inputs'!$G$18*'FY21-22'!E$9+LCFF!$L$25*'Revenue Inputs'!$G$18*'FY21-22'!E$8</f>
        <v>80260.541431003294</v>
      </c>
      <c r="G33" s="356">
        <f>LCFF!$J$23*'Revenue Inputs'!$G$18*'FY21-22'!F$9+LCFF!$L$25*'Revenue Inputs'!$G$18*'FY21-22'!F$8</f>
        <v>80260.541431003294</v>
      </c>
      <c r="H33" s="356">
        <f>LCFF!$J$23*'Revenue Inputs'!$G$18*'FY21-22'!G$9+LCFF!$L$25*'Revenue Inputs'!$G$18*'FY21-22'!G$8</f>
        <v>144468.97457580591</v>
      </c>
      <c r="I33" s="356">
        <f>LCFF!$J$23*'Revenue Inputs'!$G$18*'FY21-22'!H$9+LCFF!$L$25*'Revenue Inputs'!$G$18*'FY21-22'!H$8</f>
        <v>144468.97457580591</v>
      </c>
      <c r="J33" s="356">
        <f>LCFF!$J$23*'Revenue Inputs'!$G$18*'FY21-22'!I$9+LCFF!$L$25*'Revenue Inputs'!$G$18*'FY21-22'!I$8</f>
        <v>144468.97457580591</v>
      </c>
      <c r="K33" s="356">
        <f>LCFF!$J$23*'Revenue Inputs'!$G$18*'FY21-22'!J$9+LCFF!$L$25*'Revenue Inputs'!$G$18*'FY21-22'!J$8</f>
        <v>144468.97457580591</v>
      </c>
      <c r="L33" s="356">
        <f>LCFF!$J$23*'Revenue Inputs'!$G$18*'FY21-22'!K$9+LCFF!$L$25*'Revenue Inputs'!$G$18*'FY21-22'!K$8</f>
        <v>144468.97457580591</v>
      </c>
      <c r="M33" s="356">
        <f>(LCFF!$L$23*'Revenue Inputs'!$G$18-SUM($E$33:$L$33))*'FY21-22'!L$9</f>
        <v>144468.97457580591</v>
      </c>
      <c r="N33" s="356">
        <f>(LCFF!$L$23*'Revenue Inputs'!$G$18-SUM($E$33:$L$33))*'FY21-22'!M$9</f>
        <v>144468.97457580591</v>
      </c>
      <c r="O33" s="356">
        <f>(LCFF!$L$23*'Revenue Inputs'!$G$18-SUM($E$33:$L$33))*'FY21-22'!N$9</f>
        <v>144468.97457580591</v>
      </c>
      <c r="P33" s="356">
        <f>(LCFF!$L$23*'Revenue Inputs'!$G$18-SUM($E$33:$L$33))*'FY21-22'!O$9</f>
        <v>144468.97457580591</v>
      </c>
      <c r="Q33" s="616">
        <f>'Multi-Year'!L33-SUM('FY21-22'!E33:P33)</f>
        <v>144468.97457580571</v>
      </c>
      <c r="R33" s="304"/>
      <c r="S33" s="625">
        <f t="shared" ref="S33:S39" si="11">SUM(E33:Q33)</f>
        <v>1605210.8286200657</v>
      </c>
      <c r="T33" s="304"/>
      <c r="U33" s="94">
        <f>'FY20-21'!S33</f>
        <v>1605210.8286200657</v>
      </c>
      <c r="V33" s="94">
        <f t="shared" si="6"/>
        <v>0</v>
      </c>
    </row>
    <row r="34" spans="1:22" s="95" customFormat="1" ht="12" customHeight="1">
      <c r="A34" s="91"/>
      <c r="B34" s="91" t="s">
        <v>186</v>
      </c>
      <c r="C34" s="102">
        <v>8520</v>
      </c>
      <c r="D34" s="103" t="s">
        <v>121</v>
      </c>
      <c r="E34" s="94">
        <f>IF('FY20-21'!E34&gt;0,'FY20-21'!E34/'FY20-21'!$S34*'Multi-Year'!$L34,0)</f>
        <v>0</v>
      </c>
      <c r="F34" s="94">
        <f>IF('FY20-21'!F34&gt;0,'FY20-21'!F34/'FY20-21'!$S34*'Multi-Year'!$L34,0)</f>
        <v>0</v>
      </c>
      <c r="G34" s="94">
        <f>IF('FY20-21'!G34&gt;0,'FY20-21'!G34/'FY20-21'!$S34*'Multi-Year'!$L34,0)</f>
        <v>0</v>
      </c>
      <c r="H34" s="94">
        <f>IF('FY20-21'!H34&gt;0,'FY20-21'!H34/'FY20-21'!$S34*'Multi-Year'!$L34,0)</f>
        <v>0</v>
      </c>
      <c r="I34" s="94">
        <f>IF('FY20-21'!I34&gt;0,'FY20-21'!I34/'FY20-21'!$S34*'Multi-Year'!$L34,0)</f>
        <v>0</v>
      </c>
      <c r="J34" s="94">
        <f>IF('FY20-21'!J34&gt;0,'FY20-21'!J34/'FY20-21'!$S34*'Multi-Year'!$L34,0)</f>
        <v>0</v>
      </c>
      <c r="K34" s="94">
        <f>IF('FY20-21'!K34&gt;0,'FY20-21'!K34/'FY20-21'!$S34*'Multi-Year'!$L34,0)</f>
        <v>0</v>
      </c>
      <c r="L34" s="94">
        <f>IF('FY20-21'!L34&gt;0,'FY20-21'!L34/'FY20-21'!$S34*'Multi-Year'!$L34,0)</f>
        <v>0</v>
      </c>
      <c r="M34" s="94">
        <f>IF('FY20-21'!M34&gt;0,'FY20-21'!M34/'FY20-21'!$S34*'Multi-Year'!$L34,0)</f>
        <v>0</v>
      </c>
      <c r="N34" s="94">
        <f>IF('FY20-21'!N34&gt;0,'FY20-21'!N34/'FY20-21'!$S34*'Multi-Year'!$L34,0)</f>
        <v>0</v>
      </c>
      <c r="O34" s="94">
        <f>IF('FY20-21'!O34&gt;0,'FY20-21'!O34/'FY20-21'!$S34*'Multi-Year'!$L34,0)</f>
        <v>0</v>
      </c>
      <c r="P34" s="94">
        <f>IF('FY20-21'!P34&gt;0,'FY20-21'!P34/'FY20-21'!$S34*'Multi-Year'!$L34,0)</f>
        <v>0</v>
      </c>
      <c r="Q34" s="606">
        <f>'Multi-Year'!L34-SUM('FY21-22'!E34:P34)</f>
        <v>0</v>
      </c>
      <c r="R34" s="92"/>
      <c r="S34" s="625">
        <f t="shared" si="11"/>
        <v>0</v>
      </c>
      <c r="T34" s="92"/>
      <c r="U34" s="94">
        <f>'FY20-21'!S34</f>
        <v>0</v>
      </c>
      <c r="V34" s="94">
        <f t="shared" si="6"/>
        <v>0</v>
      </c>
    </row>
    <row r="35" spans="1:22" s="95" customFormat="1" ht="12" customHeight="1">
      <c r="A35" s="91"/>
      <c r="B35" s="91" t="s">
        <v>186</v>
      </c>
      <c r="C35" s="102">
        <v>8545</v>
      </c>
      <c r="D35" s="103" t="s">
        <v>260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f>'Multi-Year'!$L35*0.5</f>
        <v>0</v>
      </c>
      <c r="L35" s="94">
        <v>0</v>
      </c>
      <c r="M35" s="94">
        <v>0</v>
      </c>
      <c r="N35" s="94">
        <v>0</v>
      </c>
      <c r="O35" s="94">
        <f>'Multi-Year'!$L35*0.25</f>
        <v>0</v>
      </c>
      <c r="P35" s="94">
        <v>0</v>
      </c>
      <c r="Q35" s="606">
        <f>'Multi-Year'!L35-SUM('FY21-22'!E35:P35)</f>
        <v>0</v>
      </c>
      <c r="R35" s="92"/>
      <c r="S35" s="625">
        <f t="shared" si="11"/>
        <v>0</v>
      </c>
      <c r="T35" s="92"/>
      <c r="U35" s="94">
        <f>'FY20-21'!S35</f>
        <v>0</v>
      </c>
      <c r="V35" s="94" t="s">
        <v>25</v>
      </c>
    </row>
    <row r="36" spans="1:22" s="95" customFormat="1" ht="12" customHeight="1">
      <c r="A36" s="91"/>
      <c r="B36" s="91" t="s">
        <v>186</v>
      </c>
      <c r="C36" s="102">
        <v>8550</v>
      </c>
      <c r="D36" s="103" t="s">
        <v>262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f>'Multi-Year'!L36</f>
        <v>65419.390399999989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606">
        <f>'Multi-Year'!L36-SUM('FY21-22'!E36:P36)</f>
        <v>0</v>
      </c>
      <c r="R36" s="92"/>
      <c r="S36" s="625">
        <f t="shared" si="11"/>
        <v>65419.390399999989</v>
      </c>
      <c r="T36" s="92"/>
      <c r="U36" s="94">
        <f>'FY20-21'!S36</f>
        <v>65775.486799999999</v>
      </c>
      <c r="V36" s="94">
        <f t="shared" ref="V36" si="12">S36-U36</f>
        <v>-356.09640000000945</v>
      </c>
    </row>
    <row r="37" spans="1:22" s="95" customFormat="1" ht="12" customHeight="1">
      <c r="A37" s="109"/>
      <c r="B37" s="109" t="s">
        <v>186</v>
      </c>
      <c r="C37" s="102">
        <v>8560</v>
      </c>
      <c r="D37" s="103" t="s">
        <v>120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f>'Multi-Year'!$L37*0.25</f>
        <v>155846.20411422517</v>
      </c>
      <c r="L37" s="94">
        <v>0</v>
      </c>
      <c r="M37" s="94">
        <v>0</v>
      </c>
      <c r="N37" s="94">
        <f>'Multi-Year'!$L37*0.25</f>
        <v>155846.20411422517</v>
      </c>
      <c r="O37" s="94">
        <f>IF('FY20-21'!O37&gt;0,'FY20-21'!O37/'FY20-21'!$S37*'Multi-Year'!$L37,0)</f>
        <v>0</v>
      </c>
      <c r="P37" s="94">
        <f>IF('FY20-21'!P37&gt;0,'FY20-21'!P37/'FY20-21'!$S37*'Multi-Year'!$L37,0)</f>
        <v>0</v>
      </c>
      <c r="Q37" s="606">
        <f>'Multi-Year'!L37-SUM('FY21-22'!E37:P37)</f>
        <v>311692.40822845034</v>
      </c>
      <c r="R37" s="92"/>
      <c r="S37" s="625">
        <f t="shared" si="11"/>
        <v>623384.81645690068</v>
      </c>
      <c r="T37" s="92"/>
      <c r="U37" s="94">
        <f>'FY20-21'!S37</f>
        <v>623384.81645690068</v>
      </c>
      <c r="V37" s="94">
        <f t="shared" si="6"/>
        <v>0</v>
      </c>
    </row>
    <row r="38" spans="1:22" s="95" customFormat="1" ht="12" customHeight="1">
      <c r="A38" s="109"/>
      <c r="B38" s="109" t="s">
        <v>186</v>
      </c>
      <c r="C38" s="102">
        <v>8598</v>
      </c>
      <c r="D38" s="103" t="s">
        <v>242</v>
      </c>
      <c r="E38" s="94">
        <f>IF('FY20-21'!$S38&gt;0,'FY20-21'!E38/'FY20-21'!$S38*'Multi-Year'!$L38,0)+IF('FY20-21'!$S38&lt;0,'FY20-21'!E38/'FY20-21'!$S38*'Multi-Year'!$L38,0)</f>
        <v>0</v>
      </c>
      <c r="F38" s="94">
        <f>IF('FY20-21'!$S38&gt;0,'FY20-21'!F38/'FY20-21'!$S38*'Multi-Year'!$L38,0)+IF('FY20-21'!$S38&lt;0,'FY20-21'!F38/'FY20-21'!$S38*'Multi-Year'!$L38,0)</f>
        <v>0</v>
      </c>
      <c r="G38" s="94">
        <f>IF('FY20-21'!$S38&gt;0,'FY20-21'!G38/'FY20-21'!$S38*'Multi-Year'!$L38,0)+IF('FY20-21'!$S38&lt;0,'FY20-21'!G38/'FY20-21'!$S38*'Multi-Year'!$L38,0)</f>
        <v>0</v>
      </c>
      <c r="H38" s="94">
        <f>IF('FY20-21'!$S38&gt;0,'FY20-21'!H38/'FY20-21'!$S38*'Multi-Year'!$L38,0)+IF('FY20-21'!$S38&lt;0,'FY20-21'!H38/'FY20-21'!$S38*'Multi-Year'!$L38,0)</f>
        <v>0</v>
      </c>
      <c r="I38" s="94">
        <f>IF('FY20-21'!$S38&gt;0,'FY20-21'!I38/'FY20-21'!$S38*'Multi-Year'!$L38,0)+IF('FY20-21'!$S38&lt;0,'FY20-21'!I38/'FY20-21'!$S38*'Multi-Year'!$L38,0)</f>
        <v>0</v>
      </c>
      <c r="J38" s="94">
        <f>IF('FY20-21'!$S38&gt;0,'FY20-21'!J38/'FY20-21'!$S38*'Multi-Year'!$L38,0)+IF('FY20-21'!$S38&lt;0,'FY20-21'!J38/'FY20-21'!$S38*'Multi-Year'!$L38,0)</f>
        <v>0</v>
      </c>
      <c r="K38" s="94">
        <f>IF('FY20-21'!$S38&gt;0,'FY20-21'!K38/'FY20-21'!$S38*'Multi-Year'!$L38,0)+IF('FY20-21'!$S38&lt;0,'FY20-21'!K38/'FY20-21'!$S38*'Multi-Year'!$L38,0)</f>
        <v>0</v>
      </c>
      <c r="L38" s="94">
        <f>IF('FY20-21'!$S38&gt;0,'FY20-21'!L38/'FY20-21'!$S38*'Multi-Year'!$L38,0)+IF('FY20-21'!$S38&lt;0,'FY20-21'!L38/'FY20-21'!$S38*'Multi-Year'!$L38,0)</f>
        <v>0</v>
      </c>
      <c r="M38" s="94">
        <f>IF('FY20-21'!$S38&gt;0,'FY20-21'!M38/'FY20-21'!$S38*'Multi-Year'!$L38,0)+IF('FY20-21'!$S38&lt;0,'FY20-21'!M38/'FY20-21'!$S38*'Multi-Year'!$L38,0)</f>
        <v>0</v>
      </c>
      <c r="N38" s="94">
        <f>IF('FY20-21'!$S38&gt;0,'FY20-21'!N38/'FY20-21'!$S38*'Multi-Year'!$L38,0)+IF('FY20-21'!$S38&lt;0,'FY20-21'!N38/'FY20-21'!$S38*'Multi-Year'!$L38,0)</f>
        <v>0</v>
      </c>
      <c r="O38" s="94">
        <f>IF('FY20-21'!$S38&gt;0,'FY20-21'!O38/'FY20-21'!$S38*'Multi-Year'!$L38,0)+IF('FY20-21'!$S38&lt;0,'FY20-21'!O38/'FY20-21'!$S38*'Multi-Year'!$L38,0)</f>
        <v>0</v>
      </c>
      <c r="P38" s="94">
        <f>IF('FY20-21'!$S38&gt;0,'FY20-21'!P38/'FY20-21'!$S38*'Multi-Year'!$L38,0)+IF('FY20-21'!$S38&lt;0,'FY20-21'!P38/'FY20-21'!$S38*'Multi-Year'!$L38,0)</f>
        <v>0</v>
      </c>
      <c r="Q38" s="606">
        <f>IF('FY20-21'!$S38&gt;0,'FY20-21'!Q38/'FY20-21'!$S38*'Multi-Year'!$L38,0)+IF('FY20-21'!$S38&lt;0,'FY20-21'!Q38/'FY20-21'!$S38*'Multi-Year'!$L38,0)</f>
        <v>0</v>
      </c>
      <c r="R38" s="92"/>
      <c r="S38" s="625">
        <f t="shared" si="11"/>
        <v>0</v>
      </c>
      <c r="T38" s="92"/>
      <c r="U38" s="94">
        <f>'FY20-21'!S38</f>
        <v>0</v>
      </c>
      <c r="V38" s="94">
        <f t="shared" ref="V38" si="13">S38-U38</f>
        <v>0</v>
      </c>
    </row>
    <row r="39" spans="1:22" s="95" customFormat="1" ht="12" customHeight="1">
      <c r="A39" s="91"/>
      <c r="B39" s="91" t="s">
        <v>186</v>
      </c>
      <c r="C39" s="102">
        <v>8599</v>
      </c>
      <c r="D39" s="103" t="s">
        <v>168</v>
      </c>
      <c r="E39" s="94">
        <v>0</v>
      </c>
      <c r="F39" s="94">
        <v>0</v>
      </c>
      <c r="G39" s="94">
        <v>0</v>
      </c>
      <c r="H39" s="94">
        <v>0</v>
      </c>
      <c r="I39" s="94">
        <f>'Multi-Year'!$L$39*0.65</f>
        <v>0</v>
      </c>
      <c r="J39" s="94">
        <v>0</v>
      </c>
      <c r="K39" s="94">
        <v>0</v>
      </c>
      <c r="L39" s="94">
        <v>0</v>
      </c>
      <c r="M39" s="94">
        <v>0</v>
      </c>
      <c r="N39" s="94">
        <f>'Multi-Year'!$L$39*0.25</f>
        <v>0</v>
      </c>
      <c r="O39" s="94">
        <v>0</v>
      </c>
      <c r="P39" s="94">
        <v>0</v>
      </c>
      <c r="Q39" s="606">
        <f>'Multi-Year'!L39-SUM('FY21-22'!E39:P39)</f>
        <v>0</v>
      </c>
      <c r="R39" s="92"/>
      <c r="S39" s="625">
        <f t="shared" si="11"/>
        <v>0</v>
      </c>
      <c r="T39" s="92"/>
      <c r="U39" s="94">
        <f>'FY20-21'!S39</f>
        <v>0</v>
      </c>
      <c r="V39" s="94">
        <f t="shared" si="6"/>
        <v>0</v>
      </c>
    </row>
    <row r="40" spans="1:22" s="112" customFormat="1" ht="12" customHeight="1">
      <c r="A40" s="109"/>
      <c r="B40" s="109" t="s">
        <v>186</v>
      </c>
      <c r="C40" s="109"/>
      <c r="D40" s="110"/>
      <c r="E40" s="307">
        <f>SUM(E33:E39)</f>
        <v>0</v>
      </c>
      <c r="F40" s="307">
        <f t="shared" ref="F40:Q40" si="14">SUM(F33:F39)</f>
        <v>80260.541431003294</v>
      </c>
      <c r="G40" s="307">
        <f t="shared" si="14"/>
        <v>80260.541431003294</v>
      </c>
      <c r="H40" s="307">
        <f t="shared" si="14"/>
        <v>144468.97457580591</v>
      </c>
      <c r="I40" s="307">
        <f t="shared" si="14"/>
        <v>144468.97457580591</v>
      </c>
      <c r="J40" s="307">
        <f t="shared" si="14"/>
        <v>209888.36497580592</v>
      </c>
      <c r="K40" s="307">
        <f t="shared" si="14"/>
        <v>300315.17869003105</v>
      </c>
      <c r="L40" s="307">
        <f t="shared" si="14"/>
        <v>144468.97457580591</v>
      </c>
      <c r="M40" s="307">
        <f t="shared" si="14"/>
        <v>144468.97457580591</v>
      </c>
      <c r="N40" s="307">
        <f t="shared" si="14"/>
        <v>300315.17869003105</v>
      </c>
      <c r="O40" s="307">
        <f t="shared" si="14"/>
        <v>144468.97457580591</v>
      </c>
      <c r="P40" s="307">
        <f t="shared" si="14"/>
        <v>144468.97457580591</v>
      </c>
      <c r="Q40" s="615">
        <f t="shared" si="14"/>
        <v>456161.38280425605</v>
      </c>
      <c r="R40" s="304"/>
      <c r="S40" s="626">
        <f>SUM(E40:R40)</f>
        <v>2294015.0354769658</v>
      </c>
      <c r="T40" s="304"/>
      <c r="U40" s="307">
        <f>SUM(U33:U39)</f>
        <v>2294371.1318769665</v>
      </c>
      <c r="V40" s="307">
        <f>SUM(V33:V39)</f>
        <v>-356.09640000000945</v>
      </c>
    </row>
    <row r="41" spans="1:22" s="112" customFormat="1" ht="12" customHeight="1">
      <c r="A41" s="109"/>
      <c r="B41" s="120" t="s">
        <v>283</v>
      </c>
      <c r="C41" s="102"/>
      <c r="D41" s="103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617"/>
      <c r="R41" s="304"/>
      <c r="S41" s="625"/>
      <c r="T41" s="304"/>
      <c r="U41" s="304"/>
      <c r="V41" s="304"/>
    </row>
    <row r="42" spans="1:22" s="95" customFormat="1" ht="12" customHeight="1">
      <c r="A42" s="91"/>
      <c r="B42" s="91" t="s">
        <v>186</v>
      </c>
      <c r="C42" s="102">
        <v>8634</v>
      </c>
      <c r="D42" s="104" t="s">
        <v>14</v>
      </c>
      <c r="E42" s="94">
        <f>IF('FY20-21'!$S42&gt;0,'FY20-21'!E42/'FY20-21'!$S42*'Multi-Year'!$L42,0)+IF('FY20-21'!$S42&lt;0,'FY20-21'!E42/'FY20-21'!$S42*'Multi-Year'!$L42,0)</f>
        <v>0</v>
      </c>
      <c r="F42" s="94">
        <f>IF('FY20-21'!$S42&gt;0,'FY20-21'!F42/'FY20-21'!$S42*'Multi-Year'!$L42,0)+IF('FY20-21'!$S42&lt;0,'FY20-21'!F42/'FY20-21'!$S42*'Multi-Year'!$L42,0)</f>
        <v>0</v>
      </c>
      <c r="G42" s="94">
        <f>IF('FY20-21'!$S42&gt;0,'FY20-21'!G42/'FY20-21'!$S42*'Multi-Year'!$L42,0)+IF('FY20-21'!$S42&lt;0,'FY20-21'!G42/'FY20-21'!$S42*'Multi-Year'!$L42,0)</f>
        <v>0</v>
      </c>
      <c r="H42" s="94">
        <f>IF('FY20-21'!$S42&gt;0,'FY20-21'!H42/'FY20-21'!$S42*'Multi-Year'!$L42,0)+IF('FY20-21'!$S42&lt;0,'FY20-21'!H42/'FY20-21'!$S42*'Multi-Year'!$L42,0)</f>
        <v>0</v>
      </c>
      <c r="I42" s="94">
        <f>IF('FY20-21'!$S42&gt;0,'FY20-21'!I42/'FY20-21'!$S42*'Multi-Year'!$L42,0)+IF('FY20-21'!$S42&lt;0,'FY20-21'!I42/'FY20-21'!$S42*'Multi-Year'!$L42,0)</f>
        <v>0</v>
      </c>
      <c r="J42" s="94">
        <f>IF('FY20-21'!$S42&gt;0,'FY20-21'!J42/'FY20-21'!$S42*'Multi-Year'!$L42,0)+IF('FY20-21'!$S42&lt;0,'FY20-21'!J42/'FY20-21'!$S42*'Multi-Year'!$L42,0)</f>
        <v>0</v>
      </c>
      <c r="K42" s="94">
        <f>IF('FY20-21'!$S42&gt;0,'FY20-21'!K42/'FY20-21'!$S42*'Multi-Year'!$L42,0)+IF('FY20-21'!$S42&lt;0,'FY20-21'!K42/'FY20-21'!$S42*'Multi-Year'!$L42,0)</f>
        <v>0</v>
      </c>
      <c r="L42" s="94">
        <f>IF('FY20-21'!$S42&gt;0,'FY20-21'!L42/'FY20-21'!$S42*'Multi-Year'!$L42,0)+IF('FY20-21'!$S42&lt;0,'FY20-21'!L42/'FY20-21'!$S42*'Multi-Year'!$L42,0)</f>
        <v>0</v>
      </c>
      <c r="M42" s="94">
        <f>IF('FY20-21'!$S42&gt;0,'FY20-21'!M42/'FY20-21'!$S42*'Multi-Year'!$L42,0)+IF('FY20-21'!$S42&lt;0,'FY20-21'!M42/'FY20-21'!$S42*'Multi-Year'!$L42,0)</f>
        <v>0</v>
      </c>
      <c r="N42" s="94">
        <f>IF('FY20-21'!$S42&gt;0,'FY20-21'!N42/'FY20-21'!$S42*'Multi-Year'!$L42,0)+IF('FY20-21'!$S42&lt;0,'FY20-21'!N42/'FY20-21'!$S42*'Multi-Year'!$L42,0)</f>
        <v>0</v>
      </c>
      <c r="O42" s="94">
        <f>IF('FY20-21'!$S42&gt;0,'FY20-21'!O42/'FY20-21'!$S42*'Multi-Year'!$L42,0)+IF('FY20-21'!$S42&lt;0,'FY20-21'!O42/'FY20-21'!$S42*'Multi-Year'!$L42,0)</f>
        <v>0</v>
      </c>
      <c r="P42" s="94">
        <f>IF('FY20-21'!$S42&gt;0,'FY20-21'!P42/'FY20-21'!$S42*'Multi-Year'!$L42,0)+IF('FY20-21'!$S42&lt;0,'FY20-21'!P42/'FY20-21'!$S42*'Multi-Year'!$L42,0)</f>
        <v>0</v>
      </c>
      <c r="Q42" s="606">
        <f>IF('FY20-21'!$S42&gt;0,'FY20-21'!Q42/'FY20-21'!$S42*'Multi-Year'!$L42,0)+IF('FY20-21'!$S42&lt;0,'FY20-21'!Q42/'FY20-21'!$S42*'Multi-Year'!$L42,0)</f>
        <v>0</v>
      </c>
      <c r="R42" s="92"/>
      <c r="S42" s="625">
        <f t="shared" ref="S42:S49" si="15">SUM(E42:Q42)</f>
        <v>0</v>
      </c>
      <c r="T42" s="92"/>
      <c r="U42" s="94">
        <f>'FY20-21'!S42</f>
        <v>0</v>
      </c>
      <c r="V42" s="94">
        <f t="shared" ref="V42" si="16">S42-U42</f>
        <v>0</v>
      </c>
    </row>
    <row r="43" spans="1:22" s="95" customFormat="1" ht="12" customHeight="1">
      <c r="A43" s="91"/>
      <c r="B43" s="91" t="s">
        <v>186</v>
      </c>
      <c r="C43" s="102">
        <v>8650</v>
      </c>
      <c r="D43" s="104" t="s">
        <v>15</v>
      </c>
      <c r="E43" s="94">
        <f>IF('FY20-21'!$S43&gt;0,'FY20-21'!E43/'FY20-21'!$S43*'Multi-Year'!$L43,0)+IF('FY20-21'!$S43&lt;0,'FY20-21'!E43/'FY20-21'!$S43*'Multi-Year'!$L43,0)</f>
        <v>0</v>
      </c>
      <c r="F43" s="94">
        <f>IF('FY20-21'!$S43&gt;0,'FY20-21'!F43/'FY20-21'!$S43*'Multi-Year'!$L43,0)+IF('FY20-21'!$S43&lt;0,'FY20-21'!F43/'FY20-21'!$S43*'Multi-Year'!$L43,0)</f>
        <v>0</v>
      </c>
      <c r="G43" s="94">
        <f>IF('FY20-21'!$S43&gt;0,'FY20-21'!G43/'FY20-21'!$S43*'Multi-Year'!$L43,0)+IF('FY20-21'!$S43&lt;0,'FY20-21'!G43/'FY20-21'!$S43*'Multi-Year'!$L43,0)</f>
        <v>0</v>
      </c>
      <c r="H43" s="94">
        <f>IF('FY20-21'!$S43&gt;0,'FY20-21'!H43/'FY20-21'!$S43*'Multi-Year'!$L43,0)+IF('FY20-21'!$S43&lt;0,'FY20-21'!H43/'FY20-21'!$S43*'Multi-Year'!$L43,0)</f>
        <v>0</v>
      </c>
      <c r="I43" s="94">
        <f>IF('FY20-21'!$S43&gt;0,'FY20-21'!I43/'FY20-21'!$S43*'Multi-Year'!$L43,0)+IF('FY20-21'!$S43&lt;0,'FY20-21'!I43/'FY20-21'!$S43*'Multi-Year'!$L43,0)</f>
        <v>0</v>
      </c>
      <c r="J43" s="94">
        <f>IF('FY20-21'!$S43&gt;0,'FY20-21'!J43/'FY20-21'!$S43*'Multi-Year'!$L43,0)+IF('FY20-21'!$S43&lt;0,'FY20-21'!J43/'FY20-21'!$S43*'Multi-Year'!$L43,0)</f>
        <v>0</v>
      </c>
      <c r="K43" s="94">
        <f>IF('FY20-21'!$S43&gt;0,'FY20-21'!K43/'FY20-21'!$S43*'Multi-Year'!$L43,0)+IF('FY20-21'!$S43&lt;0,'FY20-21'!K43/'FY20-21'!$S43*'Multi-Year'!$L43,0)</f>
        <v>0</v>
      </c>
      <c r="L43" s="94">
        <f>IF('FY20-21'!$S43&gt;0,'FY20-21'!L43/'FY20-21'!$S43*'Multi-Year'!$L43,0)+IF('FY20-21'!$S43&lt;0,'FY20-21'!L43/'FY20-21'!$S43*'Multi-Year'!$L43,0)</f>
        <v>0</v>
      </c>
      <c r="M43" s="94">
        <f>IF('FY20-21'!$S43&gt;0,'FY20-21'!M43/'FY20-21'!$S43*'Multi-Year'!$L43,0)+IF('FY20-21'!$S43&lt;0,'FY20-21'!M43/'FY20-21'!$S43*'Multi-Year'!$L43,0)</f>
        <v>0</v>
      </c>
      <c r="N43" s="94">
        <f>IF('FY20-21'!$S43&gt;0,'FY20-21'!N43/'FY20-21'!$S43*'Multi-Year'!$L43,0)+IF('FY20-21'!$S43&lt;0,'FY20-21'!N43/'FY20-21'!$S43*'Multi-Year'!$L43,0)</f>
        <v>0</v>
      </c>
      <c r="O43" s="94">
        <f>IF('FY20-21'!$S43&gt;0,'FY20-21'!O43/'FY20-21'!$S43*'Multi-Year'!$L43,0)+IF('FY20-21'!$S43&lt;0,'FY20-21'!O43/'FY20-21'!$S43*'Multi-Year'!$L43,0)</f>
        <v>0</v>
      </c>
      <c r="P43" s="94">
        <f>IF('FY20-21'!$S43&gt;0,'FY20-21'!P43/'FY20-21'!$S43*'Multi-Year'!$L43,0)+IF('FY20-21'!$S43&lt;0,'FY20-21'!P43/'FY20-21'!$S43*'Multi-Year'!$L43,0)</f>
        <v>0</v>
      </c>
      <c r="Q43" s="606">
        <f>IF('FY20-21'!$S43&gt;0,'FY20-21'!Q43/'FY20-21'!$S43*'Multi-Year'!$L43,0)+IF('FY20-21'!$S43&lt;0,'FY20-21'!Q43/'FY20-21'!$S43*'Multi-Year'!$L43,0)</f>
        <v>0</v>
      </c>
      <c r="R43" s="92"/>
      <c r="S43" s="625">
        <f t="shared" si="15"/>
        <v>0</v>
      </c>
      <c r="T43" s="92"/>
      <c r="U43" s="94">
        <f>'FY20-21'!S43</f>
        <v>0</v>
      </c>
      <c r="V43" s="94">
        <f t="shared" si="6"/>
        <v>0</v>
      </c>
    </row>
    <row r="44" spans="1:22" s="95" customFormat="1" ht="12" customHeight="1">
      <c r="A44" s="91"/>
      <c r="B44" s="91" t="s">
        <v>186</v>
      </c>
      <c r="C44" s="102">
        <v>8660</v>
      </c>
      <c r="D44" s="104" t="s">
        <v>16</v>
      </c>
      <c r="E44" s="94">
        <f>IF('FY20-21'!$S44&gt;0,'FY20-21'!E44/'FY20-21'!$S44*'Multi-Year'!$L44,0)+IF('FY20-21'!$S44&lt;0,'FY20-21'!E44/'FY20-21'!$S44*'Multi-Year'!$L44,0)</f>
        <v>0</v>
      </c>
      <c r="F44" s="94">
        <f>IF('FY20-21'!$S44&gt;0,'FY20-21'!F44/'FY20-21'!$S44*'Multi-Year'!$L44,0)+IF('FY20-21'!$S44&lt;0,'FY20-21'!F44/'FY20-21'!$S44*'Multi-Year'!$L44,0)</f>
        <v>0</v>
      </c>
      <c r="G44" s="94">
        <f>IF('FY20-21'!$S44&gt;0,'FY20-21'!G44/'FY20-21'!$S44*'Multi-Year'!$L44,0)+IF('FY20-21'!$S44&lt;0,'FY20-21'!G44/'FY20-21'!$S44*'Multi-Year'!$L44,0)</f>
        <v>0</v>
      </c>
      <c r="H44" s="94">
        <f>IF('FY20-21'!$S44&gt;0,'FY20-21'!H44/'FY20-21'!$S44*'Multi-Year'!$L44,0)+IF('FY20-21'!$S44&lt;0,'FY20-21'!H44/'FY20-21'!$S44*'Multi-Year'!$L44,0)</f>
        <v>0</v>
      </c>
      <c r="I44" s="94">
        <f>IF('FY20-21'!$S44&gt;0,'FY20-21'!I44/'FY20-21'!$S44*'Multi-Year'!$L44,0)+IF('FY20-21'!$S44&lt;0,'FY20-21'!I44/'FY20-21'!$S44*'Multi-Year'!$L44,0)</f>
        <v>0</v>
      </c>
      <c r="J44" s="94">
        <f>IF('FY20-21'!$S44&gt;0,'FY20-21'!J44/'FY20-21'!$S44*'Multi-Year'!$L44,0)+IF('FY20-21'!$S44&lt;0,'FY20-21'!J44/'FY20-21'!$S44*'Multi-Year'!$L44,0)</f>
        <v>0</v>
      </c>
      <c r="K44" s="94">
        <f>IF('FY20-21'!$S44&gt;0,'FY20-21'!K44/'FY20-21'!$S44*'Multi-Year'!$L44,0)+IF('FY20-21'!$S44&lt;0,'FY20-21'!K44/'FY20-21'!$S44*'Multi-Year'!$L44,0)</f>
        <v>0</v>
      </c>
      <c r="L44" s="94">
        <f>IF('FY20-21'!$S44&gt;0,'FY20-21'!L44/'FY20-21'!$S44*'Multi-Year'!$L44,0)+IF('FY20-21'!$S44&lt;0,'FY20-21'!L44/'FY20-21'!$S44*'Multi-Year'!$L44,0)</f>
        <v>0</v>
      </c>
      <c r="M44" s="94">
        <f>IF('FY20-21'!$S44&gt;0,'FY20-21'!M44/'FY20-21'!$S44*'Multi-Year'!$L44,0)+IF('FY20-21'!$S44&lt;0,'FY20-21'!M44/'FY20-21'!$S44*'Multi-Year'!$L44,0)</f>
        <v>0</v>
      </c>
      <c r="N44" s="94">
        <f>IF('FY20-21'!$S44&gt;0,'FY20-21'!N44/'FY20-21'!$S44*'Multi-Year'!$L44,0)+IF('FY20-21'!$S44&lt;0,'FY20-21'!N44/'FY20-21'!$S44*'Multi-Year'!$L44,0)</f>
        <v>0</v>
      </c>
      <c r="O44" s="94">
        <f>IF('FY20-21'!$S44&gt;0,'FY20-21'!O44/'FY20-21'!$S44*'Multi-Year'!$L44,0)+IF('FY20-21'!$S44&lt;0,'FY20-21'!O44/'FY20-21'!$S44*'Multi-Year'!$L44,0)</f>
        <v>0</v>
      </c>
      <c r="P44" s="94">
        <f>IF('FY20-21'!$S44&gt;0,'FY20-21'!P44/'FY20-21'!$S44*'Multi-Year'!$L44,0)+IF('FY20-21'!$S44&lt;0,'FY20-21'!P44/'FY20-21'!$S44*'Multi-Year'!$L44,0)</f>
        <v>0</v>
      </c>
      <c r="Q44" s="606">
        <f>IF('FY20-21'!$S44&gt;0,'FY20-21'!Q44/'FY20-21'!$S44*'Multi-Year'!$L44,0)+IF('FY20-21'!$S44&lt;0,'FY20-21'!Q44/'FY20-21'!$S44*'Multi-Year'!$L44,0)</f>
        <v>0</v>
      </c>
      <c r="R44" s="92"/>
      <c r="S44" s="625">
        <f t="shared" si="15"/>
        <v>0</v>
      </c>
      <c r="T44" s="92"/>
      <c r="U44" s="94">
        <f>'FY20-21'!S44</f>
        <v>0</v>
      </c>
      <c r="V44" s="94">
        <f t="shared" si="6"/>
        <v>0</v>
      </c>
    </row>
    <row r="45" spans="1:22" s="95" customFormat="1" ht="12" customHeight="1">
      <c r="A45" s="96"/>
      <c r="B45" s="96" t="s">
        <v>186</v>
      </c>
      <c r="C45" s="102">
        <v>8689</v>
      </c>
      <c r="D45" s="104" t="s">
        <v>105</v>
      </c>
      <c r="E45" s="94">
        <f>IF('FY20-21'!$S45&gt;0,'FY20-21'!E45/'FY20-21'!$S45*'Multi-Year'!$L45,0)+IF('FY20-21'!$S45&lt;0,'FY20-21'!E45/'FY20-21'!$S45*'Multi-Year'!$L45,0)</f>
        <v>0</v>
      </c>
      <c r="F45" s="94">
        <f>IF('FY20-21'!$S45&gt;0,'FY20-21'!F45/'FY20-21'!$S45*'Multi-Year'!$L45,0)+IF('FY20-21'!$S45&lt;0,'FY20-21'!F45/'FY20-21'!$S45*'Multi-Year'!$L45,0)</f>
        <v>0</v>
      </c>
      <c r="G45" s="94">
        <f>IF('FY20-21'!$S45&gt;0,'FY20-21'!G45/'FY20-21'!$S45*'Multi-Year'!$L45,0)+IF('FY20-21'!$S45&lt;0,'FY20-21'!G45/'FY20-21'!$S45*'Multi-Year'!$L45,0)</f>
        <v>0</v>
      </c>
      <c r="H45" s="94">
        <f>IF('FY20-21'!$S45&gt;0,'FY20-21'!H45/'FY20-21'!$S45*'Multi-Year'!$L45,0)+IF('FY20-21'!$S45&lt;0,'FY20-21'!H45/'FY20-21'!$S45*'Multi-Year'!$L45,0)</f>
        <v>0</v>
      </c>
      <c r="I45" s="94">
        <f>IF('FY20-21'!$S45&gt;0,'FY20-21'!I45/'FY20-21'!$S45*'Multi-Year'!$L45,0)+IF('FY20-21'!$S45&lt;0,'FY20-21'!I45/'FY20-21'!$S45*'Multi-Year'!$L45,0)</f>
        <v>0</v>
      </c>
      <c r="J45" s="94">
        <f>IF('FY20-21'!$S45&gt;0,'FY20-21'!J45/'FY20-21'!$S45*'Multi-Year'!$L45,0)+IF('FY20-21'!$S45&lt;0,'FY20-21'!J45/'FY20-21'!$S45*'Multi-Year'!$L45,0)</f>
        <v>0</v>
      </c>
      <c r="K45" s="94">
        <f>IF('FY20-21'!$S45&gt;0,'FY20-21'!K45/'FY20-21'!$S45*'Multi-Year'!$L45,0)+IF('FY20-21'!$S45&lt;0,'FY20-21'!K45/'FY20-21'!$S45*'Multi-Year'!$L45,0)</f>
        <v>0</v>
      </c>
      <c r="L45" s="94">
        <f>IF('FY20-21'!$S45&gt;0,'FY20-21'!L45/'FY20-21'!$S45*'Multi-Year'!$L45,0)+IF('FY20-21'!$S45&lt;0,'FY20-21'!L45/'FY20-21'!$S45*'Multi-Year'!$L45,0)</f>
        <v>0</v>
      </c>
      <c r="M45" s="94">
        <f>IF('FY20-21'!$S45&gt;0,'FY20-21'!M45/'FY20-21'!$S45*'Multi-Year'!$L45,0)+IF('FY20-21'!$S45&lt;0,'FY20-21'!M45/'FY20-21'!$S45*'Multi-Year'!$L45,0)</f>
        <v>0</v>
      </c>
      <c r="N45" s="94">
        <f>IF('FY20-21'!$S45&gt;0,'FY20-21'!N45/'FY20-21'!$S45*'Multi-Year'!$L45,0)+IF('FY20-21'!$S45&lt;0,'FY20-21'!N45/'FY20-21'!$S45*'Multi-Year'!$L45,0)</f>
        <v>0</v>
      </c>
      <c r="O45" s="94">
        <f>IF('FY20-21'!$S45&gt;0,'FY20-21'!O45/'FY20-21'!$S45*'Multi-Year'!$L45,0)+IF('FY20-21'!$S45&lt;0,'FY20-21'!O45/'FY20-21'!$S45*'Multi-Year'!$L45,0)</f>
        <v>0</v>
      </c>
      <c r="P45" s="94">
        <f>IF('FY20-21'!$S45&gt;0,'FY20-21'!P45/'FY20-21'!$S45*'Multi-Year'!$L45,0)+IF('FY20-21'!$S45&lt;0,'FY20-21'!P45/'FY20-21'!$S45*'Multi-Year'!$L45,0)</f>
        <v>0</v>
      </c>
      <c r="Q45" s="606">
        <f>IF('FY20-21'!$S45&gt;0,'FY20-21'!Q45/'FY20-21'!$S45*'Multi-Year'!$L45,0)+IF('FY20-21'!$S45&lt;0,'FY20-21'!Q45/'FY20-21'!$S45*'Multi-Year'!$L45,0)</f>
        <v>0</v>
      </c>
      <c r="R45" s="306"/>
      <c r="S45" s="625">
        <f t="shared" si="15"/>
        <v>0</v>
      </c>
      <c r="T45" s="306"/>
      <c r="U45" s="94">
        <f>'FY20-21'!S45</f>
        <v>0</v>
      </c>
      <c r="V45" s="94">
        <f>S45-U45</f>
        <v>0</v>
      </c>
    </row>
    <row r="46" spans="1:22" s="95" customFormat="1" ht="12" customHeight="1">
      <c r="A46" s="96"/>
      <c r="B46" s="96" t="s">
        <v>186</v>
      </c>
      <c r="C46" s="102">
        <v>8698</v>
      </c>
      <c r="D46" s="104" t="s">
        <v>265</v>
      </c>
      <c r="E46" s="94">
        <f>IF('FY20-21'!$S46&gt;0,'FY20-21'!E46/'FY20-21'!$S46*'Multi-Year'!$L46,0)+IF('FY20-21'!$S46&lt;0,'FY20-21'!E46/'FY20-21'!$S46*'Multi-Year'!$L46,0)</f>
        <v>0</v>
      </c>
      <c r="F46" s="94">
        <f>IF('FY20-21'!$S46&gt;0,'FY20-21'!F46/'FY20-21'!$S46*'Multi-Year'!$L46,0)+IF('FY20-21'!$S46&lt;0,'FY20-21'!F46/'FY20-21'!$S46*'Multi-Year'!$L46,0)</f>
        <v>0</v>
      </c>
      <c r="G46" s="94">
        <f>IF('FY20-21'!$S46&gt;0,'FY20-21'!G46/'FY20-21'!$S46*'Multi-Year'!$L46,0)+IF('FY20-21'!$S46&lt;0,'FY20-21'!G46/'FY20-21'!$S46*'Multi-Year'!$L46,0)</f>
        <v>0</v>
      </c>
      <c r="H46" s="94">
        <f>IF('FY20-21'!$S46&gt;0,'FY20-21'!H46/'FY20-21'!$S46*'Multi-Year'!$L46,0)+IF('FY20-21'!$S46&lt;0,'FY20-21'!H46/'FY20-21'!$S46*'Multi-Year'!$L46,0)</f>
        <v>0</v>
      </c>
      <c r="I46" s="94">
        <f>IF('FY20-21'!$S46&gt;0,'FY20-21'!I46/'FY20-21'!$S46*'Multi-Year'!$L46,0)+IF('FY20-21'!$S46&lt;0,'FY20-21'!I46/'FY20-21'!$S46*'Multi-Year'!$L46,0)</f>
        <v>0</v>
      </c>
      <c r="J46" s="94">
        <f>IF('FY20-21'!$S46&gt;0,'FY20-21'!J46/'FY20-21'!$S46*'Multi-Year'!$L46,0)+IF('FY20-21'!$S46&lt;0,'FY20-21'!J46/'FY20-21'!$S46*'Multi-Year'!$L46,0)</f>
        <v>0</v>
      </c>
      <c r="K46" s="94">
        <f>IF('FY20-21'!$S46&gt;0,'FY20-21'!K46/'FY20-21'!$S46*'Multi-Year'!$L46,0)+IF('FY20-21'!$S46&lt;0,'FY20-21'!K46/'FY20-21'!$S46*'Multi-Year'!$L46,0)</f>
        <v>0</v>
      </c>
      <c r="L46" s="94">
        <f>IF('FY20-21'!$S46&gt;0,'FY20-21'!L46/'FY20-21'!$S46*'Multi-Year'!$L46,0)+IF('FY20-21'!$S46&lt;0,'FY20-21'!L46/'FY20-21'!$S46*'Multi-Year'!$L46,0)</f>
        <v>0</v>
      </c>
      <c r="M46" s="94">
        <f>IF('FY20-21'!$S46&gt;0,'FY20-21'!M46/'FY20-21'!$S46*'Multi-Year'!$L46,0)+IF('FY20-21'!$S46&lt;0,'FY20-21'!M46/'FY20-21'!$S46*'Multi-Year'!$L46,0)</f>
        <v>0</v>
      </c>
      <c r="N46" s="94">
        <f>IF('FY20-21'!$S46&gt;0,'FY20-21'!N46/'FY20-21'!$S46*'Multi-Year'!$L46,0)+IF('FY20-21'!$S46&lt;0,'FY20-21'!N46/'FY20-21'!$S46*'Multi-Year'!$L46,0)</f>
        <v>0</v>
      </c>
      <c r="O46" s="94">
        <f>IF('FY20-21'!$S46&gt;0,'FY20-21'!O46/'FY20-21'!$S46*'Multi-Year'!$L46,0)+IF('FY20-21'!$S46&lt;0,'FY20-21'!O46/'FY20-21'!$S46*'Multi-Year'!$L46,0)</f>
        <v>0</v>
      </c>
      <c r="P46" s="94">
        <f>IF('FY20-21'!$S46&gt;0,'FY20-21'!P46/'FY20-21'!$S46*'Multi-Year'!$L46,0)+IF('FY20-21'!$S46&lt;0,'FY20-21'!P46/'FY20-21'!$S46*'Multi-Year'!$L46,0)</f>
        <v>0</v>
      </c>
      <c r="Q46" s="606">
        <f>IF('FY20-21'!$S46&gt;0,'FY20-21'!Q46/'FY20-21'!$S46*'Multi-Year'!$L46,0)+IF('FY20-21'!$S46&lt;0,'FY20-21'!Q46/'FY20-21'!$S46*'Multi-Year'!$L46,0)</f>
        <v>0</v>
      </c>
      <c r="R46" s="306"/>
      <c r="S46" s="625">
        <f t="shared" si="15"/>
        <v>0</v>
      </c>
      <c r="T46" s="306"/>
      <c r="U46" s="94">
        <f>'FY20-21'!S46</f>
        <v>0</v>
      </c>
      <c r="V46" s="94">
        <f>S46-U46</f>
        <v>0</v>
      </c>
    </row>
    <row r="47" spans="1:22" s="95" customFormat="1" ht="12" customHeight="1">
      <c r="A47" s="91"/>
      <c r="B47" s="91" t="s">
        <v>186</v>
      </c>
      <c r="C47" s="102">
        <v>8699</v>
      </c>
      <c r="D47" s="104" t="s">
        <v>106</v>
      </c>
      <c r="E47" s="284">
        <v>0</v>
      </c>
      <c r="F47" s="284">
        <f>'Multi-Year'!L47*0.05</f>
        <v>0</v>
      </c>
      <c r="G47" s="284">
        <f>'Multi-Year'!L47*0.05</f>
        <v>0</v>
      </c>
      <c r="H47" s="284">
        <f>'Multi-Year'!L47*0.13</f>
        <v>0</v>
      </c>
      <c r="I47" s="284">
        <f>'Multi-Year'!L47*0.11</f>
        <v>0</v>
      </c>
      <c r="J47" s="284">
        <f>'Multi-Year'!L47*0.11</f>
        <v>0</v>
      </c>
      <c r="K47" s="284">
        <f>'Multi-Year'!L47*0.11</f>
        <v>0</v>
      </c>
      <c r="L47" s="284">
        <f>'Multi-Year'!L47*0.11</f>
        <v>0</v>
      </c>
      <c r="M47" s="284">
        <f>'Multi-Year'!L47*0.11</f>
        <v>0</v>
      </c>
      <c r="N47" s="284">
        <f>'Multi-Year'!L47*0.11</f>
        <v>0</v>
      </c>
      <c r="O47" s="284">
        <f>'Multi-Year'!L47*0.11</f>
        <v>0</v>
      </c>
      <c r="P47" s="284">
        <v>0</v>
      </c>
      <c r="Q47" s="606">
        <f>'Multi-Year'!L47-SUM('FY21-22'!E47:P47)</f>
        <v>0</v>
      </c>
      <c r="R47" s="92"/>
      <c r="S47" s="625">
        <f t="shared" si="15"/>
        <v>0</v>
      </c>
      <c r="T47" s="92"/>
      <c r="U47" s="94">
        <f>'FY20-21'!S47</f>
        <v>0</v>
      </c>
      <c r="V47" s="94">
        <f>S47-U47</f>
        <v>0</v>
      </c>
    </row>
    <row r="48" spans="1:22" s="95" customFormat="1" ht="12" customHeight="1">
      <c r="A48" s="96"/>
      <c r="B48" s="96" t="s">
        <v>186</v>
      </c>
      <c r="C48" s="102">
        <v>8980</v>
      </c>
      <c r="D48" s="103" t="s">
        <v>10</v>
      </c>
      <c r="E48" s="94">
        <f>IF('FY20-21'!$S48&gt;0,'FY20-21'!E48/'FY20-21'!$S48*'Multi-Year'!$L48,0)+IF('FY20-21'!$S48&lt;0,'FY20-21'!E48/'FY20-21'!$S48*'Multi-Year'!$L48,0)</f>
        <v>0</v>
      </c>
      <c r="F48" s="94">
        <f>IF('FY20-21'!$S48&gt;0,'FY20-21'!F48/'FY20-21'!$S48*'Multi-Year'!$L48,0)+IF('FY20-21'!$S48&lt;0,'FY20-21'!F48/'FY20-21'!$S48*'Multi-Year'!$L48,0)</f>
        <v>0</v>
      </c>
      <c r="G48" s="94">
        <f>IF('FY20-21'!$S48&gt;0,'FY20-21'!G48/'FY20-21'!$S48*'Multi-Year'!$L48,0)+IF('FY20-21'!$S48&lt;0,'FY20-21'!G48/'FY20-21'!$S48*'Multi-Year'!$L48,0)</f>
        <v>0</v>
      </c>
      <c r="H48" s="94">
        <f>IF('FY20-21'!$S48&gt;0,'FY20-21'!H48/'FY20-21'!$S48*'Multi-Year'!$L48,0)+IF('FY20-21'!$S48&lt;0,'FY20-21'!H48/'FY20-21'!$S48*'Multi-Year'!$L48,0)</f>
        <v>0</v>
      </c>
      <c r="I48" s="94">
        <f>IF('FY20-21'!$S48&gt;0,'FY20-21'!I48/'FY20-21'!$S48*'Multi-Year'!$L48,0)+IF('FY20-21'!$S48&lt;0,'FY20-21'!I48/'FY20-21'!$S48*'Multi-Year'!$L48,0)</f>
        <v>0</v>
      </c>
      <c r="J48" s="94">
        <f>IF('FY20-21'!$S48&gt;0,'FY20-21'!J48/'FY20-21'!$S48*'Multi-Year'!$L48,0)+IF('FY20-21'!$S48&lt;0,'FY20-21'!J48/'FY20-21'!$S48*'Multi-Year'!$L48,0)</f>
        <v>0</v>
      </c>
      <c r="K48" s="94">
        <f>IF('FY20-21'!$S48&gt;0,'FY20-21'!K48/'FY20-21'!$S48*'Multi-Year'!$L48,0)+IF('FY20-21'!$S48&lt;0,'FY20-21'!K48/'FY20-21'!$S48*'Multi-Year'!$L48,0)</f>
        <v>0</v>
      </c>
      <c r="L48" s="94">
        <f>IF('FY20-21'!$S48&gt;0,'FY20-21'!L48/'FY20-21'!$S48*'Multi-Year'!$L48,0)+IF('FY20-21'!$S48&lt;0,'FY20-21'!L48/'FY20-21'!$S48*'Multi-Year'!$L48,0)</f>
        <v>0</v>
      </c>
      <c r="M48" s="94">
        <f>IF('FY20-21'!$S48&gt;0,'FY20-21'!M48/'FY20-21'!$S48*'Multi-Year'!$L48,0)+IF('FY20-21'!$S48&lt;0,'FY20-21'!M48/'FY20-21'!$S48*'Multi-Year'!$L48,0)</f>
        <v>0</v>
      </c>
      <c r="N48" s="94">
        <f>IF('FY20-21'!$S48&gt;0,'FY20-21'!N48/'FY20-21'!$S48*'Multi-Year'!$L48,0)+IF('FY20-21'!$S48&lt;0,'FY20-21'!N48/'FY20-21'!$S48*'Multi-Year'!$L48,0)</f>
        <v>0</v>
      </c>
      <c r="O48" s="94">
        <f>IF('FY20-21'!$S48&gt;0,'FY20-21'!O48/'FY20-21'!$S48*'Multi-Year'!$L48,0)+IF('FY20-21'!$S48&lt;0,'FY20-21'!O48/'FY20-21'!$S48*'Multi-Year'!$L48,0)</f>
        <v>0</v>
      </c>
      <c r="P48" s="94">
        <f>IF('FY20-21'!$S48&gt;0,'FY20-21'!P48/'FY20-21'!$S48*'Multi-Year'!$L48,0)+IF('FY20-21'!$S48&lt;0,'FY20-21'!P48/'FY20-21'!$S48*'Multi-Year'!$L48,0)</f>
        <v>0</v>
      </c>
      <c r="Q48" s="606">
        <f>IF('FY20-21'!$S48&gt;0,'FY20-21'!Q48/'FY20-21'!$S48*'Multi-Year'!$L48,0)+IF('FY20-21'!$S48&lt;0,'FY20-21'!Q48/'FY20-21'!$S48*'Multi-Year'!$L48,0)</f>
        <v>0</v>
      </c>
      <c r="R48" s="306"/>
      <c r="S48" s="625">
        <f t="shared" si="15"/>
        <v>0</v>
      </c>
      <c r="T48" s="306"/>
      <c r="U48" s="94">
        <f>'FY20-21'!S48</f>
        <v>0</v>
      </c>
      <c r="V48" s="94">
        <f>S48-U48</f>
        <v>0</v>
      </c>
    </row>
    <row r="49" spans="1:22" s="95" customFormat="1" ht="12" customHeight="1">
      <c r="A49" s="91"/>
      <c r="B49" s="91" t="s">
        <v>186</v>
      </c>
      <c r="C49" s="102">
        <v>8990</v>
      </c>
      <c r="D49" s="103" t="s">
        <v>11</v>
      </c>
      <c r="E49" s="94">
        <f>IF('FY20-21'!$S49&gt;0,'FY20-21'!E49/'FY20-21'!$S49*'Multi-Year'!$L49,0)+IF('FY20-21'!$S49&lt;0,'FY20-21'!E49/'FY20-21'!$S49*'Multi-Year'!$L49,0)</f>
        <v>0</v>
      </c>
      <c r="F49" s="94">
        <f>IF('FY20-21'!$S49&gt;0,'FY20-21'!F49/'FY20-21'!$S49*'Multi-Year'!$L49,0)+IF('FY20-21'!$S49&lt;0,'FY20-21'!F49/'FY20-21'!$S49*'Multi-Year'!$L49,0)</f>
        <v>0</v>
      </c>
      <c r="G49" s="94">
        <f>IF('FY20-21'!$S49&gt;0,'FY20-21'!G49/'FY20-21'!$S49*'Multi-Year'!$L49,0)+IF('FY20-21'!$S49&lt;0,'FY20-21'!G49/'FY20-21'!$S49*'Multi-Year'!$L49,0)</f>
        <v>0</v>
      </c>
      <c r="H49" s="94">
        <f>IF('FY20-21'!$S49&gt;0,'FY20-21'!H49/'FY20-21'!$S49*'Multi-Year'!$L49,0)+IF('FY20-21'!$S49&lt;0,'FY20-21'!H49/'FY20-21'!$S49*'Multi-Year'!$L49,0)</f>
        <v>0</v>
      </c>
      <c r="I49" s="94">
        <f>IF('FY20-21'!$S49&gt;0,'FY20-21'!I49/'FY20-21'!$S49*'Multi-Year'!$L49,0)+IF('FY20-21'!$S49&lt;0,'FY20-21'!I49/'FY20-21'!$S49*'Multi-Year'!$L49,0)</f>
        <v>0</v>
      </c>
      <c r="J49" s="94">
        <f>IF('FY20-21'!$S49&gt;0,'FY20-21'!J49/'FY20-21'!$S49*'Multi-Year'!$L49,0)+IF('FY20-21'!$S49&lt;0,'FY20-21'!J49/'FY20-21'!$S49*'Multi-Year'!$L49,0)</f>
        <v>0</v>
      </c>
      <c r="K49" s="94">
        <f>IF('FY20-21'!$S49&gt;0,'FY20-21'!K49/'FY20-21'!$S49*'Multi-Year'!$L49,0)+IF('FY20-21'!$S49&lt;0,'FY20-21'!K49/'FY20-21'!$S49*'Multi-Year'!$L49,0)</f>
        <v>0</v>
      </c>
      <c r="L49" s="94">
        <f>IF('FY20-21'!$S49&gt;0,'FY20-21'!L49/'FY20-21'!$S49*'Multi-Year'!$L49,0)+IF('FY20-21'!$S49&lt;0,'FY20-21'!L49/'FY20-21'!$S49*'Multi-Year'!$L49,0)</f>
        <v>0</v>
      </c>
      <c r="M49" s="94">
        <f>IF('FY20-21'!$S49&gt;0,'FY20-21'!M49/'FY20-21'!$S49*'Multi-Year'!$L49,0)+IF('FY20-21'!$S49&lt;0,'FY20-21'!M49/'FY20-21'!$S49*'Multi-Year'!$L49,0)</f>
        <v>0</v>
      </c>
      <c r="N49" s="94">
        <f>IF('FY20-21'!$S49&gt;0,'FY20-21'!N49/'FY20-21'!$S49*'Multi-Year'!$L49,0)+IF('FY20-21'!$S49&lt;0,'FY20-21'!N49/'FY20-21'!$S49*'Multi-Year'!$L49,0)</f>
        <v>0</v>
      </c>
      <c r="O49" s="94">
        <f>IF('FY20-21'!$S49&gt;0,'FY20-21'!O49/'FY20-21'!$S49*'Multi-Year'!$L49,0)+IF('FY20-21'!$S49&lt;0,'FY20-21'!O49/'FY20-21'!$S49*'Multi-Year'!$L49,0)</f>
        <v>0</v>
      </c>
      <c r="P49" s="94">
        <f>IF('FY20-21'!$S49&gt;0,'FY20-21'!P49/'FY20-21'!$S49*'Multi-Year'!$L49,0)+IF('FY20-21'!$S49&lt;0,'FY20-21'!P49/'FY20-21'!$S49*'Multi-Year'!$L49,0)</f>
        <v>0</v>
      </c>
      <c r="Q49" s="606">
        <f>IF('FY20-21'!$S49&gt;0,'FY20-21'!Q49/'FY20-21'!$S49*'Multi-Year'!$L49,0)+IF('FY20-21'!$S49&lt;0,'FY20-21'!Q49/'FY20-21'!$S49*'Multi-Year'!$L49,0)</f>
        <v>0</v>
      </c>
      <c r="R49" s="92"/>
      <c r="S49" s="625">
        <f t="shared" si="15"/>
        <v>0</v>
      </c>
      <c r="T49" s="92"/>
      <c r="U49" s="94">
        <f>'FY20-21'!S49</f>
        <v>0</v>
      </c>
      <c r="V49" s="94">
        <f>S49-U49</f>
        <v>0</v>
      </c>
    </row>
    <row r="50" spans="1:22" s="95" customFormat="1" ht="12" customHeight="1">
      <c r="A50" s="96"/>
      <c r="B50" s="96" t="s">
        <v>186</v>
      </c>
      <c r="C50" s="102"/>
      <c r="D50" s="103"/>
      <c r="E50" s="215">
        <f>SUM(E42:E49)</f>
        <v>0</v>
      </c>
      <c r="F50" s="215">
        <f t="shared" ref="F50:P50" si="17">SUM(F42:F49)</f>
        <v>0</v>
      </c>
      <c r="G50" s="215">
        <f t="shared" si="17"/>
        <v>0</v>
      </c>
      <c r="H50" s="215">
        <f t="shared" si="17"/>
        <v>0</v>
      </c>
      <c r="I50" s="215">
        <f t="shared" si="17"/>
        <v>0</v>
      </c>
      <c r="J50" s="215">
        <f t="shared" si="17"/>
        <v>0</v>
      </c>
      <c r="K50" s="215">
        <f t="shared" si="17"/>
        <v>0</v>
      </c>
      <c r="L50" s="215">
        <f t="shared" si="17"/>
        <v>0</v>
      </c>
      <c r="M50" s="215">
        <f t="shared" si="17"/>
        <v>0</v>
      </c>
      <c r="N50" s="215">
        <f t="shared" si="17"/>
        <v>0</v>
      </c>
      <c r="O50" s="215">
        <f t="shared" si="17"/>
        <v>0</v>
      </c>
      <c r="P50" s="215">
        <f t="shared" si="17"/>
        <v>0</v>
      </c>
      <c r="Q50" s="603">
        <f>SUM(Q42:Q49)</f>
        <v>0</v>
      </c>
      <c r="R50" s="306"/>
      <c r="S50" s="626">
        <f>(SUM(E50:R50))</f>
        <v>0</v>
      </c>
      <c r="T50" s="306"/>
      <c r="U50" s="216">
        <f>SUM(U42:U49)</f>
        <v>0</v>
      </c>
      <c r="V50" s="216">
        <f>SUM(V42:V49)</f>
        <v>0</v>
      </c>
    </row>
    <row r="51" spans="1:22" s="95" customFormat="1" ht="12" customHeight="1">
      <c r="A51" s="91"/>
      <c r="B51" s="91" t="s">
        <v>186</v>
      </c>
      <c r="C51" s="91"/>
      <c r="D51" s="91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602"/>
      <c r="R51" s="92"/>
      <c r="S51" s="627"/>
      <c r="T51" s="92"/>
      <c r="U51" s="92"/>
      <c r="V51" s="92"/>
    </row>
    <row r="52" spans="1:22" s="112" customFormat="1" ht="12" customHeight="1">
      <c r="A52" s="91" t="s">
        <v>1</v>
      </c>
      <c r="B52" s="91"/>
      <c r="C52" s="91"/>
      <c r="E52" s="121">
        <f t="shared" ref="E52:Q52" si="18">E50+E40+E31+E19</f>
        <v>50168.608822235343</v>
      </c>
      <c r="F52" s="121">
        <f t="shared" si="18"/>
        <v>1630442.6523721139</v>
      </c>
      <c r="G52" s="121">
        <f t="shared" si="18"/>
        <v>1596996.9131572903</v>
      </c>
      <c r="H52" s="121">
        <f t="shared" si="18"/>
        <v>2979155.2609394048</v>
      </c>
      <c r="I52" s="121">
        <f t="shared" si="18"/>
        <v>2821081.2609394048</v>
      </c>
      <c r="J52" s="121">
        <f t="shared" si="18"/>
        <v>2886500.6513394048</v>
      </c>
      <c r="K52" s="121">
        <f t="shared" si="18"/>
        <v>3135001.4650536301</v>
      </c>
      <c r="L52" s="121">
        <f t="shared" si="18"/>
        <v>2871249.8697616402</v>
      </c>
      <c r="M52" s="121">
        <f t="shared" si="18"/>
        <v>2821680.4104615813</v>
      </c>
      <c r="N52" s="121">
        <f t="shared" si="18"/>
        <v>3272359.8610941786</v>
      </c>
      <c r="O52" s="121">
        <f t="shared" si="18"/>
        <v>2821680.4104615813</v>
      </c>
      <c r="P52" s="121">
        <f t="shared" si="18"/>
        <v>2881431.5339581682</v>
      </c>
      <c r="Q52" s="605">
        <f t="shared" si="18"/>
        <v>3232916.7750640903</v>
      </c>
      <c r="R52" s="122"/>
      <c r="S52" s="629">
        <f>S50+S40+S31+S19</f>
        <v>33000665.673424717</v>
      </c>
      <c r="T52" s="113"/>
      <c r="U52" s="220">
        <f>U50+U40+U31+U19</f>
        <v>32205223.470083922</v>
      </c>
      <c r="V52" s="220">
        <f t="shared" si="6"/>
        <v>795442.20334079489</v>
      </c>
    </row>
    <row r="53" spans="1:22" s="95" customFormat="1" ht="12" customHeight="1">
      <c r="A53" s="112"/>
      <c r="B53" s="112" t="s">
        <v>186</v>
      </c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606"/>
      <c r="R53" s="94"/>
      <c r="S53" s="630"/>
      <c r="T53" s="94"/>
      <c r="U53" s="94"/>
      <c r="V53" s="94"/>
    </row>
    <row r="54" spans="1:22" s="95" customFormat="1" ht="12" customHeight="1">
      <c r="A54" s="112" t="s">
        <v>2</v>
      </c>
      <c r="B54" s="112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606"/>
      <c r="R54" s="94"/>
      <c r="S54" s="627"/>
      <c r="T54" s="94"/>
      <c r="U54" s="94"/>
      <c r="V54" s="94"/>
    </row>
    <row r="55" spans="1:22" s="95" customFormat="1" ht="12" customHeight="1">
      <c r="A55" s="112"/>
      <c r="B55" s="112" t="s">
        <v>244</v>
      </c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606"/>
      <c r="R55" s="94"/>
      <c r="S55" s="627"/>
      <c r="T55" s="94"/>
      <c r="U55" s="94"/>
      <c r="V55" s="94"/>
    </row>
    <row r="56" spans="1:22" s="95" customFormat="1" ht="12" customHeight="1">
      <c r="A56" s="123"/>
      <c r="B56" s="123" t="s">
        <v>186</v>
      </c>
      <c r="C56" s="102">
        <v>1100</v>
      </c>
      <c r="D56" s="103" t="s">
        <v>271</v>
      </c>
      <c r="E56" s="94">
        <f>IF('FY20-21'!$S56&gt;0,'FY20-21'!E56/'FY20-21'!$S56*'Multi-Year'!$L56,0)+IF('FY20-21'!$S56&lt;0,'FY20-21'!E56/'FY20-21'!$S56*'Multi-Year'!$L56,0)</f>
        <v>555176.77488169842</v>
      </c>
      <c r="F56" s="94">
        <f>IF('FY20-21'!$S56&gt;0,'FY20-21'!F56/'FY20-21'!$S56*'Multi-Year'!$L56,0)+IF('FY20-21'!$S56&lt;0,'FY20-21'!F56/'FY20-21'!$S56*'Multi-Year'!$L56,0)</f>
        <v>798143.27633353532</v>
      </c>
      <c r="G56" s="94">
        <f>IF('FY20-21'!$S56&gt;0,'FY20-21'!G56/'FY20-21'!$S56*'Multi-Year'!$L56,0)+IF('FY20-21'!$S56&lt;0,'FY20-21'!G56/'FY20-21'!$S56*'Multi-Year'!$L56,0)</f>
        <v>818490.65849170287</v>
      </c>
      <c r="H56" s="94">
        <f>IF('FY20-21'!$S56&gt;0,'FY20-21'!H56/'FY20-21'!$S56*'Multi-Year'!$L56,0)+IF('FY20-21'!$S56&lt;0,'FY20-21'!H56/'FY20-21'!$S56*'Multi-Year'!$L56,0)</f>
        <v>810580.10491557594</v>
      </c>
      <c r="I56" s="94">
        <f>IF('FY20-21'!$S56&gt;0,'FY20-21'!I56/'FY20-21'!$S56*'Multi-Year'!$L56,0)+IF('FY20-21'!$S56&lt;0,'FY20-21'!I56/'FY20-21'!$S56*'Multi-Year'!$L56,0)</f>
        <v>77598.414049361789</v>
      </c>
      <c r="J56" s="94">
        <f>IF('FY20-21'!$S56&gt;0,'FY20-21'!J56/'FY20-21'!$S56*'Multi-Year'!$L56,0)+IF('FY20-21'!$S56&lt;0,'FY20-21'!J56/'FY20-21'!$S56*'Multi-Year'!$L56,0)</f>
        <v>1366197.6564460797</v>
      </c>
      <c r="K56" s="94">
        <f>IF('FY20-21'!$S56&gt;0,'FY20-21'!K56/'FY20-21'!$S56*'Multi-Year'!$L56,0)+IF('FY20-21'!$S56&lt;0,'FY20-21'!K56/'FY20-21'!$S56*'Multi-Year'!$L56,0)</f>
        <v>751500.99170825805</v>
      </c>
      <c r="L56" s="94">
        <f>IF('FY20-21'!$S56&gt;0,'FY20-21'!L56/'FY20-21'!$S56*'Multi-Year'!$L56,0)+IF('FY20-21'!$S56&lt;0,'FY20-21'!L56/'FY20-21'!$S56*'Multi-Year'!$L56,0)</f>
        <v>770632.42830085696</v>
      </c>
      <c r="M56" s="94">
        <f>IF('FY20-21'!$S56&gt;0,'FY20-21'!M56/'FY20-21'!$S56*'Multi-Year'!$L56,0)+IF('FY20-21'!$S56&lt;0,'FY20-21'!M56/'FY20-21'!$S56*'Multi-Year'!$L56,0)</f>
        <v>690688.96065948694</v>
      </c>
      <c r="N56" s="94">
        <f>IF('FY20-21'!$S56&gt;0,'FY20-21'!N56/'FY20-21'!$S56*'Multi-Year'!$L56,0)+IF('FY20-21'!$S56&lt;0,'FY20-21'!N56/'FY20-21'!$S56*'Multi-Year'!$L56,0)</f>
        <v>716075.60661986098</v>
      </c>
      <c r="O56" s="94">
        <f>IF('FY20-21'!$S56&gt;0,'FY20-21'!O56/'FY20-21'!$S56*'Multi-Year'!$L56,0)+IF('FY20-21'!$S56&lt;0,'FY20-21'!O56/'FY20-21'!$S56*'Multi-Year'!$L56,0)</f>
        <v>758531.36999279587</v>
      </c>
      <c r="P56" s="94">
        <f>IF('FY20-21'!$S56&gt;0,'FY20-21'!P56/'FY20-21'!$S56*'Multi-Year'!$L56,0)+IF('FY20-21'!$S56&lt;0,'FY20-21'!P56/'FY20-21'!$S56*'Multi-Year'!$L56,0)</f>
        <v>638143.36771678552</v>
      </c>
      <c r="Q56" s="606">
        <f>IF('FY20-21'!$S56&gt;0,'FY20-21'!Q56/'FY20-21'!$S56*'Multi-Year'!$L56,0)+IF('FY20-21'!$S56&lt;0,'FY20-21'!Q56/'FY20-21'!$S56*'Multi-Year'!$L56,0)</f>
        <v>0</v>
      </c>
      <c r="R56" s="94"/>
      <c r="S56" s="625">
        <f t="shared" ref="S56:S61" si="19">SUM(E56:Q56)</f>
        <v>8751759.6101159975</v>
      </c>
      <c r="T56" s="94"/>
      <c r="U56" s="94">
        <f>'FY20-21'!S56</f>
        <v>8388237.344200003</v>
      </c>
      <c r="V56" s="94">
        <f>U56-S56</f>
        <v>-363522.26591599453</v>
      </c>
    </row>
    <row r="57" spans="1:22" s="95" customFormat="1" ht="12" customHeight="1">
      <c r="A57" s="123"/>
      <c r="B57" s="123" t="s">
        <v>186</v>
      </c>
      <c r="C57" s="102">
        <v>1170</v>
      </c>
      <c r="D57" s="103" t="s">
        <v>272</v>
      </c>
      <c r="E57" s="94">
        <f>IF('FY20-21'!$S57&gt;0,'FY20-21'!E57/'FY20-21'!$S57*'Multi-Year'!$L57,0)+IF('FY20-21'!$S57&lt;0,'FY20-21'!E57/'FY20-21'!$S57*'Multi-Year'!$L57,0)</f>
        <v>0</v>
      </c>
      <c r="F57" s="94">
        <f>IF('FY20-21'!$S57&gt;0,'FY20-21'!F57/'FY20-21'!$S57*'Multi-Year'!$L57,0)+IF('FY20-21'!$S57&lt;0,'FY20-21'!F57/'FY20-21'!$S57*'Multi-Year'!$L57,0)</f>
        <v>0</v>
      </c>
      <c r="G57" s="94">
        <f>IF('FY20-21'!$S57&gt;0,'FY20-21'!G57/'FY20-21'!$S57*'Multi-Year'!$L57,0)+IF('FY20-21'!$S57&lt;0,'FY20-21'!G57/'FY20-21'!$S57*'Multi-Year'!$L57,0)</f>
        <v>0</v>
      </c>
      <c r="H57" s="94">
        <f>IF('FY20-21'!$S57&gt;0,'FY20-21'!H57/'FY20-21'!$S57*'Multi-Year'!$L57,0)+IF('FY20-21'!$S57&lt;0,'FY20-21'!H57/'FY20-21'!$S57*'Multi-Year'!$L57,0)</f>
        <v>0</v>
      </c>
      <c r="I57" s="94">
        <f>IF('FY20-21'!$S57&gt;0,'FY20-21'!I57/'FY20-21'!$S57*'Multi-Year'!$L57,0)+IF('FY20-21'!$S57&lt;0,'FY20-21'!I57/'FY20-21'!$S57*'Multi-Year'!$L57,0)</f>
        <v>0</v>
      </c>
      <c r="J57" s="94">
        <f>IF('FY20-21'!$S57&gt;0,'FY20-21'!J57/'FY20-21'!$S57*'Multi-Year'!$L57,0)+IF('FY20-21'!$S57&lt;0,'FY20-21'!J57/'FY20-21'!$S57*'Multi-Year'!$L57,0)</f>
        <v>0</v>
      </c>
      <c r="K57" s="94">
        <f>IF('FY20-21'!$S57&gt;0,'FY20-21'!K57/'FY20-21'!$S57*'Multi-Year'!$L57,0)+IF('FY20-21'!$S57&lt;0,'FY20-21'!K57/'FY20-21'!$S57*'Multi-Year'!$L57,0)</f>
        <v>0</v>
      </c>
      <c r="L57" s="94">
        <f>IF('FY20-21'!$S57&gt;0,'FY20-21'!L57/'FY20-21'!$S57*'Multi-Year'!$L57,0)+IF('FY20-21'!$S57&lt;0,'FY20-21'!L57/'FY20-21'!$S57*'Multi-Year'!$L57,0)</f>
        <v>0</v>
      </c>
      <c r="M57" s="94">
        <f>IF('FY20-21'!$S57&gt;0,'FY20-21'!M57/'FY20-21'!$S57*'Multi-Year'!$L57,0)+IF('FY20-21'!$S57&lt;0,'FY20-21'!M57/'FY20-21'!$S57*'Multi-Year'!$L57,0)</f>
        <v>0</v>
      </c>
      <c r="N57" s="94">
        <f>IF('FY20-21'!$S57&gt;0,'FY20-21'!N57/'FY20-21'!$S57*'Multi-Year'!$L57,0)+IF('FY20-21'!$S57&lt;0,'FY20-21'!N57/'FY20-21'!$S57*'Multi-Year'!$L57,0)</f>
        <v>0</v>
      </c>
      <c r="O57" s="94">
        <f>IF('FY20-21'!$S57&gt;0,'FY20-21'!O57/'FY20-21'!$S57*'Multi-Year'!$L57,0)+IF('FY20-21'!$S57&lt;0,'FY20-21'!O57/'FY20-21'!$S57*'Multi-Year'!$L57,0)</f>
        <v>0</v>
      </c>
      <c r="P57" s="94">
        <f>IF('FY20-21'!$S57&gt;0,'FY20-21'!P57/'FY20-21'!$S57*'Multi-Year'!$L57,0)+IF('FY20-21'!$S57&lt;0,'FY20-21'!P57/'FY20-21'!$S57*'Multi-Year'!$L57,0)</f>
        <v>0</v>
      </c>
      <c r="Q57" s="606">
        <f>IF('FY20-21'!$S57&gt;0,'FY20-21'!Q57/'FY20-21'!$S57*'Multi-Year'!$L57,0)+IF('FY20-21'!$S57&lt;0,'FY20-21'!Q57/'FY20-21'!$S57*'Multi-Year'!$L57,0)</f>
        <v>0</v>
      </c>
      <c r="R57" s="94"/>
      <c r="S57" s="625">
        <f t="shared" si="19"/>
        <v>0</v>
      </c>
      <c r="T57" s="94"/>
      <c r="U57" s="94">
        <f>'FY20-21'!S57</f>
        <v>0</v>
      </c>
      <c r="V57" s="94">
        <f t="shared" ref="V57:V61" si="20">U57-S57</f>
        <v>0</v>
      </c>
    </row>
    <row r="58" spans="1:22" s="95" customFormat="1" ht="12" customHeight="1">
      <c r="A58" s="123"/>
      <c r="B58" s="123" t="s">
        <v>186</v>
      </c>
      <c r="C58" s="102">
        <v>1175</v>
      </c>
      <c r="D58" s="103" t="s">
        <v>273</v>
      </c>
      <c r="E58" s="94">
        <f>IF('FY20-21'!$S58&gt;0,'FY20-21'!E58/'FY20-21'!$S58*'Multi-Year'!$L58,0)+IF('FY20-21'!$S58&lt;0,'FY20-21'!E58/'FY20-21'!$S58*'Multi-Year'!$L58,0)</f>
        <v>4844.5437153466446</v>
      </c>
      <c r="F58" s="94">
        <f>IF('FY20-21'!$S58&gt;0,'FY20-21'!F58/'FY20-21'!$S58*'Multi-Year'!$L58,0)+IF('FY20-21'!$S58&lt;0,'FY20-21'!F58/'FY20-21'!$S58*'Multi-Year'!$L58,0)</f>
        <v>17244.771525043285</v>
      </c>
      <c r="G58" s="94">
        <f>IF('FY20-21'!$S58&gt;0,'FY20-21'!G58/'FY20-21'!$S58*'Multi-Year'!$L58,0)+IF('FY20-21'!$S58&lt;0,'FY20-21'!G58/'FY20-21'!$S58*'Multi-Year'!$L58,0)</f>
        <v>37577.323997891792</v>
      </c>
      <c r="H58" s="94">
        <f>IF('FY20-21'!$S58&gt;0,'FY20-21'!H58/'FY20-21'!$S58*'Multi-Year'!$L58,0)+IF('FY20-21'!$S58&lt;0,'FY20-21'!H58/'FY20-21'!$S58*'Multi-Year'!$L58,0)</f>
        <v>40850.938161442078</v>
      </c>
      <c r="I58" s="94">
        <f>IF('FY20-21'!$S58&gt;0,'FY20-21'!I58/'FY20-21'!$S58*'Multi-Year'!$L58,0)+IF('FY20-21'!$S58&lt;0,'FY20-21'!I58/'FY20-21'!$S58*'Multi-Year'!$L58,0)</f>
        <v>13215.775724679061</v>
      </c>
      <c r="J58" s="94">
        <f>IF('FY20-21'!$S58&gt;0,'FY20-21'!J58/'FY20-21'!$S58*'Multi-Year'!$L58,0)+IF('FY20-21'!$S58&lt;0,'FY20-21'!J58/'FY20-21'!$S58*'Multi-Year'!$L58,0)</f>
        <v>51831.344891547946</v>
      </c>
      <c r="K58" s="94">
        <f>IF('FY20-21'!$S58&gt;0,'FY20-21'!K58/'FY20-21'!$S58*'Multi-Year'!$L58,0)+IF('FY20-21'!$S58&lt;0,'FY20-21'!K58/'FY20-21'!$S58*'Multi-Year'!$L58,0)</f>
        <v>36477.369044070649</v>
      </c>
      <c r="L58" s="94">
        <f>IF('FY20-21'!$S58&gt;0,'FY20-21'!L58/'FY20-21'!$S58*'Multi-Year'!$L58,0)+IF('FY20-21'!$S58&lt;0,'FY20-21'!L58/'FY20-21'!$S58*'Multi-Year'!$L58,0)</f>
        <v>35800.03841089036</v>
      </c>
      <c r="M58" s="94">
        <f>IF('FY20-21'!$S58&gt;0,'FY20-21'!M58/'FY20-21'!$S58*'Multi-Year'!$L58,0)+IF('FY20-21'!$S58&lt;0,'FY20-21'!M58/'FY20-21'!$S58*'Multi-Year'!$L58,0)</f>
        <v>61124.477136691276</v>
      </c>
      <c r="N58" s="94">
        <f>IF('FY20-21'!$S58&gt;0,'FY20-21'!N58/'FY20-21'!$S58*'Multi-Year'!$L58,0)+IF('FY20-21'!$S58&lt;0,'FY20-21'!N58/'FY20-21'!$S58*'Multi-Year'!$L58,0)</f>
        <v>33238.144320096209</v>
      </c>
      <c r="O58" s="94">
        <f>IF('FY20-21'!$S58&gt;0,'FY20-21'!O58/'FY20-21'!$S58*'Multi-Year'!$L58,0)+IF('FY20-21'!$S58&lt;0,'FY20-21'!O58/'FY20-21'!$S58*'Multi-Year'!$L58,0)</f>
        <v>38468.609042048069</v>
      </c>
      <c r="P58" s="94">
        <f>IF('FY20-21'!$S58&gt;0,'FY20-21'!P58/'FY20-21'!$S58*'Multi-Year'!$L58,0)+IF('FY20-21'!$S58&lt;0,'FY20-21'!P58/'FY20-21'!$S58*'Multi-Year'!$L58,0)</f>
        <v>66914.644536052612</v>
      </c>
      <c r="Q58" s="606">
        <f>IF('FY20-21'!$S58&gt;0,'FY20-21'!Q58/'FY20-21'!$S58*'Multi-Year'!$L58,0)+IF('FY20-21'!$S58&lt;0,'FY20-21'!Q58/'FY20-21'!$S58*'Multi-Year'!$L58,0)</f>
        <v>0</v>
      </c>
      <c r="R58" s="94"/>
      <c r="S58" s="625">
        <f t="shared" si="19"/>
        <v>437587.98050579993</v>
      </c>
      <c r="T58" s="94"/>
      <c r="U58" s="94">
        <f>'FY20-21'!S58</f>
        <v>419411.86721000005</v>
      </c>
      <c r="V58" s="94">
        <f t="shared" si="20"/>
        <v>-18176.113295799878</v>
      </c>
    </row>
    <row r="59" spans="1:22" s="95" customFormat="1" ht="12" customHeight="1">
      <c r="A59" s="124"/>
      <c r="B59" s="124" t="s">
        <v>186</v>
      </c>
      <c r="C59" s="102">
        <v>1200</v>
      </c>
      <c r="D59" s="103" t="s">
        <v>274</v>
      </c>
      <c r="E59" s="94">
        <f>IF('FY20-21'!$S59&gt;0,'FY20-21'!E59/'FY20-21'!$S59*'Multi-Year'!$L59,0)+IF('FY20-21'!$S59&lt;0,'FY20-21'!E59/'FY20-21'!$S59*'Multi-Year'!$L59,0)</f>
        <v>1912.1300461004228</v>
      </c>
      <c r="F59" s="94">
        <f>IF('FY20-21'!$S59&gt;0,'FY20-21'!F59/'FY20-21'!$S59*'Multi-Year'!$L59,0)+IF('FY20-21'!$S59&lt;0,'FY20-21'!F59/'FY20-21'!$S59*'Multi-Year'!$L59,0)</f>
        <v>18438.006333788246</v>
      </c>
      <c r="G59" s="94">
        <f>IF('FY20-21'!$S59&gt;0,'FY20-21'!G59/'FY20-21'!$S59*'Multi-Year'!$L59,0)+IF('FY20-21'!$S59&lt;0,'FY20-21'!G59/'FY20-21'!$S59*'Multi-Year'!$L59,0)</f>
        <v>19767.74770956103</v>
      </c>
      <c r="H59" s="94">
        <f>IF('FY20-21'!$S59&gt;0,'FY20-21'!H59/'FY20-21'!$S59*'Multi-Year'!$L59,0)+IF('FY20-21'!$S59&lt;0,'FY20-21'!H59/'FY20-21'!$S59*'Multi-Year'!$L59,0)</f>
        <v>19964.705581376173</v>
      </c>
      <c r="I59" s="94">
        <f>IF('FY20-21'!$S59&gt;0,'FY20-21'!I59/'FY20-21'!$S59*'Multi-Year'!$L59,0)+IF('FY20-21'!$S59&lt;0,'FY20-21'!I59/'FY20-21'!$S59*'Multi-Year'!$L59,0)</f>
        <v>16826.82791582137</v>
      </c>
      <c r="J59" s="94">
        <f>IF('FY20-21'!$S59&gt;0,'FY20-21'!J59/'FY20-21'!$S59*'Multi-Year'!$L59,0)+IF('FY20-21'!$S59&lt;0,'FY20-21'!J59/'FY20-21'!$S59*'Multi-Year'!$L59,0)</f>
        <v>15588.569532349289</v>
      </c>
      <c r="K59" s="94">
        <f>IF('FY20-21'!$S59&gt;0,'FY20-21'!K59/'FY20-21'!$S59*'Multi-Year'!$L59,0)+IF('FY20-21'!$S59&lt;0,'FY20-21'!K59/'FY20-21'!$S59*'Multi-Year'!$L59,0)</f>
        <v>14827.744908471996</v>
      </c>
      <c r="L59" s="94">
        <f>IF('FY20-21'!$S59&gt;0,'FY20-21'!L59/'FY20-21'!$S59*'Multi-Year'!$L59,0)+IF('FY20-21'!$S59&lt;0,'FY20-21'!L59/'FY20-21'!$S59*'Multi-Year'!$L59,0)</f>
        <v>9501.9725413309443</v>
      </c>
      <c r="M59" s="94">
        <f>IF('FY20-21'!$S59&gt;0,'FY20-21'!M59/'FY20-21'!$S59*'Multi-Year'!$L59,0)+IF('FY20-21'!$S59&lt;0,'FY20-21'!M59/'FY20-21'!$S59*'Multi-Year'!$L59,0)</f>
        <v>9501.9725413309443</v>
      </c>
      <c r="N59" s="94">
        <f>IF('FY20-21'!$S59&gt;0,'FY20-21'!N59/'FY20-21'!$S59*'Multi-Year'!$L59,0)+IF('FY20-21'!$S59&lt;0,'FY20-21'!N59/'FY20-21'!$S59*'Multi-Year'!$L59,0)</f>
        <v>10608.631553171017</v>
      </c>
      <c r="O59" s="94">
        <f>IF('FY20-21'!$S59&gt;0,'FY20-21'!O59/'FY20-21'!$S59*'Multi-Year'!$L59,0)+IF('FY20-21'!$S59&lt;0,'FY20-21'!O59/'FY20-21'!$S59*'Multi-Year'!$L59,0)</f>
        <v>15588.569532349289</v>
      </c>
      <c r="P59" s="94">
        <f>IF('FY20-21'!$S59&gt;0,'FY20-21'!P59/'FY20-21'!$S59*'Multi-Year'!$L59,0)+IF('FY20-21'!$S59&lt;0,'FY20-21'!P59/'FY20-21'!$S59*'Multi-Year'!$L59,0)</f>
        <v>15588.569532349289</v>
      </c>
      <c r="Q59" s="606">
        <f>IF('FY20-21'!$S59&gt;0,'FY20-21'!Q59/'FY20-21'!$S59*'Multi-Year'!$L59,0)+IF('FY20-21'!$S59&lt;0,'FY20-21'!Q59/'FY20-21'!$S59*'Multi-Year'!$L59,0)</f>
        <v>0</v>
      </c>
      <c r="R59" s="94"/>
      <c r="S59" s="625">
        <f t="shared" si="19"/>
        <v>168115.44772800003</v>
      </c>
      <c r="T59" s="94"/>
      <c r="U59" s="94">
        <f>'FY20-21'!S59</f>
        <v>164819.06640000001</v>
      </c>
      <c r="V59" s="94">
        <f t="shared" si="20"/>
        <v>-3296.3813280000177</v>
      </c>
    </row>
    <row r="60" spans="1:22" s="95" customFormat="1" ht="12" customHeight="1">
      <c r="A60" s="123"/>
      <c r="B60" s="123" t="s">
        <v>186</v>
      </c>
      <c r="C60" s="102">
        <v>1300</v>
      </c>
      <c r="D60" s="103" t="s">
        <v>275</v>
      </c>
      <c r="E60" s="94">
        <f>IF('FY20-21'!$S60&gt;0,'FY20-21'!E60/'FY20-21'!$S60*'Multi-Year'!$L60,0)+IF('FY20-21'!$S60&lt;0,'FY20-21'!E60/'FY20-21'!$S60*'Multi-Year'!$L60,0)</f>
        <v>78540.753282365549</v>
      </c>
      <c r="F60" s="94">
        <f>IF('FY20-21'!$S60&gt;0,'FY20-21'!F60/'FY20-21'!$S60*'Multi-Year'!$L60,0)+IF('FY20-21'!$S60&lt;0,'FY20-21'!F60/'FY20-21'!$S60*'Multi-Year'!$L60,0)</f>
        <v>88264.173844120291</v>
      </c>
      <c r="G60" s="94">
        <f>IF('FY20-21'!$S60&gt;0,'FY20-21'!G60/'FY20-21'!$S60*'Multi-Year'!$L60,0)+IF('FY20-21'!$S60&lt;0,'FY20-21'!G60/'FY20-21'!$S60*'Multi-Year'!$L60,0)</f>
        <v>121219.68240132387</v>
      </c>
      <c r="H60" s="94">
        <f>IF('FY20-21'!$S60&gt;0,'FY20-21'!H60/'FY20-21'!$S60*'Multi-Year'!$L60,0)+IF('FY20-21'!$S60&lt;0,'FY20-21'!H60/'FY20-21'!$S60*'Multi-Year'!$L60,0)</f>
        <v>114039.88925741805</v>
      </c>
      <c r="I60" s="94">
        <f>IF('FY20-21'!$S60&gt;0,'FY20-21'!I60/'FY20-21'!$S60*'Multi-Year'!$L60,0)+IF('FY20-21'!$S60&lt;0,'FY20-21'!I60/'FY20-21'!$S60*'Multi-Year'!$L60,0)</f>
        <v>72076.783278378352</v>
      </c>
      <c r="J60" s="94">
        <f>IF('FY20-21'!$S60&gt;0,'FY20-21'!J60/'FY20-21'!$S60*'Multi-Year'!$L60,0)+IF('FY20-21'!$S60&lt;0,'FY20-21'!J60/'FY20-21'!$S60*'Multi-Year'!$L60,0)</f>
        <v>156777.27615010401</v>
      </c>
      <c r="K60" s="94">
        <f>IF('FY20-21'!$S60&gt;0,'FY20-21'!K60/'FY20-21'!$S60*'Multi-Year'!$L60,0)+IF('FY20-21'!$S60&lt;0,'FY20-21'!K60/'FY20-21'!$S60*'Multi-Year'!$L60,0)</f>
        <v>121238.32014132485</v>
      </c>
      <c r="L60" s="94">
        <f>IF('FY20-21'!$S60&gt;0,'FY20-21'!L60/'FY20-21'!$S60*'Multi-Year'!$L60,0)+IF('FY20-21'!$S60&lt;0,'FY20-21'!L60/'FY20-21'!$S60*'Multi-Year'!$L60,0)</f>
        <v>104702.42615821098</v>
      </c>
      <c r="M60" s="94">
        <f>IF('FY20-21'!$S60&gt;0,'FY20-21'!M60/'FY20-21'!$S60*'Multi-Year'!$L60,0)+IF('FY20-21'!$S60&lt;0,'FY20-21'!M60/'FY20-21'!$S60*'Multi-Year'!$L60,0)</f>
        <v>128346.05107733457</v>
      </c>
      <c r="N60" s="94">
        <f>IF('FY20-21'!$S60&gt;0,'FY20-21'!N60/'FY20-21'!$S60*'Multi-Year'!$L60,0)+IF('FY20-21'!$S60&lt;0,'FY20-21'!N60/'FY20-21'!$S60*'Multi-Year'!$L60,0)</f>
        <v>131645.32166882878</v>
      </c>
      <c r="O60" s="94">
        <f>IF('FY20-21'!$S60&gt;0,'FY20-21'!O60/'FY20-21'!$S60*'Multi-Year'!$L60,0)+IF('FY20-21'!$S60&lt;0,'FY20-21'!O60/'FY20-21'!$S60*'Multi-Year'!$L60,0)</f>
        <v>133990.1056054814</v>
      </c>
      <c r="P60" s="94">
        <f>IF('FY20-21'!$S60&gt;0,'FY20-21'!P60/'FY20-21'!$S60*'Multi-Year'!$L60,0)+IF('FY20-21'!$S60&lt;0,'FY20-21'!P60/'FY20-21'!$S60*'Multi-Year'!$L60,0)</f>
        <v>158108.45719910951</v>
      </c>
      <c r="Q60" s="606">
        <f>IF('FY20-21'!$S60&gt;0,'FY20-21'!Q60/'FY20-21'!$S60*'Multi-Year'!$L60,0)+IF('FY20-21'!$S60&lt;0,'FY20-21'!Q60/'FY20-21'!$S60*'Multi-Year'!$L60,0)</f>
        <v>0</v>
      </c>
      <c r="R60" s="94"/>
      <c r="S60" s="625">
        <f t="shared" si="19"/>
        <v>1408949.2400640002</v>
      </c>
      <c r="T60" s="94"/>
      <c r="U60" s="94">
        <f>'FY20-21'!S60</f>
        <v>1375449.8431999995</v>
      </c>
      <c r="V60" s="94">
        <f t="shared" si="20"/>
        <v>-33499.396864000708</v>
      </c>
    </row>
    <row r="61" spans="1:22" s="95" customFormat="1" ht="12" customHeight="1">
      <c r="A61" s="124"/>
      <c r="B61" s="124" t="s">
        <v>186</v>
      </c>
      <c r="C61" s="102">
        <v>1900</v>
      </c>
      <c r="D61" s="103" t="s">
        <v>19</v>
      </c>
      <c r="E61" s="94">
        <f>IF('FY20-21'!$S61&gt;0,'FY20-21'!E61/'FY20-21'!$S61*'Multi-Year'!$L61,0)+IF('FY20-21'!$S61&lt;0,'FY20-21'!E61/'FY20-21'!$S61*'Multi-Year'!$L61,0)</f>
        <v>0</v>
      </c>
      <c r="F61" s="94">
        <f>IF('FY20-21'!$S61&gt;0,'FY20-21'!F61/'FY20-21'!$S61*'Multi-Year'!$L61,0)+IF('FY20-21'!$S61&lt;0,'FY20-21'!F61/'FY20-21'!$S61*'Multi-Year'!$L61,0)</f>
        <v>0</v>
      </c>
      <c r="G61" s="94">
        <f>IF('FY20-21'!$S61&gt;0,'FY20-21'!G61/'FY20-21'!$S61*'Multi-Year'!$L61,0)+IF('FY20-21'!$S61&lt;0,'FY20-21'!G61/'FY20-21'!$S61*'Multi-Year'!$L61,0)</f>
        <v>0</v>
      </c>
      <c r="H61" s="94">
        <f>IF('FY20-21'!$S61&gt;0,'FY20-21'!H61/'FY20-21'!$S61*'Multi-Year'!$L61,0)+IF('FY20-21'!$S61&lt;0,'FY20-21'!H61/'FY20-21'!$S61*'Multi-Year'!$L61,0)</f>
        <v>0</v>
      </c>
      <c r="I61" s="94">
        <f>IF('FY20-21'!$S61&gt;0,'FY20-21'!I61/'FY20-21'!$S61*'Multi-Year'!$L61,0)+IF('FY20-21'!$S61&lt;0,'FY20-21'!I61/'FY20-21'!$S61*'Multi-Year'!$L61,0)</f>
        <v>0</v>
      </c>
      <c r="J61" s="94">
        <f>IF('FY20-21'!$S61&gt;0,'FY20-21'!J61/'FY20-21'!$S61*'Multi-Year'!$L61,0)+IF('FY20-21'!$S61&lt;0,'FY20-21'!J61/'FY20-21'!$S61*'Multi-Year'!$L61,0)</f>
        <v>0</v>
      </c>
      <c r="K61" s="94">
        <f>IF('FY20-21'!$S61&gt;0,'FY20-21'!K61/'FY20-21'!$S61*'Multi-Year'!$L61,0)+IF('FY20-21'!$S61&lt;0,'FY20-21'!K61/'FY20-21'!$S61*'Multi-Year'!$L61,0)</f>
        <v>0</v>
      </c>
      <c r="L61" s="94">
        <f>IF('FY20-21'!$S61&gt;0,'FY20-21'!L61/'FY20-21'!$S61*'Multi-Year'!$L61,0)+IF('FY20-21'!$S61&lt;0,'FY20-21'!L61/'FY20-21'!$S61*'Multi-Year'!$L61,0)</f>
        <v>0</v>
      </c>
      <c r="M61" s="94">
        <f>IF('FY20-21'!$S61&gt;0,'FY20-21'!M61/'FY20-21'!$S61*'Multi-Year'!$L61,0)+IF('FY20-21'!$S61&lt;0,'FY20-21'!M61/'FY20-21'!$S61*'Multi-Year'!$L61,0)</f>
        <v>0</v>
      </c>
      <c r="N61" s="94">
        <f>IF('FY20-21'!$S61&gt;0,'FY20-21'!N61/'FY20-21'!$S61*'Multi-Year'!$L61,0)+IF('FY20-21'!$S61&lt;0,'FY20-21'!N61/'FY20-21'!$S61*'Multi-Year'!$L61,0)</f>
        <v>0</v>
      </c>
      <c r="O61" s="94">
        <f>IF('FY20-21'!$S61&gt;0,'FY20-21'!O61/'FY20-21'!$S61*'Multi-Year'!$L61,0)+IF('FY20-21'!$S61&lt;0,'FY20-21'!O61/'FY20-21'!$S61*'Multi-Year'!$L61,0)</f>
        <v>0</v>
      </c>
      <c r="P61" s="94">
        <f>IF('FY20-21'!$S61&gt;0,'FY20-21'!P61/'FY20-21'!$S61*'Multi-Year'!$L61,0)+IF('FY20-21'!$S61&lt;0,'FY20-21'!P61/'FY20-21'!$S61*'Multi-Year'!$L61,0)</f>
        <v>0</v>
      </c>
      <c r="Q61" s="606">
        <f>IF('FY20-21'!$S61&gt;0,'FY20-21'!Q61/'FY20-21'!$S61*'Multi-Year'!$L61,0)+IF('FY20-21'!$S61&lt;0,'FY20-21'!Q61/'FY20-21'!$S61*'Multi-Year'!$L61,0)</f>
        <v>0</v>
      </c>
      <c r="R61" s="94"/>
      <c r="S61" s="625">
        <f t="shared" si="19"/>
        <v>0</v>
      </c>
      <c r="T61" s="94"/>
      <c r="U61" s="94">
        <f>'FY20-21'!S61</f>
        <v>0</v>
      </c>
      <c r="V61" s="94">
        <f t="shared" si="20"/>
        <v>0</v>
      </c>
    </row>
    <row r="62" spans="1:22" s="95" customFormat="1" ht="12" customHeight="1">
      <c r="A62" s="124"/>
      <c r="B62" s="124" t="s">
        <v>186</v>
      </c>
      <c r="C62" s="102"/>
      <c r="D62" s="103"/>
      <c r="E62" s="215">
        <f>SUM(E56:E61)</f>
        <v>640474.20192551101</v>
      </c>
      <c r="F62" s="215">
        <f t="shared" ref="F62:S62" si="21">SUM(F56:F61)</f>
        <v>922090.22803648724</v>
      </c>
      <c r="G62" s="215">
        <f t="shared" si="21"/>
        <v>997055.41260047955</v>
      </c>
      <c r="H62" s="215">
        <f t="shared" si="21"/>
        <v>985435.6379158122</v>
      </c>
      <c r="I62" s="215">
        <f t="shared" si="21"/>
        <v>179717.80096824057</v>
      </c>
      <c r="J62" s="215">
        <f t="shared" si="21"/>
        <v>1590394.8470200808</v>
      </c>
      <c r="K62" s="215">
        <f t="shared" si="21"/>
        <v>924044.42580212548</v>
      </c>
      <c r="L62" s="215">
        <f t="shared" si="21"/>
        <v>920636.86541128927</v>
      </c>
      <c r="M62" s="215">
        <f t="shared" si="21"/>
        <v>889661.4614148438</v>
      </c>
      <c r="N62" s="215">
        <f t="shared" si="21"/>
        <v>891567.70416195691</v>
      </c>
      <c r="O62" s="215">
        <f t="shared" si="21"/>
        <v>946578.65417267464</v>
      </c>
      <c r="P62" s="215">
        <f t="shared" si="21"/>
        <v>878755.03898429684</v>
      </c>
      <c r="Q62" s="603">
        <f t="shared" si="21"/>
        <v>0</v>
      </c>
      <c r="R62" s="94">
        <f t="shared" si="21"/>
        <v>0</v>
      </c>
      <c r="S62" s="626">
        <f t="shared" si="21"/>
        <v>10766412.278413799</v>
      </c>
      <c r="T62" s="94"/>
      <c r="U62" s="216">
        <f>SUM(U56:U61)</f>
        <v>10347918.121010004</v>
      </c>
      <c r="V62" s="216">
        <f>SUM(V56:V61)</f>
        <v>-418494.15740379517</v>
      </c>
    </row>
    <row r="63" spans="1:22" s="95" customFormat="1" ht="12" customHeight="1">
      <c r="A63" s="124"/>
      <c r="B63" s="124" t="s">
        <v>245</v>
      </c>
      <c r="C63" s="102"/>
      <c r="D63" s="103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606"/>
      <c r="R63" s="94"/>
      <c r="S63" s="625"/>
      <c r="T63" s="94"/>
      <c r="U63" s="94"/>
      <c r="V63" s="94"/>
    </row>
    <row r="64" spans="1:22" s="95" customFormat="1" ht="12" customHeight="1">
      <c r="A64" s="124"/>
      <c r="B64" s="124" t="s">
        <v>186</v>
      </c>
      <c r="C64" s="102">
        <v>2100</v>
      </c>
      <c r="D64" s="103" t="s">
        <v>276</v>
      </c>
      <c r="E64" s="94">
        <f>IF('FY20-21'!$S64&gt;0,'FY20-21'!E64/'FY20-21'!$S64*'Multi-Year'!$L64,0)+IF('FY20-21'!$S64&lt;0,'FY20-21'!E64/'FY20-21'!$S64*'Multi-Year'!$L64,0)</f>
        <v>8396.4477438030499</v>
      </c>
      <c r="F64" s="94">
        <f>IF('FY20-21'!$S64&gt;0,'FY20-21'!F64/'FY20-21'!$S64*'Multi-Year'!$L64,0)+IF('FY20-21'!$S64&lt;0,'FY20-21'!F64/'FY20-21'!$S64*'Multi-Year'!$L64,0)</f>
        <v>22858.353789616056</v>
      </c>
      <c r="G64" s="94">
        <f>IF('FY20-21'!$S64&gt;0,'FY20-21'!G64/'FY20-21'!$S64*'Multi-Year'!$L64,0)+IF('FY20-21'!$S64&lt;0,'FY20-21'!G64/'FY20-21'!$S64*'Multi-Year'!$L64,0)</f>
        <v>25172.593320109496</v>
      </c>
      <c r="H64" s="94">
        <f>IF('FY20-21'!$S64&gt;0,'FY20-21'!H64/'FY20-21'!$S64*'Multi-Year'!$L64,0)+IF('FY20-21'!$S64&lt;0,'FY20-21'!H64/'FY20-21'!$S64*'Multi-Year'!$L64,0)</f>
        <v>26903.413862217811</v>
      </c>
      <c r="I64" s="94">
        <f>IF('FY20-21'!$S64&gt;0,'FY20-21'!I64/'FY20-21'!$S64*'Multi-Year'!$L64,0)+IF('FY20-21'!$S64&lt;0,'FY20-21'!I64/'FY20-21'!$S64*'Multi-Year'!$L64,0)</f>
        <v>24108.332235200916</v>
      </c>
      <c r="J64" s="94">
        <f>IF('FY20-21'!$S64&gt;0,'FY20-21'!J64/'FY20-21'!$S64*'Multi-Year'!$L64,0)+IF('FY20-21'!$S64&lt;0,'FY20-21'!J64/'FY20-21'!$S64*'Multi-Year'!$L64,0)</f>
        <v>62919.345052864395</v>
      </c>
      <c r="K64" s="94">
        <f>IF('FY20-21'!$S64&gt;0,'FY20-21'!K64/'FY20-21'!$S64*'Multi-Year'!$L64,0)+IF('FY20-21'!$S64&lt;0,'FY20-21'!K64/'FY20-21'!$S64*'Multi-Year'!$L64,0)</f>
        <v>35876.972186254177</v>
      </c>
      <c r="L64" s="94">
        <f>IF('FY20-21'!$S64&gt;0,'FY20-21'!L64/'FY20-21'!$S64*'Multi-Year'!$L64,0)+IF('FY20-21'!$S64&lt;0,'FY20-21'!L64/'FY20-21'!$S64*'Multi-Year'!$L64,0)</f>
        <v>61938.235313336205</v>
      </c>
      <c r="M64" s="94">
        <f>IF('FY20-21'!$S64&gt;0,'FY20-21'!M64/'FY20-21'!$S64*'Multi-Year'!$L64,0)+IF('FY20-21'!$S64&lt;0,'FY20-21'!M64/'FY20-21'!$S64*'Multi-Year'!$L64,0)</f>
        <v>24940.161109412442</v>
      </c>
      <c r="N64" s="94">
        <f>IF('FY20-21'!$S64&gt;0,'FY20-21'!N64/'FY20-21'!$S64*'Multi-Year'!$L64,0)+IF('FY20-21'!$S64&lt;0,'FY20-21'!N64/'FY20-21'!$S64*'Multi-Year'!$L64,0)</f>
        <v>23735.02674453436</v>
      </c>
      <c r="O64" s="94">
        <f>IF('FY20-21'!$S64&gt;0,'FY20-21'!O64/'FY20-21'!$S64*'Multi-Year'!$L64,0)+IF('FY20-21'!$S64&lt;0,'FY20-21'!O64/'FY20-21'!$S64*'Multi-Year'!$L64,0)</f>
        <v>15153.797024712019</v>
      </c>
      <c r="P64" s="94">
        <f>IF('FY20-21'!$S64&gt;0,'FY20-21'!P64/'FY20-21'!$S64*'Multi-Year'!$L64,0)+IF('FY20-21'!$S64&lt;0,'FY20-21'!P64/'FY20-21'!$S64*'Multi-Year'!$L64,0)</f>
        <v>17908.31993793905</v>
      </c>
      <c r="Q64" s="606">
        <f>IF('FY20-21'!$S64&gt;0,'FY20-21'!Q64/'FY20-21'!$S64*'Multi-Year'!$L64,0)+IF('FY20-21'!$S64&lt;0,'FY20-21'!Q64/'FY20-21'!$S64*'Multi-Year'!$L64,0)</f>
        <v>0</v>
      </c>
      <c r="R64" s="94"/>
      <c r="S64" s="625">
        <f t="shared" ref="S64:S68" si="22">SUM(E64:Q64)</f>
        <v>349910.99832000001</v>
      </c>
      <c r="T64" s="94"/>
      <c r="U64" s="94">
        <f>'FY20-21'!S64</f>
        <v>331304.11600000004</v>
      </c>
      <c r="V64" s="94">
        <f t="shared" ref="V64:V68" si="23">U64-S64</f>
        <v>-18606.882319999975</v>
      </c>
    </row>
    <row r="65" spans="1:22" s="95" customFormat="1" ht="12" customHeight="1">
      <c r="A65" s="124"/>
      <c r="B65" s="124" t="s">
        <v>186</v>
      </c>
      <c r="C65" s="102">
        <v>2200</v>
      </c>
      <c r="D65" s="103" t="s">
        <v>277</v>
      </c>
      <c r="E65" s="94">
        <f>IF('FY20-21'!$S65&gt;0,'FY20-21'!E65/'FY20-21'!$S65*'Multi-Year'!$L65,0)+IF('FY20-21'!$S65&lt;0,'FY20-21'!E65/'FY20-21'!$S65*'Multi-Year'!$L65,0)</f>
        <v>0</v>
      </c>
      <c r="F65" s="94">
        <f>IF('FY20-21'!$S65&gt;0,'FY20-21'!F65/'FY20-21'!$S65*'Multi-Year'!$L65,0)+IF('FY20-21'!$S65&lt;0,'FY20-21'!F65/'FY20-21'!$S65*'Multi-Year'!$L65,0)</f>
        <v>0</v>
      </c>
      <c r="G65" s="94">
        <f>IF('FY20-21'!$S65&gt;0,'FY20-21'!G65/'FY20-21'!$S65*'Multi-Year'!$L65,0)+IF('FY20-21'!$S65&lt;0,'FY20-21'!G65/'FY20-21'!$S65*'Multi-Year'!$L65,0)</f>
        <v>0</v>
      </c>
      <c r="H65" s="94">
        <f>IF('FY20-21'!$S65&gt;0,'FY20-21'!H65/'FY20-21'!$S65*'Multi-Year'!$L65,0)+IF('FY20-21'!$S65&lt;0,'FY20-21'!H65/'FY20-21'!$S65*'Multi-Year'!$L65,0)</f>
        <v>0</v>
      </c>
      <c r="I65" s="94">
        <f>IF('FY20-21'!$S65&gt;0,'FY20-21'!I65/'FY20-21'!$S65*'Multi-Year'!$L65,0)+IF('FY20-21'!$S65&lt;0,'FY20-21'!I65/'FY20-21'!$S65*'Multi-Year'!$L65,0)</f>
        <v>0</v>
      </c>
      <c r="J65" s="94">
        <f>IF('FY20-21'!$S65&gt;0,'FY20-21'!J65/'FY20-21'!$S65*'Multi-Year'!$L65,0)+IF('FY20-21'!$S65&lt;0,'FY20-21'!J65/'FY20-21'!$S65*'Multi-Year'!$L65,0)</f>
        <v>0</v>
      </c>
      <c r="K65" s="94">
        <f>IF('FY20-21'!$S65&gt;0,'FY20-21'!K65/'FY20-21'!$S65*'Multi-Year'!$L65,0)+IF('FY20-21'!$S65&lt;0,'FY20-21'!K65/'FY20-21'!$S65*'Multi-Year'!$L65,0)</f>
        <v>0</v>
      </c>
      <c r="L65" s="94">
        <f>IF('FY20-21'!$S65&gt;0,'FY20-21'!L65/'FY20-21'!$S65*'Multi-Year'!$L65,0)+IF('FY20-21'!$S65&lt;0,'FY20-21'!L65/'FY20-21'!$S65*'Multi-Year'!$L65,0)</f>
        <v>0</v>
      </c>
      <c r="M65" s="94">
        <f>IF('FY20-21'!$S65&gt;0,'FY20-21'!M65/'FY20-21'!$S65*'Multi-Year'!$L65,0)+IF('FY20-21'!$S65&lt;0,'FY20-21'!M65/'FY20-21'!$S65*'Multi-Year'!$L65,0)</f>
        <v>0</v>
      </c>
      <c r="N65" s="94">
        <f>IF('FY20-21'!$S65&gt;0,'FY20-21'!N65/'FY20-21'!$S65*'Multi-Year'!$L65,0)+IF('FY20-21'!$S65&lt;0,'FY20-21'!N65/'FY20-21'!$S65*'Multi-Year'!$L65,0)</f>
        <v>0</v>
      </c>
      <c r="O65" s="94">
        <f>IF('FY20-21'!$S65&gt;0,'FY20-21'!O65/'FY20-21'!$S65*'Multi-Year'!$L65,0)+IF('FY20-21'!$S65&lt;0,'FY20-21'!O65/'FY20-21'!$S65*'Multi-Year'!$L65,0)</f>
        <v>0</v>
      </c>
      <c r="P65" s="94">
        <f>IF('FY20-21'!$S65&gt;0,'FY20-21'!P65/'FY20-21'!$S65*'Multi-Year'!$L65,0)+IF('FY20-21'!$S65&lt;0,'FY20-21'!P65/'FY20-21'!$S65*'Multi-Year'!$L65,0)</f>
        <v>0</v>
      </c>
      <c r="Q65" s="606">
        <f>IF('FY20-21'!$S65&gt;0,'FY20-21'!Q65/'FY20-21'!$S65*'Multi-Year'!$L65,0)+IF('FY20-21'!$S65&lt;0,'FY20-21'!Q65/'FY20-21'!$S65*'Multi-Year'!$L65,0)</f>
        <v>0</v>
      </c>
      <c r="R65" s="94"/>
      <c r="S65" s="625">
        <f t="shared" si="22"/>
        <v>0</v>
      </c>
      <c r="T65" s="94"/>
      <c r="U65" s="94">
        <f>'FY20-21'!S65</f>
        <v>0</v>
      </c>
      <c r="V65" s="94">
        <f t="shared" si="23"/>
        <v>0</v>
      </c>
    </row>
    <row r="66" spans="1:22" s="95" customFormat="1" ht="12" customHeight="1">
      <c r="A66" s="124"/>
      <c r="B66" s="124" t="s">
        <v>186</v>
      </c>
      <c r="C66" s="102">
        <v>2300</v>
      </c>
      <c r="D66" s="103" t="s">
        <v>22</v>
      </c>
      <c r="E66" s="94">
        <f>IF('FY20-21'!$S66&gt;0,'FY20-21'!E66/'FY20-21'!$S66*'Multi-Year'!$L66,0)+IF('FY20-21'!$S66&lt;0,'FY20-21'!E66/'FY20-21'!$S66*'Multi-Year'!$L66,0)</f>
        <v>0</v>
      </c>
      <c r="F66" s="94">
        <f>IF('FY20-21'!$S66&gt;0,'FY20-21'!F66/'FY20-21'!$S66*'Multi-Year'!$L66,0)+IF('FY20-21'!$S66&lt;0,'FY20-21'!F66/'FY20-21'!$S66*'Multi-Year'!$L66,0)</f>
        <v>0</v>
      </c>
      <c r="G66" s="94">
        <f>IF('FY20-21'!$S66&gt;0,'FY20-21'!G66/'FY20-21'!$S66*'Multi-Year'!$L66,0)+IF('FY20-21'!$S66&lt;0,'FY20-21'!G66/'FY20-21'!$S66*'Multi-Year'!$L66,0)</f>
        <v>0</v>
      </c>
      <c r="H66" s="94">
        <f>IF('FY20-21'!$S66&gt;0,'FY20-21'!H66/'FY20-21'!$S66*'Multi-Year'!$L66,0)+IF('FY20-21'!$S66&lt;0,'FY20-21'!H66/'FY20-21'!$S66*'Multi-Year'!$L66,0)</f>
        <v>0</v>
      </c>
      <c r="I66" s="94">
        <f>IF('FY20-21'!$S66&gt;0,'FY20-21'!I66/'FY20-21'!$S66*'Multi-Year'!$L66,0)+IF('FY20-21'!$S66&lt;0,'FY20-21'!I66/'FY20-21'!$S66*'Multi-Year'!$L66,0)</f>
        <v>0</v>
      </c>
      <c r="J66" s="94">
        <f>IF('FY20-21'!$S66&gt;0,'FY20-21'!J66/'FY20-21'!$S66*'Multi-Year'!$L66,0)+IF('FY20-21'!$S66&lt;0,'FY20-21'!J66/'FY20-21'!$S66*'Multi-Year'!$L66,0)</f>
        <v>0</v>
      </c>
      <c r="K66" s="94">
        <f>IF('FY20-21'!$S66&gt;0,'FY20-21'!K66/'FY20-21'!$S66*'Multi-Year'!$L66,0)+IF('FY20-21'!$S66&lt;0,'FY20-21'!K66/'FY20-21'!$S66*'Multi-Year'!$L66,0)</f>
        <v>0</v>
      </c>
      <c r="L66" s="94">
        <f>IF('FY20-21'!$S66&gt;0,'FY20-21'!L66/'FY20-21'!$S66*'Multi-Year'!$L66,0)+IF('FY20-21'!$S66&lt;0,'FY20-21'!L66/'FY20-21'!$S66*'Multi-Year'!$L66,0)</f>
        <v>0</v>
      </c>
      <c r="M66" s="94">
        <f>IF('FY20-21'!$S66&gt;0,'FY20-21'!M66/'FY20-21'!$S66*'Multi-Year'!$L66,0)+IF('FY20-21'!$S66&lt;0,'FY20-21'!M66/'FY20-21'!$S66*'Multi-Year'!$L66,0)</f>
        <v>0</v>
      </c>
      <c r="N66" s="94">
        <f>IF('FY20-21'!$S66&gt;0,'FY20-21'!N66/'FY20-21'!$S66*'Multi-Year'!$L66,0)+IF('FY20-21'!$S66&lt;0,'FY20-21'!N66/'FY20-21'!$S66*'Multi-Year'!$L66,0)</f>
        <v>0</v>
      </c>
      <c r="O66" s="94">
        <f>IF('FY20-21'!$S66&gt;0,'FY20-21'!O66/'FY20-21'!$S66*'Multi-Year'!$L66,0)+IF('FY20-21'!$S66&lt;0,'FY20-21'!O66/'FY20-21'!$S66*'Multi-Year'!$L66,0)</f>
        <v>0</v>
      </c>
      <c r="P66" s="94">
        <f>IF('FY20-21'!$S66&gt;0,'FY20-21'!P66/'FY20-21'!$S66*'Multi-Year'!$L66,0)+IF('FY20-21'!$S66&lt;0,'FY20-21'!P66/'FY20-21'!$S66*'Multi-Year'!$L66,0)</f>
        <v>0</v>
      </c>
      <c r="Q66" s="606">
        <f>IF('FY20-21'!$S66&gt;0,'FY20-21'!Q66/'FY20-21'!$S66*'Multi-Year'!$L66,0)+IF('FY20-21'!$S66&lt;0,'FY20-21'!Q66/'FY20-21'!$S66*'Multi-Year'!$L66,0)</f>
        <v>0</v>
      </c>
      <c r="R66" s="94"/>
      <c r="S66" s="625">
        <f t="shared" si="22"/>
        <v>0</v>
      </c>
      <c r="T66" s="94"/>
      <c r="U66" s="94">
        <f>'FY20-21'!S66</f>
        <v>0</v>
      </c>
      <c r="V66" s="94">
        <f t="shared" si="23"/>
        <v>0</v>
      </c>
    </row>
    <row r="67" spans="1:22" s="95" customFormat="1" ht="12" customHeight="1">
      <c r="A67" s="124"/>
      <c r="B67" s="124" t="s">
        <v>186</v>
      </c>
      <c r="C67" s="102">
        <v>2400</v>
      </c>
      <c r="D67" s="105" t="s">
        <v>241</v>
      </c>
      <c r="E67" s="94">
        <f>IF('FY20-21'!$S67&gt;0,'FY20-21'!E67/'FY20-21'!$S67*'Multi-Year'!$L67,0)+IF('FY20-21'!$S67&lt;0,'FY20-21'!E67/'FY20-21'!$S67*'Multi-Year'!$L67,0)</f>
        <v>0</v>
      </c>
      <c r="F67" s="94">
        <f>IF('FY20-21'!$S67&gt;0,'FY20-21'!F67/'FY20-21'!$S67*'Multi-Year'!$L67,0)+IF('FY20-21'!$S67&lt;0,'FY20-21'!F67/'FY20-21'!$S67*'Multi-Year'!$L67,0)</f>
        <v>0</v>
      </c>
      <c r="G67" s="94">
        <f>IF('FY20-21'!$S67&gt;0,'FY20-21'!G67/'FY20-21'!$S67*'Multi-Year'!$L67,0)+IF('FY20-21'!$S67&lt;0,'FY20-21'!G67/'FY20-21'!$S67*'Multi-Year'!$L67,0)</f>
        <v>0</v>
      </c>
      <c r="H67" s="94">
        <f>IF('FY20-21'!$S67&gt;0,'FY20-21'!H67/'FY20-21'!$S67*'Multi-Year'!$L67,0)+IF('FY20-21'!$S67&lt;0,'FY20-21'!H67/'FY20-21'!$S67*'Multi-Year'!$L67,0)</f>
        <v>0</v>
      </c>
      <c r="I67" s="94">
        <f>IF('FY20-21'!$S67&gt;0,'FY20-21'!I67/'FY20-21'!$S67*'Multi-Year'!$L67,0)+IF('FY20-21'!$S67&lt;0,'FY20-21'!I67/'FY20-21'!$S67*'Multi-Year'!$L67,0)</f>
        <v>0</v>
      </c>
      <c r="J67" s="94">
        <f>IF('FY20-21'!$S67&gt;0,'FY20-21'!J67/'FY20-21'!$S67*'Multi-Year'!$L67,0)+IF('FY20-21'!$S67&lt;0,'FY20-21'!J67/'FY20-21'!$S67*'Multi-Year'!$L67,0)</f>
        <v>0</v>
      </c>
      <c r="K67" s="94">
        <f>IF('FY20-21'!$S67&gt;0,'FY20-21'!K67/'FY20-21'!$S67*'Multi-Year'!$L67,0)+IF('FY20-21'!$S67&lt;0,'FY20-21'!K67/'FY20-21'!$S67*'Multi-Year'!$L67,0)</f>
        <v>0</v>
      </c>
      <c r="L67" s="94">
        <f>IF('FY20-21'!$S67&gt;0,'FY20-21'!L67/'FY20-21'!$S67*'Multi-Year'!$L67,0)+IF('FY20-21'!$S67&lt;0,'FY20-21'!L67/'FY20-21'!$S67*'Multi-Year'!$L67,0)</f>
        <v>9836.6242165238782</v>
      </c>
      <c r="M67" s="94">
        <f>IF('FY20-21'!$S67&gt;0,'FY20-21'!M67/'FY20-21'!$S67*'Multi-Year'!$L67,0)+IF('FY20-21'!$S67&lt;0,'FY20-21'!M67/'FY20-21'!$S67*'Multi-Year'!$L67,0)</f>
        <v>21640.564751528269</v>
      </c>
      <c r="N67" s="94">
        <f>IF('FY20-21'!$S67&gt;0,'FY20-21'!N67/'FY20-21'!$S67*'Multi-Year'!$L67,0)+IF('FY20-21'!$S67&lt;0,'FY20-21'!N67/'FY20-21'!$S67*'Multi-Year'!$L67,0)</f>
        <v>35812.91458642151</v>
      </c>
      <c r="O67" s="94">
        <f>IF('FY20-21'!$S67&gt;0,'FY20-21'!O67/'FY20-21'!$S67*'Multi-Year'!$L67,0)+IF('FY20-21'!$S67&lt;0,'FY20-21'!O67/'FY20-21'!$S67*'Multi-Year'!$L67,0)</f>
        <v>23902.456372294972</v>
      </c>
      <c r="P67" s="94">
        <f>IF('FY20-21'!$S67&gt;0,'FY20-21'!P67/'FY20-21'!$S67*'Multi-Year'!$L67,0)+IF('FY20-21'!$S67&lt;0,'FY20-21'!P67/'FY20-21'!$S67*'Multi-Year'!$L67,0)</f>
        <v>13705.104217231377</v>
      </c>
      <c r="Q67" s="606">
        <f>IF('FY20-21'!$S67&gt;0,'FY20-21'!Q67/'FY20-21'!$S67*'Multi-Year'!$L67,0)+IF('FY20-21'!$S67&lt;0,'FY20-21'!Q67/'FY20-21'!$S67*'Multi-Year'!$L67,0)</f>
        <v>0</v>
      </c>
      <c r="R67" s="125"/>
      <c r="S67" s="625">
        <f t="shared" si="22"/>
        <v>104897.66414400001</v>
      </c>
      <c r="T67" s="94"/>
      <c r="U67" s="94">
        <f>'FY20-21'!S67</f>
        <v>102840.84719999999</v>
      </c>
      <c r="V67" s="94">
        <f t="shared" si="23"/>
        <v>-2056.8169440000202</v>
      </c>
    </row>
    <row r="68" spans="1:22" s="95" customFormat="1" ht="12" customHeight="1">
      <c r="A68" s="124"/>
      <c r="B68" s="124" t="s">
        <v>186</v>
      </c>
      <c r="C68" s="102">
        <v>2900</v>
      </c>
      <c r="D68" s="103" t="s">
        <v>24</v>
      </c>
      <c r="E68" s="94">
        <f>IF('FY20-21'!$S68&gt;0,'FY20-21'!E68/'FY20-21'!$S68*'Multi-Year'!$L68,0)+IF('FY20-21'!$S68&lt;0,'FY20-21'!E68/'FY20-21'!$S68*'Multi-Year'!$L68,0)</f>
        <v>0</v>
      </c>
      <c r="F68" s="94">
        <f>IF('FY20-21'!$S68&gt;0,'FY20-21'!F68/'FY20-21'!$S68*'Multi-Year'!$L68,0)+IF('FY20-21'!$S68&lt;0,'FY20-21'!F68/'FY20-21'!$S68*'Multi-Year'!$L68,0)</f>
        <v>0</v>
      </c>
      <c r="G68" s="94">
        <f>IF('FY20-21'!$S68&gt;0,'FY20-21'!G68/'FY20-21'!$S68*'Multi-Year'!$L68,0)+IF('FY20-21'!$S68&lt;0,'FY20-21'!G68/'FY20-21'!$S68*'Multi-Year'!$L68,0)</f>
        <v>0</v>
      </c>
      <c r="H68" s="94">
        <f>IF('FY20-21'!$S68&gt;0,'FY20-21'!H68/'FY20-21'!$S68*'Multi-Year'!$L68,0)+IF('FY20-21'!$S68&lt;0,'FY20-21'!H68/'FY20-21'!$S68*'Multi-Year'!$L68,0)</f>
        <v>0</v>
      </c>
      <c r="I68" s="94">
        <f>IF('FY20-21'!$S68&gt;0,'FY20-21'!I68/'FY20-21'!$S68*'Multi-Year'!$L68,0)+IF('FY20-21'!$S68&lt;0,'FY20-21'!I68/'FY20-21'!$S68*'Multi-Year'!$L68,0)</f>
        <v>0</v>
      </c>
      <c r="J68" s="94">
        <f>IF('FY20-21'!$S68&gt;0,'FY20-21'!J68/'FY20-21'!$S68*'Multi-Year'!$L68,0)+IF('FY20-21'!$S68&lt;0,'FY20-21'!J68/'FY20-21'!$S68*'Multi-Year'!$L68,0)</f>
        <v>0</v>
      </c>
      <c r="K68" s="94">
        <f>IF('FY20-21'!$S68&gt;0,'FY20-21'!K68/'FY20-21'!$S68*'Multi-Year'!$L68,0)+IF('FY20-21'!$S68&lt;0,'FY20-21'!K68/'FY20-21'!$S68*'Multi-Year'!$L68,0)</f>
        <v>0</v>
      </c>
      <c r="L68" s="94">
        <f>IF('FY20-21'!$S68&gt;0,'FY20-21'!L68/'FY20-21'!$S68*'Multi-Year'!$L68,0)+IF('FY20-21'!$S68&lt;0,'FY20-21'!L68/'FY20-21'!$S68*'Multi-Year'!$L68,0)</f>
        <v>0</v>
      </c>
      <c r="M68" s="94">
        <f>IF('FY20-21'!$S68&gt;0,'FY20-21'!M68/'FY20-21'!$S68*'Multi-Year'!$L68,0)+IF('FY20-21'!$S68&lt;0,'FY20-21'!M68/'FY20-21'!$S68*'Multi-Year'!$L68,0)</f>
        <v>0</v>
      </c>
      <c r="N68" s="94">
        <f>IF('FY20-21'!$S68&gt;0,'FY20-21'!N68/'FY20-21'!$S68*'Multi-Year'!$L68,0)+IF('FY20-21'!$S68&lt;0,'FY20-21'!N68/'FY20-21'!$S68*'Multi-Year'!$L68,0)</f>
        <v>5878.7973721193093</v>
      </c>
      <c r="O68" s="94">
        <f>IF('FY20-21'!$S68&gt;0,'FY20-21'!O68/'FY20-21'!$S68*'Multi-Year'!$L68,0)+IF('FY20-21'!$S68&lt;0,'FY20-21'!O68/'FY20-21'!$S68*'Multi-Year'!$L68,0)</f>
        <v>13773.987008222884</v>
      </c>
      <c r="P68" s="94">
        <f>IF('FY20-21'!$S68&gt;0,'FY20-21'!P68/'FY20-21'!$S68*'Multi-Year'!$L68,0)+IF('FY20-21'!$S68&lt;0,'FY20-21'!P68/'FY20-21'!$S68*'Multi-Year'!$L68,0)</f>
        <v>23950.670931657802</v>
      </c>
      <c r="Q68" s="606">
        <f>IF('FY20-21'!$S68&gt;0,'FY20-21'!Q68/'FY20-21'!$S68*'Multi-Year'!$L68,0)+IF('FY20-21'!$S68&lt;0,'FY20-21'!Q68/'FY20-21'!$S68*'Multi-Year'!$L68,0)</f>
        <v>0</v>
      </c>
      <c r="R68" s="94"/>
      <c r="S68" s="625">
        <f t="shared" si="22"/>
        <v>43603.455311999991</v>
      </c>
      <c r="T68" s="94"/>
      <c r="U68" s="94">
        <f>'FY20-21'!S68</f>
        <v>42748.4856</v>
      </c>
      <c r="V68" s="94">
        <f t="shared" si="23"/>
        <v>-854.96971199999098</v>
      </c>
    </row>
    <row r="69" spans="1:22" s="95" customFormat="1" ht="12" customHeight="1">
      <c r="A69" s="124"/>
      <c r="B69" s="124" t="s">
        <v>186</v>
      </c>
      <c r="C69" s="126"/>
      <c r="D69" s="126"/>
      <c r="E69" s="215">
        <f>SUM(E64:E68)</f>
        <v>8396.4477438030499</v>
      </c>
      <c r="F69" s="215">
        <f t="shared" ref="F69:S69" si="24">SUM(F64:F68)</f>
        <v>22858.353789616056</v>
      </c>
      <c r="G69" s="215">
        <f t="shared" si="24"/>
        <v>25172.593320109496</v>
      </c>
      <c r="H69" s="215">
        <f t="shared" si="24"/>
        <v>26903.413862217811</v>
      </c>
      <c r="I69" s="215">
        <f t="shared" si="24"/>
        <v>24108.332235200916</v>
      </c>
      <c r="J69" s="215">
        <f t="shared" si="24"/>
        <v>62919.345052864395</v>
      </c>
      <c r="K69" s="215">
        <f t="shared" si="24"/>
        <v>35876.972186254177</v>
      </c>
      <c r="L69" s="215">
        <f t="shared" si="24"/>
        <v>71774.859529860085</v>
      </c>
      <c r="M69" s="215">
        <f t="shared" si="24"/>
        <v>46580.725860940714</v>
      </c>
      <c r="N69" s="215">
        <f t="shared" si="24"/>
        <v>65426.738703075185</v>
      </c>
      <c r="O69" s="215">
        <f t="shared" si="24"/>
        <v>52830.240405229881</v>
      </c>
      <c r="P69" s="215">
        <f t="shared" si="24"/>
        <v>55564.095086828223</v>
      </c>
      <c r="Q69" s="603">
        <f t="shared" si="24"/>
        <v>0</v>
      </c>
      <c r="R69" s="94">
        <f t="shared" si="24"/>
        <v>0</v>
      </c>
      <c r="S69" s="626">
        <f t="shared" si="24"/>
        <v>498412.11777600006</v>
      </c>
      <c r="T69" s="94"/>
      <c r="U69" s="216">
        <f>SUM(U64:U68)</f>
        <v>476893.44880000001</v>
      </c>
      <c r="V69" s="216">
        <f>SUM(V64:V68)</f>
        <v>-21518.668975999986</v>
      </c>
    </row>
    <row r="70" spans="1:22" s="95" customFormat="1" ht="12" customHeight="1">
      <c r="A70" s="124"/>
      <c r="B70" s="124" t="s">
        <v>3</v>
      </c>
      <c r="C70" s="126"/>
      <c r="D70" s="126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606"/>
      <c r="R70" s="94"/>
      <c r="S70" s="627"/>
      <c r="T70" s="94"/>
      <c r="U70" s="94"/>
      <c r="V70" s="94"/>
    </row>
    <row r="71" spans="1:22" s="95" customFormat="1" ht="12" customHeight="1">
      <c r="A71" s="124"/>
      <c r="B71" s="124" t="s">
        <v>186</v>
      </c>
      <c r="C71" s="102">
        <v>3101</v>
      </c>
      <c r="D71" s="105" t="s">
        <v>69</v>
      </c>
      <c r="E71" s="94">
        <f>IF('FY20-21'!$S71&gt;0,'FY20-21'!E71/'FY20-21'!$S71*'Multi-Year'!$L71,0)+IF('FY20-21'!$S71&lt;0,'FY20-21'!E71/'FY20-21'!$S71*'Multi-Year'!$L71,0)</f>
        <v>106309.94241239069</v>
      </c>
      <c r="F71" s="94">
        <f>IF('FY20-21'!$S71&gt;0,'FY20-21'!F71/'FY20-21'!$S71*'Multi-Year'!$L71,0)+IF('FY20-21'!$S71&lt;0,'FY20-21'!F71/'FY20-21'!$S71*'Multi-Year'!$L71,0)</f>
        <v>158832.68481479213</v>
      </c>
      <c r="G71" s="94">
        <f>IF('FY20-21'!$S71&gt;0,'FY20-21'!G71/'FY20-21'!$S71*'Multi-Year'!$L71,0)+IF('FY20-21'!$S71&lt;0,'FY20-21'!G71/'FY20-21'!$S71*'Multi-Year'!$L71,0)</f>
        <v>181274.46289423</v>
      </c>
      <c r="H71" s="94">
        <f>IF('FY20-21'!$S71&gt;0,'FY20-21'!H71/'FY20-21'!$S71*'Multi-Year'!$L71,0)+IF('FY20-21'!$S71&lt;0,'FY20-21'!H71/'FY20-21'!$S71*'Multi-Year'!$L71,0)</f>
        <v>181842.46247128898</v>
      </c>
      <c r="I71" s="94">
        <f>IF('FY20-21'!$S71&gt;0,'FY20-21'!I71/'FY20-21'!$S71*'Multi-Year'!$L71,0)+IF('FY20-21'!$S71&lt;0,'FY20-21'!I71/'FY20-21'!$S71*'Multi-Year'!$L71,0)</f>
        <v>38115.876917984089</v>
      </c>
      <c r="J71" s="94">
        <f>IF('FY20-21'!$S71&gt;0,'FY20-21'!J71/'FY20-21'!$S71*'Multi-Year'!$L71,0)+IF('FY20-21'!$S71&lt;0,'FY20-21'!J71/'FY20-21'!$S71*'Multi-Year'!$L71,0)</f>
        <v>283539.26895495795</v>
      </c>
      <c r="K71" s="94">
        <f>IF('FY20-21'!$S71&gt;0,'FY20-21'!K71/'FY20-21'!$S71*'Multi-Year'!$L71,0)+IF('FY20-21'!$S71&lt;0,'FY20-21'!K71/'FY20-21'!$S71*'Multi-Year'!$L71,0)</f>
        <v>170073.20866719491</v>
      </c>
      <c r="L71" s="94">
        <f>IF('FY20-21'!$S71&gt;0,'FY20-21'!L71/'FY20-21'!$S71*'Multi-Year'!$L71,0)+IF('FY20-21'!$S71&lt;0,'FY20-21'!L71/'FY20-21'!$S71*'Multi-Year'!$L71,0)</f>
        <v>167340.31478688057</v>
      </c>
      <c r="M71" s="94">
        <f>IF('FY20-21'!$S71&gt;0,'FY20-21'!M71/'FY20-21'!$S71*'Multi-Year'!$L71,0)+IF('FY20-21'!$S71&lt;0,'FY20-21'!M71/'FY20-21'!$S71*'Multi-Year'!$L71,0)</f>
        <v>162847.67501079378</v>
      </c>
      <c r="N71" s="94">
        <f>IF('FY20-21'!$S71&gt;0,'FY20-21'!N71/'FY20-21'!$S71*'Multi-Year'!$L71,0)+IF('FY20-21'!$S71&lt;0,'FY20-21'!N71/'FY20-21'!$S71*'Multi-Year'!$L71,0)</f>
        <v>161304.72487275396</v>
      </c>
      <c r="O71" s="94">
        <f>IF('FY20-21'!$S71&gt;0,'FY20-21'!O71/'FY20-21'!$S71*'Multi-Year'!$L71,0)+IF('FY20-21'!$S71&lt;0,'FY20-21'!O71/'FY20-21'!$S71*'Multi-Year'!$L71,0)</f>
        <v>172700.67947270485</v>
      </c>
      <c r="P71" s="94">
        <f>IF('FY20-21'!$S71&gt;0,'FY20-21'!P71/'FY20-21'!$S71*'Multi-Year'!$L71,0)+IF('FY20-21'!$S71&lt;0,'FY20-21'!P71/'FY20-21'!$S71*'Multi-Year'!$L71,0)</f>
        <v>164539.32111692551</v>
      </c>
      <c r="Q71" s="606">
        <f>IF('FY20-21'!$S71&gt;0,'FY20-21'!Q71/'FY20-21'!$S71*'Multi-Year'!$L71,0)+IF('FY20-21'!$S71&lt;0,'FY20-21'!Q71/'FY20-21'!$S71*'Multi-Year'!$L71,0)</f>
        <v>0</v>
      </c>
      <c r="R71" s="94"/>
      <c r="S71" s="625">
        <f t="shared" ref="S71:S78" si="25">SUM(E71:Q71)</f>
        <v>1948720.6223928975</v>
      </c>
      <c r="T71" s="94"/>
      <c r="U71" s="94">
        <f>'FY20-21'!S71</f>
        <v>1904016.9342658399</v>
      </c>
      <c r="V71" s="94">
        <f t="shared" ref="V71:V78" si="26">U71-S71</f>
        <v>-44703.688127057627</v>
      </c>
    </row>
    <row r="72" spans="1:22" s="95" customFormat="1" ht="12" customHeight="1">
      <c r="A72" s="124"/>
      <c r="B72" s="124" t="s">
        <v>186</v>
      </c>
      <c r="C72" s="102">
        <v>3202</v>
      </c>
      <c r="D72" s="105" t="s">
        <v>70</v>
      </c>
      <c r="E72" s="94">
        <f>IF('FY20-21'!$S72&gt;0,'FY20-21'!E72/'FY20-21'!$S72*'Multi-Year'!$L72,0)+IF('FY20-21'!$S72&lt;0,'FY20-21'!E72/'FY20-21'!$S72*'Multi-Year'!$L72,0)</f>
        <v>0</v>
      </c>
      <c r="F72" s="94">
        <f>IF('FY20-21'!$S72&gt;0,'FY20-21'!F72/'FY20-21'!$S72*'Multi-Year'!$L72,0)+IF('FY20-21'!$S72&lt;0,'FY20-21'!F72/'FY20-21'!$S72*'Multi-Year'!$L72,0)</f>
        <v>0</v>
      </c>
      <c r="G72" s="94">
        <f>IF('FY20-21'!$S72&gt;0,'FY20-21'!G72/'FY20-21'!$S72*'Multi-Year'!$L72,0)+IF('FY20-21'!$S72&lt;0,'FY20-21'!G72/'FY20-21'!$S72*'Multi-Year'!$L72,0)</f>
        <v>0</v>
      </c>
      <c r="H72" s="94">
        <f>IF('FY20-21'!$S72&gt;0,'FY20-21'!H72/'FY20-21'!$S72*'Multi-Year'!$L72,0)+IF('FY20-21'!$S72&lt;0,'FY20-21'!H72/'FY20-21'!$S72*'Multi-Year'!$L72,0)</f>
        <v>0</v>
      </c>
      <c r="I72" s="94">
        <f>IF('FY20-21'!$S72&gt;0,'FY20-21'!I72/'FY20-21'!$S72*'Multi-Year'!$L72,0)+IF('FY20-21'!$S72&lt;0,'FY20-21'!I72/'FY20-21'!$S72*'Multi-Year'!$L72,0)</f>
        <v>0</v>
      </c>
      <c r="J72" s="94">
        <f>IF('FY20-21'!$S72&gt;0,'FY20-21'!J72/'FY20-21'!$S72*'Multi-Year'!$L72,0)+IF('FY20-21'!$S72&lt;0,'FY20-21'!J72/'FY20-21'!$S72*'Multi-Year'!$L72,0)</f>
        <v>0</v>
      </c>
      <c r="K72" s="94">
        <f>IF('FY20-21'!$S72&gt;0,'FY20-21'!K72/'FY20-21'!$S72*'Multi-Year'!$L72,0)+IF('FY20-21'!$S72&lt;0,'FY20-21'!K72/'FY20-21'!$S72*'Multi-Year'!$L72,0)</f>
        <v>0</v>
      </c>
      <c r="L72" s="94">
        <f>IF('FY20-21'!$S72&gt;0,'FY20-21'!L72/'FY20-21'!$S72*'Multi-Year'!$L72,0)+IF('FY20-21'!$S72&lt;0,'FY20-21'!L72/'FY20-21'!$S72*'Multi-Year'!$L72,0)</f>
        <v>0</v>
      </c>
      <c r="M72" s="94">
        <f>IF('FY20-21'!$S72&gt;0,'FY20-21'!M72/'FY20-21'!$S72*'Multi-Year'!$L72,0)+IF('FY20-21'!$S72&lt;0,'FY20-21'!M72/'FY20-21'!$S72*'Multi-Year'!$L72,0)</f>
        <v>0</v>
      </c>
      <c r="N72" s="94">
        <f>IF('FY20-21'!$S72&gt;0,'FY20-21'!N72/'FY20-21'!$S72*'Multi-Year'!$L72,0)+IF('FY20-21'!$S72&lt;0,'FY20-21'!N72/'FY20-21'!$S72*'Multi-Year'!$L72,0)</f>
        <v>0</v>
      </c>
      <c r="O72" s="94">
        <f>IF('FY20-21'!$S72&gt;0,'FY20-21'!O72/'FY20-21'!$S72*'Multi-Year'!$L72,0)+IF('FY20-21'!$S72&lt;0,'FY20-21'!O72/'FY20-21'!$S72*'Multi-Year'!$L72,0)</f>
        <v>0</v>
      </c>
      <c r="P72" s="94">
        <f>IF('FY20-21'!$S72&gt;0,'FY20-21'!P72/'FY20-21'!$S72*'Multi-Year'!$L72,0)+IF('FY20-21'!$S72&lt;0,'FY20-21'!P72/'FY20-21'!$S72*'Multi-Year'!$L72,0)</f>
        <v>0</v>
      </c>
      <c r="Q72" s="606">
        <f>IF('FY20-21'!$S72&gt;0,'FY20-21'!Q72/'FY20-21'!$S72*'Multi-Year'!$L72,0)+IF('FY20-21'!$S72&lt;0,'FY20-21'!Q72/'FY20-21'!$S72*'Multi-Year'!$L72,0)</f>
        <v>0</v>
      </c>
      <c r="R72" s="94"/>
      <c r="S72" s="625">
        <f t="shared" si="25"/>
        <v>0</v>
      </c>
      <c r="T72" s="94"/>
      <c r="U72" s="94">
        <f>'FY20-21'!S72</f>
        <v>0</v>
      </c>
      <c r="V72" s="94">
        <f t="shared" si="26"/>
        <v>0</v>
      </c>
    </row>
    <row r="73" spans="1:22" s="95" customFormat="1" ht="12" customHeight="1">
      <c r="A73" s="124"/>
      <c r="B73" s="124" t="s">
        <v>186</v>
      </c>
      <c r="C73" s="102">
        <v>3301</v>
      </c>
      <c r="D73" s="105" t="s">
        <v>239</v>
      </c>
      <c r="E73" s="94">
        <f>IF('FY20-21'!$S73&gt;0,'FY20-21'!E73/'FY20-21'!$S73*'Multi-Year'!$L73,0)+IF('FY20-21'!$S73&lt;0,'FY20-21'!E73/'FY20-21'!$S73*'Multi-Year'!$L73,0)</f>
        <v>584.95628370588008</v>
      </c>
      <c r="F73" s="94">
        <f>IF('FY20-21'!$S73&gt;0,'FY20-21'!F73/'FY20-21'!$S73*'Multi-Year'!$L73,0)+IF('FY20-21'!$S73&lt;0,'FY20-21'!F73/'FY20-21'!$S73*'Multi-Year'!$L73,0)</f>
        <v>1584.9947048873528</v>
      </c>
      <c r="G73" s="94">
        <f>IF('FY20-21'!$S73&gt;0,'FY20-21'!G73/'FY20-21'!$S73*'Multi-Year'!$L73,0)+IF('FY20-21'!$S73&lt;0,'FY20-21'!G73/'FY20-21'!$S73*'Multi-Year'!$L73,0)</f>
        <v>1696.1137964111297</v>
      </c>
      <c r="H73" s="94">
        <f>IF('FY20-21'!$S73&gt;0,'FY20-21'!H73/'FY20-21'!$S73*'Multi-Year'!$L73,0)+IF('FY20-21'!$S73&lt;0,'FY20-21'!H73/'FY20-21'!$S73*'Multi-Year'!$L73,0)</f>
        <v>1664.125304432391</v>
      </c>
      <c r="I73" s="94">
        <f>IF('FY20-21'!$S73&gt;0,'FY20-21'!I73/'FY20-21'!$S73*'Multi-Year'!$L73,0)+IF('FY20-21'!$S73&lt;0,'FY20-21'!I73/'FY20-21'!$S73*'Multi-Year'!$L73,0)</f>
        <v>1486.7021858520916</v>
      </c>
      <c r="J73" s="94">
        <f>IF('FY20-21'!$S73&gt;0,'FY20-21'!J73/'FY20-21'!$S73*'Multi-Year'!$L73,0)+IF('FY20-21'!$S73&lt;0,'FY20-21'!J73/'FY20-21'!$S73*'Multi-Year'!$L73,0)</f>
        <v>3823.4988243936014</v>
      </c>
      <c r="K73" s="94">
        <f>IF('FY20-21'!$S73&gt;0,'FY20-21'!K73/'FY20-21'!$S73*'Multi-Year'!$L73,0)+IF('FY20-21'!$S73&lt;0,'FY20-21'!K73/'FY20-21'!$S73*'Multi-Year'!$L73,0)</f>
        <v>2212.5503517365164</v>
      </c>
      <c r="L73" s="94">
        <f>IF('FY20-21'!$S73&gt;0,'FY20-21'!L73/'FY20-21'!$S73*'Multi-Year'!$L73,0)+IF('FY20-21'!$S73&lt;0,'FY20-21'!L73/'FY20-21'!$S73*'Multi-Year'!$L73,0)</f>
        <v>3904.1548062571528</v>
      </c>
      <c r="M73" s="94">
        <f>IF('FY20-21'!$S73&gt;0,'FY20-21'!M73/'FY20-21'!$S73*'Multi-Year'!$L73,0)+IF('FY20-21'!$S73&lt;0,'FY20-21'!M73/'FY20-21'!$S73*'Multi-Year'!$L73,0)</f>
        <v>1878.4470872721895</v>
      </c>
      <c r="N73" s="94">
        <f>IF('FY20-21'!$S73&gt;0,'FY20-21'!N73/'FY20-21'!$S73*'Multi-Year'!$L73,0)+IF('FY20-21'!$S73&lt;0,'FY20-21'!N73/'FY20-21'!$S73*'Multi-Year'!$L73,0)</f>
        <v>2286.9266574858984</v>
      </c>
      <c r="O73" s="94">
        <f>IF('FY20-21'!$S73&gt;0,'FY20-21'!O73/'FY20-21'!$S73*'Multi-Year'!$L73,0)+IF('FY20-21'!$S73&lt;0,'FY20-21'!O73/'FY20-21'!$S73*'Multi-Year'!$L73,0)</f>
        <v>4351.4815217941532</v>
      </c>
      <c r="P73" s="94">
        <f>IF('FY20-21'!$S73&gt;0,'FY20-21'!P73/'FY20-21'!$S73*'Multi-Year'!$L73,0)+IF('FY20-21'!$S73&lt;0,'FY20-21'!P73/'FY20-21'!$S73*'Multi-Year'!$L73,0)</f>
        <v>5427.599777883639</v>
      </c>
      <c r="Q73" s="606">
        <f>IF('FY20-21'!$S73&gt;0,'FY20-21'!Q73/'FY20-21'!$S73*'Multi-Year'!$L73,0)+IF('FY20-21'!$S73&lt;0,'FY20-21'!Q73/'FY20-21'!$S73*'Multi-Year'!$L73,0)</f>
        <v>0</v>
      </c>
      <c r="R73" s="94"/>
      <c r="S73" s="625">
        <f t="shared" si="25"/>
        <v>30901.551302111999</v>
      </c>
      <c r="T73" s="94"/>
      <c r="U73" s="94">
        <f>'FY20-21'!S73</f>
        <v>29567.393825600004</v>
      </c>
      <c r="V73" s="94">
        <f t="shared" si="26"/>
        <v>-1334.1574765119949</v>
      </c>
    </row>
    <row r="74" spans="1:22" s="95" customFormat="1" ht="12" customHeight="1">
      <c r="A74" s="124"/>
      <c r="B74" s="124" t="s">
        <v>186</v>
      </c>
      <c r="C74" s="102">
        <v>3311</v>
      </c>
      <c r="D74" s="105" t="s">
        <v>240</v>
      </c>
      <c r="E74" s="94">
        <f>IF('FY20-21'!$S74&gt;0,'FY20-21'!E74/'FY20-21'!$S74*'Multi-Year'!$L74,0)+IF('FY20-21'!$S74&lt;0,'FY20-21'!E74/'FY20-21'!$S74*'Multi-Year'!$L74,0)</f>
        <v>8516.5789099679787</v>
      </c>
      <c r="F74" s="94">
        <f>IF('FY20-21'!$S74&gt;0,'FY20-21'!F74/'FY20-21'!$S74*'Multi-Year'!$L74,0)+IF('FY20-21'!$S74&lt;0,'FY20-21'!F74/'FY20-21'!$S74*'Multi-Year'!$L74,0)</f>
        <v>13002.652392985305</v>
      </c>
      <c r="G74" s="94">
        <f>IF('FY20-21'!$S74&gt;0,'FY20-21'!G74/'FY20-21'!$S74*'Multi-Year'!$L74,0)+IF('FY20-21'!$S74&lt;0,'FY20-21'!G74/'FY20-21'!$S74*'Multi-Year'!$L74,0)</f>
        <v>14745.448504812441</v>
      </c>
      <c r="H74" s="94">
        <f>IF('FY20-21'!$S74&gt;0,'FY20-21'!H74/'FY20-21'!$S74*'Multi-Year'!$L74,0)+IF('FY20-21'!$S74&lt;0,'FY20-21'!H74/'FY20-21'!$S74*'Multi-Year'!$L74,0)</f>
        <v>14766.737123383122</v>
      </c>
      <c r="I74" s="94">
        <f>IF('FY20-21'!$S74&gt;0,'FY20-21'!I74/'FY20-21'!$S74*'Multi-Year'!$L74,0)+IF('FY20-21'!$S74&lt;0,'FY20-21'!I74/'FY20-21'!$S74*'Multi-Year'!$L74,0)</f>
        <v>3634.8744707082228</v>
      </c>
      <c r="J74" s="94">
        <f>IF('FY20-21'!$S74&gt;0,'FY20-21'!J74/'FY20-21'!$S74*'Multi-Year'!$L74,0)+IF('FY20-21'!$S74&lt;0,'FY20-21'!J74/'FY20-21'!$S74*'Multi-Year'!$L74,0)</f>
        <v>23105.222909786629</v>
      </c>
      <c r="K74" s="94">
        <f>IF('FY20-21'!$S74&gt;0,'FY20-21'!K74/'FY20-21'!$S74*'Multi-Year'!$L74,0)+IF('FY20-21'!$S74&lt;0,'FY20-21'!K74/'FY20-21'!$S74*'Multi-Year'!$L74,0)</f>
        <v>13951.242644582324</v>
      </c>
      <c r="L74" s="94">
        <f>IF('FY20-21'!$S74&gt;0,'FY20-21'!L74/'FY20-21'!$S74*'Multi-Year'!$L74,0)+IF('FY20-21'!$S74&lt;0,'FY20-21'!L74/'FY20-21'!$S74*'Multi-Year'!$L74,0)</f>
        <v>14204.338337215448</v>
      </c>
      <c r="M74" s="94">
        <f>IF('FY20-21'!$S74&gt;0,'FY20-21'!M74/'FY20-21'!$S74*'Multi-Year'!$L74,0)+IF('FY20-21'!$S74&lt;0,'FY20-21'!M74/'FY20-21'!$S74*'Multi-Year'!$L74,0)</f>
        <v>14446.443990045102</v>
      </c>
      <c r="N74" s="94">
        <f>IF('FY20-21'!$S74&gt;0,'FY20-21'!N74/'FY20-21'!$S74*'Multi-Year'!$L74,0)+IF('FY20-21'!$S74&lt;0,'FY20-21'!N74/'FY20-21'!$S74*'Multi-Year'!$L74,0)</f>
        <v>13391.588749194927</v>
      </c>
      <c r="O74" s="94">
        <f>IF('FY20-21'!$S74&gt;0,'FY20-21'!O74/'FY20-21'!$S74*'Multi-Year'!$L74,0)+IF('FY20-21'!$S74&lt;0,'FY20-21'!O74/'FY20-21'!$S74*'Multi-Year'!$L74,0)</f>
        <v>14129.943415724107</v>
      </c>
      <c r="P74" s="94">
        <f>IF('FY20-21'!$S74&gt;0,'FY20-21'!P74/'FY20-21'!$S74*'Multi-Year'!$L74,0)+IF('FY20-21'!$S74&lt;0,'FY20-21'!P74/'FY20-21'!$S74*'Multi-Year'!$L74,0)</f>
        <v>15444.882296346503</v>
      </c>
      <c r="Q74" s="606">
        <f>IF('FY20-21'!$S74&gt;0,'FY20-21'!Q74/'FY20-21'!$S74*'Multi-Year'!$L74,0)+IF('FY20-21'!$S74&lt;0,'FY20-21'!Q74/'FY20-21'!$S74*'Multi-Year'!$L74,0)</f>
        <v>0</v>
      </c>
      <c r="R74" s="94"/>
      <c r="S74" s="625">
        <f t="shared" si="25"/>
        <v>163339.95374475213</v>
      </c>
      <c r="T74" s="94"/>
      <c r="U74" s="94">
        <f>'FY20-21'!S74</f>
        <v>156959.767762245</v>
      </c>
      <c r="V74" s="94">
        <f t="shared" si="26"/>
        <v>-6380.1859825071297</v>
      </c>
    </row>
    <row r="75" spans="1:22" s="95" customFormat="1" ht="12" customHeight="1">
      <c r="A75" s="124"/>
      <c r="B75" s="124" t="s">
        <v>186</v>
      </c>
      <c r="C75" s="102">
        <v>3401</v>
      </c>
      <c r="D75" s="105" t="s">
        <v>235</v>
      </c>
      <c r="E75" s="94">
        <f>IF('FY20-21'!$S75&gt;0,'FY20-21'!E75/'FY20-21'!$S75*'Multi-Year'!$L75,0)+IF('FY20-21'!$S75&lt;0,'FY20-21'!E75/'FY20-21'!$S75*'Multi-Year'!$L75,0)</f>
        <v>-20794.625077621276</v>
      </c>
      <c r="F75" s="94">
        <f>IF('FY20-21'!$S75&gt;0,'FY20-21'!F75/'FY20-21'!$S75*'Multi-Year'!$L75,0)+IF('FY20-21'!$S75&lt;0,'FY20-21'!F75/'FY20-21'!$S75*'Multi-Year'!$L75,0)</f>
        <v>136820.41228098737</v>
      </c>
      <c r="G75" s="94">
        <f>IF('FY20-21'!$S75&gt;0,'FY20-21'!G75/'FY20-21'!$S75*'Multi-Year'!$L75,0)+IF('FY20-21'!$S75&lt;0,'FY20-21'!G75/'FY20-21'!$S75*'Multi-Year'!$L75,0)</f>
        <v>102082.15764981676</v>
      </c>
      <c r="H75" s="94">
        <f>IF('FY20-21'!$S75&gt;0,'FY20-21'!H75/'FY20-21'!$S75*'Multi-Year'!$L75,0)+IF('FY20-21'!$S75&lt;0,'FY20-21'!H75/'FY20-21'!$S75*'Multi-Year'!$L75,0)</f>
        <v>116783.71998554317</v>
      </c>
      <c r="I75" s="94">
        <f>IF('FY20-21'!$S75&gt;0,'FY20-21'!I75/'FY20-21'!$S75*'Multi-Year'!$L75,0)+IF('FY20-21'!$S75&lt;0,'FY20-21'!I75/'FY20-21'!$S75*'Multi-Year'!$L75,0)</f>
        <v>124125.44203379484</v>
      </c>
      <c r="J75" s="94">
        <f>IF('FY20-21'!$S75&gt;0,'FY20-21'!J75/'FY20-21'!$S75*'Multi-Year'!$L75,0)+IF('FY20-21'!$S75&lt;0,'FY20-21'!J75/'FY20-21'!$S75*'Multi-Year'!$L75,0)</f>
        <v>120103.29752161409</v>
      </c>
      <c r="K75" s="94">
        <f>IF('FY20-21'!$S75&gt;0,'FY20-21'!K75/'FY20-21'!$S75*'Multi-Year'!$L75,0)+IF('FY20-21'!$S75&lt;0,'FY20-21'!K75/'FY20-21'!$S75*'Multi-Year'!$L75,0)</f>
        <v>112518.6934454446</v>
      </c>
      <c r="L75" s="94">
        <f>IF('FY20-21'!$S75&gt;0,'FY20-21'!L75/'FY20-21'!$S75*'Multi-Year'!$L75,0)+IF('FY20-21'!$S75&lt;0,'FY20-21'!L75/'FY20-21'!$S75*'Multi-Year'!$L75,0)</f>
        <v>104869.17052110296</v>
      </c>
      <c r="M75" s="94">
        <f>IF('FY20-21'!$S75&gt;0,'FY20-21'!M75/'FY20-21'!$S75*'Multi-Year'!$L75,0)+IF('FY20-21'!$S75&lt;0,'FY20-21'!M75/'FY20-21'!$S75*'Multi-Year'!$L75,0)</f>
        <v>109618.29921311876</v>
      </c>
      <c r="N75" s="94">
        <f>IF('FY20-21'!$S75&gt;0,'FY20-21'!N75/'FY20-21'!$S75*'Multi-Year'!$L75,0)+IF('FY20-21'!$S75&lt;0,'FY20-21'!N75/'FY20-21'!$S75*'Multi-Year'!$L75,0)</f>
        <v>108541.30412200552</v>
      </c>
      <c r="O75" s="94">
        <f>IF('FY20-21'!$S75&gt;0,'FY20-21'!O75/'FY20-21'!$S75*'Multi-Year'!$L75,0)+IF('FY20-21'!$S75&lt;0,'FY20-21'!O75/'FY20-21'!$S75*'Multi-Year'!$L75,0)</f>
        <v>111376.21004257874</v>
      </c>
      <c r="P75" s="94">
        <f>IF('FY20-21'!$S75&gt;0,'FY20-21'!P75/'FY20-21'!$S75*'Multi-Year'!$L75,0)+IF('FY20-21'!$S75&lt;0,'FY20-21'!P75/'FY20-21'!$S75*'Multi-Year'!$L75,0)</f>
        <v>131335.11826161479</v>
      </c>
      <c r="Q75" s="606">
        <f>IF('FY20-21'!$S75&gt;0,'FY20-21'!Q75/'FY20-21'!$S75*'Multi-Year'!$L75,0)+IF('FY20-21'!$S75&lt;0,'FY20-21'!Q75/'FY20-21'!$S75*'Multi-Year'!$L75,0)</f>
        <v>0</v>
      </c>
      <c r="R75" s="94"/>
      <c r="S75" s="625">
        <f t="shared" si="25"/>
        <v>1257379.2000000002</v>
      </c>
      <c r="T75" s="94"/>
      <c r="U75" s="94">
        <f>'FY20-21'!S75</f>
        <v>1164240</v>
      </c>
      <c r="V75" s="94">
        <f t="shared" si="26"/>
        <v>-93139.200000000186</v>
      </c>
    </row>
    <row r="76" spans="1:22" s="95" customFormat="1" ht="12" customHeight="1">
      <c r="A76" s="124"/>
      <c r="B76" s="124" t="s">
        <v>186</v>
      </c>
      <c r="C76" s="102">
        <v>3501</v>
      </c>
      <c r="D76" s="105" t="s">
        <v>236</v>
      </c>
      <c r="E76" s="94">
        <f>IF('FY20-21'!$S76&gt;0,'FY20-21'!E76/'FY20-21'!$S76*'Multi-Year'!$L76,0)+IF('FY20-21'!$S76&lt;0,'FY20-21'!E76/'FY20-21'!$S76*'Multi-Year'!$L76,0)</f>
        <v>18156.516110180277</v>
      </c>
      <c r="F76" s="94">
        <f>IF('FY20-21'!$S76&gt;0,'FY20-21'!F76/'FY20-21'!$S76*'Multi-Year'!$L76,0)+IF('FY20-21'!$S76&lt;0,'FY20-21'!F76/'FY20-21'!$S76*'Multi-Year'!$L76,0)</f>
        <v>15434.095702330702</v>
      </c>
      <c r="G76" s="94">
        <f>IF('FY20-21'!$S76&gt;0,'FY20-21'!G76/'FY20-21'!$S76*'Multi-Year'!$L76,0)+IF('FY20-21'!$S76&lt;0,'FY20-21'!G76/'FY20-21'!$S76*'Multi-Year'!$L76,0)</f>
        <v>5207.627153093089</v>
      </c>
      <c r="H76" s="94">
        <f>IF('FY20-21'!$S76&gt;0,'FY20-21'!H76/'FY20-21'!$S76*'Multi-Year'!$L76,0)+IF('FY20-21'!$S76&lt;0,'FY20-21'!H76/'FY20-21'!$S76*'Multi-Year'!$L76,0)</f>
        <v>2496.045604451218</v>
      </c>
      <c r="I76" s="94">
        <f>IF('FY20-21'!$S76&gt;0,'FY20-21'!I76/'FY20-21'!$S76*'Multi-Year'!$L76,0)+IF('FY20-21'!$S76&lt;0,'FY20-21'!I76/'FY20-21'!$S76*'Multi-Year'!$L76,0)</f>
        <v>-5671.1374307533515</v>
      </c>
      <c r="J76" s="94">
        <f>IF('FY20-21'!$S76&gt;0,'FY20-21'!J76/'FY20-21'!$S76*'Multi-Year'!$L76,0)+IF('FY20-21'!$S76&lt;0,'FY20-21'!J76/'FY20-21'!$S76*'Multi-Year'!$L76,0)</f>
        <v>5600.5626766155601</v>
      </c>
      <c r="K76" s="94">
        <f>IF('FY20-21'!$S76&gt;0,'FY20-21'!K76/'FY20-21'!$S76*'Multi-Year'!$L76,0)+IF('FY20-21'!$S76&lt;0,'FY20-21'!K76/'FY20-21'!$S76*'Multi-Year'!$L76,0)</f>
        <v>28800.744982207776</v>
      </c>
      <c r="L76" s="94">
        <f>IF('FY20-21'!$S76&gt;0,'FY20-21'!L76/'FY20-21'!$S76*'Multi-Year'!$L76,0)+IF('FY20-21'!$S76&lt;0,'FY20-21'!L76/'FY20-21'!$S76*'Multi-Year'!$L76,0)</f>
        <v>7359.7515522604481</v>
      </c>
      <c r="M76" s="94">
        <f>IF('FY20-21'!$S76&gt;0,'FY20-21'!M76/'FY20-21'!$S76*'Multi-Year'!$L76,0)+IF('FY20-21'!$S76&lt;0,'FY20-21'!M76/'FY20-21'!$S76*'Multi-Year'!$L76,0)</f>
        <v>1025.1469272279364</v>
      </c>
      <c r="N76" s="94">
        <f>IF('FY20-21'!$S76&gt;0,'FY20-21'!N76/'FY20-21'!$S76*'Multi-Year'!$L76,0)+IF('FY20-21'!$S76&lt;0,'FY20-21'!N76/'FY20-21'!$S76*'Multi-Year'!$L76,0)</f>
        <v>2780.8271009291243</v>
      </c>
      <c r="O76" s="94">
        <f>IF('FY20-21'!$S76&gt;0,'FY20-21'!O76/'FY20-21'!$S76*'Multi-Year'!$L76,0)+IF('FY20-21'!$S76&lt;0,'FY20-21'!O76/'FY20-21'!$S76*'Multi-Year'!$L76,0)</f>
        <v>2313.8765361262913</v>
      </c>
      <c r="P76" s="94">
        <f>IF('FY20-21'!$S76&gt;0,'FY20-21'!P76/'FY20-21'!$S76*'Multi-Year'!$L76,0)+IF('FY20-21'!$S76&lt;0,'FY20-21'!P76/'FY20-21'!$S76*'Multi-Year'!$L76,0)</f>
        <v>-1098.5169146690664</v>
      </c>
      <c r="Q76" s="606">
        <f>IF('FY20-21'!$S76&gt;0,'FY20-21'!Q76/'FY20-21'!$S76*'Multi-Year'!$L76,0)+IF('FY20-21'!$S76&lt;0,'FY20-21'!Q76/'FY20-21'!$S76*'Multi-Year'!$L76,0)</f>
        <v>0</v>
      </c>
      <c r="R76" s="94"/>
      <c r="S76" s="625">
        <f t="shared" si="25"/>
        <v>82405.540000000008</v>
      </c>
      <c r="T76" s="94"/>
      <c r="U76" s="94">
        <f>'FY20-21'!S76</f>
        <v>82327.000000000029</v>
      </c>
      <c r="V76" s="94">
        <f t="shared" si="26"/>
        <v>-78.539999999979045</v>
      </c>
    </row>
    <row r="77" spans="1:22" s="95" customFormat="1" ht="12" customHeight="1">
      <c r="A77" s="124"/>
      <c r="B77" s="124" t="s">
        <v>186</v>
      </c>
      <c r="C77" s="102">
        <v>3601</v>
      </c>
      <c r="D77" s="105" t="s">
        <v>237</v>
      </c>
      <c r="E77" s="94">
        <f>IF('FY20-21'!$S77&gt;0,'FY20-21'!E77/'FY20-21'!$S77*'Multi-Year'!$L77,0)+IF('FY20-21'!$S77&lt;0,'FY20-21'!E77/'FY20-21'!$S77*'Multi-Year'!$L77,0)</f>
        <v>0</v>
      </c>
      <c r="F77" s="94">
        <f>IF('FY20-21'!$S77&gt;0,'FY20-21'!F77/'FY20-21'!$S77*'Multi-Year'!$L77,0)+IF('FY20-21'!$S77&lt;0,'FY20-21'!F77/'FY20-21'!$S77*'Multi-Year'!$L77,0)</f>
        <v>36200.78027417203</v>
      </c>
      <c r="G77" s="94">
        <f>IF('FY20-21'!$S77&gt;0,'FY20-21'!G77/'FY20-21'!$S77*'Multi-Year'!$L77,0)+IF('FY20-21'!$S77&lt;0,'FY20-21'!G77/'FY20-21'!$S77*'Multi-Year'!$L77,0)</f>
        <v>18100.390137086015</v>
      </c>
      <c r="H77" s="94">
        <f>IF('FY20-21'!$S77&gt;0,'FY20-21'!H77/'FY20-21'!$S77*'Multi-Year'!$L77,0)+IF('FY20-21'!$S77&lt;0,'FY20-21'!H77/'FY20-21'!$S77*'Multi-Year'!$L77,0)</f>
        <v>18100.390137086015</v>
      </c>
      <c r="I77" s="94">
        <f>IF('FY20-21'!$S77&gt;0,'FY20-21'!I77/'FY20-21'!$S77*'Multi-Year'!$L77,0)+IF('FY20-21'!$S77&lt;0,'FY20-21'!I77/'FY20-21'!$S77*'Multi-Year'!$L77,0)</f>
        <v>18100.390137086015</v>
      </c>
      <c r="J77" s="94">
        <f>IF('FY20-21'!$S77&gt;0,'FY20-21'!J77/'FY20-21'!$S77*'Multi-Year'!$L77,0)+IF('FY20-21'!$S77&lt;0,'FY20-21'!J77/'FY20-21'!$S77*'Multi-Year'!$L77,0)</f>
        <v>18100.390137086015</v>
      </c>
      <c r="K77" s="94">
        <f>IF('FY20-21'!$S77&gt;0,'FY20-21'!K77/'FY20-21'!$S77*'Multi-Year'!$L77,0)+IF('FY20-21'!$S77&lt;0,'FY20-21'!K77/'FY20-21'!$S77*'Multi-Year'!$L77,0)</f>
        <v>18472.65931858548</v>
      </c>
      <c r="L77" s="94">
        <f>IF('FY20-21'!$S77&gt;0,'FY20-21'!L77/'FY20-21'!$S77*'Multi-Year'!$L77,0)+IF('FY20-21'!$S77&lt;0,'FY20-21'!L77/'FY20-21'!$S77*'Multi-Year'!$L77,0)</f>
        <v>18100.390137086015</v>
      </c>
      <c r="M77" s="94">
        <f>IF('FY20-21'!$S77&gt;0,'FY20-21'!M77/'FY20-21'!$S77*'Multi-Year'!$L77,0)+IF('FY20-21'!$S77&lt;0,'FY20-21'!M77/'FY20-21'!$S77*'Multi-Year'!$L77,0)</f>
        <v>18100.390137086015</v>
      </c>
      <c r="N77" s="94">
        <f>IF('FY20-21'!$S77&gt;0,'FY20-21'!N77/'FY20-21'!$S77*'Multi-Year'!$L77,0)+IF('FY20-21'!$S77&lt;0,'FY20-21'!N77/'FY20-21'!$S77*'Multi-Year'!$L77,0)</f>
        <v>10615.532537882273</v>
      </c>
      <c r="O77" s="94">
        <f>IF('FY20-21'!$S77&gt;0,'FY20-21'!O77/'FY20-21'!$S77*'Multi-Year'!$L77,0)+IF('FY20-21'!$S77&lt;0,'FY20-21'!O77/'FY20-21'!$S77*'Multi-Year'!$L77,0)</f>
        <v>18779.601860892137</v>
      </c>
      <c r="P77" s="94">
        <f>IF('FY20-21'!$S77&gt;0,'FY20-21'!P77/'FY20-21'!$S77*'Multi-Year'!$L77,0)+IF('FY20-21'!$S77&lt;0,'FY20-21'!P77/'FY20-21'!$S77*'Multi-Year'!$L77,0)</f>
        <v>-34963.373267390722</v>
      </c>
      <c r="Q77" s="606">
        <f>IF('FY20-21'!$S77&gt;0,'FY20-21'!Q77/'FY20-21'!$S77*'Multi-Year'!$L77,0)+IF('FY20-21'!$S77&lt;0,'FY20-21'!Q77/'FY20-21'!$S77*'Multi-Year'!$L77,0)</f>
        <v>0</v>
      </c>
      <c r="R77" s="94"/>
      <c r="S77" s="625">
        <f t="shared" si="25"/>
        <v>157707.54154665727</v>
      </c>
      <c r="T77" s="94"/>
      <c r="U77" s="94">
        <f>'FY20-21'!S77</f>
        <v>151547.36197733996</v>
      </c>
      <c r="V77" s="94">
        <f t="shared" si="26"/>
        <v>-6160.179569317319</v>
      </c>
    </row>
    <row r="78" spans="1:22" s="95" customFormat="1" ht="12" customHeight="1">
      <c r="A78" s="124"/>
      <c r="B78" s="124" t="s">
        <v>186</v>
      </c>
      <c r="C78" s="102">
        <v>3901</v>
      </c>
      <c r="D78" s="105" t="s">
        <v>238</v>
      </c>
      <c r="E78" s="94">
        <f>IF('FY20-21'!$S78&gt;0,'FY20-21'!E78/'FY20-21'!$S78*'Multi-Year'!$L78,0)+IF('FY20-21'!$S78&lt;0,'FY20-21'!E78/'FY20-21'!$S78*'Multi-Year'!$L78,0)</f>
        <v>0</v>
      </c>
      <c r="F78" s="94">
        <f>IF('FY20-21'!$S78&gt;0,'FY20-21'!F78/'FY20-21'!$S78*'Multi-Year'!$L78,0)+IF('FY20-21'!$S78&lt;0,'FY20-21'!F78/'FY20-21'!$S78*'Multi-Year'!$L78,0)</f>
        <v>0</v>
      </c>
      <c r="G78" s="94">
        <f>IF('FY20-21'!$S78&gt;0,'FY20-21'!G78/'FY20-21'!$S78*'Multi-Year'!$L78,0)+IF('FY20-21'!$S78&lt;0,'FY20-21'!G78/'FY20-21'!$S78*'Multi-Year'!$L78,0)</f>
        <v>0</v>
      </c>
      <c r="H78" s="94">
        <f>IF('FY20-21'!$S78&gt;0,'FY20-21'!H78/'FY20-21'!$S78*'Multi-Year'!$L78,0)+IF('FY20-21'!$S78&lt;0,'FY20-21'!H78/'FY20-21'!$S78*'Multi-Year'!$L78,0)</f>
        <v>0</v>
      </c>
      <c r="I78" s="94">
        <f>IF('FY20-21'!$S78&gt;0,'FY20-21'!I78/'FY20-21'!$S78*'Multi-Year'!$L78,0)+IF('FY20-21'!$S78&lt;0,'FY20-21'!I78/'FY20-21'!$S78*'Multi-Year'!$L78,0)</f>
        <v>-116.69110077413157</v>
      </c>
      <c r="J78" s="94">
        <f>IF('FY20-21'!$S78&gt;0,'FY20-21'!J78/'FY20-21'!$S78*'Multi-Year'!$L78,0)+IF('FY20-21'!$S78&lt;0,'FY20-21'!J78/'FY20-21'!$S78*'Multi-Year'!$L78,0)</f>
        <v>0</v>
      </c>
      <c r="K78" s="94">
        <f>IF('FY20-21'!$S78&gt;0,'FY20-21'!K78/'FY20-21'!$S78*'Multi-Year'!$L78,0)+IF('FY20-21'!$S78&lt;0,'FY20-21'!K78/'FY20-21'!$S78*'Multi-Year'!$L78,0)</f>
        <v>0</v>
      </c>
      <c r="L78" s="94">
        <f>IF('FY20-21'!$S78&gt;0,'FY20-21'!L78/'FY20-21'!$S78*'Multi-Year'!$L78,0)+IF('FY20-21'!$S78&lt;0,'FY20-21'!L78/'FY20-21'!$S78*'Multi-Year'!$L78,0)</f>
        <v>0</v>
      </c>
      <c r="M78" s="94">
        <f>IF('FY20-21'!$S78&gt;0,'FY20-21'!M78/'FY20-21'!$S78*'Multi-Year'!$L78,0)+IF('FY20-21'!$S78&lt;0,'FY20-21'!M78/'FY20-21'!$S78*'Multi-Year'!$L78,0)</f>
        <v>0</v>
      </c>
      <c r="N78" s="94">
        <f>IF('FY20-21'!$S78&gt;0,'FY20-21'!N78/'FY20-21'!$S78*'Multi-Year'!$L78,0)+IF('FY20-21'!$S78&lt;0,'FY20-21'!N78/'FY20-21'!$S78*'Multi-Year'!$L78,0)</f>
        <v>0</v>
      </c>
      <c r="O78" s="94">
        <f>IF('FY20-21'!$S78&gt;0,'FY20-21'!O78/'FY20-21'!$S78*'Multi-Year'!$L78,0)+IF('FY20-21'!$S78&lt;0,'FY20-21'!O78/'FY20-21'!$S78*'Multi-Year'!$L78,0)</f>
        <v>0</v>
      </c>
      <c r="P78" s="94">
        <f>IF('FY20-21'!$S78&gt;0,'FY20-21'!P78/'FY20-21'!$S78*'Multi-Year'!$L78,0)+IF('FY20-21'!$S78&lt;0,'FY20-21'!P78/'FY20-21'!$S78*'Multi-Year'!$L78,0)</f>
        <v>0</v>
      </c>
      <c r="Q78" s="606">
        <f>IF('FY20-21'!$S78&gt;0,'FY20-21'!Q78/'FY20-21'!$S78*'Multi-Year'!$L78,0)+IF('FY20-21'!$S78&lt;0,'FY20-21'!Q78/'FY20-21'!$S78*'Multi-Year'!$L78,0)</f>
        <v>0</v>
      </c>
      <c r="R78" s="94"/>
      <c r="S78" s="625">
        <f t="shared" si="25"/>
        <v>-116.69110077413157</v>
      </c>
      <c r="T78" s="94"/>
      <c r="U78" s="94">
        <f>'FY20-21'!S78</f>
        <v>-112.13305537021363</v>
      </c>
      <c r="V78" s="94">
        <f t="shared" si="26"/>
        <v>4.5580454039179443</v>
      </c>
    </row>
    <row r="79" spans="1:22" s="95" customFormat="1" ht="12" customHeight="1">
      <c r="A79" s="124"/>
      <c r="B79" s="124" t="s">
        <v>186</v>
      </c>
      <c r="C79" s="126"/>
      <c r="D79" s="126"/>
      <c r="E79" s="215">
        <f t="shared" ref="E79:Q79" si="27">SUM(E71:E78)</f>
        <v>112773.36863862355</v>
      </c>
      <c r="F79" s="215">
        <f t="shared" si="27"/>
        <v>361875.6201701549</v>
      </c>
      <c r="G79" s="215">
        <f t="shared" si="27"/>
        <v>323106.20013544947</v>
      </c>
      <c r="H79" s="215">
        <f t="shared" si="27"/>
        <v>335653.4806261849</v>
      </c>
      <c r="I79" s="215">
        <f t="shared" si="27"/>
        <v>179675.45721389775</v>
      </c>
      <c r="J79" s="215">
        <f t="shared" si="27"/>
        <v>454272.24102445389</v>
      </c>
      <c r="K79" s="215">
        <f t="shared" si="27"/>
        <v>346029.09940975159</v>
      </c>
      <c r="L79" s="215">
        <f t="shared" si="27"/>
        <v>315778.12014080264</v>
      </c>
      <c r="M79" s="215">
        <f t="shared" si="27"/>
        <v>307916.40236554388</v>
      </c>
      <c r="N79" s="215">
        <f t="shared" si="27"/>
        <v>298920.90404025168</v>
      </c>
      <c r="O79" s="215">
        <f t="shared" si="27"/>
        <v>323651.79284982034</v>
      </c>
      <c r="P79" s="215">
        <f t="shared" si="27"/>
        <v>280685.03127071069</v>
      </c>
      <c r="Q79" s="603">
        <f t="shared" si="27"/>
        <v>0</v>
      </c>
      <c r="R79" s="94"/>
      <c r="S79" s="626">
        <f>SUM(E79:R79)</f>
        <v>3640337.717885646</v>
      </c>
      <c r="T79" s="94"/>
      <c r="U79" s="216">
        <f>SUM(U71:U78)</f>
        <v>3488546.3247756539</v>
      </c>
      <c r="V79" s="216">
        <f>SUM(V71:V78)</f>
        <v>-151791.39310999031</v>
      </c>
    </row>
    <row r="80" spans="1:22" s="95" customFormat="1" ht="12" customHeight="1">
      <c r="A80" s="124"/>
      <c r="B80" s="124" t="s">
        <v>288</v>
      </c>
      <c r="C80" s="126"/>
      <c r="D80" s="12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606"/>
      <c r="R80" s="94"/>
      <c r="S80" s="627"/>
      <c r="T80" s="94"/>
      <c r="U80" s="94"/>
      <c r="V80" s="94"/>
    </row>
    <row r="81" spans="1:24" s="95" customFormat="1" ht="12" customHeight="1">
      <c r="A81" s="124"/>
      <c r="B81" s="124" t="s">
        <v>186</v>
      </c>
      <c r="C81" s="102">
        <v>4100</v>
      </c>
      <c r="D81" s="127" t="s">
        <v>78</v>
      </c>
      <c r="E81" s="94">
        <f>IF('FY20-21'!$S81&gt;0,'FY20-21'!E81/'FY20-21'!$S81*'Multi-Year'!$L81,0)+IF('FY20-21'!$S81&lt;0,'FY20-21'!E81/'FY20-21'!$S81*'Multi-Year'!$L81,0)</f>
        <v>0</v>
      </c>
      <c r="F81" s="94">
        <f>IF('FY20-21'!$S81&gt;0,'FY20-21'!F81/'FY20-21'!$S81*'Multi-Year'!$L81,0)+IF('FY20-21'!$S81&lt;0,'FY20-21'!F81/'FY20-21'!$S81*'Multi-Year'!$L81,0)</f>
        <v>0</v>
      </c>
      <c r="G81" s="94">
        <f>IF('FY20-21'!$S81&gt;0,'FY20-21'!G81/'FY20-21'!$S81*'Multi-Year'!$L81,0)+IF('FY20-21'!$S81&lt;0,'FY20-21'!G81/'FY20-21'!$S81*'Multi-Year'!$L81,0)</f>
        <v>0</v>
      </c>
      <c r="H81" s="94">
        <f>IF('FY20-21'!$S81&gt;0,'FY20-21'!H81/'FY20-21'!$S81*'Multi-Year'!$L81,0)+IF('FY20-21'!$S81&lt;0,'FY20-21'!H81/'FY20-21'!$S81*'Multi-Year'!$L81,0)</f>
        <v>0</v>
      </c>
      <c r="I81" s="94">
        <f>IF('FY20-21'!$S81&gt;0,'FY20-21'!I81/'FY20-21'!$S81*'Multi-Year'!$L81,0)+IF('FY20-21'!$S81&lt;0,'FY20-21'!I81/'FY20-21'!$S81*'Multi-Year'!$L81,0)</f>
        <v>0</v>
      </c>
      <c r="J81" s="94">
        <f>IF('FY20-21'!$S81&gt;0,'FY20-21'!J81/'FY20-21'!$S81*'Multi-Year'!$L81,0)+IF('FY20-21'!$S81&lt;0,'FY20-21'!J81/'FY20-21'!$S81*'Multi-Year'!$L81,0)</f>
        <v>0</v>
      </c>
      <c r="K81" s="94">
        <f>IF('FY20-21'!$S81&gt;0,'FY20-21'!K81/'FY20-21'!$S81*'Multi-Year'!$L81,0)+IF('FY20-21'!$S81&lt;0,'FY20-21'!K81/'FY20-21'!$S81*'Multi-Year'!$L81,0)</f>
        <v>0</v>
      </c>
      <c r="L81" s="94">
        <f>IF('FY20-21'!$S81&gt;0,'FY20-21'!L81/'FY20-21'!$S81*'Multi-Year'!$L81,0)+IF('FY20-21'!$S81&lt;0,'FY20-21'!L81/'FY20-21'!$S81*'Multi-Year'!$L81,0)</f>
        <v>0</v>
      </c>
      <c r="M81" s="94">
        <f>IF('FY20-21'!$S81&gt;0,'FY20-21'!M81/'FY20-21'!$S81*'Multi-Year'!$L81,0)+IF('FY20-21'!$S81&lt;0,'FY20-21'!M81/'FY20-21'!$S81*'Multi-Year'!$L81,0)</f>
        <v>0</v>
      </c>
      <c r="N81" s="94">
        <f>IF('FY20-21'!$S81&gt;0,'FY20-21'!N81/'FY20-21'!$S81*'Multi-Year'!$L81,0)+IF('FY20-21'!$S81&lt;0,'FY20-21'!N81/'FY20-21'!$S81*'Multi-Year'!$L81,0)</f>
        <v>0</v>
      </c>
      <c r="O81" s="94">
        <f>IF('FY20-21'!$S81&gt;0,'FY20-21'!O81/'FY20-21'!$S81*'Multi-Year'!$L81,0)+IF('FY20-21'!$S81&lt;0,'FY20-21'!O81/'FY20-21'!$S81*'Multi-Year'!$L81,0)</f>
        <v>0</v>
      </c>
      <c r="P81" s="94">
        <f>IF('FY20-21'!$S81&gt;0,'FY20-21'!P81/'FY20-21'!$S81*'Multi-Year'!$L81,0)+IF('FY20-21'!$S81&lt;0,'FY20-21'!P81/'FY20-21'!$S81*'Multi-Year'!$L81,0)</f>
        <v>0</v>
      </c>
      <c r="Q81" s="606">
        <f>IF('FY20-21'!$S81&gt;0,'FY20-21'!Q81/'FY20-21'!$S81*'Multi-Year'!$L81,0)+IF('FY20-21'!$S81&lt;0,'FY20-21'!Q81/'FY20-21'!$S81*'Multi-Year'!$L81,0)</f>
        <v>0</v>
      </c>
      <c r="R81" s="94"/>
      <c r="S81" s="625">
        <f t="shared" ref="S81:S89" si="28">SUM(E81:Q81)</f>
        <v>0</v>
      </c>
      <c r="T81" s="94"/>
      <c r="U81" s="94">
        <f>'FY20-21'!S81</f>
        <v>0</v>
      </c>
      <c r="V81" s="94">
        <f t="shared" ref="V81:V89" si="29">U81-S81</f>
        <v>0</v>
      </c>
    </row>
    <row r="82" spans="1:24" s="95" customFormat="1" ht="12" customHeight="1">
      <c r="A82" s="124"/>
      <c r="B82" s="124" t="s">
        <v>186</v>
      </c>
      <c r="C82" s="102">
        <v>4200</v>
      </c>
      <c r="D82" s="127" t="s">
        <v>79</v>
      </c>
      <c r="E82" s="94">
        <f>IF('FY20-21'!$S82&gt;0,'FY20-21'!E82/'FY20-21'!$S82*'Multi-Year'!$L82,0)+IF('FY20-21'!$S82&lt;0,'FY20-21'!E82/'FY20-21'!$S82*'Multi-Year'!$L82,0)</f>
        <v>0</v>
      </c>
      <c r="F82" s="94">
        <f>IF('FY20-21'!$S82&gt;0,'FY20-21'!F82/'FY20-21'!$S82*'Multi-Year'!$L82,0)+IF('FY20-21'!$S82&lt;0,'FY20-21'!F82/'FY20-21'!$S82*'Multi-Year'!$L82,0)</f>
        <v>0</v>
      </c>
      <c r="G82" s="94">
        <f>IF('FY20-21'!$S82&gt;0,'FY20-21'!G82/'FY20-21'!$S82*'Multi-Year'!$L82,0)+IF('FY20-21'!$S82&lt;0,'FY20-21'!G82/'FY20-21'!$S82*'Multi-Year'!$L82,0)</f>
        <v>0</v>
      </c>
      <c r="H82" s="94">
        <f>IF('FY20-21'!$S82&gt;0,'FY20-21'!H82/'FY20-21'!$S82*'Multi-Year'!$L82,0)+IF('FY20-21'!$S82&lt;0,'FY20-21'!H82/'FY20-21'!$S82*'Multi-Year'!$L82,0)</f>
        <v>0</v>
      </c>
      <c r="I82" s="94">
        <f>IF('FY20-21'!$S82&gt;0,'FY20-21'!I82/'FY20-21'!$S82*'Multi-Year'!$L82,0)+IF('FY20-21'!$S82&lt;0,'FY20-21'!I82/'FY20-21'!$S82*'Multi-Year'!$L82,0)</f>
        <v>0</v>
      </c>
      <c r="J82" s="94">
        <f>IF('FY20-21'!$S82&gt;0,'FY20-21'!J82/'FY20-21'!$S82*'Multi-Year'!$L82,0)+IF('FY20-21'!$S82&lt;0,'FY20-21'!J82/'FY20-21'!$S82*'Multi-Year'!$L82,0)</f>
        <v>0</v>
      </c>
      <c r="K82" s="94">
        <f>IF('FY20-21'!$S82&gt;0,'FY20-21'!K82/'FY20-21'!$S82*'Multi-Year'!$L82,0)+IF('FY20-21'!$S82&lt;0,'FY20-21'!K82/'FY20-21'!$S82*'Multi-Year'!$L82,0)</f>
        <v>0</v>
      </c>
      <c r="L82" s="94">
        <f>IF('FY20-21'!$S82&gt;0,'FY20-21'!L82/'FY20-21'!$S82*'Multi-Year'!$L82,0)+IF('FY20-21'!$S82&lt;0,'FY20-21'!L82/'FY20-21'!$S82*'Multi-Year'!$L82,0)</f>
        <v>0</v>
      </c>
      <c r="M82" s="94">
        <f>IF('FY20-21'!$S82&gt;0,'FY20-21'!M82/'FY20-21'!$S82*'Multi-Year'!$L82,0)+IF('FY20-21'!$S82&lt;0,'FY20-21'!M82/'FY20-21'!$S82*'Multi-Year'!$L82,0)</f>
        <v>0</v>
      </c>
      <c r="N82" s="94">
        <f>IF('FY20-21'!$S82&gt;0,'FY20-21'!N82/'FY20-21'!$S82*'Multi-Year'!$L82,0)+IF('FY20-21'!$S82&lt;0,'FY20-21'!N82/'FY20-21'!$S82*'Multi-Year'!$L82,0)</f>
        <v>0</v>
      </c>
      <c r="O82" s="94">
        <f>IF('FY20-21'!$S82&gt;0,'FY20-21'!O82/'FY20-21'!$S82*'Multi-Year'!$L82,0)+IF('FY20-21'!$S82&lt;0,'FY20-21'!O82/'FY20-21'!$S82*'Multi-Year'!$L82,0)</f>
        <v>0</v>
      </c>
      <c r="P82" s="94">
        <f>IF('FY20-21'!$S82&gt;0,'FY20-21'!P82/'FY20-21'!$S82*'Multi-Year'!$L82,0)+IF('FY20-21'!$S82&lt;0,'FY20-21'!P82/'FY20-21'!$S82*'Multi-Year'!$L82,0)</f>
        <v>0</v>
      </c>
      <c r="Q82" s="606">
        <f>IF('FY20-21'!$S82&gt;0,'FY20-21'!Q82/'FY20-21'!$S82*'Multi-Year'!$L82,0)+IF('FY20-21'!$S82&lt;0,'FY20-21'!Q82/'FY20-21'!$S82*'Multi-Year'!$L82,0)</f>
        <v>0</v>
      </c>
      <c r="R82" s="94"/>
      <c r="S82" s="625">
        <f t="shared" si="28"/>
        <v>0</v>
      </c>
      <c r="T82" s="94"/>
      <c r="U82" s="94">
        <f>'FY20-21'!S82</f>
        <v>0</v>
      </c>
      <c r="V82" s="94">
        <f t="shared" si="29"/>
        <v>0</v>
      </c>
    </row>
    <row r="83" spans="1:24" s="95" customFormat="1" ht="12" customHeight="1">
      <c r="A83" s="124"/>
      <c r="B83" s="124" t="s">
        <v>186</v>
      </c>
      <c r="C83" s="102">
        <v>4302</v>
      </c>
      <c r="D83" s="127" t="s">
        <v>80</v>
      </c>
      <c r="E83" s="94">
        <f>IF('FY20-21'!$S83&gt;0,'FY20-21'!E83/'FY20-21'!$S83*'Multi-Year'!$L83,0)+IF('FY20-21'!$S83&lt;0,'FY20-21'!E83/'FY20-21'!$S83*'Multi-Year'!$L83,0)</f>
        <v>109909.95062840423</v>
      </c>
      <c r="F83" s="94">
        <f>IF('FY20-21'!$S83&gt;0,'FY20-21'!F83/'FY20-21'!$S83*'Multi-Year'!$L83,0)+IF('FY20-21'!$S83&lt;0,'FY20-21'!F83/'FY20-21'!$S83*'Multi-Year'!$L83,0)</f>
        <v>249813.62009797481</v>
      </c>
      <c r="G83" s="94">
        <f>IF('FY20-21'!$S83&gt;0,'FY20-21'!G83/'FY20-21'!$S83*'Multi-Year'!$L83,0)+IF('FY20-21'!$S83&lt;0,'FY20-21'!G83/'FY20-21'!$S83*'Multi-Year'!$L83,0)</f>
        <v>330338.82740280032</v>
      </c>
      <c r="H83" s="94">
        <f>IF('FY20-21'!$S83&gt;0,'FY20-21'!H83/'FY20-21'!$S83*'Multi-Year'!$L83,0)+IF('FY20-21'!$S83&lt;0,'FY20-21'!H83/'FY20-21'!$S83*'Multi-Year'!$L83,0)</f>
        <v>351336.82258195436</v>
      </c>
      <c r="I83" s="94">
        <f>IF('FY20-21'!$S83&gt;0,'FY20-21'!I83/'FY20-21'!$S83*'Multi-Year'!$L83,0)+IF('FY20-21'!$S83&lt;0,'FY20-21'!I83/'FY20-21'!$S83*'Multi-Year'!$L83,0)</f>
        <v>197468.12637767234</v>
      </c>
      <c r="J83" s="94">
        <f>IF('FY20-21'!$S83&gt;0,'FY20-21'!J83/'FY20-21'!$S83*'Multi-Year'!$L83,0)+IF('FY20-21'!$S83&lt;0,'FY20-21'!J83/'FY20-21'!$S83*'Multi-Year'!$L83,0)</f>
        <v>175054.42231049525</v>
      </c>
      <c r="K83" s="94">
        <f>IF('FY20-21'!$S83&gt;0,'FY20-21'!K83/'FY20-21'!$S83*'Multi-Year'!$L83,0)+IF('FY20-21'!$S83&lt;0,'FY20-21'!K83/'FY20-21'!$S83*'Multi-Year'!$L83,0)</f>
        <v>211554.01374776592</v>
      </c>
      <c r="L83" s="94">
        <f>IF('FY20-21'!$S83&gt;0,'FY20-21'!L83/'FY20-21'!$S83*'Multi-Year'!$L83,0)+IF('FY20-21'!$S83&lt;0,'FY20-21'!L83/'FY20-21'!$S83*'Multi-Year'!$L83,0)</f>
        <v>181167.51851568132</v>
      </c>
      <c r="M83" s="94">
        <f>IF('FY20-21'!$S83&gt;0,'FY20-21'!M83/'FY20-21'!$S83*'Multi-Year'!$L83,0)+IF('FY20-21'!$S83&lt;0,'FY20-21'!M83/'FY20-21'!$S83*'Multi-Year'!$L83,0)</f>
        <v>220017.33866151248</v>
      </c>
      <c r="N83" s="94">
        <f>IF('FY20-21'!$S83&gt;0,'FY20-21'!N83/'FY20-21'!$S83*'Multi-Year'!$L83,0)+IF('FY20-21'!$S83&lt;0,'FY20-21'!N83/'FY20-21'!$S83*'Multi-Year'!$L83,0)</f>
        <v>209463.0482615814</v>
      </c>
      <c r="O83" s="94">
        <f>IF('FY20-21'!$S83&gt;0,'FY20-21'!O83/'FY20-21'!$S83*'Multi-Year'!$L83,0)+IF('FY20-21'!$S83&lt;0,'FY20-21'!O83/'FY20-21'!$S83*'Multi-Year'!$L83,0)</f>
        <v>250143.83674160155</v>
      </c>
      <c r="P83" s="94">
        <f>IF('FY20-21'!$S83&gt;0,'FY20-21'!P83/'FY20-21'!$S83*'Multi-Year'!$L83,0)+IF('FY20-21'!$S83&lt;0,'FY20-21'!P83/'FY20-21'!$S83*'Multi-Year'!$L83,0)</f>
        <v>357696.48812820873</v>
      </c>
      <c r="Q83" s="606">
        <f>IF('FY20-21'!$S83&gt;0,'FY20-21'!Q83/'FY20-21'!$S83*'Multi-Year'!$L83,0)+IF('FY20-21'!$S83&lt;0,'FY20-21'!Q83/'FY20-21'!$S83*'Multi-Year'!$L83,0)</f>
        <v>0</v>
      </c>
      <c r="R83" s="94"/>
      <c r="S83" s="625">
        <f t="shared" si="28"/>
        <v>2843964.0134556526</v>
      </c>
      <c r="T83" s="94"/>
      <c r="U83" s="94">
        <f>'FY20-21'!S83</f>
        <v>2788200.0131918159</v>
      </c>
      <c r="V83" s="94">
        <f t="shared" si="29"/>
        <v>-55764.0002638367</v>
      </c>
      <c r="X83" s="94"/>
    </row>
    <row r="84" spans="1:24" s="95" customFormat="1" ht="12" customHeight="1">
      <c r="A84" s="124"/>
      <c r="B84" s="124" t="s">
        <v>186</v>
      </c>
      <c r="C84" s="102">
        <v>4305</v>
      </c>
      <c r="D84" s="127" t="s">
        <v>97</v>
      </c>
      <c r="E84" s="94">
        <f>IF('FY20-21'!$S84&gt;0,'FY20-21'!E84/'FY20-21'!$S84*'Multi-Year'!$L84,0)+IF('FY20-21'!$S84&lt;0,'FY20-21'!E84/'FY20-21'!$S84*'Multi-Year'!$L84,0)</f>
        <v>10398.325187251783</v>
      </c>
      <c r="F84" s="94">
        <f>IF('FY20-21'!$S84&gt;0,'FY20-21'!F84/'FY20-21'!$S84*'Multi-Year'!$L84,0)+IF('FY20-21'!$S84&lt;0,'FY20-21'!F84/'FY20-21'!$S84*'Multi-Year'!$L84,0)</f>
        <v>11994.001887625389</v>
      </c>
      <c r="G84" s="94">
        <f>IF('FY20-21'!$S84&gt;0,'FY20-21'!G84/'FY20-21'!$S84*'Multi-Year'!$L84,0)+IF('FY20-21'!$S84&lt;0,'FY20-21'!G84/'FY20-21'!$S84*'Multi-Year'!$L84,0)</f>
        <v>17644.887825066111</v>
      </c>
      <c r="H84" s="94">
        <f>IF('FY20-21'!$S84&gt;0,'FY20-21'!H84/'FY20-21'!$S84*'Multi-Year'!$L84,0)+IF('FY20-21'!$S84&lt;0,'FY20-21'!H84/'FY20-21'!$S84*'Multi-Year'!$L84,0)</f>
        <v>10849.423140334435</v>
      </c>
      <c r="I84" s="94">
        <f>IF('FY20-21'!$S84&gt;0,'FY20-21'!I84/'FY20-21'!$S84*'Multi-Year'!$L84,0)+IF('FY20-21'!$S84&lt;0,'FY20-21'!I84/'FY20-21'!$S84*'Multi-Year'!$L84,0)</f>
        <v>11797.029649581666</v>
      </c>
      <c r="J84" s="94">
        <f>IF('FY20-21'!$S84&gt;0,'FY20-21'!J84/'FY20-21'!$S84*'Multi-Year'!$L84,0)+IF('FY20-21'!$S84&lt;0,'FY20-21'!J84/'FY20-21'!$S84*'Multi-Year'!$L84,0)</f>
        <v>2204.6935661087882</v>
      </c>
      <c r="K84" s="94">
        <f>IF('FY20-21'!$S84&gt;0,'FY20-21'!K84/'FY20-21'!$S84*'Multi-Year'!$L84,0)+IF('FY20-21'!$S84&lt;0,'FY20-21'!K84/'FY20-21'!$S84*'Multi-Year'!$L84,0)</f>
        <v>13918.024227947604</v>
      </c>
      <c r="L84" s="94">
        <f>IF('FY20-21'!$S84&gt;0,'FY20-21'!L84/'FY20-21'!$S84*'Multi-Year'!$L84,0)+IF('FY20-21'!$S84&lt;0,'FY20-21'!L84/'FY20-21'!$S84*'Multi-Year'!$L84,0)</f>
        <v>25509.760324784671</v>
      </c>
      <c r="M84" s="94">
        <f>IF('FY20-21'!$S84&gt;0,'FY20-21'!M84/'FY20-21'!$S84*'Multi-Year'!$L84,0)+IF('FY20-21'!$S84&lt;0,'FY20-21'!M84/'FY20-21'!$S84*'Multi-Year'!$L84,0)</f>
        <v>10167.178705231543</v>
      </c>
      <c r="N84" s="94">
        <f>IF('FY20-21'!$S84&gt;0,'FY20-21'!N84/'FY20-21'!$S84*'Multi-Year'!$L84,0)+IF('FY20-21'!$S84&lt;0,'FY20-21'!N84/'FY20-21'!$S84*'Multi-Year'!$L84,0)</f>
        <v>11744.569187337011</v>
      </c>
      <c r="O84" s="94">
        <f>IF('FY20-21'!$S84&gt;0,'FY20-21'!O84/'FY20-21'!$S84*'Multi-Year'!$L84,0)+IF('FY20-21'!$S84&lt;0,'FY20-21'!O84/'FY20-21'!$S84*'Multi-Year'!$L84,0)</f>
        <v>71604.075701051072</v>
      </c>
      <c r="P84" s="94">
        <f>IF('FY20-21'!$S84&gt;0,'FY20-21'!P84/'FY20-21'!$S84*'Multi-Year'!$L84,0)+IF('FY20-21'!$S84&lt;0,'FY20-21'!P84/'FY20-21'!$S84*'Multi-Year'!$L84,0)</f>
        <v>287049.21889924188</v>
      </c>
      <c r="Q84" s="606">
        <f>IF('FY20-21'!$S84&gt;0,'FY20-21'!Q84/'FY20-21'!$S84*'Multi-Year'!$L84,0)+IF('FY20-21'!$S84&lt;0,'FY20-21'!Q84/'FY20-21'!$S84*'Multi-Year'!$L84,0)</f>
        <v>0</v>
      </c>
      <c r="R84" s="94"/>
      <c r="S84" s="625">
        <f t="shared" si="28"/>
        <v>484881.18830156198</v>
      </c>
      <c r="T84" s="94"/>
      <c r="U84" s="94">
        <f>'FY20-21'!S84</f>
        <v>475373.71402113914</v>
      </c>
      <c r="V84" s="94">
        <f t="shared" si="29"/>
        <v>-9507.4742804228445</v>
      </c>
    </row>
    <row r="85" spans="1:24" s="95" customFormat="1" ht="12" customHeight="1">
      <c r="A85" s="124"/>
      <c r="B85" s="124" t="s">
        <v>186</v>
      </c>
      <c r="C85" s="102">
        <f>'Multi-Year'!D85</f>
        <v>4310</v>
      </c>
      <c r="D85" s="127" t="s">
        <v>39</v>
      </c>
      <c r="E85" s="94">
        <f>IF('FY20-21'!$S85&gt;0,'FY20-21'!E85/'FY20-21'!$S85*'Multi-Year'!$L85,0)+IF('FY20-21'!$S85&lt;0,'FY20-21'!E85/'FY20-21'!$S85*'Multi-Year'!$L85,0)</f>
        <v>1188.9763207571184</v>
      </c>
      <c r="F85" s="94">
        <f>IF('FY20-21'!$S85&gt;0,'FY20-21'!F85/'FY20-21'!$S85*'Multi-Year'!$L85,0)+IF('FY20-21'!$S85&lt;0,'FY20-21'!F85/'FY20-21'!$S85*'Multi-Year'!$L85,0)</f>
        <v>1931.0825365218423</v>
      </c>
      <c r="G85" s="94">
        <f>IF('FY20-21'!$S85&gt;0,'FY20-21'!G85/'FY20-21'!$S85*'Multi-Year'!$L85,0)+IF('FY20-21'!$S85&lt;0,'FY20-21'!G85/'FY20-21'!$S85*'Multi-Year'!$L85,0)</f>
        <v>1303.4693414116584</v>
      </c>
      <c r="H85" s="94">
        <f>IF('FY20-21'!$S85&gt;0,'FY20-21'!H85/'FY20-21'!$S85*'Multi-Year'!$L85,0)+IF('FY20-21'!$S85&lt;0,'FY20-21'!H85/'FY20-21'!$S85*'Multi-Year'!$L85,0)</f>
        <v>2522.8778987891237</v>
      </c>
      <c r="I85" s="94">
        <f>IF('FY20-21'!$S85&gt;0,'FY20-21'!I85/'FY20-21'!$S85*'Multi-Year'!$L85,0)+IF('FY20-21'!$S85&lt;0,'FY20-21'!I85/'FY20-21'!$S85*'Multi-Year'!$L85,0)</f>
        <v>2179.8123183013236</v>
      </c>
      <c r="J85" s="94">
        <f>IF('FY20-21'!$S85&gt;0,'FY20-21'!J85/'FY20-21'!$S85*'Multi-Year'!$L85,0)+IF('FY20-21'!$S85&lt;0,'FY20-21'!J85/'FY20-21'!$S85*'Multi-Year'!$L85,0)</f>
        <v>19115.393345672124</v>
      </c>
      <c r="K85" s="94">
        <f>IF('FY20-21'!$S85&gt;0,'FY20-21'!K85/'FY20-21'!$S85*'Multi-Year'!$L85,0)+IF('FY20-21'!$S85&lt;0,'FY20-21'!K85/'FY20-21'!$S85*'Multi-Year'!$L85,0)</f>
        <v>-12736.935066341754</v>
      </c>
      <c r="L85" s="94">
        <f>IF('FY20-21'!$S85&gt;0,'FY20-21'!L85/'FY20-21'!$S85*'Multi-Year'!$L85,0)+IF('FY20-21'!$S85&lt;0,'FY20-21'!L85/'FY20-21'!$S85*'Multi-Year'!$L85,0)</f>
        <v>2693.190918679355</v>
      </c>
      <c r="M85" s="94">
        <f>IF('FY20-21'!$S85&gt;0,'FY20-21'!M85/'FY20-21'!$S85*'Multi-Year'!$L85,0)+IF('FY20-21'!$S85&lt;0,'FY20-21'!M85/'FY20-21'!$S85*'Multi-Year'!$L85,0)</f>
        <v>2178.2927738776852</v>
      </c>
      <c r="N85" s="94">
        <f>IF('FY20-21'!$S85&gt;0,'FY20-21'!N85/'FY20-21'!$S85*'Multi-Year'!$L85,0)+IF('FY20-21'!$S85&lt;0,'FY20-21'!N85/'FY20-21'!$S85*'Multi-Year'!$L85,0)</f>
        <v>2978.3380814416778</v>
      </c>
      <c r="O85" s="94">
        <f>IF('FY20-21'!$S85&gt;0,'FY20-21'!O85/'FY20-21'!$S85*'Multi-Year'!$L85,0)+IF('FY20-21'!$S85&lt;0,'FY20-21'!O85/'FY20-21'!$S85*'Multi-Year'!$L85,0)</f>
        <v>4067.1071665338354</v>
      </c>
      <c r="P85" s="94">
        <f>IF('FY20-21'!$S85&gt;0,'FY20-21'!P85/'FY20-21'!$S85*'Multi-Year'!$L85,0)+IF('FY20-21'!$S85&lt;0,'FY20-21'!P85/'FY20-21'!$S85*'Multi-Year'!$L85,0)</f>
        <v>75370.385430962808</v>
      </c>
      <c r="Q85" s="606">
        <f>IF('FY20-21'!$S85&gt;0,'FY20-21'!Q85/'FY20-21'!$S85*'Multi-Year'!$L85,0)+IF('FY20-21'!$S85&lt;0,'FY20-21'!Q85/'FY20-21'!$S85*'Multi-Year'!$L85,0)</f>
        <v>0</v>
      </c>
      <c r="R85" s="94"/>
      <c r="S85" s="625">
        <f>SUM(E85:Q85)</f>
        <v>102791.9910666068</v>
      </c>
      <c r="T85" s="94"/>
      <c r="U85" s="94">
        <f>'FY20-21'!S85</f>
        <v>100776.46183000664</v>
      </c>
      <c r="V85" s="94">
        <f>U85-S85</f>
        <v>-2015.5292366001668</v>
      </c>
    </row>
    <row r="86" spans="1:24" s="95" customFormat="1" ht="12" customHeight="1">
      <c r="A86" s="124"/>
      <c r="B86" s="124" t="s">
        <v>186</v>
      </c>
      <c r="C86" s="102">
        <f>'Multi-Year'!D86</f>
        <v>4311</v>
      </c>
      <c r="D86" s="127" t="s">
        <v>36</v>
      </c>
      <c r="E86" s="94">
        <f>IF('FY20-21'!$S86&gt;0,'FY20-21'!E86/'FY20-21'!$S86*'Multi-Year'!$L86,0)+IF('FY20-21'!$S86&lt;0,'FY20-21'!E86/'FY20-21'!$S86*'Multi-Year'!$L86,0)</f>
        <v>0</v>
      </c>
      <c r="F86" s="94">
        <f>IF('FY20-21'!$S86&gt;0,'FY20-21'!F86/'FY20-21'!$S86*'Multi-Year'!$L86,0)+IF('FY20-21'!$S86&lt;0,'FY20-21'!F86/'FY20-21'!$S86*'Multi-Year'!$L86,0)</f>
        <v>501.05685239859707</v>
      </c>
      <c r="G86" s="94">
        <f>IF('FY20-21'!$S86&gt;0,'FY20-21'!G86/'FY20-21'!$S86*'Multi-Year'!$L86,0)+IF('FY20-21'!$S86&lt;0,'FY20-21'!G86/'FY20-21'!$S86*'Multi-Year'!$L86,0)</f>
        <v>475.12122682779159</v>
      </c>
      <c r="H86" s="94">
        <f>IF('FY20-21'!$S86&gt;0,'FY20-21'!H86/'FY20-21'!$S86*'Multi-Year'!$L86,0)+IF('FY20-21'!$S86&lt;0,'FY20-21'!H86/'FY20-21'!$S86*'Multi-Year'!$L86,0)</f>
        <v>74.219924909678284</v>
      </c>
      <c r="I86" s="94">
        <f>IF('FY20-21'!$S86&gt;0,'FY20-21'!I86/'FY20-21'!$S86*'Multi-Year'!$L86,0)+IF('FY20-21'!$S86&lt;0,'FY20-21'!I86/'FY20-21'!$S86*'Multi-Year'!$L86,0)</f>
        <v>1647.9821070648277</v>
      </c>
      <c r="J86" s="94">
        <f>IF('FY20-21'!$S86&gt;0,'FY20-21'!J86/'FY20-21'!$S86*'Multi-Year'!$L86,0)+IF('FY20-21'!$S86&lt;0,'FY20-21'!J86/'FY20-21'!$S86*'Multi-Year'!$L86,0)</f>
        <v>0</v>
      </c>
      <c r="K86" s="94">
        <f>IF('FY20-21'!$S86&gt;0,'FY20-21'!K86/'FY20-21'!$S86*'Multi-Year'!$L86,0)+IF('FY20-21'!$S86&lt;0,'FY20-21'!K86/'FY20-21'!$S86*'Multi-Year'!$L86,0)</f>
        <v>1150.2331064727903</v>
      </c>
      <c r="L86" s="94">
        <f>IF('FY20-21'!$S86&gt;0,'FY20-21'!L86/'FY20-21'!$S86*'Multi-Year'!$L86,0)+IF('FY20-21'!$S86&lt;0,'FY20-21'!L86/'FY20-21'!$S86*'Multi-Year'!$L86,0)</f>
        <v>0</v>
      </c>
      <c r="M86" s="94">
        <f>IF('FY20-21'!$S86&gt;0,'FY20-21'!M86/'FY20-21'!$S86*'Multi-Year'!$L86,0)+IF('FY20-21'!$S86&lt;0,'FY20-21'!M86/'FY20-21'!$S86*'Multi-Year'!$L86,0)</f>
        <v>1870.734915125922</v>
      </c>
      <c r="N86" s="94">
        <f>IF('FY20-21'!$S86&gt;0,'FY20-21'!N86/'FY20-21'!$S86*'Multi-Year'!$L86,0)+IF('FY20-21'!$S86&lt;0,'FY20-21'!N86/'FY20-21'!$S86*'Multi-Year'!$L86,0)</f>
        <v>0</v>
      </c>
      <c r="O86" s="94">
        <f>IF('FY20-21'!$S86&gt;0,'FY20-21'!O86/'FY20-21'!$S86*'Multi-Year'!$L86,0)+IF('FY20-21'!$S86&lt;0,'FY20-21'!O86/'FY20-21'!$S86*'Multi-Year'!$L86,0)</f>
        <v>0</v>
      </c>
      <c r="P86" s="94">
        <f>IF('FY20-21'!$S86&gt;0,'FY20-21'!P86/'FY20-21'!$S86*'Multi-Year'!$L86,0)+IF('FY20-21'!$S86&lt;0,'FY20-21'!P86/'FY20-21'!$S86*'Multi-Year'!$L86,0)</f>
        <v>0</v>
      </c>
      <c r="Q86" s="606">
        <f>IF('FY20-21'!$S86&gt;0,'FY20-21'!Q86/'FY20-21'!$S86*'Multi-Year'!$L86,0)+IF('FY20-21'!$S86&lt;0,'FY20-21'!Q86/'FY20-21'!$S86*'Multi-Year'!$L86,0)</f>
        <v>0</v>
      </c>
      <c r="R86" s="94"/>
      <c r="S86" s="625">
        <f>SUM(E86:Q86)</f>
        <v>5719.3481327996069</v>
      </c>
      <c r="T86" s="94"/>
      <c r="U86" s="94">
        <f>'FY20-21'!S86</f>
        <v>5607.2040517643218</v>
      </c>
      <c r="V86" s="94">
        <f>U86-S86</f>
        <v>-112.14408103528513</v>
      </c>
    </row>
    <row r="87" spans="1:24" s="95" customFormat="1" ht="12" customHeight="1">
      <c r="A87" s="124"/>
      <c r="B87" s="124" t="s">
        <v>186</v>
      </c>
      <c r="C87" s="102">
        <f>'Multi-Year'!D87</f>
        <v>4312</v>
      </c>
      <c r="D87" s="127" t="s">
        <v>34</v>
      </c>
      <c r="E87" s="94">
        <f>IF('FY20-21'!$S87&gt;0,'FY20-21'!E87/'FY20-21'!$S87*'Multi-Year'!$L87,0)+IF('FY20-21'!$S87&lt;0,'FY20-21'!E87/'FY20-21'!$S87*'Multi-Year'!$L87,0)</f>
        <v>0</v>
      </c>
      <c r="F87" s="94">
        <f>IF('FY20-21'!$S87&gt;0,'FY20-21'!F87/'FY20-21'!$S87*'Multi-Year'!$L87,0)+IF('FY20-21'!$S87&lt;0,'FY20-21'!F87/'FY20-21'!$S87*'Multi-Year'!$L87,0)</f>
        <v>0</v>
      </c>
      <c r="G87" s="94">
        <f>IF('FY20-21'!$S87&gt;0,'FY20-21'!G87/'FY20-21'!$S87*'Multi-Year'!$L87,0)+IF('FY20-21'!$S87&lt;0,'FY20-21'!G87/'FY20-21'!$S87*'Multi-Year'!$L87,0)</f>
        <v>0</v>
      </c>
      <c r="H87" s="94">
        <f>IF('FY20-21'!$S87&gt;0,'FY20-21'!H87/'FY20-21'!$S87*'Multi-Year'!$L87,0)+IF('FY20-21'!$S87&lt;0,'FY20-21'!H87/'FY20-21'!$S87*'Multi-Year'!$L87,0)</f>
        <v>0</v>
      </c>
      <c r="I87" s="94">
        <f>IF('FY20-21'!$S87&gt;0,'FY20-21'!I87/'FY20-21'!$S87*'Multi-Year'!$L87,0)+IF('FY20-21'!$S87&lt;0,'FY20-21'!I87/'FY20-21'!$S87*'Multi-Year'!$L87,0)</f>
        <v>0</v>
      </c>
      <c r="J87" s="94">
        <f>IF('FY20-21'!$S87&gt;0,'FY20-21'!J87/'FY20-21'!$S87*'Multi-Year'!$L87,0)+IF('FY20-21'!$S87&lt;0,'FY20-21'!J87/'FY20-21'!$S87*'Multi-Year'!$L87,0)</f>
        <v>0</v>
      </c>
      <c r="K87" s="94">
        <f>IF('FY20-21'!$S87&gt;0,'FY20-21'!K87/'FY20-21'!$S87*'Multi-Year'!$L87,0)+IF('FY20-21'!$S87&lt;0,'FY20-21'!K87/'FY20-21'!$S87*'Multi-Year'!$L87,0)</f>
        <v>0</v>
      </c>
      <c r="L87" s="94">
        <f>IF('FY20-21'!$S87&gt;0,'FY20-21'!L87/'FY20-21'!$S87*'Multi-Year'!$L87,0)+IF('FY20-21'!$S87&lt;0,'FY20-21'!L87/'FY20-21'!$S87*'Multi-Year'!$L87,0)</f>
        <v>0</v>
      </c>
      <c r="M87" s="94">
        <f>IF('FY20-21'!$S87&gt;0,'FY20-21'!M87/'FY20-21'!$S87*'Multi-Year'!$L87,0)+IF('FY20-21'!$S87&lt;0,'FY20-21'!M87/'FY20-21'!$S87*'Multi-Year'!$L87,0)</f>
        <v>0</v>
      </c>
      <c r="N87" s="94">
        <f>IF('FY20-21'!$S87&gt;0,'FY20-21'!N87/'FY20-21'!$S87*'Multi-Year'!$L87,0)+IF('FY20-21'!$S87&lt;0,'FY20-21'!N87/'FY20-21'!$S87*'Multi-Year'!$L87,0)</f>
        <v>0</v>
      </c>
      <c r="O87" s="94">
        <f>IF('FY20-21'!$S87&gt;0,'FY20-21'!O87/'FY20-21'!$S87*'Multi-Year'!$L87,0)+IF('FY20-21'!$S87&lt;0,'FY20-21'!O87/'FY20-21'!$S87*'Multi-Year'!$L87,0)</f>
        <v>0</v>
      </c>
      <c r="P87" s="94">
        <f>IF('FY20-21'!$S87&gt;0,'FY20-21'!P87/'FY20-21'!$S87*'Multi-Year'!$L87,0)+IF('FY20-21'!$S87&lt;0,'FY20-21'!P87/'FY20-21'!$S87*'Multi-Year'!$L87,0)</f>
        <v>0</v>
      </c>
      <c r="Q87" s="606">
        <f>IF('FY20-21'!$S87&gt;0,'FY20-21'!Q87/'FY20-21'!$S87*'Multi-Year'!$L87,0)+IF('FY20-21'!$S87&lt;0,'FY20-21'!Q87/'FY20-21'!$S87*'Multi-Year'!$L87,0)</f>
        <v>0</v>
      </c>
      <c r="R87" s="94"/>
      <c r="S87" s="625">
        <f>SUM(E87:Q87)</f>
        <v>0</v>
      </c>
      <c r="T87" s="94"/>
      <c r="U87" s="94">
        <f>'FY20-21'!S87</f>
        <v>0</v>
      </c>
      <c r="V87" s="94">
        <f>U87-S87</f>
        <v>0</v>
      </c>
    </row>
    <row r="88" spans="1:24" s="95" customFormat="1" ht="12" customHeight="1">
      <c r="A88" s="124"/>
      <c r="B88" s="124" t="s">
        <v>186</v>
      </c>
      <c r="C88" s="102">
        <v>4400</v>
      </c>
      <c r="D88" s="127" t="s">
        <v>83</v>
      </c>
      <c r="E88" s="94">
        <f>IF('FY20-21'!$S88&gt;0,'FY20-21'!E88/'FY20-21'!$S88*'Multi-Year'!$L88,0)+IF('FY20-21'!$S88&lt;0,'FY20-21'!E88/'FY20-21'!$S88*'Multi-Year'!$L88,0)</f>
        <v>0</v>
      </c>
      <c r="F88" s="94">
        <f>IF('FY20-21'!$S88&gt;0,'FY20-21'!F88/'FY20-21'!$S88*'Multi-Year'!$L88,0)+IF('FY20-21'!$S88&lt;0,'FY20-21'!F88/'FY20-21'!$S88*'Multi-Year'!$L88,0)</f>
        <v>0</v>
      </c>
      <c r="G88" s="94">
        <f>IF('FY20-21'!$S88&gt;0,'FY20-21'!G88/'FY20-21'!$S88*'Multi-Year'!$L88,0)+IF('FY20-21'!$S88&lt;0,'FY20-21'!G88/'FY20-21'!$S88*'Multi-Year'!$L88,0)</f>
        <v>0</v>
      </c>
      <c r="H88" s="94">
        <f>IF('FY20-21'!$S88&gt;0,'FY20-21'!H88/'FY20-21'!$S88*'Multi-Year'!$L88,0)+IF('FY20-21'!$S88&lt;0,'FY20-21'!H88/'FY20-21'!$S88*'Multi-Year'!$L88,0)</f>
        <v>0</v>
      </c>
      <c r="I88" s="94">
        <f>IF('FY20-21'!$S88&gt;0,'FY20-21'!I88/'FY20-21'!$S88*'Multi-Year'!$L88,0)+IF('FY20-21'!$S88&lt;0,'FY20-21'!I88/'FY20-21'!$S88*'Multi-Year'!$L88,0)</f>
        <v>0</v>
      </c>
      <c r="J88" s="94">
        <f>IF('FY20-21'!$S88&gt;0,'FY20-21'!J88/'FY20-21'!$S88*'Multi-Year'!$L88,0)+IF('FY20-21'!$S88&lt;0,'FY20-21'!J88/'FY20-21'!$S88*'Multi-Year'!$L88,0)</f>
        <v>74174.371236000006</v>
      </c>
      <c r="K88" s="94">
        <f>IF('FY20-21'!$S88&gt;0,'FY20-21'!K88/'FY20-21'!$S88*'Multi-Year'!$L88,0)+IF('FY20-21'!$S88&lt;0,'FY20-21'!K88/'FY20-21'!$S88*'Multi-Year'!$L88,0)</f>
        <v>83.211192000000025</v>
      </c>
      <c r="L88" s="94">
        <f>IF('FY20-21'!$S88&gt;0,'FY20-21'!L88/'FY20-21'!$S88*'Multi-Year'!$L88,0)+IF('FY20-21'!$S88&lt;0,'FY20-21'!L88/'FY20-21'!$S88*'Multi-Year'!$L88,0)</f>
        <v>20.797596000000002</v>
      </c>
      <c r="M88" s="94">
        <f>IF('FY20-21'!$S88&gt;0,'FY20-21'!M88/'FY20-21'!$S88*'Multi-Year'!$L88,0)+IF('FY20-21'!$S88&lt;0,'FY20-21'!M88/'FY20-21'!$S88*'Multi-Year'!$L88,0)</f>
        <v>0</v>
      </c>
      <c r="N88" s="94">
        <f>IF('FY20-21'!$S88&gt;0,'FY20-21'!N88/'FY20-21'!$S88*'Multi-Year'!$L88,0)+IF('FY20-21'!$S88&lt;0,'FY20-21'!N88/'FY20-21'!$S88*'Multi-Year'!$L88,0)</f>
        <v>221.57398800000004</v>
      </c>
      <c r="O88" s="94">
        <f>IF('FY20-21'!$S88&gt;0,'FY20-21'!O88/'FY20-21'!$S88*'Multi-Year'!$L88,0)+IF('FY20-21'!$S88&lt;0,'FY20-21'!O88/'FY20-21'!$S88*'Multi-Year'!$L88,0)</f>
        <v>0</v>
      </c>
      <c r="P88" s="94">
        <f>IF('FY20-21'!$S88&gt;0,'FY20-21'!P88/'FY20-21'!$S88*'Multi-Year'!$L88,0)+IF('FY20-21'!$S88&lt;0,'FY20-21'!P88/'FY20-21'!$S88*'Multi-Year'!$L88,0)</f>
        <v>383424.75036000012</v>
      </c>
      <c r="Q88" s="606">
        <f>IF('FY20-21'!$S88&gt;0,'FY20-21'!Q88/'FY20-21'!$S88*'Multi-Year'!$L88,0)+IF('FY20-21'!$S88&lt;0,'FY20-21'!Q88/'FY20-21'!$S88*'Multi-Year'!$L88,0)</f>
        <v>0</v>
      </c>
      <c r="R88" s="94"/>
      <c r="S88" s="625">
        <f t="shared" si="28"/>
        <v>457924.70437200012</v>
      </c>
      <c r="T88" s="94"/>
      <c r="U88" s="94">
        <f>'FY20-21'!S88</f>
        <v>448945.78860000009</v>
      </c>
      <c r="V88" s="94">
        <f t="shared" si="29"/>
        <v>-8978.9157720000367</v>
      </c>
    </row>
    <row r="89" spans="1:24" s="95" customFormat="1" ht="12" customHeight="1">
      <c r="A89" s="124"/>
      <c r="B89" s="124" t="s">
        <v>186</v>
      </c>
      <c r="C89" s="102">
        <v>4700</v>
      </c>
      <c r="D89" s="127" t="s">
        <v>84</v>
      </c>
      <c r="E89" s="94">
        <f>IF('FY20-21'!$S89&gt;0,'FY20-21'!E89/'FY20-21'!$S89*'Multi-Year'!$L89,0)+IF('FY20-21'!$S89&lt;0,'FY20-21'!E89/'FY20-21'!$S89*'Multi-Year'!$L89,0)</f>
        <v>0</v>
      </c>
      <c r="F89" s="94">
        <f>IF('FY20-21'!$S89&gt;0,'FY20-21'!F89/'FY20-21'!$S89*'Multi-Year'!$L89,0)+IF('FY20-21'!$S89&lt;0,'FY20-21'!F89/'FY20-21'!$S89*'Multi-Year'!$L89,0)</f>
        <v>0</v>
      </c>
      <c r="G89" s="94">
        <f>IF('FY20-21'!$S89&gt;0,'FY20-21'!G89/'FY20-21'!$S89*'Multi-Year'!$L89,0)+IF('FY20-21'!$S89&lt;0,'FY20-21'!G89/'FY20-21'!$S89*'Multi-Year'!$L89,0)</f>
        <v>0</v>
      </c>
      <c r="H89" s="94">
        <f>IF('FY20-21'!$S89&gt;0,'FY20-21'!H89/'FY20-21'!$S89*'Multi-Year'!$L89,0)+IF('FY20-21'!$S89&lt;0,'FY20-21'!H89/'FY20-21'!$S89*'Multi-Year'!$L89,0)</f>
        <v>0</v>
      </c>
      <c r="I89" s="94">
        <f>IF('FY20-21'!$S89&gt;0,'FY20-21'!I89/'FY20-21'!$S89*'Multi-Year'!$L89,0)+IF('FY20-21'!$S89&lt;0,'FY20-21'!I89/'FY20-21'!$S89*'Multi-Year'!$L89,0)</f>
        <v>0</v>
      </c>
      <c r="J89" s="94">
        <f>IF('FY20-21'!$S89&gt;0,'FY20-21'!J89/'FY20-21'!$S89*'Multi-Year'!$L89,0)+IF('FY20-21'!$S89&lt;0,'FY20-21'!J89/'FY20-21'!$S89*'Multi-Year'!$L89,0)</f>
        <v>0</v>
      </c>
      <c r="K89" s="94">
        <f>IF('FY20-21'!$S89&gt;0,'FY20-21'!K89/'FY20-21'!$S89*'Multi-Year'!$L89,0)+IF('FY20-21'!$S89&lt;0,'FY20-21'!K89/'FY20-21'!$S89*'Multi-Year'!$L89,0)</f>
        <v>0</v>
      </c>
      <c r="L89" s="94">
        <f>IF('FY20-21'!$S89&gt;0,'FY20-21'!L89/'FY20-21'!$S89*'Multi-Year'!$L89,0)+IF('FY20-21'!$S89&lt;0,'FY20-21'!L89/'FY20-21'!$S89*'Multi-Year'!$L89,0)</f>
        <v>0</v>
      </c>
      <c r="M89" s="94">
        <f>IF('FY20-21'!$S89&gt;0,'FY20-21'!M89/'FY20-21'!$S89*'Multi-Year'!$L89,0)+IF('FY20-21'!$S89&lt;0,'FY20-21'!M89/'FY20-21'!$S89*'Multi-Year'!$L89,0)</f>
        <v>0</v>
      </c>
      <c r="N89" s="94">
        <f>IF('FY20-21'!$S89&gt;0,'FY20-21'!N89/'FY20-21'!$S89*'Multi-Year'!$L89,0)+IF('FY20-21'!$S89&lt;0,'FY20-21'!N89/'FY20-21'!$S89*'Multi-Year'!$L89,0)</f>
        <v>129113.43620249978</v>
      </c>
      <c r="O89" s="94">
        <f>IF('FY20-21'!$S89&gt;0,'FY20-21'!O89/'FY20-21'!$S89*'Multi-Year'!$L89,0)+IF('FY20-21'!$S89&lt;0,'FY20-21'!O89/'FY20-21'!$S89*'Multi-Year'!$L89,0)</f>
        <v>0</v>
      </c>
      <c r="P89" s="94">
        <f>IF('FY20-21'!$S89&gt;0,'FY20-21'!P89/'FY20-21'!$S89*'Multi-Year'!$L89,0)+IF('FY20-21'!$S89&lt;0,'FY20-21'!P89/'FY20-21'!$S89*'Multi-Year'!$L89,0)</f>
        <v>0</v>
      </c>
      <c r="Q89" s="606">
        <f>IF('FY20-21'!$S89&gt;0,'FY20-21'!Q89/'FY20-21'!$S89*'Multi-Year'!$L89,0)+IF('FY20-21'!$S89&lt;0,'FY20-21'!Q89/'FY20-21'!$S89*'Multi-Year'!$L89,0)</f>
        <v>0</v>
      </c>
      <c r="R89" s="94"/>
      <c r="S89" s="625">
        <f t="shared" si="28"/>
        <v>129113.43620249978</v>
      </c>
      <c r="T89" s="94"/>
      <c r="U89" s="94">
        <f>'FY20-21'!S89</f>
        <v>126581.80019852919</v>
      </c>
      <c r="V89" s="94">
        <f t="shared" si="29"/>
        <v>-2531.6360039705905</v>
      </c>
    </row>
    <row r="90" spans="1:24" s="95" customFormat="1" ht="12" customHeight="1">
      <c r="A90" s="124"/>
      <c r="B90" s="124" t="s">
        <v>186</v>
      </c>
      <c r="C90" s="126"/>
      <c r="D90" s="126"/>
      <c r="E90" s="215">
        <f t="shared" ref="E90:Q90" si="30">SUM(E81:E89)</f>
        <v>121497.25213641314</v>
      </c>
      <c r="F90" s="215">
        <f t="shared" si="30"/>
        <v>264239.76137452066</v>
      </c>
      <c r="G90" s="215">
        <f t="shared" si="30"/>
        <v>349762.30579610588</v>
      </c>
      <c r="H90" s="215">
        <f t="shared" si="30"/>
        <v>364783.34354598762</v>
      </c>
      <c r="I90" s="215">
        <f t="shared" si="30"/>
        <v>213092.95045262016</v>
      </c>
      <c r="J90" s="215">
        <f t="shared" si="30"/>
        <v>270548.88045827614</v>
      </c>
      <c r="K90" s="215">
        <f t="shared" si="30"/>
        <v>213968.54720784456</v>
      </c>
      <c r="L90" s="215">
        <f t="shared" si="30"/>
        <v>209391.26735514533</v>
      </c>
      <c r="M90" s="215">
        <f t="shared" si="30"/>
        <v>234233.54505574761</v>
      </c>
      <c r="N90" s="215">
        <f t="shared" si="30"/>
        <v>353520.96572085982</v>
      </c>
      <c r="O90" s="215">
        <f t="shared" si="30"/>
        <v>325815.01960918645</v>
      </c>
      <c r="P90" s="215">
        <f t="shared" si="30"/>
        <v>1103540.8428184136</v>
      </c>
      <c r="Q90" s="603">
        <f t="shared" si="30"/>
        <v>0</v>
      </c>
      <c r="R90" s="94"/>
      <c r="S90" s="626">
        <f>SUM(E90:R90)</f>
        <v>4024394.681531121</v>
      </c>
      <c r="T90" s="94"/>
      <c r="U90" s="216">
        <f>SUM(U81:U89)</f>
        <v>3945484.9818932554</v>
      </c>
      <c r="V90" s="216">
        <f>SUM(V81:V89)</f>
        <v>-78909.699637865619</v>
      </c>
    </row>
    <row r="91" spans="1:24" s="95" customFormat="1" ht="12" customHeight="1">
      <c r="A91" s="124"/>
      <c r="B91" s="124" t="s">
        <v>284</v>
      </c>
      <c r="C91" s="126"/>
      <c r="D91" s="126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606"/>
      <c r="R91" s="94"/>
      <c r="S91" s="627"/>
      <c r="T91" s="94"/>
      <c r="U91" s="94"/>
      <c r="V91" s="94"/>
    </row>
    <row r="92" spans="1:24" s="95" customFormat="1" ht="12" customHeight="1">
      <c r="A92" s="124"/>
      <c r="B92" s="124" t="s">
        <v>186</v>
      </c>
      <c r="C92" s="102">
        <v>5101</v>
      </c>
      <c r="D92" s="127" t="s">
        <v>85</v>
      </c>
      <c r="E92" s="94">
        <f>IF('FY20-21'!$S92&gt;0,'FY20-21'!E92/'FY20-21'!$S92*'Multi-Year'!$L92,0)+IF('FY20-21'!$S92&lt;0,'FY20-21'!E92/'FY20-21'!$S92*'Multi-Year'!$L92,0)</f>
        <v>0</v>
      </c>
      <c r="F92" s="94">
        <f>IF('FY20-21'!$S92&gt;0,'FY20-21'!F92/'FY20-21'!$S92*'Multi-Year'!$L92,0)+IF('FY20-21'!$S92&lt;0,'FY20-21'!F92/'FY20-21'!$S92*'Multi-Year'!$L92,0)</f>
        <v>0</v>
      </c>
      <c r="G92" s="94">
        <f>IF('FY20-21'!$S92&gt;0,'FY20-21'!G92/'FY20-21'!$S92*'Multi-Year'!$L92,0)+IF('FY20-21'!$S92&lt;0,'FY20-21'!G92/'FY20-21'!$S92*'Multi-Year'!$L92,0)</f>
        <v>0</v>
      </c>
      <c r="H92" s="94">
        <f>IF('FY20-21'!$S92&gt;0,'FY20-21'!H92/'FY20-21'!$S92*'Multi-Year'!$L92,0)+IF('FY20-21'!$S92&lt;0,'FY20-21'!H92/'FY20-21'!$S92*'Multi-Year'!$L92,0)</f>
        <v>0</v>
      </c>
      <c r="I92" s="94">
        <f>IF('FY20-21'!$S92&gt;0,'FY20-21'!I92/'FY20-21'!$S92*'Multi-Year'!$L92,0)+IF('FY20-21'!$S92&lt;0,'FY20-21'!I92/'FY20-21'!$S92*'Multi-Year'!$L92,0)</f>
        <v>0</v>
      </c>
      <c r="J92" s="94">
        <f>IF('FY20-21'!$S92&gt;0,'FY20-21'!J92/'FY20-21'!$S92*'Multi-Year'!$L92,0)+IF('FY20-21'!$S92&lt;0,'FY20-21'!J92/'FY20-21'!$S92*'Multi-Year'!$L92,0)</f>
        <v>0</v>
      </c>
      <c r="K92" s="94">
        <f>IF('FY20-21'!$S92&gt;0,'FY20-21'!K92/'FY20-21'!$S92*'Multi-Year'!$L92,0)+IF('FY20-21'!$S92&lt;0,'FY20-21'!K92/'FY20-21'!$S92*'Multi-Year'!$L92,0)</f>
        <v>0</v>
      </c>
      <c r="L92" s="94">
        <f>IF('FY20-21'!$S92&gt;0,'FY20-21'!L92/'FY20-21'!$S92*'Multi-Year'!$L92,0)+IF('FY20-21'!$S92&lt;0,'FY20-21'!L92/'FY20-21'!$S92*'Multi-Year'!$L92,0)</f>
        <v>0</v>
      </c>
      <c r="M92" s="94">
        <f>IF('FY20-21'!$S92&gt;0,'FY20-21'!M92/'FY20-21'!$S92*'Multi-Year'!$L92,0)+IF('FY20-21'!$S92&lt;0,'FY20-21'!M92/'FY20-21'!$S92*'Multi-Year'!$L92,0)</f>
        <v>0</v>
      </c>
      <c r="N92" s="94">
        <f>IF('FY20-21'!$S92&gt;0,'FY20-21'!N92/'FY20-21'!$S92*'Multi-Year'!$L92,0)+IF('FY20-21'!$S92&lt;0,'FY20-21'!N92/'FY20-21'!$S92*'Multi-Year'!$L92,0)</f>
        <v>0</v>
      </c>
      <c r="O92" s="94">
        <f>IF('FY20-21'!$S92&gt;0,'FY20-21'!O92/'FY20-21'!$S92*'Multi-Year'!$L92,0)+IF('FY20-21'!$S92&lt;0,'FY20-21'!O92/'FY20-21'!$S92*'Multi-Year'!$L92,0)</f>
        <v>0</v>
      </c>
      <c r="P92" s="94">
        <f>IF('FY20-21'!$S92&gt;0,'FY20-21'!P92/'FY20-21'!$S92*'Multi-Year'!$L92,0)+IF('FY20-21'!$S92&lt;0,'FY20-21'!P92/'FY20-21'!$S92*'Multi-Year'!$L92,0)</f>
        <v>0</v>
      </c>
      <c r="Q92" s="606">
        <f>IF('FY20-21'!$S92&gt;0,'FY20-21'!Q92/'FY20-21'!$S92*'Multi-Year'!$L92,0)+IF('FY20-21'!$S92&lt;0,'FY20-21'!Q92/'FY20-21'!$S92*'Multi-Year'!$L92,0)</f>
        <v>0</v>
      </c>
      <c r="R92" s="94"/>
      <c r="S92" s="625">
        <f t="shared" ref="S92:S95" si="31">SUM(E92:Q92)</f>
        <v>0</v>
      </c>
      <c r="T92" s="94"/>
      <c r="U92" s="94">
        <f>'FY20-21'!S92</f>
        <v>0</v>
      </c>
      <c r="V92" s="94">
        <f t="shared" ref="V92:V95" si="32">U92-S92</f>
        <v>0</v>
      </c>
    </row>
    <row r="93" spans="1:24" s="95" customFormat="1" ht="12" customHeight="1">
      <c r="A93" s="124"/>
      <c r="B93" s="124" t="s">
        <v>186</v>
      </c>
      <c r="C93" s="102">
        <v>5102</v>
      </c>
      <c r="D93" s="127" t="s">
        <v>86</v>
      </c>
      <c r="E93" s="94">
        <f>IF('FY20-21'!$S93&gt;0,'FY20-21'!E93/'FY20-21'!$S93*'Multi-Year'!$L93,0)+IF('FY20-21'!$S93&lt;0,'FY20-21'!E93/'FY20-21'!$S93*'Multi-Year'!$L93,0)</f>
        <v>1007.8610973110908</v>
      </c>
      <c r="F93" s="94">
        <f>IF('FY20-21'!$S93&gt;0,'FY20-21'!F93/'FY20-21'!$S93*'Multi-Year'!$L93,0)+IF('FY20-21'!$S93&lt;0,'FY20-21'!F93/'FY20-21'!$S93*'Multi-Year'!$L93,0)</f>
        <v>16923.383323834107</v>
      </c>
      <c r="G93" s="94">
        <f>IF('FY20-21'!$S93&gt;0,'FY20-21'!G93/'FY20-21'!$S93*'Multi-Year'!$L93,0)+IF('FY20-21'!$S93&lt;0,'FY20-21'!G93/'FY20-21'!$S93*'Multi-Year'!$L93,0)</f>
        <v>44383.380714507963</v>
      </c>
      <c r="H93" s="94">
        <f>IF('FY20-21'!$S93&gt;0,'FY20-21'!H93/'FY20-21'!$S93*'Multi-Year'!$L93,0)+IF('FY20-21'!$S93&lt;0,'FY20-21'!H93/'FY20-21'!$S93*'Multi-Year'!$L93,0)</f>
        <v>54537.265990291889</v>
      </c>
      <c r="I93" s="94">
        <f>IF('FY20-21'!$S93&gt;0,'FY20-21'!I93/'FY20-21'!$S93*'Multi-Year'!$L93,0)+IF('FY20-21'!$S93&lt;0,'FY20-21'!I93/'FY20-21'!$S93*'Multi-Year'!$L93,0)</f>
        <v>200408.95135222017</v>
      </c>
      <c r="J93" s="94">
        <f>IF('FY20-21'!$S93&gt;0,'FY20-21'!J93/'FY20-21'!$S93*'Multi-Year'!$L93,0)+IF('FY20-21'!$S93&lt;0,'FY20-21'!J93/'FY20-21'!$S93*'Multi-Year'!$L93,0)</f>
        <v>48600.840082686824</v>
      </c>
      <c r="K93" s="94">
        <f>IF('FY20-21'!$S93&gt;0,'FY20-21'!K93/'FY20-21'!$S93*'Multi-Year'!$L93,0)+IF('FY20-21'!$S93&lt;0,'FY20-21'!K93/'FY20-21'!$S93*'Multi-Year'!$L93,0)</f>
        <v>151391.19789746407</v>
      </c>
      <c r="L93" s="94">
        <f>IF('FY20-21'!$S93&gt;0,'FY20-21'!L93/'FY20-21'!$S93*'Multi-Year'!$L93,0)+IF('FY20-21'!$S93&lt;0,'FY20-21'!L93/'FY20-21'!$S93*'Multi-Year'!$L93,0)</f>
        <v>67415.994191729187</v>
      </c>
      <c r="M93" s="94">
        <f>IF('FY20-21'!$S93&gt;0,'FY20-21'!M93/'FY20-21'!$S93*'Multi-Year'!$L93,0)+IF('FY20-21'!$S93&lt;0,'FY20-21'!M93/'FY20-21'!$S93*'Multi-Year'!$L93,0)</f>
        <v>94711.756740207376</v>
      </c>
      <c r="N93" s="94">
        <f>IF('FY20-21'!$S93&gt;0,'FY20-21'!N93/'FY20-21'!$S93*'Multi-Year'!$L93,0)+IF('FY20-21'!$S93&lt;0,'FY20-21'!N93/'FY20-21'!$S93*'Multi-Year'!$L93,0)</f>
        <v>194654.41594582825</v>
      </c>
      <c r="O93" s="94">
        <f>IF('FY20-21'!$S93&gt;0,'FY20-21'!O93/'FY20-21'!$S93*'Multi-Year'!$L93,0)+IF('FY20-21'!$S93&lt;0,'FY20-21'!O93/'FY20-21'!$S93*'Multi-Year'!$L93,0)</f>
        <v>232854.77040055217</v>
      </c>
      <c r="P93" s="94">
        <f>IF('FY20-21'!$S93&gt;0,'FY20-21'!P93/'FY20-21'!$S93*'Multi-Year'!$L93,0)+IF('FY20-21'!$S93&lt;0,'FY20-21'!P93/'FY20-21'!$S93*'Multi-Year'!$L93,0)</f>
        <v>175729.08969755369</v>
      </c>
      <c r="Q93" s="606">
        <f>IF('FY20-21'!$S93&gt;0,'FY20-21'!Q93/'FY20-21'!$S93*'Multi-Year'!$L93,0)+IF('FY20-21'!$S93&lt;0,'FY20-21'!Q93/'FY20-21'!$S93*'Multi-Year'!$L93,0)</f>
        <v>0</v>
      </c>
      <c r="R93" s="94"/>
      <c r="S93" s="625">
        <f t="shared" si="31"/>
        <v>1282618.9074341867</v>
      </c>
      <c r="T93" s="94"/>
      <c r="U93" s="94">
        <f>'FY20-21'!S93</f>
        <v>1257469.5170923404</v>
      </c>
      <c r="V93" s="94">
        <f t="shared" si="32"/>
        <v>-25149.390341846272</v>
      </c>
    </row>
    <row r="94" spans="1:24" s="95" customFormat="1" ht="12" customHeight="1">
      <c r="A94" s="124"/>
      <c r="B94" s="124" t="s">
        <v>186</v>
      </c>
      <c r="C94" s="102">
        <v>5103</v>
      </c>
      <c r="D94" s="127" t="s">
        <v>87</v>
      </c>
      <c r="E94" s="94">
        <f>IF('FY20-21'!$S94&gt;0,'FY20-21'!E94/'FY20-21'!$S94*'Multi-Year'!$L94,0)+IF('FY20-21'!$S94&lt;0,'FY20-21'!E94/'FY20-21'!$S94*'Multi-Year'!$L94,0)</f>
        <v>0</v>
      </c>
      <c r="F94" s="94">
        <f>IF('FY20-21'!$S94&gt;0,'FY20-21'!F94/'FY20-21'!$S94*'Multi-Year'!$L94,0)+IF('FY20-21'!$S94&lt;0,'FY20-21'!F94/'FY20-21'!$S94*'Multi-Year'!$L94,0)</f>
        <v>0</v>
      </c>
      <c r="G94" s="94">
        <f>IF('FY20-21'!$S94&gt;0,'FY20-21'!G94/'FY20-21'!$S94*'Multi-Year'!$L94,0)+IF('FY20-21'!$S94&lt;0,'FY20-21'!G94/'FY20-21'!$S94*'Multi-Year'!$L94,0)</f>
        <v>0</v>
      </c>
      <c r="H94" s="94">
        <f>IF('FY20-21'!$S94&gt;0,'FY20-21'!H94/'FY20-21'!$S94*'Multi-Year'!$L94,0)+IF('FY20-21'!$S94&lt;0,'FY20-21'!H94/'FY20-21'!$S94*'Multi-Year'!$L94,0)</f>
        <v>0</v>
      </c>
      <c r="I94" s="94">
        <f>IF('FY20-21'!$S94&gt;0,'FY20-21'!I94/'FY20-21'!$S94*'Multi-Year'!$L94,0)+IF('FY20-21'!$S94&lt;0,'FY20-21'!I94/'FY20-21'!$S94*'Multi-Year'!$L94,0)</f>
        <v>0</v>
      </c>
      <c r="J94" s="94">
        <f>IF('FY20-21'!$S94&gt;0,'FY20-21'!J94/'FY20-21'!$S94*'Multi-Year'!$L94,0)+IF('FY20-21'!$S94&lt;0,'FY20-21'!J94/'FY20-21'!$S94*'Multi-Year'!$L94,0)</f>
        <v>0</v>
      </c>
      <c r="K94" s="94">
        <f>IF('FY20-21'!$S94&gt;0,'FY20-21'!K94/'FY20-21'!$S94*'Multi-Year'!$L94,0)+IF('FY20-21'!$S94&lt;0,'FY20-21'!K94/'FY20-21'!$S94*'Multi-Year'!$L94,0)</f>
        <v>0</v>
      </c>
      <c r="L94" s="94">
        <f>IF('FY20-21'!$S94&gt;0,'FY20-21'!L94/'FY20-21'!$S94*'Multi-Year'!$L94,0)+IF('FY20-21'!$S94&lt;0,'FY20-21'!L94/'FY20-21'!$S94*'Multi-Year'!$L94,0)</f>
        <v>0</v>
      </c>
      <c r="M94" s="94">
        <f>IF('FY20-21'!$S94&gt;0,'FY20-21'!M94/'FY20-21'!$S94*'Multi-Year'!$L94,0)+IF('FY20-21'!$S94&lt;0,'FY20-21'!M94/'FY20-21'!$S94*'Multi-Year'!$L94,0)</f>
        <v>0</v>
      </c>
      <c r="N94" s="94">
        <f>IF('FY20-21'!$S94&gt;0,'FY20-21'!N94/'FY20-21'!$S94*'Multi-Year'!$L94,0)+IF('FY20-21'!$S94&lt;0,'FY20-21'!N94/'FY20-21'!$S94*'Multi-Year'!$L94,0)</f>
        <v>0</v>
      </c>
      <c r="O94" s="94">
        <f>IF('FY20-21'!$S94&gt;0,'FY20-21'!O94/'FY20-21'!$S94*'Multi-Year'!$L94,0)+IF('FY20-21'!$S94&lt;0,'FY20-21'!O94/'FY20-21'!$S94*'Multi-Year'!$L94,0)</f>
        <v>0</v>
      </c>
      <c r="P94" s="94">
        <f>IF('FY20-21'!$S94&gt;0,'FY20-21'!P94/'FY20-21'!$S94*'Multi-Year'!$L94,0)+IF('FY20-21'!$S94&lt;0,'FY20-21'!P94/'FY20-21'!$S94*'Multi-Year'!$L94,0)</f>
        <v>0</v>
      </c>
      <c r="Q94" s="606">
        <f>IF('FY20-21'!$S94&gt;0,'FY20-21'!Q94/'FY20-21'!$S94*'Multi-Year'!$L94,0)+IF('FY20-21'!$S94&lt;0,'FY20-21'!Q94/'FY20-21'!$S94*'Multi-Year'!$L94,0)</f>
        <v>0</v>
      </c>
      <c r="R94" s="94"/>
      <c r="S94" s="625">
        <f t="shared" si="31"/>
        <v>0</v>
      </c>
      <c r="T94" s="94"/>
      <c r="U94" s="94">
        <f>'FY20-21'!S94</f>
        <v>0</v>
      </c>
      <c r="V94" s="94">
        <f t="shared" si="32"/>
        <v>0</v>
      </c>
    </row>
    <row r="95" spans="1:24" s="95" customFormat="1" ht="12" customHeight="1">
      <c r="A95" s="124"/>
      <c r="B95" s="124" t="s">
        <v>186</v>
      </c>
      <c r="C95" s="102">
        <v>5104</v>
      </c>
      <c r="D95" s="127" t="s">
        <v>88</v>
      </c>
      <c r="E95" s="94">
        <f>IF('FY20-21'!$S95&gt;0,'FY20-21'!E95/'FY20-21'!$S95*'Multi-Year'!$L95,0)+IF('FY20-21'!$S95&lt;0,'FY20-21'!E95/'FY20-21'!$S95*'Multi-Year'!$L95,0)</f>
        <v>0</v>
      </c>
      <c r="F95" s="94">
        <f>IF('FY20-21'!$S95&gt;0,'FY20-21'!F95/'FY20-21'!$S95*'Multi-Year'!$L95,0)+IF('FY20-21'!$S95&lt;0,'FY20-21'!F95/'FY20-21'!$S95*'Multi-Year'!$L95,0)</f>
        <v>0</v>
      </c>
      <c r="G95" s="94">
        <f>IF('FY20-21'!$S95&gt;0,'FY20-21'!G95/'FY20-21'!$S95*'Multi-Year'!$L95,0)+IF('FY20-21'!$S95&lt;0,'FY20-21'!G95/'FY20-21'!$S95*'Multi-Year'!$L95,0)</f>
        <v>0</v>
      </c>
      <c r="H95" s="94">
        <f>IF('FY20-21'!$S95&gt;0,'FY20-21'!H95/'FY20-21'!$S95*'Multi-Year'!$L95,0)+IF('FY20-21'!$S95&lt;0,'FY20-21'!H95/'FY20-21'!$S95*'Multi-Year'!$L95,0)</f>
        <v>0</v>
      </c>
      <c r="I95" s="94">
        <f>IF('FY20-21'!$S95&gt;0,'FY20-21'!I95/'FY20-21'!$S95*'Multi-Year'!$L95,0)+IF('FY20-21'!$S95&lt;0,'FY20-21'!I95/'FY20-21'!$S95*'Multi-Year'!$L95,0)</f>
        <v>0</v>
      </c>
      <c r="J95" s="94">
        <f>IF('FY20-21'!$S95&gt;0,'FY20-21'!J95/'FY20-21'!$S95*'Multi-Year'!$L95,0)+IF('FY20-21'!$S95&lt;0,'FY20-21'!J95/'FY20-21'!$S95*'Multi-Year'!$L95,0)</f>
        <v>0</v>
      </c>
      <c r="K95" s="94">
        <f>IF('FY20-21'!$S95&gt;0,'FY20-21'!K95/'FY20-21'!$S95*'Multi-Year'!$L95,0)+IF('FY20-21'!$S95&lt;0,'FY20-21'!K95/'FY20-21'!$S95*'Multi-Year'!$L95,0)</f>
        <v>0</v>
      </c>
      <c r="L95" s="94">
        <f>IF('FY20-21'!$S95&gt;0,'FY20-21'!L95/'FY20-21'!$S95*'Multi-Year'!$L95,0)+IF('FY20-21'!$S95&lt;0,'FY20-21'!L95/'FY20-21'!$S95*'Multi-Year'!$L95,0)</f>
        <v>0</v>
      </c>
      <c r="M95" s="94">
        <f>IF('FY20-21'!$S95&gt;0,'FY20-21'!M95/'FY20-21'!$S95*'Multi-Year'!$L95,0)+IF('FY20-21'!$S95&lt;0,'FY20-21'!M95/'FY20-21'!$S95*'Multi-Year'!$L95,0)</f>
        <v>0</v>
      </c>
      <c r="N95" s="94">
        <f>IF('FY20-21'!$S95&gt;0,'FY20-21'!N95/'FY20-21'!$S95*'Multi-Year'!$L95,0)+IF('FY20-21'!$S95&lt;0,'FY20-21'!N95/'FY20-21'!$S95*'Multi-Year'!$L95,0)</f>
        <v>0</v>
      </c>
      <c r="O95" s="94">
        <f>IF('FY20-21'!$S95&gt;0,'FY20-21'!O95/'FY20-21'!$S95*'Multi-Year'!$L95,0)+IF('FY20-21'!$S95&lt;0,'FY20-21'!O95/'FY20-21'!$S95*'Multi-Year'!$L95,0)</f>
        <v>0</v>
      </c>
      <c r="P95" s="94">
        <f>IF('FY20-21'!$S95&gt;0,'FY20-21'!P95/'FY20-21'!$S95*'Multi-Year'!$L95,0)+IF('FY20-21'!$S95&lt;0,'FY20-21'!P95/'FY20-21'!$S95*'Multi-Year'!$L95,0)</f>
        <v>0</v>
      </c>
      <c r="Q95" s="606">
        <f>IF('FY20-21'!$S95&gt;0,'FY20-21'!Q95/'FY20-21'!$S95*'Multi-Year'!$L95,0)+IF('FY20-21'!$S95&lt;0,'FY20-21'!Q95/'FY20-21'!$S95*'Multi-Year'!$L95,0)</f>
        <v>0</v>
      </c>
      <c r="R95" s="94"/>
      <c r="S95" s="625">
        <f t="shared" si="31"/>
        <v>0</v>
      </c>
      <c r="T95" s="94"/>
      <c r="U95" s="94">
        <f>'FY20-21'!S95</f>
        <v>0</v>
      </c>
      <c r="V95" s="94">
        <f t="shared" si="32"/>
        <v>0</v>
      </c>
    </row>
    <row r="96" spans="1:24" s="95" customFormat="1" ht="12" customHeight="1">
      <c r="A96" s="124"/>
      <c r="B96" s="124" t="s">
        <v>186</v>
      </c>
      <c r="C96" s="102">
        <v>5105</v>
      </c>
      <c r="D96" s="127" t="s">
        <v>89</v>
      </c>
      <c r="E96" s="94">
        <f>IF('FY20-21'!$S96&gt;0,'FY20-21'!E96/'FY20-21'!$S96*'Multi-Year'!$L96,0)+IF('FY20-21'!$S96&lt;0,'FY20-21'!E96/'FY20-21'!$S96*'Multi-Year'!$L96,0)</f>
        <v>0</v>
      </c>
      <c r="F96" s="94">
        <f>IF('FY20-21'!$S96&gt;0,'FY20-21'!F96/'FY20-21'!$S96*'Multi-Year'!$L96,0)+IF('FY20-21'!$S96&lt;0,'FY20-21'!F96/'FY20-21'!$S96*'Multi-Year'!$L96,0)</f>
        <v>59.944476956995047</v>
      </c>
      <c r="G96" s="94">
        <f>IF('FY20-21'!$S96&gt;0,'FY20-21'!G96/'FY20-21'!$S96*'Multi-Year'!$L96,0)+IF('FY20-21'!$S96&lt;0,'FY20-21'!G96/'FY20-21'!$S96*'Multi-Year'!$L96,0)</f>
        <v>59.944476956995047</v>
      </c>
      <c r="H96" s="94">
        <f>IF('FY20-21'!$S96&gt;0,'FY20-21'!H96/'FY20-21'!$S96*'Multi-Year'!$L96,0)+IF('FY20-21'!$S96&lt;0,'FY20-21'!H96/'FY20-21'!$S96*'Multi-Year'!$L96,0)</f>
        <v>0</v>
      </c>
      <c r="I96" s="94">
        <f>IF('FY20-21'!$S96&gt;0,'FY20-21'!I96/'FY20-21'!$S96*'Multi-Year'!$L96,0)+IF('FY20-21'!$S96&lt;0,'FY20-21'!I96/'FY20-21'!$S96*'Multi-Year'!$L96,0)</f>
        <v>0</v>
      </c>
      <c r="J96" s="94">
        <f>IF('FY20-21'!$S96&gt;0,'FY20-21'!J96/'FY20-21'!$S96*'Multi-Year'!$L96,0)+IF('FY20-21'!$S96&lt;0,'FY20-21'!J96/'FY20-21'!$S96*'Multi-Year'!$L96,0)</f>
        <v>0</v>
      </c>
      <c r="K96" s="94">
        <f>IF('FY20-21'!$S96&gt;0,'FY20-21'!K96/'FY20-21'!$S96*'Multi-Year'!$L96,0)+IF('FY20-21'!$S96&lt;0,'FY20-21'!K96/'FY20-21'!$S96*'Multi-Year'!$L96,0)</f>
        <v>59.944476956995047</v>
      </c>
      <c r="L96" s="94">
        <f>IF('FY20-21'!$S96&gt;0,'FY20-21'!L96/'FY20-21'!$S96*'Multi-Year'!$L96,0)+IF('FY20-21'!$S96&lt;0,'FY20-21'!L96/'FY20-21'!$S96*'Multi-Year'!$L96,0)</f>
        <v>0</v>
      </c>
      <c r="M96" s="94">
        <f>IF('FY20-21'!$S96&gt;0,'FY20-21'!M96/'FY20-21'!$S96*'Multi-Year'!$L96,0)+IF('FY20-21'!$S96&lt;0,'FY20-21'!M96/'FY20-21'!$S96*'Multi-Year'!$L96,0)</f>
        <v>0</v>
      </c>
      <c r="N96" s="94">
        <f>IF('FY20-21'!$S96&gt;0,'FY20-21'!N96/'FY20-21'!$S96*'Multi-Year'!$L96,0)+IF('FY20-21'!$S96&lt;0,'FY20-21'!N96/'FY20-21'!$S96*'Multi-Year'!$L96,0)</f>
        <v>0</v>
      </c>
      <c r="O96" s="94">
        <f>IF('FY20-21'!$S96&gt;0,'FY20-21'!O96/'FY20-21'!$S96*'Multi-Year'!$L96,0)+IF('FY20-21'!$S96&lt;0,'FY20-21'!O96/'FY20-21'!$S96*'Multi-Year'!$L96,0)</f>
        <v>0</v>
      </c>
      <c r="P96" s="94">
        <f>IF('FY20-21'!$S96&gt;0,'FY20-21'!P96/'FY20-21'!$S96*'Multi-Year'!$L96,0)+IF('FY20-21'!$S96&lt;0,'FY20-21'!P96/'FY20-21'!$S96*'Multi-Year'!$L96,0)</f>
        <v>0</v>
      </c>
      <c r="Q96" s="606">
        <f>IF('FY20-21'!$S96&gt;0,'FY20-21'!Q96/'FY20-21'!$S96*'Multi-Year'!$L96,0)+IF('FY20-21'!$S96&lt;0,'FY20-21'!Q96/'FY20-21'!$S96*'Multi-Year'!$L96,0)</f>
        <v>0</v>
      </c>
      <c r="R96" s="94"/>
      <c r="S96" s="625">
        <f t="shared" ref="S96:S97" si="33">SUM(E96:Q96)</f>
        <v>179.83343087098513</v>
      </c>
      <c r="T96" s="94"/>
      <c r="U96" s="94">
        <f>'FY20-21'!S96</f>
        <v>176.30728516763253</v>
      </c>
      <c r="V96" s="94">
        <f t="shared" ref="V96:V97" si="34">U96-S96</f>
        <v>-3.5261457033525971</v>
      </c>
    </row>
    <row r="97" spans="1:22" s="95" customFormat="1" ht="12" customHeight="1">
      <c r="A97" s="124"/>
      <c r="B97" s="124" t="s">
        <v>186</v>
      </c>
      <c r="C97" s="102">
        <v>5106</v>
      </c>
      <c r="D97" s="127" t="s">
        <v>169</v>
      </c>
      <c r="E97" s="94">
        <f>IF('FY20-21'!$S97&gt;0,'FY20-21'!E97/'FY20-21'!$S97*'Multi-Year'!$L97,0)+IF('FY20-21'!$S97&lt;0,'FY20-21'!E97/'FY20-21'!$S97*'Multi-Year'!$L97,0)</f>
        <v>43237.726915379913</v>
      </c>
      <c r="F97" s="94">
        <f>IF('FY20-21'!$S97&gt;0,'FY20-21'!F97/'FY20-21'!$S97*'Multi-Year'!$L97,0)+IF('FY20-21'!$S97&lt;0,'FY20-21'!F97/'FY20-21'!$S97*'Multi-Year'!$L97,0)</f>
        <v>52358.776812713237</v>
      </c>
      <c r="G97" s="94">
        <f>IF('FY20-21'!$S97&gt;0,'FY20-21'!G97/'FY20-21'!$S97*'Multi-Year'!$L97,0)+IF('FY20-21'!$S97&lt;0,'FY20-21'!G97/'FY20-21'!$S97*'Multi-Year'!$L97,0)</f>
        <v>94793.160905759491</v>
      </c>
      <c r="H97" s="94">
        <f>IF('FY20-21'!$S97&gt;0,'FY20-21'!H97/'FY20-21'!$S97*'Multi-Year'!$L97,0)+IF('FY20-21'!$S97&lt;0,'FY20-21'!H97/'FY20-21'!$S97*'Multi-Year'!$L97,0)</f>
        <v>423266.92842668964</v>
      </c>
      <c r="I97" s="94">
        <f>IF('FY20-21'!$S97&gt;0,'FY20-21'!I97/'FY20-21'!$S97*'Multi-Year'!$L97,0)+IF('FY20-21'!$S97&lt;0,'FY20-21'!I97/'FY20-21'!$S97*'Multi-Year'!$L97,0)</f>
        <v>239465.29515818664</v>
      </c>
      <c r="J97" s="94">
        <f>IF('FY20-21'!$S97&gt;0,'FY20-21'!J97/'FY20-21'!$S97*'Multi-Year'!$L97,0)+IF('FY20-21'!$S97&lt;0,'FY20-21'!J97/'FY20-21'!$S97*'Multi-Year'!$L97,0)</f>
        <v>337006.01979669579</v>
      </c>
      <c r="K97" s="94">
        <f>IF('FY20-21'!$S97&gt;0,'FY20-21'!K97/'FY20-21'!$S97*'Multi-Year'!$L97,0)+IF('FY20-21'!$S97&lt;0,'FY20-21'!K97/'FY20-21'!$S97*'Multi-Year'!$L97,0)</f>
        <v>425603.47089840047</v>
      </c>
      <c r="L97" s="94">
        <f>IF('FY20-21'!$S97&gt;0,'FY20-21'!L97/'FY20-21'!$S97*'Multi-Year'!$L97,0)+IF('FY20-21'!$S97&lt;0,'FY20-21'!L97/'FY20-21'!$S97*'Multi-Year'!$L97,0)</f>
        <v>354888.30801110395</v>
      </c>
      <c r="M97" s="94">
        <f>IF('FY20-21'!$S97&gt;0,'FY20-21'!M97/'FY20-21'!$S97*'Multi-Year'!$L97,0)+IF('FY20-21'!$S97&lt;0,'FY20-21'!M97/'FY20-21'!$S97*'Multi-Year'!$L97,0)</f>
        <v>337073.05548096314</v>
      </c>
      <c r="N97" s="94">
        <f>IF('FY20-21'!$S97&gt;0,'FY20-21'!N97/'FY20-21'!$S97*'Multi-Year'!$L97,0)+IF('FY20-21'!$S97&lt;0,'FY20-21'!N97/'FY20-21'!$S97*'Multi-Year'!$L97,0)</f>
        <v>262253.67546467792</v>
      </c>
      <c r="O97" s="94">
        <f>IF('FY20-21'!$S97&gt;0,'FY20-21'!O97/'FY20-21'!$S97*'Multi-Year'!$L97,0)+IF('FY20-21'!$S97&lt;0,'FY20-21'!O97/'FY20-21'!$S97*'Multi-Year'!$L97,0)</f>
        <v>203903.29364141147</v>
      </c>
      <c r="P97" s="94">
        <f>IF('FY20-21'!$S97&gt;0,'FY20-21'!P97/'FY20-21'!$S97*'Multi-Year'!$L97,0)+IF('FY20-21'!$S97&lt;0,'FY20-21'!P97/'FY20-21'!$S97*'Multi-Year'!$L97,0)</f>
        <v>1015470.2315180156</v>
      </c>
      <c r="Q97" s="606">
        <f>IF('FY20-21'!$S97&gt;0,'FY20-21'!Q97/'FY20-21'!$S97*'Multi-Year'!$L97,0)+IF('FY20-21'!$S97&lt;0,'FY20-21'!Q97/'FY20-21'!$S97*'Multi-Year'!$L97,0)</f>
        <v>0</v>
      </c>
      <c r="R97" s="94"/>
      <c r="S97" s="625">
        <f t="shared" si="33"/>
        <v>3789319.9430299974</v>
      </c>
      <c r="T97" s="94"/>
      <c r="U97" s="94">
        <f>'FY20-21'!S97</f>
        <v>3715019.5519901919</v>
      </c>
      <c r="V97" s="94">
        <f t="shared" si="34"/>
        <v>-74300.391039805487</v>
      </c>
    </row>
    <row r="98" spans="1:22" s="95" customFormat="1" ht="12" customHeight="1">
      <c r="A98" s="124"/>
      <c r="B98" s="124" t="s">
        <v>186</v>
      </c>
      <c r="C98" s="102">
        <v>5107</v>
      </c>
      <c r="D98" s="127" t="s">
        <v>549</v>
      </c>
      <c r="E98" s="94">
        <f>IF('FY20-21'!$S98&gt;0,'FY20-21'!E98/'FY20-21'!$S98*'Multi-Year'!$L98,0)+IF('FY20-21'!$S98&lt;0,'FY20-21'!E98/'FY20-21'!$S98*'Multi-Year'!$L98,0)</f>
        <v>289237.90250102273</v>
      </c>
      <c r="F98" s="94">
        <f>IF('FY20-21'!$S98&gt;0,'FY20-21'!F98/'FY20-21'!$S98*'Multi-Year'!$L98,0)+IF('FY20-21'!$S98&lt;0,'FY20-21'!F98/'FY20-21'!$S98*'Multi-Year'!$L98,0)</f>
        <v>289237.90250102273</v>
      </c>
      <c r="G98" s="94">
        <f>IF('FY20-21'!$S98&gt;0,'FY20-21'!G98/'FY20-21'!$S98*'Multi-Year'!$L98,0)+IF('FY20-21'!$S98&lt;0,'FY20-21'!G98/'FY20-21'!$S98*'Multi-Year'!$L98,0)</f>
        <v>289237.90250102273</v>
      </c>
      <c r="H98" s="94">
        <f>IF('FY20-21'!$S98&gt;0,'FY20-21'!H98/'FY20-21'!$S98*'Multi-Year'!$L98,0)+IF('FY20-21'!$S98&lt;0,'FY20-21'!H98/'FY20-21'!$S98*'Multi-Year'!$L98,0)</f>
        <v>289237.90250102273</v>
      </c>
      <c r="I98" s="94">
        <f>IF('FY20-21'!$S98&gt;0,'FY20-21'!I98/'FY20-21'!$S98*'Multi-Year'!$L98,0)+IF('FY20-21'!$S98&lt;0,'FY20-21'!I98/'FY20-21'!$S98*'Multi-Year'!$L98,0)</f>
        <v>289237.90250102273</v>
      </c>
      <c r="J98" s="94">
        <f>IF('FY20-21'!$S98&gt;0,'FY20-21'!J98/'FY20-21'!$S98*'Multi-Year'!$L98,0)+IF('FY20-21'!$S98&lt;0,'FY20-21'!J98/'FY20-21'!$S98*'Multi-Year'!$L98,0)</f>
        <v>289237.90250102273</v>
      </c>
      <c r="K98" s="94">
        <f>IF('FY20-21'!$S98&gt;0,'FY20-21'!K98/'FY20-21'!$S98*'Multi-Year'!$L98,0)+IF('FY20-21'!$S98&lt;0,'FY20-21'!K98/'FY20-21'!$S98*'Multi-Year'!$L98,0)</f>
        <v>289237.90250102273</v>
      </c>
      <c r="L98" s="94">
        <f>IF('FY20-21'!$S98&gt;0,'FY20-21'!L98/'FY20-21'!$S98*'Multi-Year'!$L98,0)+IF('FY20-21'!$S98&lt;0,'FY20-21'!L98/'FY20-21'!$S98*'Multi-Year'!$L98,0)</f>
        <v>289237.90250102273</v>
      </c>
      <c r="M98" s="94">
        <f>IF('FY20-21'!$S98&gt;0,'FY20-21'!M98/'FY20-21'!$S98*'Multi-Year'!$L98,0)+IF('FY20-21'!$S98&lt;0,'FY20-21'!M98/'FY20-21'!$S98*'Multi-Year'!$L98,0)</f>
        <v>289237.90250102273</v>
      </c>
      <c r="N98" s="94">
        <f>IF('FY20-21'!$S98&gt;0,'FY20-21'!N98/'FY20-21'!$S98*'Multi-Year'!$L98,0)+IF('FY20-21'!$S98&lt;0,'FY20-21'!N98/'FY20-21'!$S98*'Multi-Year'!$L98,0)</f>
        <v>289237.90250102273</v>
      </c>
      <c r="O98" s="94">
        <f>IF('FY20-21'!$S98&gt;0,'FY20-21'!O98/'FY20-21'!$S98*'Multi-Year'!$L98,0)+IF('FY20-21'!$S98&lt;0,'FY20-21'!O98/'FY20-21'!$S98*'Multi-Year'!$L98,0)</f>
        <v>289237.90250102273</v>
      </c>
      <c r="P98" s="94">
        <f>IF('FY20-21'!$S98&gt;0,'FY20-21'!P98/'FY20-21'!$S98*'Multi-Year'!$L98,0)+IF('FY20-21'!$S98&lt;0,'FY20-21'!P98/'FY20-21'!$S98*'Multi-Year'!$L98,0)</f>
        <v>289237.90250102273</v>
      </c>
      <c r="Q98" s="606">
        <f>IF('FY20-21'!$S98&gt;0,'FY20-21'!Q98/'FY20-21'!$S98*'Multi-Year'!$L98,0)+IF('FY20-21'!$S98&lt;0,'FY20-21'!Q98/'FY20-21'!$S98*'Multi-Year'!$L98,0)</f>
        <v>0</v>
      </c>
      <c r="R98" s="94"/>
      <c r="S98" s="625">
        <f t="shared" ref="S98" si="35">SUM(E98:Q98)</f>
        <v>3470854.8300122735</v>
      </c>
      <c r="T98" s="94"/>
      <c r="U98" s="94">
        <f>'FY20-21'!S98</f>
        <v>3379338.025542079</v>
      </c>
      <c r="V98" s="94">
        <f t="shared" ref="V98" si="36">U98-S98</f>
        <v>-91516.804470194504</v>
      </c>
    </row>
    <row r="99" spans="1:22" s="95" customFormat="1" ht="12" customHeight="1">
      <c r="A99" s="124"/>
      <c r="B99" s="124" t="s">
        <v>186</v>
      </c>
      <c r="C99" s="126"/>
      <c r="D99" s="126"/>
      <c r="E99" s="215">
        <f>SUM(E92:E98)</f>
        <v>333483.49051371374</v>
      </c>
      <c r="F99" s="215">
        <f t="shared" ref="F99:Q99" si="37">SUM(F92:F98)</f>
        <v>358580.00711452705</v>
      </c>
      <c r="G99" s="215">
        <f t="shared" si="37"/>
        <v>428474.3885982472</v>
      </c>
      <c r="H99" s="215">
        <f t="shared" si="37"/>
        <v>767042.09691800433</v>
      </c>
      <c r="I99" s="215">
        <f t="shared" si="37"/>
        <v>729112.14901142963</v>
      </c>
      <c r="J99" s="215">
        <f t="shared" si="37"/>
        <v>674844.76238040533</v>
      </c>
      <c r="K99" s="215">
        <f t="shared" si="37"/>
        <v>866292.51577384421</v>
      </c>
      <c r="L99" s="215">
        <f t="shared" si="37"/>
        <v>711542.20470385579</v>
      </c>
      <c r="M99" s="215">
        <f t="shared" si="37"/>
        <v>721022.71472219331</v>
      </c>
      <c r="N99" s="215">
        <f t="shared" si="37"/>
        <v>746145.99391152896</v>
      </c>
      <c r="O99" s="215">
        <f t="shared" si="37"/>
        <v>725995.96654298645</v>
      </c>
      <c r="P99" s="215">
        <f t="shared" si="37"/>
        <v>1480437.223716592</v>
      </c>
      <c r="Q99" s="603">
        <f t="shared" si="37"/>
        <v>0</v>
      </c>
      <c r="R99" s="94"/>
      <c r="S99" s="626">
        <f>SUM(E99:R99)</f>
        <v>8542973.5139073282</v>
      </c>
      <c r="T99" s="113">
        <f>SUM(T92:T98)</f>
        <v>0</v>
      </c>
      <c r="U99" s="216">
        <f>SUM(U92:U98)</f>
        <v>8352003.4019097798</v>
      </c>
      <c r="V99" s="216">
        <f>SUM(V92:V98)</f>
        <v>-190970.1119975496</v>
      </c>
    </row>
    <row r="100" spans="1:22" s="95" customFormat="1" ht="12" customHeight="1">
      <c r="A100" s="124"/>
      <c r="B100" s="124" t="s">
        <v>286</v>
      </c>
      <c r="C100" s="126"/>
      <c r="D100" s="126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606"/>
      <c r="R100" s="94"/>
      <c r="S100" s="627"/>
      <c r="T100" s="94"/>
      <c r="U100" s="94"/>
      <c r="V100" s="94"/>
    </row>
    <row r="101" spans="1:22" s="95" customFormat="1" ht="12" customHeight="1">
      <c r="A101" s="124"/>
      <c r="B101" s="124" t="s">
        <v>186</v>
      </c>
      <c r="C101" s="102">
        <v>5201</v>
      </c>
      <c r="D101" s="127" t="s">
        <v>144</v>
      </c>
      <c r="E101" s="94">
        <f>IF('FY20-21'!$S101&gt;0,'FY20-21'!E101/'FY20-21'!$S101*'Multi-Year'!$L101,0)+IF('FY20-21'!$S101&lt;0,'FY20-21'!E101/'FY20-21'!$S101*'Multi-Year'!$L101,0)</f>
        <v>0</v>
      </c>
      <c r="F101" s="94">
        <f>IF('FY20-21'!$S101&gt;0,'FY20-21'!F101/'FY20-21'!$S101*'Multi-Year'!$L101,0)+IF('FY20-21'!$S101&lt;0,'FY20-21'!F101/'FY20-21'!$S101*'Multi-Year'!$L101,0)</f>
        <v>543.56274811288631</v>
      </c>
      <c r="G101" s="94">
        <f>IF('FY20-21'!$S101&gt;0,'FY20-21'!G101/'FY20-21'!$S101*'Multi-Year'!$L101,0)+IF('FY20-21'!$S101&lt;0,'FY20-21'!G101/'FY20-21'!$S101*'Multi-Year'!$L101,0)</f>
        <v>160.67890150362666</v>
      </c>
      <c r="H101" s="94">
        <f>IF('FY20-21'!$S101&gt;0,'FY20-21'!H101/'FY20-21'!$S101*'Multi-Year'!$L101,0)+IF('FY20-21'!$S101&lt;0,'FY20-21'!H101/'FY20-21'!$S101*'Multi-Year'!$L101,0)</f>
        <v>0</v>
      </c>
      <c r="I101" s="94">
        <f>IF('FY20-21'!$S101&gt;0,'FY20-21'!I101/'FY20-21'!$S101*'Multi-Year'!$L101,0)+IF('FY20-21'!$S101&lt;0,'FY20-21'!I101/'FY20-21'!$S101*'Multi-Year'!$L101,0)</f>
        <v>5078.8549897176335</v>
      </c>
      <c r="J101" s="94">
        <f>IF('FY20-21'!$S101&gt;0,'FY20-21'!J101/'FY20-21'!$S101*'Multi-Year'!$L101,0)+IF('FY20-21'!$S101&lt;0,'FY20-21'!J101/'FY20-21'!$S101*'Multi-Year'!$L101,0)</f>
        <v>-224.86156358777606</v>
      </c>
      <c r="K101" s="94">
        <f>IF('FY20-21'!$S101&gt;0,'FY20-21'!K101/'FY20-21'!$S101*'Multi-Year'!$L101,0)+IF('FY20-21'!$S101&lt;0,'FY20-21'!K101/'FY20-21'!$S101*'Multi-Year'!$L101,0)</f>
        <v>639.79022457308065</v>
      </c>
      <c r="L101" s="94">
        <f>IF('FY20-21'!$S101&gt;0,'FY20-21'!L101/'FY20-21'!$S101*'Multi-Year'!$L101,0)+IF('FY20-21'!$S101&lt;0,'FY20-21'!L101/'FY20-21'!$S101*'Multi-Year'!$L101,0)</f>
        <v>1333.6328150727225</v>
      </c>
      <c r="M101" s="94">
        <f>IF('FY20-21'!$S101&gt;0,'FY20-21'!M101/'FY20-21'!$S101*'Multi-Year'!$L101,0)+IF('FY20-21'!$S101&lt;0,'FY20-21'!M101/'FY20-21'!$S101*'Multi-Year'!$L101,0)</f>
        <v>1959.7057916854767</v>
      </c>
      <c r="N101" s="94">
        <f>IF('FY20-21'!$S101&gt;0,'FY20-21'!N101/'FY20-21'!$S101*'Multi-Year'!$L101,0)+IF('FY20-21'!$S101&lt;0,'FY20-21'!N101/'FY20-21'!$S101*'Multi-Year'!$L101,0)</f>
        <v>0</v>
      </c>
      <c r="O101" s="94">
        <f>IF('FY20-21'!$S101&gt;0,'FY20-21'!O101/'FY20-21'!$S101*'Multi-Year'!$L101,0)+IF('FY20-21'!$S101&lt;0,'FY20-21'!O101/'FY20-21'!$S101*'Multi-Year'!$L101,0)</f>
        <v>0</v>
      </c>
      <c r="P101" s="94">
        <f>IF('FY20-21'!$S101&gt;0,'FY20-21'!P101/'FY20-21'!$S101*'Multi-Year'!$L101,0)+IF('FY20-21'!$S101&lt;0,'FY20-21'!P101/'FY20-21'!$S101*'Multi-Year'!$L101,0)</f>
        <v>10636.810965467825</v>
      </c>
      <c r="Q101" s="606">
        <f>IF('FY20-21'!$S101&gt;0,'FY20-21'!Q101/'FY20-21'!$S101*'Multi-Year'!$L101,0)+IF('FY20-21'!$S101&lt;0,'FY20-21'!Q101/'FY20-21'!$S101*'Multi-Year'!$L101,0)</f>
        <v>0</v>
      </c>
      <c r="R101" s="94"/>
      <c r="S101" s="625">
        <f t="shared" ref="S101:S108" si="38">SUM(E101:Q101)</f>
        <v>20128.174872545474</v>
      </c>
      <c r="T101" s="94"/>
      <c r="U101" s="94">
        <f>'FY20-21'!S101</f>
        <v>19733.504777005368</v>
      </c>
      <c r="V101" s="94">
        <f t="shared" ref="V101:V108" si="39">U101-S101</f>
        <v>-394.67009554010656</v>
      </c>
    </row>
    <row r="102" spans="1:22" s="95" customFormat="1" ht="12" customHeight="1">
      <c r="A102" s="124"/>
      <c r="B102" s="124" t="s">
        <v>186</v>
      </c>
      <c r="C102" s="102">
        <v>5300</v>
      </c>
      <c r="D102" s="127" t="s">
        <v>37</v>
      </c>
      <c r="E102" s="94">
        <f>IF('FY20-21'!$S102&gt;0,'FY20-21'!E102/'FY20-21'!$S102*'Multi-Year'!$L102,0)+IF('FY20-21'!$S102&lt;0,'FY20-21'!E102/'FY20-21'!$S102*'Multi-Year'!$L102,0)</f>
        <v>0</v>
      </c>
      <c r="F102" s="94">
        <f>IF('FY20-21'!$S102&gt;0,'FY20-21'!F102/'FY20-21'!$S102*'Multi-Year'!$L102,0)+IF('FY20-21'!$S102&lt;0,'FY20-21'!F102/'FY20-21'!$S102*'Multi-Year'!$L102,0)</f>
        <v>0</v>
      </c>
      <c r="G102" s="94">
        <f>IF('FY20-21'!$S102&gt;0,'FY20-21'!G102/'FY20-21'!$S102*'Multi-Year'!$L102,0)+IF('FY20-21'!$S102&lt;0,'FY20-21'!G102/'FY20-21'!$S102*'Multi-Year'!$L102,0)</f>
        <v>0</v>
      </c>
      <c r="H102" s="94">
        <f>IF('FY20-21'!$S102&gt;0,'FY20-21'!H102/'FY20-21'!$S102*'Multi-Year'!$L102,0)+IF('FY20-21'!$S102&lt;0,'FY20-21'!H102/'FY20-21'!$S102*'Multi-Year'!$L102,0)</f>
        <v>0</v>
      </c>
      <c r="I102" s="94">
        <f>IF('FY20-21'!$S102&gt;0,'FY20-21'!I102/'FY20-21'!$S102*'Multi-Year'!$L102,0)+IF('FY20-21'!$S102&lt;0,'FY20-21'!I102/'FY20-21'!$S102*'Multi-Year'!$L102,0)</f>
        <v>0</v>
      </c>
      <c r="J102" s="94">
        <f>IF('FY20-21'!$S102&gt;0,'FY20-21'!J102/'FY20-21'!$S102*'Multi-Year'!$L102,0)+IF('FY20-21'!$S102&lt;0,'FY20-21'!J102/'FY20-21'!$S102*'Multi-Year'!$L102,0)</f>
        <v>0</v>
      </c>
      <c r="K102" s="94">
        <f>IF('FY20-21'!$S102&gt;0,'FY20-21'!K102/'FY20-21'!$S102*'Multi-Year'!$L102,0)+IF('FY20-21'!$S102&lt;0,'FY20-21'!K102/'FY20-21'!$S102*'Multi-Year'!$L102,0)</f>
        <v>0</v>
      </c>
      <c r="L102" s="94">
        <f>IF('FY20-21'!$S102&gt;0,'FY20-21'!L102/'FY20-21'!$S102*'Multi-Year'!$L102,0)+IF('FY20-21'!$S102&lt;0,'FY20-21'!L102/'FY20-21'!$S102*'Multi-Year'!$L102,0)</f>
        <v>0</v>
      </c>
      <c r="M102" s="94">
        <f>IF('FY20-21'!$S102&gt;0,'FY20-21'!M102/'FY20-21'!$S102*'Multi-Year'!$L102,0)+IF('FY20-21'!$S102&lt;0,'FY20-21'!M102/'FY20-21'!$S102*'Multi-Year'!$L102,0)</f>
        <v>0</v>
      </c>
      <c r="N102" s="94">
        <f>IF('FY20-21'!$S102&gt;0,'FY20-21'!N102/'FY20-21'!$S102*'Multi-Year'!$L102,0)+IF('FY20-21'!$S102&lt;0,'FY20-21'!N102/'FY20-21'!$S102*'Multi-Year'!$L102,0)</f>
        <v>0</v>
      </c>
      <c r="O102" s="94">
        <f>IF('FY20-21'!$S102&gt;0,'FY20-21'!O102/'FY20-21'!$S102*'Multi-Year'!$L102,0)+IF('FY20-21'!$S102&lt;0,'FY20-21'!O102/'FY20-21'!$S102*'Multi-Year'!$L102,0)</f>
        <v>0</v>
      </c>
      <c r="P102" s="94">
        <f>IF('FY20-21'!$S102&gt;0,'FY20-21'!P102/'FY20-21'!$S102*'Multi-Year'!$L102,0)+IF('FY20-21'!$S102&lt;0,'FY20-21'!P102/'FY20-21'!$S102*'Multi-Year'!$L102,0)</f>
        <v>0</v>
      </c>
      <c r="Q102" s="606">
        <f>IF('FY20-21'!$S102&gt;0,'FY20-21'!Q102/'FY20-21'!$S102*'Multi-Year'!$L102,0)+IF('FY20-21'!$S102&lt;0,'FY20-21'!Q102/'FY20-21'!$S102*'Multi-Year'!$L102,0)</f>
        <v>0</v>
      </c>
      <c r="R102" s="94"/>
      <c r="S102" s="625">
        <f t="shared" si="38"/>
        <v>0</v>
      </c>
      <c r="T102" s="94"/>
      <c r="U102" s="94">
        <f>'FY20-21'!S102</f>
        <v>0</v>
      </c>
      <c r="V102" s="94">
        <f t="shared" si="39"/>
        <v>0</v>
      </c>
    </row>
    <row r="103" spans="1:22" s="95" customFormat="1" ht="12" customHeight="1">
      <c r="A103" s="124"/>
      <c r="B103" s="124" t="s">
        <v>186</v>
      </c>
      <c r="C103" s="102">
        <v>5400</v>
      </c>
      <c r="D103" s="127" t="s">
        <v>38</v>
      </c>
      <c r="E103" s="94">
        <f>IF('FY20-21'!$S103&gt;0,'FY20-21'!E103/'FY20-21'!$S103*'Multi-Year'!$L103,0)+IF('FY20-21'!$S103&lt;0,'FY20-21'!E103/'FY20-21'!$S103*'Multi-Year'!$L103,0)</f>
        <v>0</v>
      </c>
      <c r="F103" s="94">
        <f>IF('FY20-21'!$S103&gt;0,'FY20-21'!F103/'FY20-21'!$S103*'Multi-Year'!$L103,0)+IF('FY20-21'!$S103&lt;0,'FY20-21'!F103/'FY20-21'!$S103*'Multi-Year'!$L103,0)</f>
        <v>2679.8147929365796</v>
      </c>
      <c r="G103" s="94">
        <f>IF('FY20-21'!$S103&gt;0,'FY20-21'!G103/'FY20-21'!$S103*'Multi-Year'!$L103,0)+IF('FY20-21'!$S103&lt;0,'FY20-21'!G103/'FY20-21'!$S103*'Multi-Year'!$L103,0)</f>
        <v>1339.9073964682898</v>
      </c>
      <c r="H103" s="94">
        <f>IF('FY20-21'!$S103&gt;0,'FY20-21'!H103/'FY20-21'!$S103*'Multi-Year'!$L103,0)+IF('FY20-21'!$S103&lt;0,'FY20-21'!H103/'FY20-21'!$S103*'Multi-Year'!$L103,0)</f>
        <v>1339.9073964682898</v>
      </c>
      <c r="I103" s="94">
        <f>IF('FY20-21'!$S103&gt;0,'FY20-21'!I103/'FY20-21'!$S103*'Multi-Year'!$L103,0)+IF('FY20-21'!$S103&lt;0,'FY20-21'!I103/'FY20-21'!$S103*'Multi-Year'!$L103,0)</f>
        <v>1339.9073964682898</v>
      </c>
      <c r="J103" s="94">
        <f>IF('FY20-21'!$S103&gt;0,'FY20-21'!J103/'FY20-21'!$S103*'Multi-Year'!$L103,0)+IF('FY20-21'!$S103&lt;0,'FY20-21'!J103/'FY20-21'!$S103*'Multi-Year'!$L103,0)</f>
        <v>1339.9073964682898</v>
      </c>
      <c r="K103" s="94">
        <f>IF('FY20-21'!$S103&gt;0,'FY20-21'!K103/'FY20-21'!$S103*'Multi-Year'!$L103,0)+IF('FY20-21'!$S103&lt;0,'FY20-21'!K103/'FY20-21'!$S103*'Multi-Year'!$L103,0)</f>
        <v>1339.9073964682898</v>
      </c>
      <c r="L103" s="94">
        <f>IF('FY20-21'!$S103&gt;0,'FY20-21'!L103/'FY20-21'!$S103*'Multi-Year'!$L103,0)+IF('FY20-21'!$S103&lt;0,'FY20-21'!L103/'FY20-21'!$S103*'Multi-Year'!$L103,0)</f>
        <v>1339.9073964682898</v>
      </c>
      <c r="M103" s="94">
        <f>IF('FY20-21'!$S103&gt;0,'FY20-21'!M103/'FY20-21'!$S103*'Multi-Year'!$L103,0)+IF('FY20-21'!$S103&lt;0,'FY20-21'!M103/'FY20-21'!$S103*'Multi-Year'!$L103,0)</f>
        <v>5115.799559582143</v>
      </c>
      <c r="N103" s="94">
        <f>IF('FY20-21'!$S103&gt;0,'FY20-21'!N103/'FY20-21'!$S103*'Multi-Year'!$L103,0)+IF('FY20-21'!$S103&lt;0,'FY20-21'!N103/'FY20-21'!$S103*'Multi-Year'!$L103,0)</f>
        <v>23576.713751252682</v>
      </c>
      <c r="O103" s="94">
        <f>IF('FY20-21'!$S103&gt;0,'FY20-21'!O103/'FY20-21'!$S103*'Multi-Year'!$L103,0)+IF('FY20-21'!$S103&lt;0,'FY20-21'!O103/'FY20-21'!$S103*'Multi-Year'!$L103,0)</f>
        <v>71279.544427716886</v>
      </c>
      <c r="P103" s="94">
        <f>IF('FY20-21'!$S103&gt;0,'FY20-21'!P103/'FY20-21'!$S103*'Multi-Year'!$L103,0)+IF('FY20-21'!$S103&lt;0,'FY20-21'!P103/'FY20-21'!$S103*'Multi-Year'!$L103,0)</f>
        <v>27558.31294858695</v>
      </c>
      <c r="Q103" s="606">
        <f>IF('FY20-21'!$S103&gt;0,'FY20-21'!Q103/'FY20-21'!$S103*'Multi-Year'!$L103,0)+IF('FY20-21'!$S103&lt;0,'FY20-21'!Q103/'FY20-21'!$S103*'Multi-Year'!$L103,0)</f>
        <v>0</v>
      </c>
      <c r="R103" s="94"/>
      <c r="S103" s="625">
        <f t="shared" si="38"/>
        <v>138249.62985888499</v>
      </c>
      <c r="T103" s="94"/>
      <c r="U103" s="94">
        <f>'FY20-21'!S103</f>
        <v>135538.85280282842</v>
      </c>
      <c r="V103" s="94">
        <f t="shared" si="39"/>
        <v>-2710.7770560565696</v>
      </c>
    </row>
    <row r="104" spans="1:22" s="95" customFormat="1" ht="12" customHeight="1">
      <c r="A104" s="124"/>
      <c r="B104" s="124" t="s">
        <v>186</v>
      </c>
      <c r="C104" s="102">
        <v>5501</v>
      </c>
      <c r="D104" s="127" t="s">
        <v>101</v>
      </c>
      <c r="E104" s="94">
        <f>IF('FY20-21'!$S104&gt;0,'FY20-21'!E104/'FY20-21'!$S104*'Multi-Year'!$L104,0)+IF('FY20-21'!$S104&lt;0,'FY20-21'!E104/'FY20-21'!$S104*'Multi-Year'!$L104,0)</f>
        <v>160.21373484332923</v>
      </c>
      <c r="F104" s="94">
        <f>IF('FY20-21'!$S104&gt;0,'FY20-21'!F104/'FY20-21'!$S104*'Multi-Year'!$L104,0)+IF('FY20-21'!$S104&lt;0,'FY20-21'!F104/'FY20-21'!$S104*'Multi-Year'!$L104,0)</f>
        <v>0</v>
      </c>
      <c r="G104" s="94">
        <f>IF('FY20-21'!$S104&gt;0,'FY20-21'!G104/'FY20-21'!$S104*'Multi-Year'!$L104,0)+IF('FY20-21'!$S104&lt;0,'FY20-21'!G104/'FY20-21'!$S104*'Multi-Year'!$L104,0)</f>
        <v>0</v>
      </c>
      <c r="H104" s="94">
        <f>IF('FY20-21'!$S104&gt;0,'FY20-21'!H104/'FY20-21'!$S104*'Multi-Year'!$L104,0)+IF('FY20-21'!$S104&lt;0,'FY20-21'!H104/'FY20-21'!$S104*'Multi-Year'!$L104,0)</f>
        <v>0</v>
      </c>
      <c r="I104" s="94">
        <f>IF('FY20-21'!$S104&gt;0,'FY20-21'!I104/'FY20-21'!$S104*'Multi-Year'!$L104,0)+IF('FY20-21'!$S104&lt;0,'FY20-21'!I104/'FY20-21'!$S104*'Multi-Year'!$L104,0)</f>
        <v>0</v>
      </c>
      <c r="J104" s="94">
        <f>IF('FY20-21'!$S104&gt;0,'FY20-21'!J104/'FY20-21'!$S104*'Multi-Year'!$L104,0)+IF('FY20-21'!$S104&lt;0,'FY20-21'!J104/'FY20-21'!$S104*'Multi-Year'!$L104,0)</f>
        <v>0</v>
      </c>
      <c r="K104" s="94">
        <f>IF('FY20-21'!$S104&gt;0,'FY20-21'!K104/'FY20-21'!$S104*'Multi-Year'!$L104,0)+IF('FY20-21'!$S104&lt;0,'FY20-21'!K104/'FY20-21'!$S104*'Multi-Year'!$L104,0)</f>
        <v>0</v>
      </c>
      <c r="L104" s="94">
        <f>IF('FY20-21'!$S104&gt;0,'FY20-21'!L104/'FY20-21'!$S104*'Multi-Year'!$L104,0)+IF('FY20-21'!$S104&lt;0,'FY20-21'!L104/'FY20-21'!$S104*'Multi-Year'!$L104,0)</f>
        <v>0</v>
      </c>
      <c r="M104" s="94">
        <f>IF('FY20-21'!$S104&gt;0,'FY20-21'!M104/'FY20-21'!$S104*'Multi-Year'!$L104,0)+IF('FY20-21'!$S104&lt;0,'FY20-21'!M104/'FY20-21'!$S104*'Multi-Year'!$L104,0)</f>
        <v>0</v>
      </c>
      <c r="N104" s="94">
        <f>IF('FY20-21'!$S104&gt;0,'FY20-21'!N104/'FY20-21'!$S104*'Multi-Year'!$L104,0)+IF('FY20-21'!$S104&lt;0,'FY20-21'!N104/'FY20-21'!$S104*'Multi-Year'!$L104,0)</f>
        <v>0</v>
      </c>
      <c r="O104" s="94">
        <f>IF('FY20-21'!$S104&gt;0,'FY20-21'!O104/'FY20-21'!$S104*'Multi-Year'!$L104,0)+IF('FY20-21'!$S104&lt;0,'FY20-21'!O104/'FY20-21'!$S104*'Multi-Year'!$L104,0)</f>
        <v>0</v>
      </c>
      <c r="P104" s="94">
        <f>IF('FY20-21'!$S104&gt;0,'FY20-21'!P104/'FY20-21'!$S104*'Multi-Year'!$L104,0)+IF('FY20-21'!$S104&lt;0,'FY20-21'!P104/'FY20-21'!$S104*'Multi-Year'!$L104,0)</f>
        <v>0</v>
      </c>
      <c r="Q104" s="606">
        <f>IF('FY20-21'!$S104&gt;0,'FY20-21'!Q104/'FY20-21'!$S104*'Multi-Year'!$L104,0)+IF('FY20-21'!$S104&lt;0,'FY20-21'!Q104/'FY20-21'!$S104*'Multi-Year'!$L104,0)</f>
        <v>0</v>
      </c>
      <c r="R104" s="94"/>
      <c r="S104" s="625">
        <f t="shared" si="38"/>
        <v>160.21373484332923</v>
      </c>
      <c r="T104" s="94"/>
      <c r="U104" s="94">
        <f>'FY20-21'!S104</f>
        <v>157.07228906208749</v>
      </c>
      <c r="V104" s="94">
        <f t="shared" si="39"/>
        <v>-3.1414457812417425</v>
      </c>
    </row>
    <row r="105" spans="1:22" s="95" customFormat="1" ht="12" customHeight="1">
      <c r="A105" s="124"/>
      <c r="B105" s="124" t="s">
        <v>186</v>
      </c>
      <c r="C105" s="102">
        <v>5502</v>
      </c>
      <c r="D105" s="127" t="s">
        <v>514</v>
      </c>
      <c r="E105" s="94">
        <f>IF('FY20-21'!$S105&gt;0,'FY20-21'!E105/'FY20-21'!$S105*'Multi-Year'!$L105,0)+IF('FY20-21'!$S105&lt;0,'FY20-21'!E105/'FY20-21'!$S105*'Multi-Year'!$L105,0)</f>
        <v>0</v>
      </c>
      <c r="F105" s="94">
        <f>IF('FY20-21'!$S105&gt;0,'FY20-21'!F105/'FY20-21'!$S105*'Multi-Year'!$L105,0)+IF('FY20-21'!$S105&lt;0,'FY20-21'!F105/'FY20-21'!$S105*'Multi-Year'!$L105,0)</f>
        <v>609.88517683440375</v>
      </c>
      <c r="G105" s="94">
        <f>IF('FY20-21'!$S105&gt;0,'FY20-21'!G105/'FY20-21'!$S105*'Multi-Year'!$L105,0)+IF('FY20-21'!$S105&lt;0,'FY20-21'!G105/'FY20-21'!$S105*'Multi-Year'!$L105,0)</f>
        <v>516.8518447749185</v>
      </c>
      <c r="H105" s="94">
        <f>IF('FY20-21'!$S105&gt;0,'FY20-21'!H105/'FY20-21'!$S105*'Multi-Year'!$L105,0)+IF('FY20-21'!$S105&lt;0,'FY20-21'!H105/'FY20-21'!$S105*'Multi-Year'!$L105,0)</f>
        <v>0</v>
      </c>
      <c r="I105" s="94">
        <f>IF('FY20-21'!$S105&gt;0,'FY20-21'!I105/'FY20-21'!$S105*'Multi-Year'!$L105,0)+IF('FY20-21'!$S105&lt;0,'FY20-21'!I105/'FY20-21'!$S105*'Multi-Year'!$L105,0)</f>
        <v>863.14258077411387</v>
      </c>
      <c r="J105" s="94">
        <f>IF('FY20-21'!$S105&gt;0,'FY20-21'!J105/'FY20-21'!$S105*'Multi-Year'!$L105,0)+IF('FY20-21'!$S105&lt;0,'FY20-21'!J105/'FY20-21'!$S105*'Multi-Year'!$L105,0)</f>
        <v>0</v>
      </c>
      <c r="K105" s="94">
        <f>IF('FY20-21'!$S105&gt;0,'FY20-21'!K105/'FY20-21'!$S105*'Multi-Year'!$L105,0)+IF('FY20-21'!$S105&lt;0,'FY20-21'!K105/'FY20-21'!$S105*'Multi-Year'!$L105,0)</f>
        <v>0</v>
      </c>
      <c r="L105" s="94">
        <f>IF('FY20-21'!$S105&gt;0,'FY20-21'!L105/'FY20-21'!$S105*'Multi-Year'!$L105,0)+IF('FY20-21'!$S105&lt;0,'FY20-21'!L105/'FY20-21'!$S105*'Multi-Year'!$L105,0)</f>
        <v>36.179629134244294</v>
      </c>
      <c r="M105" s="94">
        <f>IF('FY20-21'!$S105&gt;0,'FY20-21'!M105/'FY20-21'!$S105*'Multi-Year'!$L105,0)+IF('FY20-21'!$S105&lt;0,'FY20-21'!M105/'FY20-21'!$S105*'Multi-Year'!$L105,0)</f>
        <v>0</v>
      </c>
      <c r="N105" s="94">
        <f>IF('FY20-21'!$S105&gt;0,'FY20-21'!N105/'FY20-21'!$S105*'Multi-Year'!$L105,0)+IF('FY20-21'!$S105&lt;0,'FY20-21'!N105/'FY20-21'!$S105*'Multi-Year'!$L105,0)</f>
        <v>36.179629134244294</v>
      </c>
      <c r="O105" s="94">
        <f>IF('FY20-21'!$S105&gt;0,'FY20-21'!O105/'FY20-21'!$S105*'Multi-Year'!$L105,0)+IF('FY20-21'!$S105&lt;0,'FY20-21'!O105/'FY20-21'!$S105*'Multi-Year'!$L105,0)</f>
        <v>0</v>
      </c>
      <c r="P105" s="94">
        <f>IF('FY20-21'!$S105&gt;0,'FY20-21'!P105/'FY20-21'!$S105*'Multi-Year'!$L105,0)+IF('FY20-21'!$S105&lt;0,'FY20-21'!P105/'FY20-21'!$S105*'Multi-Year'!$L105,0)</f>
        <v>0</v>
      </c>
      <c r="Q105" s="606">
        <f>IF('FY20-21'!$S105&gt;0,'FY20-21'!Q105/'FY20-21'!$S105*'Multi-Year'!$L105,0)+IF('FY20-21'!$S105&lt;0,'FY20-21'!Q105/'FY20-21'!$S105*'Multi-Year'!$L105,0)</f>
        <v>0</v>
      </c>
      <c r="R105" s="94"/>
      <c r="S105" s="625">
        <f>SUM(E105:Q105)</f>
        <v>2062.2388606519248</v>
      </c>
      <c r="T105" s="94"/>
      <c r="U105" s="94">
        <f>'FY20-21'!S105</f>
        <v>2021.8028045607107</v>
      </c>
      <c r="V105" s="94">
        <f>U105-S105</f>
        <v>-40.436056091214141</v>
      </c>
    </row>
    <row r="106" spans="1:22" s="95" customFormat="1" ht="12" customHeight="1">
      <c r="A106" s="124"/>
      <c r="B106" s="124" t="s">
        <v>186</v>
      </c>
      <c r="C106" s="102">
        <v>5516</v>
      </c>
      <c r="D106" s="127" t="s">
        <v>103</v>
      </c>
      <c r="E106" s="94">
        <f>IF('FY20-21'!$S106&gt;0,'FY20-21'!E106/'FY20-21'!$S106*'Multi-Year'!$L106,0)+IF('FY20-21'!$S106&lt;0,'FY20-21'!E106/'FY20-21'!$S106*'Multi-Year'!$L106,0)</f>
        <v>0</v>
      </c>
      <c r="F106" s="94">
        <f>IF('FY20-21'!$S106&gt;0,'FY20-21'!F106/'FY20-21'!$S106*'Multi-Year'!$L106,0)+IF('FY20-21'!$S106&lt;0,'FY20-21'!F106/'FY20-21'!$S106*'Multi-Year'!$L106,0)</f>
        <v>0</v>
      </c>
      <c r="G106" s="94">
        <f>IF('FY20-21'!$S106&gt;0,'FY20-21'!G106/'FY20-21'!$S106*'Multi-Year'!$L106,0)+IF('FY20-21'!$S106&lt;0,'FY20-21'!G106/'FY20-21'!$S106*'Multi-Year'!$L106,0)</f>
        <v>0</v>
      </c>
      <c r="H106" s="94">
        <f>IF('FY20-21'!$S106&gt;0,'FY20-21'!H106/'FY20-21'!$S106*'Multi-Year'!$L106,0)+IF('FY20-21'!$S106&lt;0,'FY20-21'!H106/'FY20-21'!$S106*'Multi-Year'!$L106,0)</f>
        <v>0</v>
      </c>
      <c r="I106" s="94">
        <f>IF('FY20-21'!$S106&gt;0,'FY20-21'!I106/'FY20-21'!$S106*'Multi-Year'!$L106,0)+IF('FY20-21'!$S106&lt;0,'FY20-21'!I106/'FY20-21'!$S106*'Multi-Year'!$L106,0)</f>
        <v>0</v>
      </c>
      <c r="J106" s="94">
        <f>IF('FY20-21'!$S106&gt;0,'FY20-21'!J106/'FY20-21'!$S106*'Multi-Year'!$L106,0)+IF('FY20-21'!$S106&lt;0,'FY20-21'!J106/'FY20-21'!$S106*'Multi-Year'!$L106,0)</f>
        <v>0</v>
      </c>
      <c r="K106" s="94">
        <f>IF('FY20-21'!$S106&gt;0,'FY20-21'!K106/'FY20-21'!$S106*'Multi-Year'!$L106,0)+IF('FY20-21'!$S106&lt;0,'FY20-21'!K106/'FY20-21'!$S106*'Multi-Year'!$L106,0)</f>
        <v>0</v>
      </c>
      <c r="L106" s="94">
        <f>IF('FY20-21'!$S106&gt;0,'FY20-21'!L106/'FY20-21'!$S106*'Multi-Year'!$L106,0)+IF('FY20-21'!$S106&lt;0,'FY20-21'!L106/'FY20-21'!$S106*'Multi-Year'!$L106,0)</f>
        <v>0</v>
      </c>
      <c r="M106" s="94">
        <f>IF('FY20-21'!$S106&gt;0,'FY20-21'!M106/'FY20-21'!$S106*'Multi-Year'!$L106,0)+IF('FY20-21'!$S106&lt;0,'FY20-21'!M106/'FY20-21'!$S106*'Multi-Year'!$L106,0)</f>
        <v>0</v>
      </c>
      <c r="N106" s="94">
        <f>IF('FY20-21'!$S106&gt;0,'FY20-21'!N106/'FY20-21'!$S106*'Multi-Year'!$L106,0)+IF('FY20-21'!$S106&lt;0,'FY20-21'!N106/'FY20-21'!$S106*'Multi-Year'!$L106,0)</f>
        <v>0</v>
      </c>
      <c r="O106" s="94">
        <f>IF('FY20-21'!$S106&gt;0,'FY20-21'!O106/'FY20-21'!$S106*'Multi-Year'!$L106,0)+IF('FY20-21'!$S106&lt;0,'FY20-21'!O106/'FY20-21'!$S106*'Multi-Year'!$L106,0)</f>
        <v>0</v>
      </c>
      <c r="P106" s="94">
        <f>IF('FY20-21'!$S106&gt;0,'FY20-21'!P106/'FY20-21'!$S106*'Multi-Year'!$L106,0)+IF('FY20-21'!$S106&lt;0,'FY20-21'!P106/'FY20-21'!$S106*'Multi-Year'!$L106,0)</f>
        <v>0</v>
      </c>
      <c r="Q106" s="606">
        <f>IF('FY20-21'!$S106&gt;0,'FY20-21'!Q106/'FY20-21'!$S106*'Multi-Year'!$L106,0)+IF('FY20-21'!$S106&lt;0,'FY20-21'!Q106/'FY20-21'!$S106*'Multi-Year'!$L106,0)</f>
        <v>0</v>
      </c>
      <c r="R106" s="94"/>
      <c r="S106" s="625">
        <f t="shared" si="38"/>
        <v>0</v>
      </c>
      <c r="T106" s="94"/>
      <c r="U106" s="94">
        <f>'FY20-21'!S106</f>
        <v>0</v>
      </c>
      <c r="V106" s="94">
        <f t="shared" si="39"/>
        <v>0</v>
      </c>
    </row>
    <row r="107" spans="1:22" s="95" customFormat="1" ht="12" customHeight="1">
      <c r="A107" s="124"/>
      <c r="B107" s="124"/>
      <c r="C107" s="102">
        <v>5531</v>
      </c>
      <c r="D107" s="127" t="s">
        <v>313</v>
      </c>
      <c r="E107" s="94">
        <f>IF('FY20-21'!$S107&gt;0,'FY20-21'!E107/'FY20-21'!$S107*'Multi-Year'!$L107,0)+IF('FY20-21'!$S107&lt;0,'FY20-21'!E107/'FY20-21'!$S107*'Multi-Year'!$L107,0)</f>
        <v>0</v>
      </c>
      <c r="F107" s="94">
        <f>IF('FY20-21'!$S107&gt;0,'FY20-21'!F107/'FY20-21'!$S107*'Multi-Year'!$L107,0)+IF('FY20-21'!$S107&lt;0,'FY20-21'!F107/'FY20-21'!$S107*'Multi-Year'!$L107,0)</f>
        <v>0</v>
      </c>
      <c r="G107" s="94">
        <f>IF('FY20-21'!$S107&gt;0,'FY20-21'!G107/'FY20-21'!$S107*'Multi-Year'!$L107,0)+IF('FY20-21'!$S107&lt;0,'FY20-21'!G107/'FY20-21'!$S107*'Multi-Year'!$L107,0)</f>
        <v>0</v>
      </c>
      <c r="H107" s="94">
        <f>IF('FY20-21'!$S107&gt;0,'FY20-21'!H107/'FY20-21'!$S107*'Multi-Year'!$L107,0)+IF('FY20-21'!$S107&lt;0,'FY20-21'!H107/'FY20-21'!$S107*'Multi-Year'!$L107,0)</f>
        <v>0</v>
      </c>
      <c r="I107" s="94">
        <f>IF('FY20-21'!$S107&gt;0,'FY20-21'!I107/'FY20-21'!$S107*'Multi-Year'!$L107,0)+IF('FY20-21'!$S107&lt;0,'FY20-21'!I107/'FY20-21'!$S107*'Multi-Year'!$L107,0)</f>
        <v>0</v>
      </c>
      <c r="J107" s="94">
        <f>IF('FY20-21'!$S107&gt;0,'FY20-21'!J107/'FY20-21'!$S107*'Multi-Year'!$L107,0)+IF('FY20-21'!$S107&lt;0,'FY20-21'!J107/'FY20-21'!$S107*'Multi-Year'!$L107,0)</f>
        <v>0</v>
      </c>
      <c r="K107" s="94">
        <f>IF('FY20-21'!$S107&gt;0,'FY20-21'!K107/'FY20-21'!$S107*'Multi-Year'!$L107,0)+IF('FY20-21'!$S107&lt;0,'FY20-21'!K107/'FY20-21'!$S107*'Multi-Year'!$L107,0)</f>
        <v>0</v>
      </c>
      <c r="L107" s="94">
        <f>IF('FY20-21'!$S107&gt;0,'FY20-21'!L107/'FY20-21'!$S107*'Multi-Year'!$L107,0)+IF('FY20-21'!$S107&lt;0,'FY20-21'!L107/'FY20-21'!$S107*'Multi-Year'!$L107,0)</f>
        <v>0</v>
      </c>
      <c r="M107" s="94">
        <f>IF('FY20-21'!$S107&gt;0,'FY20-21'!M107/'FY20-21'!$S107*'Multi-Year'!$L107,0)+IF('FY20-21'!$S107&lt;0,'FY20-21'!M107/'FY20-21'!$S107*'Multi-Year'!$L107,0)</f>
        <v>0</v>
      </c>
      <c r="N107" s="94">
        <f>IF('FY20-21'!$S107&gt;0,'FY20-21'!N107/'FY20-21'!$S107*'Multi-Year'!$L107,0)+IF('FY20-21'!$S107&lt;0,'FY20-21'!N107/'FY20-21'!$S107*'Multi-Year'!$L107,0)</f>
        <v>0</v>
      </c>
      <c r="O107" s="94">
        <f>IF('FY20-21'!$S107&gt;0,'FY20-21'!O107/'FY20-21'!$S107*'Multi-Year'!$L107,0)+IF('FY20-21'!$S107&lt;0,'FY20-21'!O107/'FY20-21'!$S107*'Multi-Year'!$L107,0)</f>
        <v>0</v>
      </c>
      <c r="P107" s="94">
        <f>IF('FY20-21'!$S107&gt;0,'FY20-21'!P107/'FY20-21'!$S107*'Multi-Year'!$L107,0)+IF('FY20-21'!$S107&lt;0,'FY20-21'!P107/'FY20-21'!$S107*'Multi-Year'!$L107,0)</f>
        <v>0</v>
      </c>
      <c r="Q107" s="606">
        <f>IF('FY20-21'!$S107&gt;0,'FY20-21'!Q107/'FY20-21'!$S107*'Multi-Year'!$L107,0)+IF('FY20-21'!$S107&lt;0,'FY20-21'!Q107/'FY20-21'!$S107*'Multi-Year'!$L107,0)</f>
        <v>0</v>
      </c>
      <c r="R107" s="94"/>
      <c r="S107" s="625">
        <f t="shared" si="38"/>
        <v>0</v>
      </c>
      <c r="T107" s="94"/>
      <c r="U107" s="94">
        <f>'FY20-21'!S107</f>
        <v>0</v>
      </c>
      <c r="V107" s="94">
        <f t="shared" si="39"/>
        <v>0</v>
      </c>
    </row>
    <row r="108" spans="1:22" s="95" customFormat="1" ht="12" customHeight="1">
      <c r="A108" s="124"/>
      <c r="B108" s="124" t="s">
        <v>186</v>
      </c>
      <c r="C108" s="102">
        <v>5900</v>
      </c>
      <c r="D108" s="127" t="s">
        <v>104</v>
      </c>
      <c r="E108" s="94">
        <f>IF('FY20-21'!$S108&gt;0,'FY20-21'!E108/'FY20-21'!$S108*'Multi-Year'!$L108,0)+IF('FY20-21'!$S108&lt;0,'FY20-21'!E108/'FY20-21'!$S108*'Multi-Year'!$L108,0)</f>
        <v>0</v>
      </c>
      <c r="F108" s="94">
        <f>IF('FY20-21'!$S108&gt;0,'FY20-21'!F108/'FY20-21'!$S108*'Multi-Year'!$L108,0)+IF('FY20-21'!$S108&lt;0,'FY20-21'!F108/'FY20-21'!$S108*'Multi-Year'!$L108,0)</f>
        <v>334.71325467623728</v>
      </c>
      <c r="G108" s="94">
        <f>IF('FY20-21'!$S108&gt;0,'FY20-21'!G108/'FY20-21'!$S108*'Multi-Year'!$L108,0)+IF('FY20-21'!$S108&lt;0,'FY20-21'!G108/'FY20-21'!$S108*'Multi-Year'!$L108,0)</f>
        <v>334.71325467623728</v>
      </c>
      <c r="H108" s="94">
        <f>IF('FY20-21'!$S108&gt;0,'FY20-21'!H108/'FY20-21'!$S108*'Multi-Year'!$L108,0)+IF('FY20-21'!$S108&lt;0,'FY20-21'!H108/'FY20-21'!$S108*'Multi-Year'!$L108,0)</f>
        <v>0</v>
      </c>
      <c r="I108" s="94">
        <f>IF('FY20-21'!$S108&gt;0,'FY20-21'!I108/'FY20-21'!$S108*'Multi-Year'!$L108,0)+IF('FY20-21'!$S108&lt;0,'FY20-21'!I108/'FY20-21'!$S108*'Multi-Year'!$L108,0)</f>
        <v>0</v>
      </c>
      <c r="J108" s="94">
        <f>IF('FY20-21'!$S108&gt;0,'FY20-21'!J108/'FY20-21'!$S108*'Multi-Year'!$L108,0)+IF('FY20-21'!$S108&lt;0,'FY20-21'!J108/'FY20-21'!$S108*'Multi-Year'!$L108,0)</f>
        <v>0</v>
      </c>
      <c r="K108" s="94">
        <f>IF('FY20-21'!$S108&gt;0,'FY20-21'!K108/'FY20-21'!$S108*'Multi-Year'!$L108,0)+IF('FY20-21'!$S108&lt;0,'FY20-21'!K108/'FY20-21'!$S108*'Multi-Year'!$L108,0)</f>
        <v>0</v>
      </c>
      <c r="L108" s="94">
        <f>IF('FY20-21'!$S108&gt;0,'FY20-21'!L108/'FY20-21'!$S108*'Multi-Year'!$L108,0)+IF('FY20-21'!$S108&lt;0,'FY20-21'!L108/'FY20-21'!$S108*'Multi-Year'!$L108,0)</f>
        <v>0</v>
      </c>
      <c r="M108" s="94">
        <f>IF('FY20-21'!$S108&gt;0,'FY20-21'!M108/'FY20-21'!$S108*'Multi-Year'!$L108,0)+IF('FY20-21'!$S108&lt;0,'FY20-21'!M108/'FY20-21'!$S108*'Multi-Year'!$L108,0)</f>
        <v>0</v>
      </c>
      <c r="N108" s="94">
        <f>IF('FY20-21'!$S108&gt;0,'FY20-21'!N108/'FY20-21'!$S108*'Multi-Year'!$L108,0)+IF('FY20-21'!$S108&lt;0,'FY20-21'!N108/'FY20-21'!$S108*'Multi-Year'!$L108,0)</f>
        <v>72.348921231593096</v>
      </c>
      <c r="O108" s="94">
        <f>IF('FY20-21'!$S108&gt;0,'FY20-21'!O108/'FY20-21'!$S108*'Multi-Year'!$L108,0)+IF('FY20-21'!$S108&lt;0,'FY20-21'!O108/'FY20-21'!$S108*'Multi-Year'!$L108,0)</f>
        <v>73.496332326993411</v>
      </c>
      <c r="P108" s="94">
        <f>IF('FY20-21'!$S108&gt;0,'FY20-21'!P108/'FY20-21'!$S108*'Multi-Year'!$L108,0)+IF('FY20-21'!$S108&lt;0,'FY20-21'!P108/'FY20-21'!$S108*'Multi-Year'!$L108,0)</f>
        <v>77.517439679342274</v>
      </c>
      <c r="Q108" s="606">
        <f>IF('FY20-21'!$S108&gt;0,'FY20-21'!Q108/'FY20-21'!$S108*'Multi-Year'!$L108,0)+IF('FY20-21'!$S108&lt;0,'FY20-21'!Q108/'FY20-21'!$S108*'Multi-Year'!$L108,0)</f>
        <v>0</v>
      </c>
      <c r="R108" s="94"/>
      <c r="S108" s="625">
        <f t="shared" si="38"/>
        <v>892.78920259040331</v>
      </c>
      <c r="T108" s="94"/>
      <c r="U108" s="94">
        <f>'FY20-21'!S108</f>
        <v>875.28353195137572</v>
      </c>
      <c r="V108" s="94">
        <f t="shared" si="39"/>
        <v>-17.505670639027585</v>
      </c>
    </row>
    <row r="109" spans="1:22" s="95" customFormat="1" ht="12" customHeight="1">
      <c r="A109" s="124"/>
      <c r="B109" s="124" t="s">
        <v>186</v>
      </c>
      <c r="C109" s="102">
        <v>5901</v>
      </c>
      <c r="D109" s="127" t="s">
        <v>40</v>
      </c>
      <c r="E109" s="94">
        <f>IF('FY20-21'!$S109&gt;0,'FY20-21'!E109/'FY20-21'!$S109*'Multi-Year'!$L109,0)+IF('FY20-21'!$S109&lt;0,'FY20-21'!E109/'FY20-21'!$S109*'Multi-Year'!$L109,0)</f>
        <v>0</v>
      </c>
      <c r="F109" s="94">
        <f>IF('FY20-21'!$S109&gt;0,'FY20-21'!F109/'FY20-21'!$S109*'Multi-Year'!$L109,0)+IF('FY20-21'!$S109&lt;0,'FY20-21'!F109/'FY20-21'!$S109*'Multi-Year'!$L109,0)</f>
        <v>0</v>
      </c>
      <c r="G109" s="94">
        <f>IF('FY20-21'!$S109&gt;0,'FY20-21'!G109/'FY20-21'!$S109*'Multi-Year'!$L109,0)+IF('FY20-21'!$S109&lt;0,'FY20-21'!G109/'FY20-21'!$S109*'Multi-Year'!$L109,0)</f>
        <v>20.167558983117324</v>
      </c>
      <c r="H109" s="94">
        <f>IF('FY20-21'!$S109&gt;0,'FY20-21'!H109/'FY20-21'!$S109*'Multi-Year'!$L109,0)+IF('FY20-21'!$S109&lt;0,'FY20-21'!H109/'FY20-21'!$S109*'Multi-Year'!$L109,0)</f>
        <v>0</v>
      </c>
      <c r="I109" s="94">
        <f>IF('FY20-21'!$S109&gt;0,'FY20-21'!I109/'FY20-21'!$S109*'Multi-Year'!$L109,0)+IF('FY20-21'!$S109&lt;0,'FY20-21'!I109/'FY20-21'!$S109*'Multi-Year'!$L109,0)</f>
        <v>0</v>
      </c>
      <c r="J109" s="94">
        <f>IF('FY20-21'!$S109&gt;0,'FY20-21'!J109/'FY20-21'!$S109*'Multi-Year'!$L109,0)+IF('FY20-21'!$S109&lt;0,'FY20-21'!J109/'FY20-21'!$S109*'Multi-Year'!$L109,0)</f>
        <v>77.331373015223321</v>
      </c>
      <c r="K109" s="94">
        <f>IF('FY20-21'!$S109&gt;0,'FY20-21'!K109/'FY20-21'!$S109*'Multi-Year'!$L109,0)+IF('FY20-21'!$S109&lt;0,'FY20-21'!K109/'FY20-21'!$S109*'Multi-Year'!$L109,0)</f>
        <v>93.022995022589839</v>
      </c>
      <c r="L109" s="94">
        <f>IF('FY20-21'!$S109&gt;0,'FY20-21'!L109/'FY20-21'!$S109*'Multi-Year'!$L109,0)+IF('FY20-21'!$S109&lt;0,'FY20-21'!L109/'FY20-21'!$S109*'Multi-Year'!$L109,0)</f>
        <v>222.38067473285645</v>
      </c>
      <c r="M109" s="94">
        <f>IF('FY20-21'!$S109&gt;0,'FY20-21'!M109/'FY20-21'!$S109*'Multi-Year'!$L109,0)+IF('FY20-21'!$S109&lt;0,'FY20-21'!M109/'FY20-21'!$S109*'Multi-Year'!$L109,0)</f>
        <v>0</v>
      </c>
      <c r="N109" s="94">
        <f>IF('FY20-21'!$S109&gt;0,'FY20-21'!N109/'FY20-21'!$S109*'Multi-Year'!$L109,0)+IF('FY20-21'!$S109&lt;0,'FY20-21'!N109/'FY20-21'!$S109*'Multi-Year'!$L109,0)</f>
        <v>0</v>
      </c>
      <c r="O109" s="94">
        <f>IF('FY20-21'!$S109&gt;0,'FY20-21'!O109/'FY20-21'!$S109*'Multi-Year'!$L109,0)+IF('FY20-21'!$S109&lt;0,'FY20-21'!O109/'FY20-21'!$S109*'Multi-Year'!$L109,0)</f>
        <v>359.72888396334332</v>
      </c>
      <c r="P109" s="94">
        <f>IF('FY20-21'!$S109&gt;0,'FY20-21'!P109/'FY20-21'!$S109*'Multi-Year'!$L109,0)+IF('FY20-21'!$S109&lt;0,'FY20-21'!P109/'FY20-21'!$S109*'Multi-Year'!$L109,0)</f>
        <v>505.99795603464531</v>
      </c>
      <c r="Q109" s="606">
        <f>IF('FY20-21'!$S109&gt;0,'FY20-21'!Q109/'FY20-21'!$S109*'Multi-Year'!$L109,0)+IF('FY20-21'!$S109&lt;0,'FY20-21'!Q109/'FY20-21'!$S109*'Multi-Year'!$L109,0)</f>
        <v>0</v>
      </c>
      <c r="R109" s="94"/>
      <c r="S109" s="625">
        <f>SUM(E109:Q109)</f>
        <v>1278.6294417517756</v>
      </c>
      <c r="T109" s="94"/>
      <c r="U109" s="94">
        <f>'FY20-21'!S109</f>
        <v>1253.5582762272311</v>
      </c>
      <c r="V109" s="94">
        <f>U109-S109</f>
        <v>-25.07116552454454</v>
      </c>
    </row>
    <row r="110" spans="1:22" s="95" customFormat="1" ht="12" customHeight="1">
      <c r="A110" s="124"/>
      <c r="B110" s="124" t="s">
        <v>186</v>
      </c>
      <c r="C110" s="102"/>
      <c r="D110" s="103"/>
      <c r="E110" s="215">
        <f t="shared" ref="E110:Q110" si="40">SUM(E101:E109)</f>
        <v>160.21373484332923</v>
      </c>
      <c r="F110" s="215">
        <f t="shared" si="40"/>
        <v>4167.975972560107</v>
      </c>
      <c r="G110" s="215">
        <f t="shared" si="40"/>
        <v>2372.3189564061895</v>
      </c>
      <c r="H110" s="215">
        <f t="shared" si="40"/>
        <v>1339.9073964682898</v>
      </c>
      <c r="I110" s="215">
        <f t="shared" si="40"/>
        <v>7281.9049669600372</v>
      </c>
      <c r="J110" s="215">
        <f t="shared" si="40"/>
        <v>1192.377205895737</v>
      </c>
      <c r="K110" s="215">
        <f t="shared" si="40"/>
        <v>2072.7206160639603</v>
      </c>
      <c r="L110" s="215">
        <f t="shared" si="40"/>
        <v>2932.1005154081131</v>
      </c>
      <c r="M110" s="215">
        <f t="shared" si="40"/>
        <v>7075.5053512676195</v>
      </c>
      <c r="N110" s="215">
        <f t="shared" si="40"/>
        <v>23685.24230161852</v>
      </c>
      <c r="O110" s="215">
        <f t="shared" si="40"/>
        <v>71712.769644007218</v>
      </c>
      <c r="P110" s="215">
        <f t="shared" si="40"/>
        <v>38778.639309768769</v>
      </c>
      <c r="Q110" s="603">
        <f t="shared" si="40"/>
        <v>0</v>
      </c>
      <c r="R110" s="94"/>
      <c r="S110" s="626">
        <f>SUM(E110:R110)</f>
        <v>162771.67597126789</v>
      </c>
      <c r="T110" s="113"/>
      <c r="U110" s="216">
        <f>SUM(U101:U109)</f>
        <v>159580.07448163521</v>
      </c>
      <c r="V110" s="216">
        <f>SUM(V101:V109)</f>
        <v>-3191.6014896327038</v>
      </c>
    </row>
    <row r="111" spans="1:22" s="95" customFormat="1" ht="12" customHeight="1">
      <c r="A111" s="124"/>
      <c r="B111" s="124" t="s">
        <v>287</v>
      </c>
      <c r="C111" s="126"/>
      <c r="D111" s="126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606"/>
      <c r="R111" s="94"/>
      <c r="S111" s="627"/>
      <c r="T111" s="94"/>
      <c r="U111" s="94"/>
      <c r="V111" s="94"/>
    </row>
    <row r="112" spans="1:22" s="95" customFormat="1" ht="12" customHeight="1">
      <c r="A112" s="124"/>
      <c r="B112" s="124" t="s">
        <v>186</v>
      </c>
      <c r="C112" s="102">
        <v>5601</v>
      </c>
      <c r="D112" s="127" t="s">
        <v>29</v>
      </c>
      <c r="E112" s="94">
        <f>IF('FY20-21'!$S112&gt;0,'FY20-21'!E112/'FY20-21'!$S112*'Multi-Year'!$L112,0)+IF('FY20-21'!$S112&lt;0,'FY20-21'!E112/'FY20-21'!$S112*'Multi-Year'!$L112,0)</f>
        <v>0</v>
      </c>
      <c r="F112" s="94">
        <f>IF('FY20-21'!$S112&gt;0,'FY20-21'!F112/'FY20-21'!$S112*'Multi-Year'!$L112,0)+IF('FY20-21'!$S112&lt;0,'FY20-21'!F112/'FY20-21'!$S112*'Multi-Year'!$L112,0)</f>
        <v>0</v>
      </c>
      <c r="G112" s="94">
        <f>IF('FY20-21'!$S112&gt;0,'FY20-21'!G112/'FY20-21'!$S112*'Multi-Year'!$L112,0)+IF('FY20-21'!$S112&lt;0,'FY20-21'!G112/'FY20-21'!$S112*'Multi-Year'!$L112,0)</f>
        <v>4315.7129038705698</v>
      </c>
      <c r="H112" s="94">
        <f>IF('FY20-21'!$S112&gt;0,'FY20-21'!H112/'FY20-21'!$S112*'Multi-Year'!$L112,0)+IF('FY20-21'!$S112&lt;0,'FY20-21'!H112/'FY20-21'!$S112*'Multi-Year'!$L112,0)</f>
        <v>20764.626234201303</v>
      </c>
      <c r="I112" s="94">
        <f>IF('FY20-21'!$S112&gt;0,'FY20-21'!I112/'FY20-21'!$S112*'Multi-Year'!$L112,0)+IF('FY20-21'!$S112&lt;0,'FY20-21'!I112/'FY20-21'!$S112*'Multi-Year'!$L112,0)</f>
        <v>7780.5843008726679</v>
      </c>
      <c r="J112" s="94">
        <f>IF('FY20-21'!$S112&gt;0,'FY20-21'!J112/'FY20-21'!$S112*'Multi-Year'!$L112,0)+IF('FY20-21'!$S112&lt;0,'FY20-21'!J112/'FY20-21'!$S112*'Multi-Year'!$L112,0)</f>
        <v>0</v>
      </c>
      <c r="K112" s="94">
        <f>IF('FY20-21'!$S112&gt;0,'FY20-21'!K112/'FY20-21'!$S112*'Multi-Year'!$L112,0)+IF('FY20-21'!$S112&lt;0,'FY20-21'!K112/'FY20-21'!$S112*'Multi-Year'!$L112,0)</f>
        <v>0</v>
      </c>
      <c r="L112" s="94">
        <f>IF('FY20-21'!$S112&gt;0,'FY20-21'!L112/'FY20-21'!$S112*'Multi-Year'!$L112,0)+IF('FY20-21'!$S112&lt;0,'FY20-21'!L112/'FY20-21'!$S112*'Multi-Year'!$L112,0)</f>
        <v>0</v>
      </c>
      <c r="M112" s="94">
        <f>IF('FY20-21'!$S112&gt;0,'FY20-21'!M112/'FY20-21'!$S112*'Multi-Year'!$L112,0)+IF('FY20-21'!$S112&lt;0,'FY20-21'!M112/'FY20-21'!$S112*'Multi-Year'!$L112,0)</f>
        <v>0</v>
      </c>
      <c r="N112" s="94">
        <f>IF('FY20-21'!$S112&gt;0,'FY20-21'!N112/'FY20-21'!$S112*'Multi-Year'!$L112,0)+IF('FY20-21'!$S112&lt;0,'FY20-21'!N112/'FY20-21'!$S112*'Multi-Year'!$L112,0)</f>
        <v>0</v>
      </c>
      <c r="O112" s="94">
        <f>IF('FY20-21'!$S112&gt;0,'FY20-21'!O112/'FY20-21'!$S112*'Multi-Year'!$L112,0)+IF('FY20-21'!$S112&lt;0,'FY20-21'!O112/'FY20-21'!$S112*'Multi-Year'!$L112,0)</f>
        <v>0</v>
      </c>
      <c r="P112" s="94">
        <f>IF('FY20-21'!$S112&gt;0,'FY20-21'!P112/'FY20-21'!$S112*'Multi-Year'!$L112,0)+IF('FY20-21'!$S112&lt;0,'FY20-21'!P112/'FY20-21'!$S112*'Multi-Year'!$L112,0)</f>
        <v>-130.24666488327946</v>
      </c>
      <c r="Q112" s="606">
        <f>IF('FY20-21'!$S112&gt;0,'FY20-21'!Q112/'FY20-21'!$S112*'Multi-Year'!$L112,0)+IF('FY20-21'!$S112&lt;0,'FY20-21'!Q112/'FY20-21'!$S112*'Multi-Year'!$L112,0)</f>
        <v>0</v>
      </c>
      <c r="R112" s="94"/>
      <c r="S112" s="625">
        <f t="shared" ref="S112:S117" si="41">SUM(E112:Q112)</f>
        <v>32730.676774061263</v>
      </c>
      <c r="T112" s="94"/>
      <c r="U112" s="94">
        <f>'FY20-21'!S112</f>
        <v>32088.898798099279</v>
      </c>
      <c r="V112" s="94">
        <f t="shared" ref="V112:V117" si="42">U112-S112</f>
        <v>-641.77797596198434</v>
      </c>
    </row>
    <row r="113" spans="1:22" s="95" customFormat="1" ht="12" customHeight="1">
      <c r="A113" s="124"/>
      <c r="B113" s="124" t="s">
        <v>186</v>
      </c>
      <c r="C113" s="102">
        <v>5602</v>
      </c>
      <c r="D113" s="127" t="s">
        <v>30</v>
      </c>
      <c r="E113" s="94">
        <f>IF('FY20-21'!$S113&gt;0,'FY20-21'!E113/'FY20-21'!$S113*'Multi-Year'!$L113,0)+IF('FY20-21'!$S113&lt;0,'FY20-21'!E113/'FY20-21'!$S113*'Multi-Year'!$L113,0)</f>
        <v>0</v>
      </c>
      <c r="F113" s="94">
        <f>IF('FY20-21'!$S113&gt;0,'FY20-21'!F113/'FY20-21'!$S113*'Multi-Year'!$L113,0)+IF('FY20-21'!$S113&lt;0,'FY20-21'!F113/'FY20-21'!$S113*'Multi-Year'!$L113,0)</f>
        <v>0</v>
      </c>
      <c r="G113" s="94">
        <f>IF('FY20-21'!$S113&gt;0,'FY20-21'!G113/'FY20-21'!$S113*'Multi-Year'!$L113,0)+IF('FY20-21'!$S113&lt;0,'FY20-21'!G113/'FY20-21'!$S113*'Multi-Year'!$L113,0)</f>
        <v>0</v>
      </c>
      <c r="H113" s="94">
        <f>IF('FY20-21'!$S113&gt;0,'FY20-21'!H113/'FY20-21'!$S113*'Multi-Year'!$L113,0)+IF('FY20-21'!$S113&lt;0,'FY20-21'!H113/'FY20-21'!$S113*'Multi-Year'!$L113,0)</f>
        <v>0</v>
      </c>
      <c r="I113" s="94">
        <f>IF('FY20-21'!$S113&gt;0,'FY20-21'!I113/'FY20-21'!$S113*'Multi-Year'!$L113,0)+IF('FY20-21'!$S113&lt;0,'FY20-21'!I113/'FY20-21'!$S113*'Multi-Year'!$L113,0)</f>
        <v>0</v>
      </c>
      <c r="J113" s="94">
        <f>IF('FY20-21'!$S113&gt;0,'FY20-21'!J113/'FY20-21'!$S113*'Multi-Year'!$L113,0)+IF('FY20-21'!$S113&lt;0,'FY20-21'!J113/'FY20-21'!$S113*'Multi-Year'!$L113,0)</f>
        <v>0</v>
      </c>
      <c r="K113" s="94">
        <f>IF('FY20-21'!$S113&gt;0,'FY20-21'!K113/'FY20-21'!$S113*'Multi-Year'!$L113,0)+IF('FY20-21'!$S113&lt;0,'FY20-21'!K113/'FY20-21'!$S113*'Multi-Year'!$L113,0)</f>
        <v>0</v>
      </c>
      <c r="L113" s="94">
        <f>IF('FY20-21'!$S113&gt;0,'FY20-21'!L113/'FY20-21'!$S113*'Multi-Year'!$L113,0)+IF('FY20-21'!$S113&lt;0,'FY20-21'!L113/'FY20-21'!$S113*'Multi-Year'!$L113,0)</f>
        <v>0</v>
      </c>
      <c r="M113" s="94">
        <f>IF('FY20-21'!$S113&gt;0,'FY20-21'!M113/'FY20-21'!$S113*'Multi-Year'!$L113,0)+IF('FY20-21'!$S113&lt;0,'FY20-21'!M113/'FY20-21'!$S113*'Multi-Year'!$L113,0)</f>
        <v>0</v>
      </c>
      <c r="N113" s="94">
        <f>IF('FY20-21'!$S113&gt;0,'FY20-21'!N113/'FY20-21'!$S113*'Multi-Year'!$L113,0)+IF('FY20-21'!$S113&lt;0,'FY20-21'!N113/'FY20-21'!$S113*'Multi-Year'!$L113,0)</f>
        <v>0</v>
      </c>
      <c r="O113" s="94">
        <f>IF('FY20-21'!$S113&gt;0,'FY20-21'!O113/'FY20-21'!$S113*'Multi-Year'!$L113,0)+IF('FY20-21'!$S113&lt;0,'FY20-21'!O113/'FY20-21'!$S113*'Multi-Year'!$L113,0)</f>
        <v>0</v>
      </c>
      <c r="P113" s="94">
        <f>IF('FY20-21'!$S113&gt;0,'FY20-21'!P113/'FY20-21'!$S113*'Multi-Year'!$L113,0)+IF('FY20-21'!$S113&lt;0,'FY20-21'!P113/'FY20-21'!$S113*'Multi-Year'!$L113,0)</f>
        <v>0</v>
      </c>
      <c r="Q113" s="606">
        <f>IF('FY20-21'!$S113&gt;0,'FY20-21'!Q113/'FY20-21'!$S113*'Multi-Year'!$L113,0)+IF('FY20-21'!$S113&lt;0,'FY20-21'!Q113/'FY20-21'!$S113*'Multi-Year'!$L113,0)</f>
        <v>0</v>
      </c>
      <c r="R113" s="94"/>
      <c r="S113" s="625">
        <f t="shared" si="41"/>
        <v>0</v>
      </c>
      <c r="T113" s="94"/>
      <c r="U113" s="94">
        <f>'FY20-21'!S113</f>
        <v>0</v>
      </c>
      <c r="V113" s="94">
        <f t="shared" si="42"/>
        <v>0</v>
      </c>
    </row>
    <row r="114" spans="1:22" s="95" customFormat="1" ht="12" customHeight="1">
      <c r="A114" s="124"/>
      <c r="B114" s="124" t="s">
        <v>186</v>
      </c>
      <c r="C114" s="102">
        <v>5603</v>
      </c>
      <c r="D114" s="127" t="s">
        <v>31</v>
      </c>
      <c r="E114" s="94">
        <f>IF('FY20-21'!$S114&gt;0,'FY20-21'!E114/'FY20-21'!$S114*'Multi-Year'!$L114,0)+IF('FY20-21'!$S114&lt;0,'FY20-21'!E114/'FY20-21'!$S114*'Multi-Year'!$L114,0)</f>
        <v>0</v>
      </c>
      <c r="F114" s="94">
        <f>IF('FY20-21'!$S114&gt;0,'FY20-21'!F114/'FY20-21'!$S114*'Multi-Year'!$L114,0)+IF('FY20-21'!$S114&lt;0,'FY20-21'!F114/'FY20-21'!$S114*'Multi-Year'!$L114,0)</f>
        <v>0</v>
      </c>
      <c r="G114" s="94">
        <f>IF('FY20-21'!$S114&gt;0,'FY20-21'!G114/'FY20-21'!$S114*'Multi-Year'!$L114,0)+IF('FY20-21'!$S114&lt;0,'FY20-21'!G114/'FY20-21'!$S114*'Multi-Year'!$L114,0)</f>
        <v>0</v>
      </c>
      <c r="H114" s="94">
        <f>IF('FY20-21'!$S114&gt;0,'FY20-21'!H114/'FY20-21'!$S114*'Multi-Year'!$L114,0)+IF('FY20-21'!$S114&lt;0,'FY20-21'!H114/'FY20-21'!$S114*'Multi-Year'!$L114,0)</f>
        <v>0</v>
      </c>
      <c r="I114" s="94">
        <f>IF('FY20-21'!$S114&gt;0,'FY20-21'!I114/'FY20-21'!$S114*'Multi-Year'!$L114,0)+IF('FY20-21'!$S114&lt;0,'FY20-21'!I114/'FY20-21'!$S114*'Multi-Year'!$L114,0)</f>
        <v>0</v>
      </c>
      <c r="J114" s="94">
        <f>IF('FY20-21'!$S114&gt;0,'FY20-21'!J114/'FY20-21'!$S114*'Multi-Year'!$L114,0)+IF('FY20-21'!$S114&lt;0,'FY20-21'!J114/'FY20-21'!$S114*'Multi-Year'!$L114,0)</f>
        <v>0</v>
      </c>
      <c r="K114" s="94">
        <f>IF('FY20-21'!$S114&gt;0,'FY20-21'!K114/'FY20-21'!$S114*'Multi-Year'!$L114,0)+IF('FY20-21'!$S114&lt;0,'FY20-21'!K114/'FY20-21'!$S114*'Multi-Year'!$L114,0)</f>
        <v>0</v>
      </c>
      <c r="L114" s="94">
        <f>IF('FY20-21'!$S114&gt;0,'FY20-21'!L114/'FY20-21'!$S114*'Multi-Year'!$L114,0)+IF('FY20-21'!$S114&lt;0,'FY20-21'!L114/'FY20-21'!$S114*'Multi-Year'!$L114,0)</f>
        <v>0</v>
      </c>
      <c r="M114" s="94">
        <f>IF('FY20-21'!$S114&gt;0,'FY20-21'!M114/'FY20-21'!$S114*'Multi-Year'!$L114,0)+IF('FY20-21'!$S114&lt;0,'FY20-21'!M114/'FY20-21'!$S114*'Multi-Year'!$L114,0)</f>
        <v>0</v>
      </c>
      <c r="N114" s="94">
        <f>IF('FY20-21'!$S114&gt;0,'FY20-21'!N114/'FY20-21'!$S114*'Multi-Year'!$L114,0)+IF('FY20-21'!$S114&lt;0,'FY20-21'!N114/'FY20-21'!$S114*'Multi-Year'!$L114,0)</f>
        <v>0</v>
      </c>
      <c r="O114" s="94">
        <f>IF('FY20-21'!$S114&gt;0,'FY20-21'!O114/'FY20-21'!$S114*'Multi-Year'!$L114,0)+IF('FY20-21'!$S114&lt;0,'FY20-21'!O114/'FY20-21'!$S114*'Multi-Year'!$L114,0)</f>
        <v>0</v>
      </c>
      <c r="P114" s="94">
        <f>IF('FY20-21'!$S114&gt;0,'FY20-21'!P114/'FY20-21'!$S114*'Multi-Year'!$L114,0)+IF('FY20-21'!$S114&lt;0,'FY20-21'!P114/'FY20-21'!$S114*'Multi-Year'!$L114,0)</f>
        <v>0</v>
      </c>
      <c r="Q114" s="606">
        <f>IF('FY20-21'!$S114&gt;0,'FY20-21'!Q114/'FY20-21'!$S114*'Multi-Year'!$L114,0)+IF('FY20-21'!$S114&lt;0,'FY20-21'!Q114/'FY20-21'!$S114*'Multi-Year'!$L114,0)</f>
        <v>0</v>
      </c>
      <c r="R114" s="94"/>
      <c r="S114" s="625">
        <f t="shared" si="41"/>
        <v>0</v>
      </c>
      <c r="T114" s="94"/>
      <c r="U114" s="94">
        <f>'FY20-21'!S114</f>
        <v>0</v>
      </c>
      <c r="V114" s="94">
        <f t="shared" si="42"/>
        <v>0</v>
      </c>
    </row>
    <row r="115" spans="1:22" s="95" customFormat="1" ht="12" customHeight="1">
      <c r="A115" s="124"/>
      <c r="B115" s="124" t="s">
        <v>186</v>
      </c>
      <c r="C115" s="102">
        <v>5604</v>
      </c>
      <c r="D115" s="127" t="s">
        <v>32</v>
      </c>
      <c r="E115" s="94">
        <f>IF('FY20-21'!$S115&gt;0,'FY20-21'!E115/'FY20-21'!$S115*'Multi-Year'!$L115,0)+IF('FY20-21'!$S115&lt;0,'FY20-21'!E115/'FY20-21'!$S115*'Multi-Year'!$L115,0)</f>
        <v>0</v>
      </c>
      <c r="F115" s="94">
        <f>IF('FY20-21'!$S115&gt;0,'FY20-21'!F115/'FY20-21'!$S115*'Multi-Year'!$L115,0)+IF('FY20-21'!$S115&lt;0,'FY20-21'!F115/'FY20-21'!$S115*'Multi-Year'!$L115,0)</f>
        <v>0</v>
      </c>
      <c r="G115" s="94">
        <f>IF('FY20-21'!$S115&gt;0,'FY20-21'!G115/'FY20-21'!$S115*'Multi-Year'!$L115,0)+IF('FY20-21'!$S115&lt;0,'FY20-21'!G115/'FY20-21'!$S115*'Multi-Year'!$L115,0)</f>
        <v>0</v>
      </c>
      <c r="H115" s="94">
        <f>IF('FY20-21'!$S115&gt;0,'FY20-21'!H115/'FY20-21'!$S115*'Multi-Year'!$L115,0)+IF('FY20-21'!$S115&lt;0,'FY20-21'!H115/'FY20-21'!$S115*'Multi-Year'!$L115,0)</f>
        <v>0</v>
      </c>
      <c r="I115" s="94">
        <f>IF('FY20-21'!$S115&gt;0,'FY20-21'!I115/'FY20-21'!$S115*'Multi-Year'!$L115,0)+IF('FY20-21'!$S115&lt;0,'FY20-21'!I115/'FY20-21'!$S115*'Multi-Year'!$L115,0)</f>
        <v>300.80777365900263</v>
      </c>
      <c r="J115" s="94">
        <f>IF('FY20-21'!$S115&gt;0,'FY20-21'!J115/'FY20-21'!$S115*'Multi-Year'!$L115,0)+IF('FY20-21'!$S115&lt;0,'FY20-21'!J115/'FY20-21'!$S115*'Multi-Year'!$L115,0)</f>
        <v>3280.9755106311832</v>
      </c>
      <c r="K115" s="94">
        <f>IF('FY20-21'!$S115&gt;0,'FY20-21'!K115/'FY20-21'!$S115*'Multi-Year'!$L115,0)+IF('FY20-21'!$S115&lt;0,'FY20-21'!K115/'FY20-21'!$S115*'Multi-Year'!$L115,0)</f>
        <v>7803.4291524117198</v>
      </c>
      <c r="L115" s="94">
        <f>IF('FY20-21'!$S115&gt;0,'FY20-21'!L115/'FY20-21'!$S115*'Multi-Year'!$L115,0)+IF('FY20-21'!$S115&lt;0,'FY20-21'!L115/'FY20-21'!$S115*'Multi-Year'!$L115,0)</f>
        <v>1137.0740585048209</v>
      </c>
      <c r="M115" s="94">
        <f>IF('FY20-21'!$S115&gt;0,'FY20-21'!M115/'FY20-21'!$S115*'Multi-Year'!$L115,0)+IF('FY20-21'!$S115&lt;0,'FY20-21'!M115/'FY20-21'!$S115*'Multi-Year'!$L115,0)</f>
        <v>620.22221372990236</v>
      </c>
      <c r="N115" s="94">
        <f>IF('FY20-21'!$S115&gt;0,'FY20-21'!N115/'FY20-21'!$S115*'Multi-Year'!$L115,0)+IF('FY20-21'!$S115&lt;0,'FY20-21'!N115/'FY20-21'!$S115*'Multi-Year'!$L115,0)</f>
        <v>-2997.7406996945274</v>
      </c>
      <c r="O115" s="94">
        <f>IF('FY20-21'!$S115&gt;0,'FY20-21'!O115/'FY20-21'!$S115*'Multi-Year'!$L115,0)+IF('FY20-21'!$S115&lt;0,'FY20-21'!O115/'FY20-21'!$S115*'Multi-Year'!$L115,0)</f>
        <v>-3771.984763167356</v>
      </c>
      <c r="P115" s="94">
        <f>IF('FY20-21'!$S115&gt;0,'FY20-21'!P115/'FY20-21'!$S115*'Multi-Year'!$L115,0)+IF('FY20-21'!$S115&lt;0,'FY20-21'!P115/'FY20-21'!$S115*'Multi-Year'!$L115,0)</f>
        <v>-2015.7221946221823</v>
      </c>
      <c r="Q115" s="606">
        <f>IF('FY20-21'!$S115&gt;0,'FY20-21'!Q115/'FY20-21'!$S115*'Multi-Year'!$L115,0)+IF('FY20-21'!$S115&lt;0,'FY20-21'!Q115/'FY20-21'!$S115*'Multi-Year'!$L115,0)</f>
        <v>0</v>
      </c>
      <c r="R115" s="94"/>
      <c r="S115" s="625">
        <f t="shared" si="41"/>
        <v>4357.0610514525642</v>
      </c>
      <c r="T115" s="94"/>
      <c r="U115" s="94">
        <f>'FY20-21'!S115</f>
        <v>4271.6284818162403</v>
      </c>
      <c r="V115" s="94">
        <f t="shared" si="42"/>
        <v>-85.432569636323933</v>
      </c>
    </row>
    <row r="116" spans="1:22" s="95" customFormat="1" ht="12" customHeight="1">
      <c r="A116" s="124"/>
      <c r="B116" s="124" t="s">
        <v>186</v>
      </c>
      <c r="C116" s="102">
        <v>5605</v>
      </c>
      <c r="D116" s="127" t="s">
        <v>99</v>
      </c>
      <c r="E116" s="94">
        <f>IF('FY20-21'!$S116&gt;0,'FY20-21'!E116/'FY20-21'!$S116*'Multi-Year'!$L116,0)+IF('FY20-21'!$S116&lt;0,'FY20-21'!E116/'FY20-21'!$S116*'Multi-Year'!$L116,0)</f>
        <v>0</v>
      </c>
      <c r="F116" s="94">
        <f>IF('FY20-21'!$S116&gt;0,'FY20-21'!F116/'FY20-21'!$S116*'Multi-Year'!$L116,0)+IF('FY20-21'!$S116&lt;0,'FY20-21'!F116/'FY20-21'!$S116*'Multi-Year'!$L116,0)</f>
        <v>0</v>
      </c>
      <c r="G116" s="94">
        <f>IF('FY20-21'!$S116&gt;0,'FY20-21'!G116/'FY20-21'!$S116*'Multi-Year'!$L116,0)+IF('FY20-21'!$S116&lt;0,'FY20-21'!G116/'FY20-21'!$S116*'Multi-Year'!$L116,0)</f>
        <v>0</v>
      </c>
      <c r="H116" s="94">
        <f>IF('FY20-21'!$S116&gt;0,'FY20-21'!H116/'FY20-21'!$S116*'Multi-Year'!$L116,0)+IF('FY20-21'!$S116&lt;0,'FY20-21'!H116/'FY20-21'!$S116*'Multi-Year'!$L116,0)</f>
        <v>0</v>
      </c>
      <c r="I116" s="94">
        <f>IF('FY20-21'!$S116&gt;0,'FY20-21'!I116/'FY20-21'!$S116*'Multi-Year'!$L116,0)+IF('FY20-21'!$S116&lt;0,'FY20-21'!I116/'FY20-21'!$S116*'Multi-Year'!$L116,0)</f>
        <v>0</v>
      </c>
      <c r="J116" s="94">
        <f>IF('FY20-21'!$S116&gt;0,'FY20-21'!J116/'FY20-21'!$S116*'Multi-Year'!$L116,0)+IF('FY20-21'!$S116&lt;0,'FY20-21'!J116/'FY20-21'!$S116*'Multi-Year'!$L116,0)</f>
        <v>0</v>
      </c>
      <c r="K116" s="94">
        <f>IF('FY20-21'!$S116&gt;0,'FY20-21'!K116/'FY20-21'!$S116*'Multi-Year'!$L116,0)+IF('FY20-21'!$S116&lt;0,'FY20-21'!K116/'FY20-21'!$S116*'Multi-Year'!$L116,0)</f>
        <v>0</v>
      </c>
      <c r="L116" s="94">
        <f>IF('FY20-21'!$S116&gt;0,'FY20-21'!L116/'FY20-21'!$S116*'Multi-Year'!$L116,0)+IF('FY20-21'!$S116&lt;0,'FY20-21'!L116/'FY20-21'!$S116*'Multi-Year'!$L116,0)</f>
        <v>0</v>
      </c>
      <c r="M116" s="94">
        <f>IF('FY20-21'!$S116&gt;0,'FY20-21'!M116/'FY20-21'!$S116*'Multi-Year'!$L116,0)+IF('FY20-21'!$S116&lt;0,'FY20-21'!M116/'FY20-21'!$S116*'Multi-Year'!$L116,0)</f>
        <v>0</v>
      </c>
      <c r="N116" s="94">
        <f>IF('FY20-21'!$S116&gt;0,'FY20-21'!N116/'FY20-21'!$S116*'Multi-Year'!$L116,0)+IF('FY20-21'!$S116&lt;0,'FY20-21'!N116/'FY20-21'!$S116*'Multi-Year'!$L116,0)</f>
        <v>0</v>
      </c>
      <c r="O116" s="94">
        <f>IF('FY20-21'!$S116&gt;0,'FY20-21'!O116/'FY20-21'!$S116*'Multi-Year'!$L116,0)+IF('FY20-21'!$S116&lt;0,'FY20-21'!O116/'FY20-21'!$S116*'Multi-Year'!$L116,0)</f>
        <v>0</v>
      </c>
      <c r="P116" s="94">
        <f>IF('FY20-21'!$S116&gt;0,'FY20-21'!P116/'FY20-21'!$S116*'Multi-Year'!$L116,0)+IF('FY20-21'!$S116&lt;0,'FY20-21'!P116/'FY20-21'!$S116*'Multi-Year'!$L116,0)</f>
        <v>0</v>
      </c>
      <c r="Q116" s="606">
        <f>IF('FY20-21'!$S116&gt;0,'FY20-21'!Q116/'FY20-21'!$S116*'Multi-Year'!$L116,0)+IF('FY20-21'!$S116&lt;0,'FY20-21'!Q116/'FY20-21'!$S116*'Multi-Year'!$L116,0)</f>
        <v>0</v>
      </c>
      <c r="R116" s="94"/>
      <c r="S116" s="625">
        <f t="shared" si="41"/>
        <v>0</v>
      </c>
      <c r="T116" s="94"/>
      <c r="U116" s="94">
        <f>'FY20-21'!S116</f>
        <v>0</v>
      </c>
      <c r="V116" s="94">
        <f t="shared" si="42"/>
        <v>0</v>
      </c>
    </row>
    <row r="117" spans="1:22" s="95" customFormat="1" ht="12" customHeight="1">
      <c r="A117" s="124"/>
      <c r="B117" s="124" t="s">
        <v>186</v>
      </c>
      <c r="C117" s="102">
        <v>5610</v>
      </c>
      <c r="D117" s="127" t="s">
        <v>33</v>
      </c>
      <c r="E117" s="94">
        <f>IF('FY20-21'!$S117&gt;0,'FY20-21'!E117/'FY20-21'!$S117*'Multi-Year'!$L117,0)+IF('FY20-21'!$S117&lt;0,'FY20-21'!E117/'FY20-21'!$S117*'Multi-Year'!$L117,0)</f>
        <v>0</v>
      </c>
      <c r="F117" s="94">
        <f>IF('FY20-21'!$S117&gt;0,'FY20-21'!F117/'FY20-21'!$S117*'Multi-Year'!$L117,0)+IF('FY20-21'!$S117&lt;0,'FY20-21'!F117/'FY20-21'!$S117*'Multi-Year'!$L117,0)</f>
        <v>0</v>
      </c>
      <c r="G117" s="94">
        <f>IF('FY20-21'!$S117&gt;0,'FY20-21'!G117/'FY20-21'!$S117*'Multi-Year'!$L117,0)+IF('FY20-21'!$S117&lt;0,'FY20-21'!G117/'FY20-21'!$S117*'Multi-Year'!$L117,0)</f>
        <v>36.179629134244301</v>
      </c>
      <c r="H117" s="94">
        <f>IF('FY20-21'!$S117&gt;0,'FY20-21'!H117/'FY20-21'!$S117*'Multi-Year'!$L117,0)+IF('FY20-21'!$S117&lt;0,'FY20-21'!H117/'FY20-21'!$S117*'Multi-Year'!$L117,0)</f>
        <v>0</v>
      </c>
      <c r="I117" s="94">
        <f>IF('FY20-21'!$S117&gt;0,'FY20-21'!I117/'FY20-21'!$S117*'Multi-Year'!$L117,0)+IF('FY20-21'!$S117&lt;0,'FY20-21'!I117/'FY20-21'!$S117*'Multi-Year'!$L117,0)</f>
        <v>0</v>
      </c>
      <c r="J117" s="94">
        <f>IF('FY20-21'!$S117&gt;0,'FY20-21'!J117/'FY20-21'!$S117*'Multi-Year'!$L117,0)+IF('FY20-21'!$S117&lt;0,'FY20-21'!J117/'FY20-21'!$S117*'Multi-Year'!$L117,0)</f>
        <v>0</v>
      </c>
      <c r="K117" s="94">
        <f>IF('FY20-21'!$S117&gt;0,'FY20-21'!K117/'FY20-21'!$S117*'Multi-Year'!$L117,0)+IF('FY20-21'!$S117&lt;0,'FY20-21'!K117/'FY20-21'!$S117*'Multi-Year'!$L117,0)</f>
        <v>20674.073790996743</v>
      </c>
      <c r="L117" s="94">
        <f>IF('FY20-21'!$S117&gt;0,'FY20-21'!L117/'FY20-21'!$S117*'Multi-Year'!$L117,0)+IF('FY20-21'!$S117&lt;0,'FY20-21'!L117/'FY20-21'!$S117*'Multi-Year'!$L117,0)</f>
        <v>-36.179629134244301</v>
      </c>
      <c r="M117" s="94">
        <f>IF('FY20-21'!$S117&gt;0,'FY20-21'!M117/'FY20-21'!$S117*'Multi-Year'!$L117,0)+IF('FY20-21'!$S117&lt;0,'FY20-21'!M117/'FY20-21'!$S117*'Multi-Year'!$L117,0)</f>
        <v>0</v>
      </c>
      <c r="N117" s="94">
        <f>IF('FY20-21'!$S117&gt;0,'FY20-21'!N117/'FY20-21'!$S117*'Multi-Year'!$L117,0)+IF('FY20-21'!$S117&lt;0,'FY20-21'!N117/'FY20-21'!$S117*'Multi-Year'!$L117,0)</f>
        <v>0</v>
      </c>
      <c r="O117" s="94">
        <f>IF('FY20-21'!$S117&gt;0,'FY20-21'!O117/'FY20-21'!$S117*'Multi-Year'!$L117,0)+IF('FY20-21'!$S117&lt;0,'FY20-21'!O117/'FY20-21'!$S117*'Multi-Year'!$L117,0)</f>
        <v>0</v>
      </c>
      <c r="P117" s="94">
        <f>IF('FY20-21'!$S117&gt;0,'FY20-21'!P117/'FY20-21'!$S117*'Multi-Year'!$L117,0)+IF('FY20-21'!$S117&lt;0,'FY20-21'!P117/'FY20-21'!$S117*'Multi-Year'!$L117,0)</f>
        <v>0</v>
      </c>
      <c r="Q117" s="606">
        <f>IF('FY20-21'!$S117&gt;0,'FY20-21'!Q117/'FY20-21'!$S117*'Multi-Year'!$L117,0)+IF('FY20-21'!$S117&lt;0,'FY20-21'!Q117/'FY20-21'!$S117*'Multi-Year'!$L117,0)</f>
        <v>0</v>
      </c>
      <c r="R117" s="94"/>
      <c r="S117" s="625">
        <f t="shared" si="41"/>
        <v>20674.073790996743</v>
      </c>
      <c r="T117" s="94"/>
      <c r="U117" s="94">
        <f>'FY20-21'!S117</f>
        <v>20268.699795094846</v>
      </c>
      <c r="V117" s="94">
        <f t="shared" si="42"/>
        <v>-405.37399590189671</v>
      </c>
    </row>
    <row r="118" spans="1:22" s="95" customFormat="1" ht="12" customHeight="1">
      <c r="A118" s="124"/>
      <c r="B118" s="124" t="s">
        <v>186</v>
      </c>
      <c r="C118" s="126"/>
      <c r="D118" s="126"/>
      <c r="E118" s="215">
        <f t="shared" ref="E118:Q118" si="43">SUM(E112:E117)</f>
        <v>0</v>
      </c>
      <c r="F118" s="215">
        <f t="shared" si="43"/>
        <v>0</v>
      </c>
      <c r="G118" s="215">
        <f t="shared" si="43"/>
        <v>4351.8925330048141</v>
      </c>
      <c r="H118" s="215">
        <f t="shared" si="43"/>
        <v>20764.626234201303</v>
      </c>
      <c r="I118" s="215">
        <f t="shared" si="43"/>
        <v>8081.3920745316709</v>
      </c>
      <c r="J118" s="215">
        <f t="shared" si="43"/>
        <v>3280.9755106311832</v>
      </c>
      <c r="K118" s="215">
        <f t="shared" si="43"/>
        <v>28477.502943408464</v>
      </c>
      <c r="L118" s="215">
        <f t="shared" si="43"/>
        <v>1100.8944293705765</v>
      </c>
      <c r="M118" s="215">
        <f t="shared" si="43"/>
        <v>620.22221372990236</v>
      </c>
      <c r="N118" s="215">
        <f t="shared" si="43"/>
        <v>-2997.7406996945274</v>
      </c>
      <c r="O118" s="215">
        <f t="shared" si="43"/>
        <v>-3771.984763167356</v>
      </c>
      <c r="P118" s="215">
        <f t="shared" si="43"/>
        <v>-2145.9688595054618</v>
      </c>
      <c r="Q118" s="603">
        <f t="shared" si="43"/>
        <v>0</v>
      </c>
      <c r="R118" s="94"/>
      <c r="S118" s="626">
        <f>SUM(E118:R118)</f>
        <v>57761.81161651056</v>
      </c>
      <c r="T118" s="94"/>
      <c r="U118" s="216">
        <f>SUM(U112:U117)</f>
        <v>56629.227075010363</v>
      </c>
      <c r="V118" s="216">
        <f>SUM(V112:V117)</f>
        <v>-1132.584541500205</v>
      </c>
    </row>
    <row r="119" spans="1:22" s="95" customFormat="1" ht="12" customHeight="1">
      <c r="A119" s="124"/>
      <c r="B119" s="124" t="s">
        <v>285</v>
      </c>
      <c r="C119" s="126"/>
      <c r="D119" s="126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606"/>
      <c r="R119" s="94"/>
      <c r="S119" s="627"/>
      <c r="T119" s="94"/>
      <c r="U119" s="94"/>
      <c r="V119" s="94"/>
    </row>
    <row r="120" spans="1:22" s="95" customFormat="1" ht="12" customHeight="1">
      <c r="A120" s="124"/>
      <c r="B120" s="124" t="s">
        <v>186</v>
      </c>
      <c r="C120" s="102">
        <v>5801</v>
      </c>
      <c r="D120" s="127" t="s">
        <v>92</v>
      </c>
      <c r="E120" s="94">
        <f>IF('FY20-21'!$S120&gt;0,'FY20-21'!E120/'FY20-21'!$S120*'Multi-Year'!$L120,0)+IF('FY20-21'!$S120&lt;0,'FY20-21'!E120/'FY20-21'!$S120*'Multi-Year'!$L120,0)</f>
        <v>0</v>
      </c>
      <c r="F120" s="94">
        <f>IF('FY20-21'!$S120&gt;0,'FY20-21'!F120/'FY20-21'!$S120*'Multi-Year'!$L120,0)+IF('FY20-21'!$S120&lt;0,'FY20-21'!F120/'FY20-21'!$S120*'Multi-Year'!$L120,0)</f>
        <v>0</v>
      </c>
      <c r="G120" s="94">
        <f>IF('FY20-21'!$S120&gt;0,'FY20-21'!G120/'FY20-21'!$S120*'Multi-Year'!$L120,0)+IF('FY20-21'!$S120&lt;0,'FY20-21'!G120/'FY20-21'!$S120*'Multi-Year'!$L120,0)</f>
        <v>0</v>
      </c>
      <c r="H120" s="94">
        <f>IF('FY20-21'!$S120&gt;0,'FY20-21'!H120/'FY20-21'!$S120*'Multi-Year'!$L120,0)+IF('FY20-21'!$S120&lt;0,'FY20-21'!H120/'FY20-21'!$S120*'Multi-Year'!$L120,0)</f>
        <v>723.592582684886</v>
      </c>
      <c r="I120" s="94">
        <f>IF('FY20-21'!$S120&gt;0,'FY20-21'!I120/'FY20-21'!$S120*'Multi-Year'!$L120,0)+IF('FY20-21'!$S120&lt;0,'FY20-21'!I120/'FY20-21'!$S120*'Multi-Year'!$L120,0)</f>
        <v>0</v>
      </c>
      <c r="J120" s="94">
        <f>IF('FY20-21'!$S120&gt;0,'FY20-21'!J120/'FY20-21'!$S120*'Multi-Year'!$L120,0)+IF('FY20-21'!$S120&lt;0,'FY20-21'!J120/'FY20-21'!$S120*'Multi-Year'!$L120,0)</f>
        <v>0</v>
      </c>
      <c r="K120" s="94">
        <f>IF('FY20-21'!$S120&gt;0,'FY20-21'!K120/'FY20-21'!$S120*'Multi-Year'!$L120,0)+IF('FY20-21'!$S120&lt;0,'FY20-21'!K120/'FY20-21'!$S120*'Multi-Year'!$L120,0)</f>
        <v>0</v>
      </c>
      <c r="L120" s="94">
        <f>IF('FY20-21'!$S120&gt;0,'FY20-21'!L120/'FY20-21'!$S120*'Multi-Year'!$L120,0)+IF('FY20-21'!$S120&lt;0,'FY20-21'!L120/'FY20-21'!$S120*'Multi-Year'!$L120,0)</f>
        <v>0</v>
      </c>
      <c r="M120" s="94">
        <f>IF('FY20-21'!$S120&gt;0,'FY20-21'!M120/'FY20-21'!$S120*'Multi-Year'!$L120,0)+IF('FY20-21'!$S120&lt;0,'FY20-21'!M120/'FY20-21'!$S120*'Multi-Year'!$L120,0)</f>
        <v>0</v>
      </c>
      <c r="N120" s="94">
        <f>IF('FY20-21'!$S120&gt;0,'FY20-21'!N120/'FY20-21'!$S120*'Multi-Year'!$L120,0)+IF('FY20-21'!$S120&lt;0,'FY20-21'!N120/'FY20-21'!$S120*'Multi-Year'!$L120,0)</f>
        <v>930.33332059485349</v>
      </c>
      <c r="O120" s="94">
        <f>IF('FY20-21'!$S120&gt;0,'FY20-21'!O120/'FY20-21'!$S120*'Multi-Year'!$L120,0)+IF('FY20-21'!$S120&lt;0,'FY20-21'!O120/'FY20-21'!$S120*'Multi-Year'!$L120,0)</f>
        <v>0</v>
      </c>
      <c r="P120" s="94">
        <f>IF('FY20-21'!$S120&gt;0,'FY20-21'!P120/'FY20-21'!$S120*'Multi-Year'!$L120,0)+IF('FY20-21'!$S120&lt;0,'FY20-21'!P120/'FY20-21'!$S120*'Multi-Year'!$L120,0)</f>
        <v>27819.964026485814</v>
      </c>
      <c r="Q120" s="606">
        <f>IF('FY20-21'!$S120&gt;0,'FY20-21'!Q120/'FY20-21'!$S120*'Multi-Year'!$L120,0)+IF('FY20-21'!$S120&lt;0,'FY20-21'!Q120/'FY20-21'!$S120*'Multi-Year'!$L120,0)</f>
        <v>0</v>
      </c>
      <c r="R120" s="94"/>
      <c r="S120" s="625">
        <f t="shared" ref="S120:S133" si="44">SUM(E120:Q120)</f>
        <v>29473.889929765552</v>
      </c>
      <c r="T120" s="94"/>
      <c r="U120" s="94">
        <f>'FY20-21'!S120</f>
        <v>28895.970519377992</v>
      </c>
      <c r="V120" s="94">
        <f t="shared" ref="V120:V133" si="45">U120-S120</f>
        <v>-577.91941038755976</v>
      </c>
    </row>
    <row r="121" spans="1:22" s="95" customFormat="1" ht="12" customHeight="1">
      <c r="A121" s="124"/>
      <c r="B121" s="124" t="s">
        <v>186</v>
      </c>
      <c r="C121" s="102">
        <v>5802</v>
      </c>
      <c r="D121" s="127" t="s">
        <v>170</v>
      </c>
      <c r="E121" s="94">
        <f>IF('FY20-21'!$S121&gt;0,'FY20-21'!E121/'FY20-21'!$S121*'Multi-Year'!$L121,0)+IF('FY20-21'!$S121&lt;0,'FY20-21'!E121/'FY20-21'!$S121*'Multi-Year'!$L121,0)</f>
        <v>0</v>
      </c>
      <c r="F121" s="94">
        <f>IF('FY20-21'!$S121&gt;0,'FY20-21'!F121/'FY20-21'!$S121*'Multi-Year'!$L121,0)+IF('FY20-21'!$S121&lt;0,'FY20-21'!F121/'FY20-21'!$S121*'Multi-Year'!$L121,0)</f>
        <v>0</v>
      </c>
      <c r="G121" s="94">
        <f>IF('FY20-21'!$S121&gt;0,'FY20-21'!G121/'FY20-21'!$S121*'Multi-Year'!$L121,0)+IF('FY20-21'!$S121&lt;0,'FY20-21'!G121/'FY20-21'!$S121*'Multi-Year'!$L121,0)</f>
        <v>0</v>
      </c>
      <c r="H121" s="94">
        <f>IF('FY20-21'!$S121&gt;0,'FY20-21'!H121/'FY20-21'!$S121*'Multi-Year'!$L121,0)+IF('FY20-21'!$S121&lt;0,'FY20-21'!H121/'FY20-21'!$S121*'Multi-Year'!$L121,0)</f>
        <v>0</v>
      </c>
      <c r="I121" s="94">
        <f>IF('FY20-21'!$S121&gt;0,'FY20-21'!I121/'FY20-21'!$S121*'Multi-Year'!$L121,0)+IF('FY20-21'!$S121&lt;0,'FY20-21'!I121/'FY20-21'!$S121*'Multi-Year'!$L121,0)</f>
        <v>0</v>
      </c>
      <c r="J121" s="94">
        <f>IF('FY20-21'!$S121&gt;0,'FY20-21'!J121/'FY20-21'!$S121*'Multi-Year'!$L121,0)+IF('FY20-21'!$S121&lt;0,'FY20-21'!J121/'FY20-21'!$S121*'Multi-Year'!$L121,0)</f>
        <v>0</v>
      </c>
      <c r="K121" s="94">
        <f>IF('FY20-21'!$S121&gt;0,'FY20-21'!K121/'FY20-21'!$S121*'Multi-Year'!$L121,0)+IF('FY20-21'!$S121&lt;0,'FY20-21'!K121/'FY20-21'!$S121*'Multi-Year'!$L121,0)</f>
        <v>0</v>
      </c>
      <c r="L121" s="94">
        <f>IF('FY20-21'!$S121&gt;0,'FY20-21'!L121/'FY20-21'!$S121*'Multi-Year'!$L121,0)+IF('FY20-21'!$S121&lt;0,'FY20-21'!L121/'FY20-21'!$S121*'Multi-Year'!$L121,0)</f>
        <v>0</v>
      </c>
      <c r="M121" s="94">
        <f>IF('FY20-21'!$S121&gt;0,'FY20-21'!M121/'FY20-21'!$S121*'Multi-Year'!$L121,0)+IF('FY20-21'!$S121&lt;0,'FY20-21'!M121/'FY20-21'!$S121*'Multi-Year'!$L121,0)</f>
        <v>0</v>
      </c>
      <c r="N121" s="94">
        <f>IF('FY20-21'!$S121&gt;0,'FY20-21'!N121/'FY20-21'!$S121*'Multi-Year'!$L121,0)+IF('FY20-21'!$S121&lt;0,'FY20-21'!N121/'FY20-21'!$S121*'Multi-Year'!$L121,0)</f>
        <v>0</v>
      </c>
      <c r="O121" s="94">
        <f>IF('FY20-21'!$S121&gt;0,'FY20-21'!O121/'FY20-21'!$S121*'Multi-Year'!$L121,0)+IF('FY20-21'!$S121&lt;0,'FY20-21'!O121/'FY20-21'!$S121*'Multi-Year'!$L121,0)</f>
        <v>0</v>
      </c>
      <c r="P121" s="94">
        <f>IF('FY20-21'!$S121&gt;0,'FY20-21'!P121/'FY20-21'!$S121*'Multi-Year'!$L121,0)+IF('FY20-21'!$S121&lt;0,'FY20-21'!P121/'FY20-21'!$S121*'Multi-Year'!$L121,0)</f>
        <v>0</v>
      </c>
      <c r="Q121" s="606">
        <f>IF('FY20-21'!$S121&gt;0,'FY20-21'!Q121/'FY20-21'!$S121*'Multi-Year'!$L121,0)+IF('FY20-21'!$S121&lt;0,'FY20-21'!Q121/'FY20-21'!$S121*'Multi-Year'!$L121,0)</f>
        <v>0</v>
      </c>
      <c r="R121" s="94"/>
      <c r="S121" s="625">
        <f t="shared" si="44"/>
        <v>0</v>
      </c>
      <c r="T121" s="94"/>
      <c r="U121" s="94">
        <f>'FY20-21'!S121</f>
        <v>0</v>
      </c>
      <c r="V121" s="94">
        <f t="shared" si="45"/>
        <v>0</v>
      </c>
    </row>
    <row r="122" spans="1:22" s="95" customFormat="1" ht="12" customHeight="1">
      <c r="A122" s="124"/>
      <c r="B122" s="124" t="s">
        <v>186</v>
      </c>
      <c r="C122" s="102">
        <v>5803</v>
      </c>
      <c r="D122" s="127" t="s">
        <v>93</v>
      </c>
      <c r="E122" s="94">
        <f>IF('FY20-21'!$S122&gt;0,'FY20-21'!E122/'FY20-21'!$S122*'Multi-Year'!$L122,0)+IF('FY20-21'!$S122&lt;0,'FY20-21'!E122/'FY20-21'!$S122*'Multi-Year'!$L122,0)</f>
        <v>3586.9766760000002</v>
      </c>
      <c r="F122" s="94">
        <f>IF('FY20-21'!$S122&gt;0,'FY20-21'!F122/'FY20-21'!$S122*'Multi-Year'!$L122,0)+IF('FY20-21'!$S122&lt;0,'FY20-21'!F122/'FY20-21'!$S122*'Multi-Year'!$L122,0)</f>
        <v>374.54399999999998</v>
      </c>
      <c r="G122" s="94">
        <f>IF('FY20-21'!$S122&gt;0,'FY20-21'!G122/'FY20-21'!$S122*'Multi-Year'!$L122,0)+IF('FY20-21'!$S122&lt;0,'FY20-21'!G122/'FY20-21'!$S122*'Multi-Year'!$L122,0)</f>
        <v>457.77600000000001</v>
      </c>
      <c r="H122" s="94">
        <f>IF('FY20-21'!$S122&gt;0,'FY20-21'!H122/'FY20-21'!$S122*'Multi-Year'!$L122,0)+IF('FY20-21'!$S122&lt;0,'FY20-21'!H122/'FY20-21'!$S122*'Multi-Year'!$L122,0)</f>
        <v>1582.4484</v>
      </c>
      <c r="I122" s="94">
        <f>IF('FY20-21'!$S122&gt;0,'FY20-21'!I122/'FY20-21'!$S122*'Multi-Year'!$L122,0)+IF('FY20-21'!$S122&lt;0,'FY20-21'!I122/'FY20-21'!$S122*'Multi-Year'!$L122,0)</f>
        <v>0</v>
      </c>
      <c r="J122" s="94">
        <f>IF('FY20-21'!$S122&gt;0,'FY20-21'!J122/'FY20-21'!$S122*'Multi-Year'!$L122,0)+IF('FY20-21'!$S122&lt;0,'FY20-21'!J122/'FY20-21'!$S122*'Multi-Year'!$L122,0)</f>
        <v>286.11</v>
      </c>
      <c r="K122" s="94">
        <f>IF('FY20-21'!$S122&gt;0,'FY20-21'!K122/'FY20-21'!$S122*'Multi-Year'!$L122,0)+IF('FY20-21'!$S122&lt;0,'FY20-21'!K122/'FY20-21'!$S122*'Multi-Year'!$L122,0)</f>
        <v>1347.4220399999999</v>
      </c>
      <c r="L122" s="94">
        <f>IF('FY20-21'!$S122&gt;0,'FY20-21'!L122/'FY20-21'!$S122*'Multi-Year'!$L122,0)+IF('FY20-21'!$S122&lt;0,'FY20-21'!L122/'FY20-21'!$S122*'Multi-Year'!$L122,0)</f>
        <v>1026.0528840000002</v>
      </c>
      <c r="M122" s="94">
        <f>IF('FY20-21'!$S122&gt;0,'FY20-21'!M122/'FY20-21'!$S122*'Multi-Year'!$L122,0)+IF('FY20-21'!$S122&lt;0,'FY20-21'!M122/'FY20-21'!$S122*'Multi-Year'!$L122,0)</f>
        <v>3683.6922600000003</v>
      </c>
      <c r="N122" s="94">
        <f>IF('FY20-21'!$S122&gt;0,'FY20-21'!N122/'FY20-21'!$S122*'Multi-Year'!$L122,0)+IF('FY20-21'!$S122&lt;0,'FY20-21'!N122/'FY20-21'!$S122*'Multi-Year'!$L122,0)</f>
        <v>6440.076</v>
      </c>
      <c r="O122" s="94">
        <f>IF('FY20-21'!$S122&gt;0,'FY20-21'!O122/'FY20-21'!$S122*'Multi-Year'!$L122,0)+IF('FY20-21'!$S122&lt;0,'FY20-21'!O122/'FY20-21'!$S122*'Multi-Year'!$L122,0)</f>
        <v>320.44320000000005</v>
      </c>
      <c r="P122" s="94">
        <f>IF('FY20-21'!$S122&gt;0,'FY20-21'!P122/'FY20-21'!$S122*'Multi-Year'!$L122,0)+IF('FY20-21'!$S122&lt;0,'FY20-21'!P122/'FY20-21'!$S122*'Multi-Year'!$L122,0)</f>
        <v>46466.209548000006</v>
      </c>
      <c r="Q122" s="606">
        <f>IF('FY20-21'!$S122&gt;0,'FY20-21'!Q122/'FY20-21'!$S122*'Multi-Year'!$L122,0)+IF('FY20-21'!$S122&lt;0,'FY20-21'!Q122/'FY20-21'!$S122*'Multi-Year'!$L122,0)</f>
        <v>0</v>
      </c>
      <c r="R122" s="94"/>
      <c r="S122" s="625">
        <f t="shared" si="44"/>
        <v>65571.751008000007</v>
      </c>
      <c r="T122" s="94"/>
      <c r="U122" s="94">
        <f>'FY20-21'!S122</f>
        <v>64286.030400000003</v>
      </c>
      <c r="V122" s="94">
        <f t="shared" si="45"/>
        <v>-1285.7206080000033</v>
      </c>
    </row>
    <row r="123" spans="1:22" s="95" customFormat="1" ht="12" customHeight="1">
      <c r="A123" s="124"/>
      <c r="B123" s="124" t="s">
        <v>186</v>
      </c>
      <c r="C123" s="102">
        <v>5804</v>
      </c>
      <c r="D123" s="127" t="s">
        <v>35</v>
      </c>
      <c r="E123" s="94">
        <f>IF('FY20-21'!$S123&gt;0,'FY20-21'!E123/'FY20-21'!$S123*'Multi-Year'!$L123,0)+IF('FY20-21'!$S123&lt;0,'FY20-21'!E123/'FY20-21'!$S123*'Multi-Year'!$L123,0)</f>
        <v>325.6166622081987</v>
      </c>
      <c r="F123" s="94">
        <f>IF('FY20-21'!$S123&gt;0,'FY20-21'!F123/'FY20-21'!$S123*'Multi-Year'!$L123,0)+IF('FY20-21'!$S123&lt;0,'FY20-21'!F123/'FY20-21'!$S123*'Multi-Year'!$L123,0)</f>
        <v>0</v>
      </c>
      <c r="G123" s="94">
        <f>IF('FY20-21'!$S123&gt;0,'FY20-21'!G123/'FY20-21'!$S123*'Multi-Year'!$L123,0)+IF('FY20-21'!$S123&lt;0,'FY20-21'!G123/'FY20-21'!$S123*'Multi-Year'!$L123,0)</f>
        <v>0</v>
      </c>
      <c r="H123" s="94">
        <f>IF('FY20-21'!$S123&gt;0,'FY20-21'!H123/'FY20-21'!$S123*'Multi-Year'!$L123,0)+IF('FY20-21'!$S123&lt;0,'FY20-21'!H123/'FY20-21'!$S123*'Multi-Year'!$L123,0)</f>
        <v>165.22719773764598</v>
      </c>
      <c r="I123" s="94">
        <f>IF('FY20-21'!$S123&gt;0,'FY20-21'!I123/'FY20-21'!$S123*'Multi-Year'!$L123,0)+IF('FY20-21'!$S123&lt;0,'FY20-21'!I123/'FY20-21'!$S123*'Multi-Year'!$L123,0)</f>
        <v>8982.8850621880847</v>
      </c>
      <c r="J123" s="94">
        <f>IF('FY20-21'!$S123&gt;0,'FY20-21'!J123/'FY20-21'!$S123*'Multi-Year'!$L123,0)+IF('FY20-21'!$S123&lt;0,'FY20-21'!J123/'FY20-21'!$S123*'Multi-Year'!$L123,0)</f>
        <v>0</v>
      </c>
      <c r="K123" s="94">
        <f>IF('FY20-21'!$S123&gt;0,'FY20-21'!K123/'FY20-21'!$S123*'Multi-Year'!$L123,0)+IF('FY20-21'!$S123&lt;0,'FY20-21'!K123/'FY20-21'!$S123*'Multi-Year'!$L123,0)</f>
        <v>5734.9880696224964</v>
      </c>
      <c r="L123" s="94">
        <f>IF('FY20-21'!$S123&gt;0,'FY20-21'!L123/'FY20-21'!$S123*'Multi-Year'!$L123,0)+IF('FY20-21'!$S123&lt;0,'FY20-21'!L123/'FY20-21'!$S123*'Multi-Year'!$L123,0)</f>
        <v>0</v>
      </c>
      <c r="M123" s="94">
        <f>IF('FY20-21'!$S123&gt;0,'FY20-21'!M123/'FY20-21'!$S123*'Multi-Year'!$L123,0)+IF('FY20-21'!$S123&lt;0,'FY20-21'!M123/'FY20-21'!$S123*'Multi-Year'!$L123,0)</f>
        <v>0</v>
      </c>
      <c r="N123" s="94">
        <f>IF('FY20-21'!$S123&gt;0,'FY20-21'!N123/'FY20-21'!$S123*'Multi-Year'!$L123,0)+IF('FY20-21'!$S123&lt;0,'FY20-21'!N123/'FY20-21'!$S123*'Multi-Year'!$L123,0)</f>
        <v>137.01742404983091</v>
      </c>
      <c r="O123" s="94">
        <f>IF('FY20-21'!$S123&gt;0,'FY20-21'!O123/'FY20-21'!$S123*'Multi-Year'!$L123,0)+IF('FY20-21'!$S123&lt;0,'FY20-21'!O123/'FY20-21'!$S123*'Multi-Year'!$L123,0)</f>
        <v>126.62870196985504</v>
      </c>
      <c r="P123" s="94">
        <f>IF('FY20-21'!$S123&gt;0,'FY20-21'!P123/'FY20-21'!$S123*'Multi-Year'!$L123,0)+IF('FY20-21'!$S123&lt;0,'FY20-21'!P123/'FY20-21'!$S123*'Multi-Year'!$L123,0)</f>
        <v>18796.86789077424</v>
      </c>
      <c r="Q123" s="606">
        <f>IF('FY20-21'!$S123&gt;0,'FY20-21'!Q123/'FY20-21'!$S123*'Multi-Year'!$L123,0)+IF('FY20-21'!$S123&lt;0,'FY20-21'!Q123/'FY20-21'!$S123*'Multi-Year'!$L123,0)</f>
        <v>0</v>
      </c>
      <c r="R123" s="94"/>
      <c r="S123" s="625">
        <f t="shared" si="44"/>
        <v>34269.231008550349</v>
      </c>
      <c r="T123" s="94"/>
      <c r="U123" s="94">
        <f>'FY20-21'!S123</f>
        <v>33597.285302500342</v>
      </c>
      <c r="V123" s="94">
        <f t="shared" si="45"/>
        <v>-671.94570605000627</v>
      </c>
    </row>
    <row r="124" spans="1:22" s="95" customFormat="1" ht="12" customHeight="1">
      <c r="A124" s="124"/>
      <c r="B124" s="124" t="s">
        <v>186</v>
      </c>
      <c r="C124" s="102">
        <v>5805</v>
      </c>
      <c r="D124" s="127" t="s">
        <v>94</v>
      </c>
      <c r="E124" s="94">
        <f>IF('FY20-21'!$S124&gt;0,'FY20-21'!E124/'FY20-21'!$S124*'Multi-Year'!$L124,0)+IF('FY20-21'!$S124&lt;0,'FY20-21'!E124/'FY20-21'!$S124*'Multi-Year'!$L124,0)</f>
        <v>775.27776716237781</v>
      </c>
      <c r="F124" s="94">
        <f>IF('FY20-21'!$S124&gt;0,'FY20-21'!F124/'FY20-21'!$S124*'Multi-Year'!$L124,0)+IF('FY20-21'!$S124&lt;0,'FY20-21'!F124/'FY20-21'!$S124*'Multi-Year'!$L124,0)</f>
        <v>516.8518447749185</v>
      </c>
      <c r="G124" s="94">
        <f>IF('FY20-21'!$S124&gt;0,'FY20-21'!G124/'FY20-21'!$S124*'Multi-Year'!$L124,0)+IF('FY20-21'!$S124&lt;0,'FY20-21'!G124/'FY20-21'!$S124*'Multi-Year'!$L124,0)</f>
        <v>0</v>
      </c>
      <c r="H124" s="94">
        <f>IF('FY20-21'!$S124&gt;0,'FY20-21'!H124/'FY20-21'!$S124*'Multi-Year'!$L124,0)+IF('FY20-21'!$S124&lt;0,'FY20-21'!H124/'FY20-21'!$S124*'Multi-Year'!$L124,0)</f>
        <v>2943.9881078379358</v>
      </c>
      <c r="I124" s="94">
        <f>IF('FY20-21'!$S124&gt;0,'FY20-21'!I124/'FY20-21'!$S124*'Multi-Year'!$L124,0)+IF('FY20-21'!$S124&lt;0,'FY20-21'!I124/'FY20-21'!$S124*'Multi-Year'!$L124,0)</f>
        <v>0</v>
      </c>
      <c r="J124" s="94">
        <f>IF('FY20-21'!$S124&gt;0,'FY20-21'!J124/'FY20-21'!$S124*'Multi-Year'!$L124,0)+IF('FY20-21'!$S124&lt;0,'FY20-21'!J124/'FY20-21'!$S124*'Multi-Year'!$L124,0)</f>
        <v>1550.5555343247556</v>
      </c>
      <c r="K124" s="94">
        <f>IF('FY20-21'!$S124&gt;0,'FY20-21'!K124/'FY20-21'!$S124*'Multi-Year'!$L124,0)+IF('FY20-21'!$S124&lt;0,'FY20-21'!K124/'FY20-21'!$S124*'Multi-Year'!$L124,0)</f>
        <v>1033.703689549837</v>
      </c>
      <c r="L124" s="94">
        <f>IF('FY20-21'!$S124&gt;0,'FY20-21'!L124/'FY20-21'!$S124*'Multi-Year'!$L124,0)+IF('FY20-21'!$S124&lt;0,'FY20-21'!L124/'FY20-21'!$S124*'Multi-Year'!$L124,0)</f>
        <v>880.71554349646101</v>
      </c>
      <c r="M124" s="94">
        <f>IF('FY20-21'!$S124&gt;0,'FY20-21'!M124/'FY20-21'!$S124*'Multi-Year'!$L124,0)+IF('FY20-21'!$S124&lt;0,'FY20-21'!M124/'FY20-21'!$S124*'Multi-Year'!$L124,0)</f>
        <v>1292.1296119372962</v>
      </c>
      <c r="N124" s="94">
        <f>IF('FY20-21'!$S124&gt;0,'FY20-21'!N124/'FY20-21'!$S124*'Multi-Year'!$L124,0)+IF('FY20-21'!$S124&lt;0,'FY20-21'!N124/'FY20-21'!$S124*'Multi-Year'!$L124,0)</f>
        <v>9044.907283561075</v>
      </c>
      <c r="O124" s="94">
        <f>IF('FY20-21'!$S124&gt;0,'FY20-21'!O124/'FY20-21'!$S124*'Multi-Year'!$L124,0)+IF('FY20-21'!$S124&lt;0,'FY20-21'!O124/'FY20-21'!$S124*'Multi-Year'!$L124,0)</f>
        <v>0</v>
      </c>
      <c r="P124" s="94">
        <f>IF('FY20-21'!$S124&gt;0,'FY20-21'!P124/'FY20-21'!$S124*'Multi-Year'!$L124,0)+IF('FY20-21'!$S124&lt;0,'FY20-21'!P124/'FY20-21'!$S124*'Multi-Year'!$L124,0)</f>
        <v>2170.7777480546579</v>
      </c>
      <c r="Q124" s="606">
        <f>IF('FY20-21'!$S124&gt;0,'FY20-21'!Q124/'FY20-21'!$S124*'Multi-Year'!$L124,0)+IF('FY20-21'!$S124&lt;0,'FY20-21'!Q124/'FY20-21'!$S124*'Multi-Year'!$L124,0)</f>
        <v>0</v>
      </c>
      <c r="R124" s="94"/>
      <c r="S124" s="625">
        <f t="shared" si="44"/>
        <v>20208.907130699314</v>
      </c>
      <c r="T124" s="94"/>
      <c r="U124" s="94">
        <f>'FY20-21'!S124</f>
        <v>19812.654049705216</v>
      </c>
      <c r="V124" s="94">
        <f t="shared" si="45"/>
        <v>-396.25308099409813</v>
      </c>
    </row>
    <row r="125" spans="1:22" s="95" customFormat="1" ht="12" customHeight="1">
      <c r="A125" s="124"/>
      <c r="B125" s="124" t="s">
        <v>186</v>
      </c>
      <c r="C125" s="102">
        <f>'Multi-Year'!D125</f>
        <v>5806</v>
      </c>
      <c r="D125" s="127" t="s">
        <v>81</v>
      </c>
      <c r="E125" s="94">
        <f>IF('FY20-21'!$S125&gt;0,'FY20-21'!E125/'FY20-21'!$S125*'Multi-Year'!$L125,0)+IF('FY20-21'!$S125&lt;0,'FY20-21'!E125/'FY20-21'!$S125*'Multi-Year'!$L125,0)</f>
        <v>0</v>
      </c>
      <c r="F125" s="94">
        <f>IF('FY20-21'!$S125&gt;0,'FY20-21'!F125/'FY20-21'!$S125*'Multi-Year'!$L125,0)+IF('FY20-21'!$S125&lt;0,'FY20-21'!F125/'FY20-21'!$S125*'Multi-Year'!$L125,0)</f>
        <v>0</v>
      </c>
      <c r="G125" s="94">
        <f>IF('FY20-21'!$S125&gt;0,'FY20-21'!G125/'FY20-21'!$S125*'Multi-Year'!$L125,0)+IF('FY20-21'!$S125&lt;0,'FY20-21'!G125/'FY20-21'!$S125*'Multi-Year'!$L125,0)</f>
        <v>0</v>
      </c>
      <c r="H125" s="94">
        <f>IF('FY20-21'!$S125&gt;0,'FY20-21'!H125/'FY20-21'!$S125*'Multi-Year'!$L125,0)+IF('FY20-21'!$S125&lt;0,'FY20-21'!H125/'FY20-21'!$S125*'Multi-Year'!$L125,0)</f>
        <v>0</v>
      </c>
      <c r="I125" s="94">
        <f>IF('FY20-21'!$S125&gt;0,'FY20-21'!I125/'FY20-21'!$S125*'Multi-Year'!$L125,0)+IF('FY20-21'!$S125&lt;0,'FY20-21'!I125/'FY20-21'!$S125*'Multi-Year'!$L125,0)</f>
        <v>0</v>
      </c>
      <c r="J125" s="94">
        <f>IF('FY20-21'!$S125&gt;0,'FY20-21'!J125/'FY20-21'!$S125*'Multi-Year'!$L125,0)+IF('FY20-21'!$S125&lt;0,'FY20-21'!J125/'FY20-21'!$S125*'Multi-Year'!$L125,0)</f>
        <v>0</v>
      </c>
      <c r="K125" s="94">
        <f>IF('FY20-21'!$S125&gt;0,'FY20-21'!K125/'FY20-21'!$S125*'Multi-Year'!$L125,0)+IF('FY20-21'!$S125&lt;0,'FY20-21'!K125/'FY20-21'!$S125*'Multi-Year'!$L125,0)</f>
        <v>0</v>
      </c>
      <c r="L125" s="94">
        <f>IF('FY20-21'!$S125&gt;0,'FY20-21'!L125/'FY20-21'!$S125*'Multi-Year'!$L125,0)+IF('FY20-21'!$S125&lt;0,'FY20-21'!L125/'FY20-21'!$S125*'Multi-Year'!$L125,0)</f>
        <v>78732.213798511613</v>
      </c>
      <c r="M125" s="94">
        <f>IF('FY20-21'!$S125&gt;0,'FY20-21'!M125/'FY20-21'!$S125*'Multi-Year'!$L125,0)+IF('FY20-21'!$S125&lt;0,'FY20-21'!M125/'FY20-21'!$S125*'Multi-Year'!$L125,0)</f>
        <v>78732.213798511613</v>
      </c>
      <c r="N125" s="94">
        <f>IF('FY20-21'!$S125&gt;0,'FY20-21'!N125/'FY20-21'!$S125*'Multi-Year'!$L125,0)+IF('FY20-21'!$S125&lt;0,'FY20-21'!N125/'FY20-21'!$S125*'Multi-Year'!$L125,0)</f>
        <v>78732.213798511613</v>
      </c>
      <c r="O125" s="94">
        <f>IF('FY20-21'!$S125&gt;0,'FY20-21'!O125/'FY20-21'!$S125*'Multi-Year'!$L125,0)+IF('FY20-21'!$S125&lt;0,'FY20-21'!O125/'FY20-21'!$S125*'Multi-Year'!$L125,0)</f>
        <v>0</v>
      </c>
      <c r="P125" s="94">
        <f>IF('FY20-21'!$S125&gt;0,'FY20-21'!P125/'FY20-21'!$S125*'Multi-Year'!$L125,0)+IF('FY20-21'!$S125&lt;0,'FY20-21'!P125/'FY20-21'!$S125*'Multi-Year'!$L125,0)</f>
        <v>0</v>
      </c>
      <c r="Q125" s="606">
        <f>IF('FY20-21'!$S125&gt;0,'FY20-21'!Q125/'FY20-21'!$S125*'Multi-Year'!$L125,0)+IF('FY20-21'!$S125&lt;0,'FY20-21'!Q125/'FY20-21'!$S125*'Multi-Year'!$L125,0)</f>
        <v>0</v>
      </c>
      <c r="R125" s="94"/>
      <c r="S125" s="625">
        <f>SUM(E125:Q125)</f>
        <v>236196.64139553485</v>
      </c>
      <c r="T125" s="94"/>
      <c r="U125" s="94">
        <f>'FY20-21'!S125</f>
        <v>231565.33470150467</v>
      </c>
      <c r="V125" s="94">
        <f>U125-S125</f>
        <v>-4631.3066940301796</v>
      </c>
    </row>
    <row r="126" spans="1:22" s="95" customFormat="1" ht="12" customHeight="1">
      <c r="A126" s="124"/>
      <c r="B126" s="124" t="s">
        <v>186</v>
      </c>
      <c r="C126" s="102">
        <f>'Multi-Year'!D126</f>
        <v>5807</v>
      </c>
      <c r="D126" s="127" t="s">
        <v>41</v>
      </c>
      <c r="E126" s="94">
        <f>IF('FY20-21'!$S126&gt;0,'FY20-21'!E126/'FY20-21'!$S126*'Multi-Year'!$L126,0)+IF('FY20-21'!$S126&lt;0,'FY20-21'!E126/'FY20-21'!$S126*'Multi-Year'!$L126,0)</f>
        <v>0</v>
      </c>
      <c r="F126" s="94">
        <f>IF('FY20-21'!$S126&gt;0,'FY20-21'!F126/'FY20-21'!$S126*'Multi-Year'!$L126,0)+IF('FY20-21'!$S126&lt;0,'FY20-21'!F126/'FY20-21'!$S126*'Multi-Year'!$L126,0)</f>
        <v>24.808888549196091</v>
      </c>
      <c r="G126" s="94">
        <f>IF('FY20-21'!$S126&gt;0,'FY20-21'!G126/'FY20-21'!$S126*'Multi-Year'!$L126,0)+IF('FY20-21'!$S126&lt;0,'FY20-21'!G126/'FY20-21'!$S126*'Multi-Year'!$L126,0)</f>
        <v>350.47723594187238</v>
      </c>
      <c r="H126" s="94">
        <f>IF('FY20-21'!$S126&gt;0,'FY20-21'!H126/'FY20-21'!$S126*'Multi-Year'!$L126,0)+IF('FY20-21'!$S126&lt;0,'FY20-21'!H126/'FY20-21'!$S126*'Multi-Year'!$L126,0)</f>
        <v>914.70372080886</v>
      </c>
      <c r="I126" s="94">
        <f>IF('FY20-21'!$S126&gt;0,'FY20-21'!I126/'FY20-21'!$S126*'Multi-Year'!$L126,0)+IF('FY20-21'!$S126&lt;0,'FY20-21'!I126/'FY20-21'!$S126*'Multi-Year'!$L126,0)</f>
        <v>3.8970629096028864</v>
      </c>
      <c r="J126" s="94">
        <f>IF('FY20-21'!$S126&gt;0,'FY20-21'!J126/'FY20-21'!$S126*'Multi-Year'!$L126,0)+IF('FY20-21'!$S126&lt;0,'FY20-21'!J126/'FY20-21'!$S126*'Multi-Year'!$L126,0)</f>
        <v>0</v>
      </c>
      <c r="K126" s="94">
        <f>IF('FY20-21'!$S126&gt;0,'FY20-21'!K126/'FY20-21'!$S126*'Multi-Year'!$L126,0)+IF('FY20-21'!$S126&lt;0,'FY20-21'!K126/'FY20-21'!$S126*'Multi-Year'!$L126,0)</f>
        <v>0</v>
      </c>
      <c r="L126" s="94">
        <f>IF('FY20-21'!$S126&gt;0,'FY20-21'!L126/'FY20-21'!$S126*'Multi-Year'!$L126,0)+IF('FY20-21'!$S126&lt;0,'FY20-21'!L126/'FY20-21'!$S126*'Multi-Year'!$L126,0)</f>
        <v>0</v>
      </c>
      <c r="M126" s="94">
        <f>IF('FY20-21'!$S126&gt;0,'FY20-21'!M126/'FY20-21'!$S126*'Multi-Year'!$L126,0)+IF('FY20-21'!$S126&lt;0,'FY20-21'!M126/'FY20-21'!$S126*'Multi-Year'!$L126,0)</f>
        <v>51.685184477491859</v>
      </c>
      <c r="N126" s="94">
        <f>IF('FY20-21'!$S126&gt;0,'FY20-21'!N126/'FY20-21'!$S126*'Multi-Year'!$L126,0)+IF('FY20-21'!$S126&lt;0,'FY20-21'!N126/'FY20-21'!$S126*'Multi-Year'!$L126,0)</f>
        <v>0</v>
      </c>
      <c r="O126" s="94">
        <f>IF('FY20-21'!$S126&gt;0,'FY20-21'!O126/'FY20-21'!$S126*'Multi-Year'!$L126,0)+IF('FY20-21'!$S126&lt;0,'FY20-21'!O126/'FY20-21'!$S126*'Multi-Year'!$L126,0)</f>
        <v>128.54105379552226</v>
      </c>
      <c r="P126" s="94">
        <f>IF('FY20-21'!$S126&gt;0,'FY20-21'!P126/'FY20-21'!$S126*'Multi-Year'!$L126,0)+IF('FY20-21'!$S126&lt;0,'FY20-21'!P126/'FY20-21'!$S126*'Multi-Year'!$L126,0)</f>
        <v>78.199684114445191</v>
      </c>
      <c r="Q126" s="606">
        <f>IF('FY20-21'!$S126&gt;0,'FY20-21'!Q126/'FY20-21'!$S126*'Multi-Year'!$L126,0)+IF('FY20-21'!$S126&lt;0,'FY20-21'!Q126/'FY20-21'!$S126*'Multi-Year'!$L126,0)</f>
        <v>0</v>
      </c>
      <c r="R126" s="94"/>
      <c r="S126" s="625">
        <f>SUM(E126:Q126)</f>
        <v>1552.3128305969908</v>
      </c>
      <c r="T126" s="94"/>
      <c r="U126" s="94">
        <f>'FY20-21'!S126</f>
        <v>1521.8753241146962</v>
      </c>
      <c r="V126" s="94">
        <f>U126-S126</f>
        <v>-30.437506482294566</v>
      </c>
    </row>
    <row r="127" spans="1:22" s="95" customFormat="1" ht="12" customHeight="1">
      <c r="A127" s="124"/>
      <c r="B127" s="124" t="s">
        <v>186</v>
      </c>
      <c r="C127" s="102">
        <f>'Multi-Year'!D127</f>
        <v>5808</v>
      </c>
      <c r="D127" s="127" t="s">
        <v>42</v>
      </c>
      <c r="E127" s="94">
        <f>IF('FY20-21'!$S127&gt;0,'FY20-21'!E127/'FY20-21'!$S127*'Multi-Year'!$L127,0)+IF('FY20-21'!$S127&lt;0,'FY20-21'!E127/'FY20-21'!$S127*'Multi-Year'!$L127,0)</f>
        <v>0</v>
      </c>
      <c r="F127" s="94">
        <f>IF('FY20-21'!$S127&gt;0,'FY20-21'!F127/'FY20-21'!$S127*'Multi-Year'!$L127,0)+IF('FY20-21'!$S127&lt;0,'FY20-21'!F127/'FY20-21'!$S127*'Multi-Year'!$L127,0)</f>
        <v>0</v>
      </c>
      <c r="G127" s="94">
        <f>IF('FY20-21'!$S127&gt;0,'FY20-21'!G127/'FY20-21'!$S127*'Multi-Year'!$L127,0)+IF('FY20-21'!$S127&lt;0,'FY20-21'!G127/'FY20-21'!$S127*'Multi-Year'!$L127,0)</f>
        <v>0</v>
      </c>
      <c r="H127" s="94">
        <f>IF('FY20-21'!$S127&gt;0,'FY20-21'!H127/'FY20-21'!$S127*'Multi-Year'!$L127,0)+IF('FY20-21'!$S127&lt;0,'FY20-21'!H127/'FY20-21'!$S127*'Multi-Year'!$L127,0)</f>
        <v>0</v>
      </c>
      <c r="I127" s="94">
        <f>IF('FY20-21'!$S127&gt;0,'FY20-21'!I127/'FY20-21'!$S127*'Multi-Year'!$L127,0)+IF('FY20-21'!$S127&lt;0,'FY20-21'!I127/'FY20-21'!$S127*'Multi-Year'!$L127,0)</f>
        <v>238.48577821604297</v>
      </c>
      <c r="J127" s="94">
        <f>IF('FY20-21'!$S127&gt;0,'FY20-21'!J127/'FY20-21'!$S127*'Multi-Year'!$L127,0)+IF('FY20-21'!$S127&lt;0,'FY20-21'!J127/'FY20-21'!$S127*'Multi-Year'!$L127,0)</f>
        <v>35.073566186425978</v>
      </c>
      <c r="K127" s="94">
        <f>IF('FY20-21'!$S127&gt;0,'FY20-21'!K127/'FY20-21'!$S127*'Multi-Year'!$L127,0)+IF('FY20-21'!$S127&lt;0,'FY20-21'!K127/'FY20-21'!$S127*'Multi-Year'!$L127,0)</f>
        <v>1.5402184974292574</v>
      </c>
      <c r="L127" s="94">
        <f>IF('FY20-21'!$S127&gt;0,'FY20-21'!L127/'FY20-21'!$S127*'Multi-Year'!$L127,0)+IF('FY20-21'!$S127&lt;0,'FY20-21'!L127/'FY20-21'!$S127*'Multi-Year'!$L127,0)</f>
        <v>473.28123426039298</v>
      </c>
      <c r="M127" s="94">
        <f>IF('FY20-21'!$S127&gt;0,'FY20-21'!M127/'FY20-21'!$S127*'Multi-Year'!$L127,0)+IF('FY20-21'!$S127&lt;0,'FY20-21'!M127/'FY20-21'!$S127*'Multi-Year'!$L127,0)</f>
        <v>72.472965674339093</v>
      </c>
      <c r="N127" s="94">
        <f>IF('FY20-21'!$S127&gt;0,'FY20-21'!N127/'FY20-21'!$S127*'Multi-Year'!$L127,0)+IF('FY20-21'!$S127&lt;0,'FY20-21'!N127/'FY20-21'!$S127*'Multi-Year'!$L127,0)</f>
        <v>5.3752591856591536</v>
      </c>
      <c r="O127" s="94">
        <f>IF('FY20-21'!$S127&gt;0,'FY20-21'!O127/'FY20-21'!$S127*'Multi-Year'!$L127,0)+IF('FY20-21'!$S127&lt;0,'FY20-21'!O127/'FY20-21'!$S127*'Multi-Year'!$L127,0)</f>
        <v>0</v>
      </c>
      <c r="P127" s="94">
        <f>IF('FY20-21'!$S127&gt;0,'FY20-21'!P127/'FY20-21'!$S127*'Multi-Year'!$L127,0)+IF('FY20-21'!$S127&lt;0,'FY20-21'!P127/'FY20-21'!$S127*'Multi-Year'!$L127,0)</f>
        <v>0</v>
      </c>
      <c r="Q127" s="606">
        <f>IF('FY20-21'!$S127&gt;0,'FY20-21'!Q127/'FY20-21'!$S127*'Multi-Year'!$L127,0)+IF('FY20-21'!$S127&lt;0,'FY20-21'!Q127/'FY20-21'!$S127*'Multi-Year'!$L127,0)</f>
        <v>0</v>
      </c>
      <c r="R127" s="94"/>
      <c r="S127" s="625">
        <f>SUM(E127:Q127)</f>
        <v>826.22902202028945</v>
      </c>
      <c r="T127" s="94"/>
      <c r="U127" s="94">
        <f>'FY20-21'!S127</f>
        <v>810.02845296106807</v>
      </c>
      <c r="V127" s="94">
        <f>U127-S127</f>
        <v>-16.20056905922138</v>
      </c>
    </row>
    <row r="128" spans="1:22" s="95" customFormat="1" ht="12" customHeight="1">
      <c r="A128" s="124"/>
      <c r="B128" s="124" t="s">
        <v>186</v>
      </c>
      <c r="C128" s="102">
        <f>'Multi-Year'!D128</f>
        <v>5809</v>
      </c>
      <c r="D128" s="127" t="s">
        <v>43</v>
      </c>
      <c r="E128" s="94">
        <f>IF('FY20-21'!$S128&gt;0,'FY20-21'!E128/'FY20-21'!$S128*'Multi-Year'!$L128,0)+IF('FY20-21'!$S128&lt;0,'FY20-21'!E128/'FY20-21'!$S128*'Multi-Year'!$L128,0)</f>
        <v>165.39259032797398</v>
      </c>
      <c r="F128" s="94">
        <f>IF('FY20-21'!$S128&gt;0,'FY20-21'!F128/'FY20-21'!$S128*'Multi-Year'!$L128,0)+IF('FY20-21'!$S128&lt;0,'FY20-21'!F128/'FY20-21'!$S128*'Multi-Year'!$L128,0)</f>
        <v>62.022221372990231</v>
      </c>
      <c r="G128" s="94">
        <f>IF('FY20-21'!$S128&gt;0,'FY20-21'!G128/'FY20-21'!$S128*'Multi-Year'!$L128,0)+IF('FY20-21'!$S128&lt;0,'FY20-21'!G128/'FY20-21'!$S128*'Multi-Year'!$L128,0)</f>
        <v>0</v>
      </c>
      <c r="H128" s="94">
        <f>IF('FY20-21'!$S128&gt;0,'FY20-21'!H128/'FY20-21'!$S128*'Multi-Year'!$L128,0)+IF('FY20-21'!$S128&lt;0,'FY20-21'!H128/'FY20-21'!$S128*'Multi-Year'!$L128,0)</f>
        <v>0</v>
      </c>
      <c r="I128" s="94">
        <f>IF('FY20-21'!$S128&gt;0,'FY20-21'!I128/'FY20-21'!$S128*'Multi-Year'!$L128,0)+IF('FY20-21'!$S128&lt;0,'FY20-21'!I128/'FY20-21'!$S128*'Multi-Year'!$L128,0)</f>
        <v>564.36086634662911</v>
      </c>
      <c r="J128" s="94">
        <f>IF('FY20-21'!$S128&gt;0,'FY20-21'!J128/'FY20-21'!$S128*'Multi-Year'!$L128,0)+IF('FY20-21'!$S128&lt;0,'FY20-21'!J128/'FY20-21'!$S128*'Multi-Year'!$L128,0)</f>
        <v>1881.3407149807038</v>
      </c>
      <c r="K128" s="94">
        <f>IF('FY20-21'!$S128&gt;0,'FY20-21'!K128/'FY20-21'!$S128*'Multi-Year'!$L128,0)+IF('FY20-21'!$S128&lt;0,'FY20-21'!K128/'FY20-21'!$S128*'Multi-Year'!$L128,0)</f>
        <v>0</v>
      </c>
      <c r="L128" s="94">
        <f>IF('FY20-21'!$S128&gt;0,'FY20-21'!L128/'FY20-21'!$S128*'Multi-Year'!$L128,0)+IF('FY20-21'!$S128&lt;0,'FY20-21'!L128/'FY20-21'!$S128*'Multi-Year'!$L128,0)</f>
        <v>32708.948322506934</v>
      </c>
      <c r="M128" s="94">
        <f>IF('FY20-21'!$S128&gt;0,'FY20-21'!M128/'FY20-21'!$S128*'Multi-Year'!$L128,0)+IF('FY20-21'!$S128&lt;0,'FY20-21'!M128/'FY20-21'!$S128*'Multi-Year'!$L128,0)</f>
        <v>22.441707100126969</v>
      </c>
      <c r="N128" s="94">
        <f>IF('FY20-21'!$S128&gt;0,'FY20-21'!N128/'FY20-21'!$S128*'Multi-Year'!$L128,0)+IF('FY20-21'!$S128&lt;0,'FY20-21'!N128/'FY20-21'!$S128*'Multi-Year'!$L128,0)</f>
        <v>0</v>
      </c>
      <c r="O128" s="94">
        <f>IF('FY20-21'!$S128&gt;0,'FY20-21'!O128/'FY20-21'!$S128*'Multi-Year'!$L128,0)+IF('FY20-21'!$S128&lt;0,'FY20-21'!O128/'FY20-21'!$S128*'Multi-Year'!$L128,0)</f>
        <v>37.19265875000314</v>
      </c>
      <c r="P128" s="94">
        <f>IF('FY20-21'!$S128&gt;0,'FY20-21'!P128/'FY20-21'!$S128*'Multi-Year'!$L128,0)+IF('FY20-21'!$S128&lt;0,'FY20-21'!P128/'FY20-21'!$S128*'Multi-Year'!$L128,0)</f>
        <v>434.15554961093159</v>
      </c>
      <c r="Q128" s="606">
        <f>IF('FY20-21'!$S128&gt;0,'FY20-21'!Q128/'FY20-21'!$S128*'Multi-Year'!$L128,0)+IF('FY20-21'!$S128&lt;0,'FY20-21'!Q128/'FY20-21'!$S128*'Multi-Year'!$L128,0)</f>
        <v>0</v>
      </c>
      <c r="R128" s="94"/>
      <c r="S128" s="625">
        <f>SUM(E128:Q128)</f>
        <v>35875.854630996299</v>
      </c>
      <c r="T128" s="94"/>
      <c r="U128" s="94">
        <f>'FY20-21'!S128</f>
        <v>35172.406500976751</v>
      </c>
      <c r="V128" s="94">
        <f>U128-S128</f>
        <v>-703.44813001954753</v>
      </c>
    </row>
    <row r="129" spans="1:22" s="95" customFormat="1" ht="12" customHeight="1">
      <c r="A129" s="124"/>
      <c r="B129" s="124" t="s">
        <v>186</v>
      </c>
      <c r="C129" s="102">
        <v>5810</v>
      </c>
      <c r="D129" s="127" t="s">
        <v>26</v>
      </c>
      <c r="E129" s="94">
        <f>IF('FY20-21'!$S129&gt;0,'FY20-21'!E129/'FY20-21'!$S129*'Multi-Year'!$L129,0)+IF('FY20-21'!$S129&lt;0,'FY20-21'!E129/'FY20-21'!$S129*'Multi-Year'!$L129,0)</f>
        <v>0</v>
      </c>
      <c r="F129" s="94">
        <f>IF('FY20-21'!$S129&gt;0,'FY20-21'!F129/'FY20-21'!$S129*'Multi-Year'!$L129,0)+IF('FY20-21'!$S129&lt;0,'FY20-21'!F129/'FY20-21'!$S129*'Multi-Year'!$L129,0)</f>
        <v>0</v>
      </c>
      <c r="G129" s="94">
        <f>IF('FY20-21'!$S129&gt;0,'FY20-21'!G129/'FY20-21'!$S129*'Multi-Year'!$L129,0)+IF('FY20-21'!$S129&lt;0,'FY20-21'!G129/'FY20-21'!$S129*'Multi-Year'!$L129,0)</f>
        <v>0</v>
      </c>
      <c r="H129" s="94">
        <f>IF('FY20-21'!$S129&gt;0,'FY20-21'!H129/'FY20-21'!$S129*'Multi-Year'!$L129,0)+IF('FY20-21'!$S129&lt;0,'FY20-21'!H129/'FY20-21'!$S129*'Multi-Year'!$L129,0)</f>
        <v>0</v>
      </c>
      <c r="I129" s="94">
        <f>IF('FY20-21'!$S129&gt;0,'FY20-21'!I129/'FY20-21'!$S129*'Multi-Year'!$L129,0)+IF('FY20-21'!$S129&lt;0,'FY20-21'!I129/'FY20-21'!$S129*'Multi-Year'!$L129,0)</f>
        <v>0</v>
      </c>
      <c r="J129" s="94">
        <f>IF('FY20-21'!$S129&gt;0,'FY20-21'!J129/'FY20-21'!$S129*'Multi-Year'!$L129,0)+IF('FY20-21'!$S129&lt;0,'FY20-21'!J129/'FY20-21'!$S129*'Multi-Year'!$L129,0)</f>
        <v>0</v>
      </c>
      <c r="K129" s="94">
        <f>IF('FY20-21'!$S129&gt;0,'FY20-21'!K129/'FY20-21'!$S129*'Multi-Year'!$L129,0)+IF('FY20-21'!$S129&lt;0,'FY20-21'!K129/'FY20-21'!$S129*'Multi-Year'!$L129,0)</f>
        <v>0</v>
      </c>
      <c r="L129" s="94">
        <f>IF('FY20-21'!$S129&gt;0,'FY20-21'!L129/'FY20-21'!$S129*'Multi-Year'!$L129,0)+IF('FY20-21'!$S129&lt;0,'FY20-21'!L129/'FY20-21'!$S129*'Multi-Year'!$L129,0)</f>
        <v>0</v>
      </c>
      <c r="M129" s="94">
        <f>IF('FY20-21'!$S129&gt;0,'FY20-21'!M129/'FY20-21'!$S129*'Multi-Year'!$L129,0)+IF('FY20-21'!$S129&lt;0,'FY20-21'!M129/'FY20-21'!$S129*'Multi-Year'!$L129,0)</f>
        <v>0</v>
      </c>
      <c r="N129" s="94">
        <f>IF('FY20-21'!$S129&gt;0,'FY20-21'!N129/'FY20-21'!$S129*'Multi-Year'!$L129,0)+IF('FY20-21'!$S129&lt;0,'FY20-21'!N129/'FY20-21'!$S129*'Multi-Year'!$L129,0)</f>
        <v>0</v>
      </c>
      <c r="O129" s="94">
        <f>IF('FY20-21'!$S129&gt;0,'FY20-21'!O129/'FY20-21'!$S129*'Multi-Year'!$L129,0)+IF('FY20-21'!$S129&lt;0,'FY20-21'!O129/'FY20-21'!$S129*'Multi-Year'!$L129,0)</f>
        <v>2165.0923777621333</v>
      </c>
      <c r="P129" s="94">
        <f>IF('FY20-21'!$S129&gt;0,'FY20-21'!P129/'FY20-21'!$S129*'Multi-Year'!$L129,0)+IF('FY20-21'!$S129&lt;0,'FY20-21'!P129/'FY20-21'!$S129*'Multi-Year'!$L129,0)</f>
        <v>2539.2931133791749</v>
      </c>
      <c r="Q129" s="606">
        <f>IF('FY20-21'!$S129&gt;0,'FY20-21'!Q129/'FY20-21'!$S129*'Multi-Year'!$L129,0)+IF('FY20-21'!$S129&lt;0,'FY20-21'!Q129/'FY20-21'!$S129*'Multi-Year'!$L129,0)</f>
        <v>0</v>
      </c>
      <c r="R129" s="94"/>
      <c r="S129" s="625">
        <f t="shared" si="44"/>
        <v>4704.3854911413082</v>
      </c>
      <c r="T129" s="94"/>
      <c r="U129" s="94">
        <f>'FY20-21'!S129</f>
        <v>4612.1426383738317</v>
      </c>
      <c r="V129" s="94">
        <f t="shared" si="45"/>
        <v>-92.242852767476506</v>
      </c>
    </row>
    <row r="130" spans="1:22" s="95" customFormat="1" ht="12" customHeight="1">
      <c r="A130" s="124"/>
      <c r="B130" s="124" t="s">
        <v>186</v>
      </c>
      <c r="C130" s="102">
        <v>5811</v>
      </c>
      <c r="D130" s="127" t="s">
        <v>27</v>
      </c>
      <c r="E130" s="94">
        <f>IF('FY20-21'!$S130&gt;0,'FY20-21'!E130/'FY20-21'!$S130*'Multi-Year'!$L130,0)+IF('FY20-21'!$S130&lt;0,'FY20-21'!E130/'FY20-21'!$S130*'Multi-Year'!$L130,0)</f>
        <v>48125.970773744375</v>
      </c>
      <c r="F130" s="94">
        <f>IF('FY20-21'!$S130&gt;0,'FY20-21'!F130/'FY20-21'!$S130*'Multi-Year'!$L130,0)+IF('FY20-21'!$S130&lt;0,'FY20-21'!F130/'FY20-21'!$S130*'Multi-Year'!$L130,0)</f>
        <v>48125.970773744375</v>
      </c>
      <c r="G130" s="94">
        <f>IF('FY20-21'!$S130&gt;0,'FY20-21'!G130/'FY20-21'!$S130*'Multi-Year'!$L130,0)+IF('FY20-21'!$S130&lt;0,'FY20-21'!G130/'FY20-21'!$S130*'Multi-Year'!$L130,0)</f>
        <v>48125.970773744375</v>
      </c>
      <c r="H130" s="94">
        <f>IF('FY20-21'!$S130&gt;0,'FY20-21'!H130/'FY20-21'!$S130*'Multi-Year'!$L130,0)+IF('FY20-21'!$S130&lt;0,'FY20-21'!H130/'FY20-21'!$S130*'Multi-Year'!$L130,0)</f>
        <v>48125.970773744375</v>
      </c>
      <c r="I130" s="94">
        <f>IF('FY20-21'!$S130&gt;0,'FY20-21'!I130/'FY20-21'!$S130*'Multi-Year'!$L130,0)+IF('FY20-21'!$S130&lt;0,'FY20-21'!I130/'FY20-21'!$S130*'Multi-Year'!$L130,0)</f>
        <v>48125.970773744375</v>
      </c>
      <c r="J130" s="94">
        <f>IF('FY20-21'!$S130&gt;0,'FY20-21'!J130/'FY20-21'!$S130*'Multi-Year'!$L130,0)+IF('FY20-21'!$S130&lt;0,'FY20-21'!J130/'FY20-21'!$S130*'Multi-Year'!$L130,0)</f>
        <v>48125.970773744375</v>
      </c>
      <c r="K130" s="94">
        <f>IF('FY20-21'!$S130&gt;0,'FY20-21'!K130/'FY20-21'!$S130*'Multi-Year'!$L130,0)+IF('FY20-21'!$S130&lt;0,'FY20-21'!K130/'FY20-21'!$S130*'Multi-Year'!$L130,0)</f>
        <v>48125.970773744375</v>
      </c>
      <c r="L130" s="94">
        <f>IF('FY20-21'!$S130&gt;0,'FY20-21'!L130/'FY20-21'!$S130*'Multi-Year'!$L130,0)+IF('FY20-21'!$S130&lt;0,'FY20-21'!L130/'FY20-21'!$S130*'Multi-Year'!$L130,0)</f>
        <v>48125.970773744375</v>
      </c>
      <c r="M130" s="94">
        <f>IF('FY20-21'!$S130&gt;0,'FY20-21'!M130/'FY20-21'!$S130*'Multi-Year'!$L130,0)+IF('FY20-21'!$S130&lt;0,'FY20-21'!M130/'FY20-21'!$S130*'Multi-Year'!$L130,0)</f>
        <v>48125.970773744375</v>
      </c>
      <c r="N130" s="94">
        <f>IF('FY20-21'!$S130&gt;0,'FY20-21'!N130/'FY20-21'!$S130*'Multi-Year'!$L130,0)+IF('FY20-21'!$S130&lt;0,'FY20-21'!N130/'FY20-21'!$S130*'Multi-Year'!$L130,0)</f>
        <v>48125.970773744375</v>
      </c>
      <c r="O130" s="94">
        <f>IF('FY20-21'!$S130&gt;0,'FY20-21'!O130/'FY20-21'!$S130*'Multi-Year'!$L130,0)+IF('FY20-21'!$S130&lt;0,'FY20-21'!O130/'FY20-21'!$S130*'Multi-Year'!$L130,0)</f>
        <v>48125.970773744375</v>
      </c>
      <c r="P130" s="94">
        <f>IF('FY20-21'!$S130&gt;0,'FY20-21'!P130/'FY20-21'!$S130*'Multi-Year'!$L130,0)+IF('FY20-21'!$S130&lt;0,'FY20-21'!P130/'FY20-21'!$S130*'Multi-Year'!$L130,0)</f>
        <v>48125.970773744375</v>
      </c>
      <c r="Q130" s="606">
        <f>IF('FY20-21'!$S130&gt;0,'FY20-21'!Q130/'FY20-21'!$S130*'Multi-Year'!$L130,0)+IF('FY20-21'!$S130&lt;0,'FY20-21'!Q130/'FY20-21'!$S130*'Multi-Year'!$L130,0)</f>
        <v>0</v>
      </c>
      <c r="R130" s="94"/>
      <c r="S130" s="625">
        <f t="shared" si="44"/>
        <v>577511.64928493265</v>
      </c>
      <c r="T130" s="94"/>
      <c r="U130" s="94">
        <f>'FY20-21'!S130</f>
        <v>563591.41072646878</v>
      </c>
      <c r="V130" s="94">
        <f t="shared" si="45"/>
        <v>-13920.238558463869</v>
      </c>
    </row>
    <row r="131" spans="1:22" s="95" customFormat="1" ht="12" customHeight="1">
      <c r="A131" s="124"/>
      <c r="B131" s="124" t="s">
        <v>186</v>
      </c>
      <c r="C131" s="102">
        <v>5812</v>
      </c>
      <c r="D131" s="127" t="s">
        <v>95</v>
      </c>
      <c r="E131" s="94">
        <f>E19*'Revenue Inputs'!$D$10</f>
        <v>1505.0582646670603</v>
      </c>
      <c r="F131" s="94">
        <f>F19*'Revenue Inputs'!$D$10</f>
        <v>46012.272448233314</v>
      </c>
      <c r="G131" s="94">
        <f>G19*'Revenue Inputs'!$D$10</f>
        <v>45008.900271788611</v>
      </c>
      <c r="H131" s="94">
        <f>H19*'Revenue Inputs'!$D$10</f>
        <v>84152.845006907955</v>
      </c>
      <c r="I131" s="94">
        <f>I19*'Revenue Inputs'!$D$10</f>
        <v>79410.625006907954</v>
      </c>
      <c r="J131" s="94">
        <f>J19*'Revenue Inputs'!$D$10</f>
        <v>79410.625006907954</v>
      </c>
      <c r="K131" s="94">
        <f>K19*'Revenue Inputs'!$D$10</f>
        <v>84152.845006907955</v>
      </c>
      <c r="L131" s="94">
        <f>L19*'Revenue Inputs'!$D$10</f>
        <v>80915.683271575021</v>
      </c>
      <c r="M131" s="94">
        <f>M19*'Revenue Inputs'!$D$10</f>
        <v>79428.599492573252</v>
      </c>
      <c r="N131" s="94">
        <f>N19*'Revenue Inputs'!$D$10</f>
        <v>84170.819492573253</v>
      </c>
      <c r="O131" s="94">
        <f>O19*'Revenue Inputs'!$D$10</f>
        <v>79428.599492573252</v>
      </c>
      <c r="P131" s="94">
        <f>P19*'Revenue Inputs'!$D$10</f>
        <v>79428.599492573252</v>
      </c>
      <c r="Q131" s="606">
        <f>S19*'Revenue Inputs'!$D$10-SUM(E131:P131)</f>
        <v>82414.918183794827</v>
      </c>
      <c r="R131" s="94"/>
      <c r="S131" s="625">
        <f t="shared" si="44"/>
        <v>905440.39043798379</v>
      </c>
      <c r="T131" s="94"/>
      <c r="U131" s="94">
        <f>'FY20-21'!S131</f>
        <v>881566.44144576008</v>
      </c>
      <c r="V131" s="94">
        <f t="shared" si="45"/>
        <v>-23873.948992223712</v>
      </c>
    </row>
    <row r="132" spans="1:22" s="95" customFormat="1" ht="12" customHeight="1">
      <c r="A132" s="124"/>
      <c r="B132" s="124" t="s">
        <v>186</v>
      </c>
      <c r="C132" s="102">
        <v>5813</v>
      </c>
      <c r="D132" s="127" t="s">
        <v>243</v>
      </c>
      <c r="E132" s="94">
        <f>IF('FY20-21'!$S132&gt;0,'FY20-21'!E132/'FY20-21'!$S132*'Multi-Year'!$L132,0)+IF('FY20-21'!$S132&lt;0,'FY20-21'!E132/'FY20-21'!$S132*'Multi-Year'!$L132,0)</f>
        <v>0</v>
      </c>
      <c r="F132" s="94">
        <f>IF('FY20-21'!$S132&gt;0,'FY20-21'!F132/'FY20-21'!$S132*'Multi-Year'!$L132,0)+IF('FY20-21'!$S132&lt;0,'FY20-21'!F132/'FY20-21'!$S132*'Multi-Year'!$L132,0)</f>
        <v>0</v>
      </c>
      <c r="G132" s="94">
        <f>IF('FY20-21'!$S132&gt;0,'FY20-21'!G132/'FY20-21'!$S132*'Multi-Year'!$L132,0)+IF('FY20-21'!$S132&lt;0,'FY20-21'!G132/'FY20-21'!$S132*'Multi-Year'!$L132,0)</f>
        <v>0</v>
      </c>
      <c r="H132" s="94">
        <f>IF('FY20-21'!$S132&gt;0,'FY20-21'!H132/'FY20-21'!$S132*'Multi-Year'!$L132,0)+IF('FY20-21'!$S132&lt;0,'FY20-21'!H132/'FY20-21'!$S132*'Multi-Year'!$L132,0)</f>
        <v>0</v>
      </c>
      <c r="I132" s="94">
        <f>IF('FY20-21'!$S132&gt;0,'FY20-21'!I132/'FY20-21'!$S132*'Multi-Year'!$L132,0)+IF('FY20-21'!$S132&lt;0,'FY20-21'!I132/'FY20-21'!$S132*'Multi-Year'!$L132,0)</f>
        <v>0</v>
      </c>
      <c r="J132" s="94">
        <f>IF('FY20-21'!$S132&gt;0,'FY20-21'!J132/'FY20-21'!$S132*'Multi-Year'!$L132,0)+IF('FY20-21'!$S132&lt;0,'FY20-21'!J132/'FY20-21'!$S132*'Multi-Year'!$L132,0)</f>
        <v>0</v>
      </c>
      <c r="K132" s="94">
        <f>IF('FY20-21'!$S132&gt;0,'FY20-21'!K132/'FY20-21'!$S132*'Multi-Year'!$L132,0)+IF('FY20-21'!$S132&lt;0,'FY20-21'!K132/'FY20-21'!$S132*'Multi-Year'!$L132,0)</f>
        <v>0</v>
      </c>
      <c r="L132" s="94">
        <f>IF('FY20-21'!$S132&gt;0,'FY20-21'!L132/'FY20-21'!$S132*'Multi-Year'!$L132,0)+IF('FY20-21'!$S132&lt;0,'FY20-21'!L132/'FY20-21'!$S132*'Multi-Year'!$L132,0)</f>
        <v>0</v>
      </c>
      <c r="M132" s="94">
        <f>IF('FY20-21'!$S132&gt;0,'FY20-21'!M132/'FY20-21'!$S132*'Multi-Year'!$L132,0)+IF('FY20-21'!$S132&lt;0,'FY20-21'!M132/'FY20-21'!$S132*'Multi-Year'!$L132,0)</f>
        <v>0</v>
      </c>
      <c r="N132" s="94">
        <f>IF('FY20-21'!$S132&gt;0,'FY20-21'!N132/'FY20-21'!$S132*'Multi-Year'!$L132,0)+IF('FY20-21'!$S132&lt;0,'FY20-21'!N132/'FY20-21'!$S132*'Multi-Year'!$L132,0)</f>
        <v>0</v>
      </c>
      <c r="O132" s="94">
        <f>IF('FY20-21'!$S132&gt;0,'FY20-21'!O132/'FY20-21'!$S132*'Multi-Year'!$L132,0)+IF('FY20-21'!$S132&lt;0,'FY20-21'!O132/'FY20-21'!$S132*'Multi-Year'!$L132,0)</f>
        <v>0</v>
      </c>
      <c r="P132" s="94">
        <f>IF('FY20-21'!$S132&gt;0,'FY20-21'!P132/'FY20-21'!$S132*'Multi-Year'!$L132,0)+IF('FY20-21'!$S132&lt;0,'FY20-21'!P132/'FY20-21'!$S132*'Multi-Year'!$L132,0)</f>
        <v>0</v>
      </c>
      <c r="Q132" s="606">
        <f>IF('FY20-21'!$S132&gt;0,'FY20-21'!Q132/'FY20-21'!$S132*'Multi-Year'!$L132,0)+IF('FY20-21'!$S132&lt;0,'FY20-21'!Q132/'FY20-21'!$S132*'Multi-Year'!$L132,0)</f>
        <v>0</v>
      </c>
      <c r="R132" s="94"/>
      <c r="S132" s="625">
        <f t="shared" si="44"/>
        <v>0</v>
      </c>
      <c r="T132" s="94"/>
      <c r="U132" s="94">
        <f>'FY20-21'!S132</f>
        <v>0</v>
      </c>
      <c r="V132" s="94">
        <f t="shared" si="45"/>
        <v>0</v>
      </c>
    </row>
    <row r="133" spans="1:22" s="95" customFormat="1" ht="12" customHeight="1">
      <c r="A133" s="124"/>
      <c r="B133" s="124" t="s">
        <v>186</v>
      </c>
      <c r="C133" s="102">
        <v>5814</v>
      </c>
      <c r="D133" s="127" t="s">
        <v>336</v>
      </c>
      <c r="E133" s="94">
        <f>IF('Revenue Inputs'!$D$11&lt;1,(E33+E21)*'Revenue Inputs'!$D$11,$V$11*'Revenue Inputs'!$D$11*E9)</f>
        <v>0</v>
      </c>
      <c r="F133" s="94">
        <f>IF('Revenue Inputs'!$D$11&lt;1,(F33+F21)*'Revenue Inputs'!$D$11,$V$11*'Revenue Inputs'!$D$11*F9)</f>
        <v>0</v>
      </c>
      <c r="G133" s="94">
        <f>IF('Revenue Inputs'!$D$11&lt;1,(G33+G21)*'Revenue Inputs'!$D$11,$V$11*'Revenue Inputs'!$D$11*G9)</f>
        <v>0</v>
      </c>
      <c r="H133" s="94">
        <f>IF('Revenue Inputs'!$D$11&lt;1,(H33+H21)*'Revenue Inputs'!$D$11,$V$11*'Revenue Inputs'!$D$11*H9)</f>
        <v>0</v>
      </c>
      <c r="I133" s="94">
        <f>IF('Revenue Inputs'!$D$11&lt;1,(I33+I21)*'Revenue Inputs'!$D$11,$V$11*'Revenue Inputs'!$D$11*I9)</f>
        <v>0</v>
      </c>
      <c r="J133" s="94">
        <f>IF('Revenue Inputs'!$D$11&lt;1,(J33+J21)*'Revenue Inputs'!$D$11,$V$11*'Revenue Inputs'!$D$11*J9)</f>
        <v>0</v>
      </c>
      <c r="K133" s="94">
        <f>IF('Revenue Inputs'!$D$11&lt;1,(K33+K21)*'Revenue Inputs'!$D$11,$V$11*'Revenue Inputs'!$D$11*K9)</f>
        <v>0</v>
      </c>
      <c r="L133" s="94">
        <f>IF('Revenue Inputs'!$D$11&lt;1,(L33+L21)*'Revenue Inputs'!$D$11,((($D$4*'Revenue Inputs'!$D$11)-SUM($E$133:$K$133))*L9))</f>
        <v>0</v>
      </c>
      <c r="M133" s="94">
        <f>IF('Revenue Inputs'!$D$11&lt;1,(M33+M21)*'Revenue Inputs'!$D$11,((($D$4*'Revenue Inputs'!$D$11)-SUM($E$133:$K$133))*M9))</f>
        <v>0</v>
      </c>
      <c r="N133" s="94">
        <f>IF('Revenue Inputs'!$D$11&lt;1,(N33+N21)*'Revenue Inputs'!$D$11,((($D$4*'Revenue Inputs'!$D$11)-SUM($E$133:$K$133))*N9))</f>
        <v>0</v>
      </c>
      <c r="O133" s="94">
        <f>IF('Revenue Inputs'!$D$11&lt;1,(O33+O21)*'Revenue Inputs'!$D$11,((($D$4*'Revenue Inputs'!$D$11)-SUM($E$133:$K$133))*O9))</f>
        <v>0</v>
      </c>
      <c r="P133" s="94">
        <f>IF('Revenue Inputs'!$D$11&lt;1,(P33+P21)*'Revenue Inputs'!$D$11,((($D$4*'Revenue Inputs'!$D$11)-SUM($E$133:$K$133))*P9))</f>
        <v>0</v>
      </c>
      <c r="Q133" s="606">
        <f>IF('Revenue Inputs'!$D$11&lt;1,((S33+S21)*'Revenue Inputs'!$D$11)-SUM(E133:P133),(($D$4*'Revenue Inputs'!$D$11)-SUM($E$133:$P$133)))</f>
        <v>0</v>
      </c>
      <c r="R133" s="94"/>
      <c r="S133" s="625">
        <f t="shared" si="44"/>
        <v>0</v>
      </c>
      <c r="T133" s="94"/>
      <c r="U133" s="94">
        <f>'FY20-21'!S133</f>
        <v>0</v>
      </c>
      <c r="V133" s="94">
        <f t="shared" si="45"/>
        <v>0</v>
      </c>
    </row>
    <row r="134" spans="1:22" s="95" customFormat="1" ht="12" customHeight="1">
      <c r="A134" s="124"/>
      <c r="B134" s="124" t="s">
        <v>186</v>
      </c>
      <c r="C134" s="102">
        <f>'Multi-Year'!D134</f>
        <v>5815</v>
      </c>
      <c r="D134" s="127" t="s">
        <v>316</v>
      </c>
      <c r="E134" s="94">
        <f>IF('FY20-21'!$S134&gt;0,'FY20-21'!E134/'FY20-21'!$S134*'Multi-Year'!$L134,0)+IF('FY20-21'!$S134&lt;0,'FY20-21'!E134/'FY20-21'!$S134*'Multi-Year'!$L134,0)</f>
        <v>0</v>
      </c>
      <c r="F134" s="94">
        <f>IF('FY20-21'!$S134&gt;0,'FY20-21'!F134/'FY20-21'!$S134*'Multi-Year'!$L134,0)+IF('FY20-21'!$S134&lt;0,'FY20-21'!F134/'FY20-21'!$S134*'Multi-Year'!$L134,0)</f>
        <v>0</v>
      </c>
      <c r="G134" s="94">
        <f>IF('FY20-21'!$S134&gt;0,'FY20-21'!G134/'FY20-21'!$S134*'Multi-Year'!$L134,0)+IF('FY20-21'!$S134&lt;0,'FY20-21'!G134/'FY20-21'!$S134*'Multi-Year'!$L134,0)</f>
        <v>0</v>
      </c>
      <c r="H134" s="94">
        <f>IF('FY20-21'!$S134&gt;0,'FY20-21'!H134/'FY20-21'!$S134*'Multi-Year'!$L134,0)+IF('FY20-21'!$S134&lt;0,'FY20-21'!H134/'FY20-21'!$S134*'Multi-Year'!$L134,0)</f>
        <v>0</v>
      </c>
      <c r="I134" s="94">
        <f>IF('FY20-21'!$S134&gt;0,'FY20-21'!I134/'FY20-21'!$S134*'Multi-Year'!$L134,0)+IF('FY20-21'!$S134&lt;0,'FY20-21'!I134/'FY20-21'!$S134*'Multi-Year'!$L134,0)</f>
        <v>0</v>
      </c>
      <c r="J134" s="94">
        <f>IF('FY20-21'!$S134&gt;0,'FY20-21'!J134/'FY20-21'!$S134*'Multi-Year'!$L134,0)+IF('FY20-21'!$S134&lt;0,'FY20-21'!J134/'FY20-21'!$S134*'Multi-Year'!$L134,0)</f>
        <v>0</v>
      </c>
      <c r="K134" s="94">
        <f>IF('FY20-21'!$S134&gt;0,'FY20-21'!K134/'FY20-21'!$S134*'Multi-Year'!$L134,0)+IF('FY20-21'!$S134&lt;0,'FY20-21'!K134/'FY20-21'!$S134*'Multi-Year'!$L134,0)</f>
        <v>0</v>
      </c>
      <c r="L134" s="94">
        <f>IF('FY20-21'!$S134&gt;0,'FY20-21'!L134/'FY20-21'!$S134*'Multi-Year'!$L134,0)+IF('FY20-21'!$S134&lt;0,'FY20-21'!L134/'FY20-21'!$S134*'Multi-Year'!$L134,0)</f>
        <v>0</v>
      </c>
      <c r="M134" s="94">
        <f>IF('FY20-21'!$S134&gt;0,'FY20-21'!M134/'FY20-21'!$S134*'Multi-Year'!$L134,0)+IF('FY20-21'!$S134&lt;0,'FY20-21'!M134/'FY20-21'!$S134*'Multi-Year'!$L134,0)</f>
        <v>0</v>
      </c>
      <c r="N134" s="94">
        <f>IF('FY20-21'!$S134&gt;0,'FY20-21'!N134/'FY20-21'!$S134*'Multi-Year'!$L134,0)+IF('FY20-21'!$S134&lt;0,'FY20-21'!N134/'FY20-21'!$S134*'Multi-Year'!$L134,0)</f>
        <v>430.55913599999997</v>
      </c>
      <c r="O134" s="94">
        <f>IF('FY20-21'!$S134&gt;0,'FY20-21'!O134/'FY20-21'!$S134*'Multi-Year'!$L134,0)+IF('FY20-21'!$S134&lt;0,'FY20-21'!O134/'FY20-21'!$S134*'Multi-Year'!$L134,0)</f>
        <v>0</v>
      </c>
      <c r="P134" s="94">
        <f>IF('FY20-21'!$S134&gt;0,'FY20-21'!P134/'FY20-21'!$S134*'Multi-Year'!$L134,0)+IF('FY20-21'!$S134&lt;0,'FY20-21'!P134/'FY20-21'!$S134*'Multi-Year'!$L134,0)</f>
        <v>0</v>
      </c>
      <c r="Q134" s="606">
        <f>IF('FY20-21'!$S134&gt;0,'FY20-21'!Q134/'FY20-21'!$S134*'Multi-Year'!$L134,0)+IF('FY20-21'!$S134&lt;0,'FY20-21'!Q134/'FY20-21'!$S134*'Multi-Year'!$L134,0)</f>
        <v>0</v>
      </c>
      <c r="R134" s="94"/>
      <c r="S134" s="625">
        <f>SUM(E134:Q134)</f>
        <v>430.55913599999997</v>
      </c>
      <c r="T134" s="94"/>
      <c r="U134" s="94">
        <f>'FY20-21'!S134</f>
        <v>422.11679999999996</v>
      </c>
      <c r="V134" s="94">
        <f>U134-S134</f>
        <v>-8.4423360000000116</v>
      </c>
    </row>
    <row r="135" spans="1:22" s="95" customFormat="1" ht="12" customHeight="1">
      <c r="A135" s="124"/>
      <c r="B135" s="124"/>
      <c r="C135" s="102">
        <f>'Multi-Year'!D135</f>
        <v>5820</v>
      </c>
      <c r="D135" s="127" t="s">
        <v>515</v>
      </c>
      <c r="E135" s="94">
        <f>IF('FY20-21'!$S135&gt;0,'FY20-21'!E135/'FY20-21'!$S135*'Multi-Year'!$L135,0)+IF('FY20-21'!$S135&lt;0,'FY20-21'!E135/'FY20-21'!$S135*'Multi-Year'!$L135,0)</f>
        <v>0</v>
      </c>
      <c r="F135" s="94">
        <f>IF('FY20-21'!$S135&gt;0,'FY20-21'!F135/'FY20-21'!$S135*'Multi-Year'!$L135,0)+IF('FY20-21'!$S135&lt;0,'FY20-21'!F135/'FY20-21'!$S135*'Multi-Year'!$L135,0)</f>
        <v>0</v>
      </c>
      <c r="G135" s="94">
        <f>IF('FY20-21'!$S135&gt;0,'FY20-21'!G135/'FY20-21'!$S135*'Multi-Year'!$L135,0)+IF('FY20-21'!$S135&lt;0,'FY20-21'!G135/'FY20-21'!$S135*'Multi-Year'!$L135,0)</f>
        <v>0</v>
      </c>
      <c r="H135" s="94">
        <f>IF('FY20-21'!$S135&gt;0,'FY20-21'!H135/'FY20-21'!$S135*'Multi-Year'!$L135,0)+IF('FY20-21'!$S135&lt;0,'FY20-21'!H135/'FY20-21'!$S135*'Multi-Year'!$L135,0)</f>
        <v>0</v>
      </c>
      <c r="I135" s="94">
        <f>IF('FY20-21'!$S135&gt;0,'FY20-21'!I135/'FY20-21'!$S135*'Multi-Year'!$L135,0)+IF('FY20-21'!$S135&lt;0,'FY20-21'!I135/'FY20-21'!$S135*'Multi-Year'!$L135,0)</f>
        <v>0</v>
      </c>
      <c r="J135" s="94">
        <f>IF('FY20-21'!$S135&gt;0,'FY20-21'!J135/'FY20-21'!$S135*'Multi-Year'!$L135,0)+IF('FY20-21'!$S135&lt;0,'FY20-21'!J135/'FY20-21'!$S135*'Multi-Year'!$L135,0)</f>
        <v>0</v>
      </c>
      <c r="K135" s="94">
        <f>IF('FY20-21'!$S135&gt;0,'FY20-21'!K135/'FY20-21'!$S135*'Multi-Year'!$L135,0)+IF('FY20-21'!$S135&lt;0,'FY20-21'!K135/'FY20-21'!$S135*'Multi-Year'!$L135,0)</f>
        <v>0</v>
      </c>
      <c r="L135" s="94">
        <f>IF('FY20-21'!$S135&gt;0,'FY20-21'!L135/'FY20-21'!$S135*'Multi-Year'!$L135,0)+IF('FY20-21'!$S135&lt;0,'FY20-21'!L135/'FY20-21'!$S135*'Multi-Year'!$L135,0)</f>
        <v>0</v>
      </c>
      <c r="M135" s="94">
        <f>IF('FY20-21'!$S135&gt;0,'FY20-21'!M135/'FY20-21'!$S135*'Multi-Year'!$L135,0)+IF('FY20-21'!$S135&lt;0,'FY20-21'!M135/'FY20-21'!$S135*'Multi-Year'!$L135,0)</f>
        <v>0</v>
      </c>
      <c r="N135" s="94">
        <f>IF('FY20-21'!$S135&gt;0,'FY20-21'!N135/'FY20-21'!$S135*'Multi-Year'!$L135,0)+IF('FY20-21'!$S135&lt;0,'FY20-21'!N135/'FY20-21'!$S135*'Multi-Year'!$L135,0)</f>
        <v>0</v>
      </c>
      <c r="O135" s="94">
        <f>IF('FY20-21'!$S135&gt;0,'FY20-21'!O135/'FY20-21'!$S135*'Multi-Year'!$L135,0)+IF('FY20-21'!$S135&lt;0,'FY20-21'!O135/'FY20-21'!$S135*'Multi-Year'!$L135,0)</f>
        <v>0</v>
      </c>
      <c r="P135" s="94">
        <f>IF('FY20-21'!$S135&gt;0,'FY20-21'!P135/'FY20-21'!$S135*'Multi-Year'!$L135,0)+IF('FY20-21'!$S135&lt;0,'FY20-21'!P135/'FY20-21'!$S135*'Multi-Year'!$L135,0)</f>
        <v>0</v>
      </c>
      <c r="Q135" s="606">
        <f>IF('FY20-21'!$S135&gt;0,'FY20-21'!Q135/'FY20-21'!$S135*'Multi-Year'!$L135,0)+IF('FY20-21'!$S135&lt;0,'FY20-21'!Q135/'FY20-21'!$S135*'Multi-Year'!$L135,0)</f>
        <v>0</v>
      </c>
      <c r="R135" s="94"/>
      <c r="S135" s="625">
        <f>SUM(E135:Q135)</f>
        <v>0</v>
      </c>
      <c r="T135" s="94"/>
      <c r="U135" s="94">
        <f>'FY20-21'!S135</f>
        <v>0</v>
      </c>
      <c r="V135" s="94">
        <f>U135-S135</f>
        <v>0</v>
      </c>
    </row>
    <row r="136" spans="1:22" s="95" customFormat="1" ht="12" customHeight="1">
      <c r="A136" s="124"/>
      <c r="B136" s="124" t="s">
        <v>186</v>
      </c>
      <c r="C136" s="126"/>
      <c r="D136" s="126"/>
      <c r="E136" s="215">
        <f t="shared" ref="E136:Q136" si="46">SUM(E120:E135)</f>
        <v>54484.292734109986</v>
      </c>
      <c r="F136" s="215">
        <f t="shared" si="46"/>
        <v>95116.470176674804</v>
      </c>
      <c r="G136" s="215">
        <f t="shared" si="46"/>
        <v>93943.124281474855</v>
      </c>
      <c r="H136" s="215">
        <f t="shared" si="46"/>
        <v>138608.77578972167</v>
      </c>
      <c r="I136" s="215">
        <f t="shared" si="46"/>
        <v>137326.22455031268</v>
      </c>
      <c r="J136" s="215">
        <f t="shared" si="46"/>
        <v>131289.67559614422</v>
      </c>
      <c r="K136" s="215">
        <f t="shared" si="46"/>
        <v>140396.4697983221</v>
      </c>
      <c r="L136" s="215">
        <f t="shared" si="46"/>
        <v>242862.86582809477</v>
      </c>
      <c r="M136" s="215">
        <f t="shared" si="46"/>
        <v>211409.20579401852</v>
      </c>
      <c r="N136" s="215">
        <f t="shared" si="46"/>
        <v>228017.27248822065</v>
      </c>
      <c r="O136" s="215">
        <f t="shared" si="46"/>
        <v>130332.46825859514</v>
      </c>
      <c r="P136" s="215">
        <f t="shared" si="46"/>
        <v>225860.03782673692</v>
      </c>
      <c r="Q136" s="603">
        <f t="shared" si="46"/>
        <v>82414.918183794827</v>
      </c>
      <c r="R136" s="94"/>
      <c r="S136" s="626">
        <f>SUM(E136:R136)</f>
        <v>1912061.8013062212</v>
      </c>
      <c r="T136" s="94"/>
      <c r="U136" s="216">
        <f>SUM(U120:U135)</f>
        <v>1865853.6968617435</v>
      </c>
      <c r="V136" s="216">
        <f>SUM(V120:V135)</f>
        <v>-46208.104444477969</v>
      </c>
    </row>
    <row r="137" spans="1:22" s="95" customFormat="1" ht="12" customHeight="1">
      <c r="A137" s="124"/>
      <c r="B137" s="124" t="s">
        <v>107</v>
      </c>
      <c r="C137" s="102"/>
      <c r="D137" s="103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606"/>
      <c r="R137" s="94"/>
      <c r="S137" s="627"/>
      <c r="T137" s="94"/>
      <c r="U137" s="94"/>
      <c r="V137" s="94"/>
    </row>
    <row r="138" spans="1:22" s="95" customFormat="1" ht="12" customHeight="1">
      <c r="A138" s="124"/>
      <c r="B138" s="124" t="s">
        <v>186</v>
      </c>
      <c r="C138" s="102">
        <v>6900</v>
      </c>
      <c r="D138" s="103" t="s">
        <v>44</v>
      </c>
      <c r="E138" s="94">
        <f>IF('FY20-21'!$S138&gt;0,'FY20-21'!E138/'FY20-21'!$S138*'Multi-Year'!$L138,0)+IF('FY20-21'!$S138&lt;0,'FY20-21'!E138/'FY20-21'!$S138*'Multi-Year'!$L138,0)</f>
        <v>0</v>
      </c>
      <c r="F138" s="94">
        <f>IF('FY20-21'!$S138&gt;0,'FY20-21'!F138/'FY20-21'!$S138*'Multi-Year'!$L138,0)+IF('FY20-21'!$S138&lt;0,'FY20-21'!F138/'FY20-21'!$S138*'Multi-Year'!$L138,0)</f>
        <v>0</v>
      </c>
      <c r="G138" s="94">
        <f>IF('FY20-21'!$S138&gt;0,'FY20-21'!G138/'FY20-21'!$S138*'Multi-Year'!$L138,0)+IF('FY20-21'!$S138&lt;0,'FY20-21'!G138/'FY20-21'!$S138*'Multi-Year'!$L138,0)</f>
        <v>0</v>
      </c>
      <c r="H138" s="94">
        <f>IF('FY20-21'!$S138&gt;0,'FY20-21'!H138/'FY20-21'!$S138*'Multi-Year'!$L138,0)+IF('FY20-21'!$S138&lt;0,'FY20-21'!H138/'FY20-21'!$S138*'Multi-Year'!$L138,0)</f>
        <v>0</v>
      </c>
      <c r="I138" s="94">
        <f>IF('FY20-21'!$S138&gt;0,'FY20-21'!I138/'FY20-21'!$S138*'Multi-Year'!$L138,0)+IF('FY20-21'!$S138&lt;0,'FY20-21'!I138/'FY20-21'!$S138*'Multi-Year'!$L138,0)</f>
        <v>0</v>
      </c>
      <c r="J138" s="94">
        <f>IF('FY20-21'!$S138&gt;0,'FY20-21'!J138/'FY20-21'!$S138*'Multi-Year'!$L138,0)+IF('FY20-21'!$S138&lt;0,'FY20-21'!J138/'FY20-21'!$S138*'Multi-Year'!$L138,0)</f>
        <v>0</v>
      </c>
      <c r="K138" s="94">
        <f>IF('FY20-21'!$S138&gt;0,'FY20-21'!K138/'FY20-21'!$S138*'Multi-Year'!$L138,0)+IF('FY20-21'!$S138&lt;0,'FY20-21'!K138/'FY20-21'!$S138*'Multi-Year'!$L138,0)</f>
        <v>104.03999999999999</v>
      </c>
      <c r="L138" s="94">
        <f>IF('FY20-21'!$S138&gt;0,'FY20-21'!L138/'FY20-21'!$S138*'Multi-Year'!$L138,0)+IF('FY20-21'!$S138&lt;0,'FY20-21'!L138/'FY20-21'!$S138*'Multi-Year'!$L138,0)</f>
        <v>52.019999999999996</v>
      </c>
      <c r="M138" s="94">
        <f>IF('FY20-21'!$S138&gt;0,'FY20-21'!M138/'FY20-21'!$S138*'Multi-Year'!$L138,0)+IF('FY20-21'!$S138&lt;0,'FY20-21'!M138/'FY20-21'!$S138*'Multi-Year'!$L138,0)</f>
        <v>52.019999999999996</v>
      </c>
      <c r="N138" s="94">
        <f>IF('FY20-21'!$S138&gt;0,'FY20-21'!N138/'FY20-21'!$S138*'Multi-Year'!$L138,0)+IF('FY20-21'!$S138&lt;0,'FY20-21'!N138/'FY20-21'!$S138*'Multi-Year'!$L138,0)</f>
        <v>52.019999999999996</v>
      </c>
      <c r="O138" s="94">
        <f>IF('FY20-21'!$S138&gt;0,'FY20-21'!O138/'FY20-21'!$S138*'Multi-Year'!$L138,0)+IF('FY20-21'!$S138&lt;0,'FY20-21'!O138/'FY20-21'!$S138*'Multi-Year'!$L138,0)</f>
        <v>52.019999999999996</v>
      </c>
      <c r="P138" s="94">
        <f>IF('FY20-21'!$S138&gt;0,'FY20-21'!P138/'FY20-21'!$S138*'Multi-Year'!$L138,0)+IF('FY20-21'!$S138&lt;0,'FY20-21'!P138/'FY20-21'!$S138*'Multi-Year'!$L138,0)</f>
        <v>52.019999999999996</v>
      </c>
      <c r="Q138" s="606">
        <f>IF('FY20-21'!$S138&gt;0,'FY20-21'!Q138/'FY20-21'!$S138*'Multi-Year'!$L138,0)+IF('FY20-21'!$S138&lt;0,'FY20-21'!Q138/'FY20-21'!$S138*'Multi-Year'!$L138,0)</f>
        <v>0</v>
      </c>
      <c r="R138" s="94"/>
      <c r="S138" s="625">
        <f t="shared" ref="S138" si="47">SUM(E138:Q138)</f>
        <v>364.13999999999993</v>
      </c>
      <c r="T138" s="94"/>
      <c r="U138" s="94">
        <f>'FY20-21'!S138</f>
        <v>357</v>
      </c>
      <c r="V138" s="94">
        <f t="shared" ref="V138" si="48">U138-S138</f>
        <v>-7.1399999999999295</v>
      </c>
    </row>
    <row r="139" spans="1:22" s="95" customFormat="1" ht="12" customHeight="1">
      <c r="A139" s="124"/>
      <c r="B139" s="124" t="s">
        <v>186</v>
      </c>
      <c r="C139" s="126"/>
      <c r="D139" s="126"/>
      <c r="E139" s="215">
        <f t="shared" ref="E139:Q139" si="49">SUM(E138:E138)</f>
        <v>0</v>
      </c>
      <c r="F139" s="215">
        <f t="shared" si="49"/>
        <v>0</v>
      </c>
      <c r="G139" s="215">
        <f t="shared" si="49"/>
        <v>0</v>
      </c>
      <c r="H139" s="215">
        <f t="shared" si="49"/>
        <v>0</v>
      </c>
      <c r="I139" s="215">
        <f t="shared" si="49"/>
        <v>0</v>
      </c>
      <c r="J139" s="215">
        <f t="shared" si="49"/>
        <v>0</v>
      </c>
      <c r="K139" s="215">
        <f t="shared" si="49"/>
        <v>104.03999999999999</v>
      </c>
      <c r="L139" s="215">
        <f t="shared" si="49"/>
        <v>52.019999999999996</v>
      </c>
      <c r="M139" s="215">
        <f t="shared" si="49"/>
        <v>52.019999999999996</v>
      </c>
      <c r="N139" s="215">
        <f t="shared" si="49"/>
        <v>52.019999999999996</v>
      </c>
      <c r="O139" s="215">
        <f t="shared" si="49"/>
        <v>52.019999999999996</v>
      </c>
      <c r="P139" s="215">
        <f t="shared" si="49"/>
        <v>52.019999999999996</v>
      </c>
      <c r="Q139" s="603">
        <f t="shared" si="49"/>
        <v>0</v>
      </c>
      <c r="R139" s="94"/>
      <c r="S139" s="626">
        <f>SUM(E139:R139)</f>
        <v>364.13999999999993</v>
      </c>
      <c r="T139" s="113"/>
      <c r="U139" s="216">
        <f>U138</f>
        <v>357</v>
      </c>
      <c r="V139" s="216">
        <f>V138</f>
        <v>-7.1399999999999295</v>
      </c>
    </row>
    <row r="140" spans="1:22" s="95" customFormat="1" ht="12" customHeight="1">
      <c r="A140" s="124"/>
      <c r="B140" s="124" t="s">
        <v>5</v>
      </c>
      <c r="C140" s="102"/>
      <c r="D140" s="103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606"/>
      <c r="R140" s="94"/>
      <c r="S140" s="627"/>
      <c r="T140" s="94"/>
      <c r="U140" s="94"/>
      <c r="V140" s="94"/>
    </row>
    <row r="141" spans="1:22" s="95" customFormat="1" ht="12" customHeight="1">
      <c r="A141" s="124"/>
      <c r="B141" s="124"/>
      <c r="C141" s="102">
        <v>7438</v>
      </c>
      <c r="D141" s="103" t="s">
        <v>45</v>
      </c>
      <c r="E141" s="94">
        <f>E164*0.04</f>
        <v>0</v>
      </c>
      <c r="F141" s="94">
        <f t="shared" ref="F141:P141" si="50">F164*0.04</f>
        <v>0</v>
      </c>
      <c r="G141" s="94">
        <f t="shared" si="50"/>
        <v>0</v>
      </c>
      <c r="H141" s="94">
        <f t="shared" si="50"/>
        <v>0</v>
      </c>
      <c r="I141" s="94">
        <f t="shared" si="50"/>
        <v>0</v>
      </c>
      <c r="J141" s="94">
        <f t="shared" si="50"/>
        <v>0</v>
      </c>
      <c r="K141" s="94">
        <f t="shared" si="50"/>
        <v>0</v>
      </c>
      <c r="L141" s="94">
        <f t="shared" si="50"/>
        <v>0</v>
      </c>
      <c r="M141" s="94">
        <f t="shared" si="50"/>
        <v>0</v>
      </c>
      <c r="N141" s="94">
        <f t="shared" si="50"/>
        <v>0</v>
      </c>
      <c r="O141" s="94">
        <f t="shared" si="50"/>
        <v>0</v>
      </c>
      <c r="P141" s="94">
        <f t="shared" si="50"/>
        <v>0</v>
      </c>
      <c r="Q141" s="606">
        <v>0</v>
      </c>
      <c r="R141" s="94"/>
      <c r="S141" s="625">
        <f t="shared" ref="S141" si="51">SUM(E141:Q141)</f>
        <v>0</v>
      </c>
      <c r="T141" s="94"/>
      <c r="U141" s="94">
        <f>'FY20-21'!S141</f>
        <v>506254.33924251382</v>
      </c>
      <c r="V141" s="94">
        <f t="shared" ref="V141" si="52">U141-S141</f>
        <v>506254.33924251382</v>
      </c>
    </row>
    <row r="142" spans="1:22" s="95" customFormat="1" ht="12" customHeight="1">
      <c r="A142" s="124"/>
      <c r="B142" s="124"/>
      <c r="C142" s="126"/>
      <c r="D142" s="126"/>
      <c r="E142" s="215">
        <f t="shared" ref="E142:Q142" si="53">SUM(E141:E141)</f>
        <v>0</v>
      </c>
      <c r="F142" s="215">
        <f t="shared" si="53"/>
        <v>0</v>
      </c>
      <c r="G142" s="215">
        <f t="shared" si="53"/>
        <v>0</v>
      </c>
      <c r="H142" s="215">
        <f t="shared" si="53"/>
        <v>0</v>
      </c>
      <c r="I142" s="215">
        <f t="shared" si="53"/>
        <v>0</v>
      </c>
      <c r="J142" s="215">
        <f t="shared" si="53"/>
        <v>0</v>
      </c>
      <c r="K142" s="215">
        <f t="shared" si="53"/>
        <v>0</v>
      </c>
      <c r="L142" s="215">
        <f t="shared" si="53"/>
        <v>0</v>
      </c>
      <c r="M142" s="215">
        <f t="shared" si="53"/>
        <v>0</v>
      </c>
      <c r="N142" s="215">
        <f t="shared" si="53"/>
        <v>0</v>
      </c>
      <c r="O142" s="215">
        <f t="shared" si="53"/>
        <v>0</v>
      </c>
      <c r="P142" s="215">
        <f t="shared" si="53"/>
        <v>0</v>
      </c>
      <c r="Q142" s="603">
        <f t="shared" si="53"/>
        <v>0</v>
      </c>
      <c r="R142" s="94"/>
      <c r="S142" s="626">
        <f>SUM(E142:R142)</f>
        <v>0</v>
      </c>
      <c r="T142" s="113"/>
      <c r="U142" s="216">
        <f>U141</f>
        <v>506254.33924251382</v>
      </c>
      <c r="V142" s="216">
        <f>V141</f>
        <v>506254.33924251382</v>
      </c>
    </row>
    <row r="143" spans="1:22" s="95" customFormat="1" ht="12" customHeight="1">
      <c r="A143" s="124"/>
      <c r="B143" s="124"/>
      <c r="C143" s="126"/>
      <c r="D143" s="126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606"/>
      <c r="R143" s="94"/>
      <c r="S143" s="627"/>
      <c r="T143" s="94"/>
      <c r="U143" s="94"/>
      <c r="V143" s="94"/>
    </row>
    <row r="144" spans="1:22" s="112" customFormat="1" ht="12" customHeight="1">
      <c r="A144" s="91" t="s">
        <v>6</v>
      </c>
      <c r="B144" s="91"/>
      <c r="C144" s="91"/>
      <c r="D144" s="91"/>
      <c r="E144" s="216">
        <f t="shared" ref="E144:Q144" si="54">E139+E110+E118+E136+E99+E90+E79+E69+E142+E62</f>
        <v>1271269.2674270179</v>
      </c>
      <c r="F144" s="216">
        <f t="shared" si="54"/>
        <v>2028928.4166345408</v>
      </c>
      <c r="G144" s="216">
        <f t="shared" si="54"/>
        <v>2224238.2362212772</v>
      </c>
      <c r="H144" s="216">
        <f t="shared" si="54"/>
        <v>2640531.2822885984</v>
      </c>
      <c r="I144" s="216">
        <f t="shared" si="54"/>
        <v>1478396.2114731935</v>
      </c>
      <c r="J144" s="216">
        <f t="shared" si="54"/>
        <v>3188743.1042487519</v>
      </c>
      <c r="K144" s="216">
        <f t="shared" si="54"/>
        <v>2557262.2937376145</v>
      </c>
      <c r="L144" s="216">
        <f t="shared" si="54"/>
        <v>2476071.1979138264</v>
      </c>
      <c r="M144" s="216">
        <f t="shared" si="54"/>
        <v>2418571.8027782855</v>
      </c>
      <c r="N144" s="216">
        <f t="shared" si="54"/>
        <v>2604339.1006278172</v>
      </c>
      <c r="O144" s="216">
        <f t="shared" si="54"/>
        <v>2573196.9467193326</v>
      </c>
      <c r="P144" s="216">
        <f t="shared" si="54"/>
        <v>4061526.9601538419</v>
      </c>
      <c r="Q144" s="607">
        <f t="shared" si="54"/>
        <v>82414.918183794827</v>
      </c>
      <c r="R144" s="113"/>
      <c r="S144" s="626">
        <f>SUM(E144:R144)</f>
        <v>29605489.738407895</v>
      </c>
      <c r="T144" s="113"/>
      <c r="U144" s="216">
        <f>U142+U139+U110+U118+U136+U99+U90+U79+U69+U62</f>
        <v>29199520.616049595</v>
      </c>
      <c r="V144" s="216">
        <f>V142+V139+V110+V118+V136+V99+V90+V79+V69+V62</f>
        <v>-405969.1223582977</v>
      </c>
    </row>
    <row r="145" spans="1:22" s="95" customFormat="1" ht="12" customHeight="1"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606"/>
      <c r="R145" s="94"/>
      <c r="S145" s="627"/>
      <c r="T145" s="113"/>
      <c r="U145" s="113"/>
      <c r="V145" s="113"/>
    </row>
    <row r="146" spans="1:22" s="128" customFormat="1" ht="12" customHeight="1" thickBot="1">
      <c r="A146" s="128" t="s">
        <v>46</v>
      </c>
      <c r="E146" s="129">
        <f t="shared" ref="E146:U146" si="55">E52-E144</f>
        <v>-1221100.6586047825</v>
      </c>
      <c r="F146" s="129">
        <f t="shared" si="55"/>
        <v>-398485.76426242688</v>
      </c>
      <c r="G146" s="129">
        <f t="shared" si="55"/>
        <v>-627241.32306398684</v>
      </c>
      <c r="H146" s="129">
        <f t="shared" si="55"/>
        <v>338623.97865080647</v>
      </c>
      <c r="I146" s="129">
        <f t="shared" si="55"/>
        <v>1342685.0494662113</v>
      </c>
      <c r="J146" s="129">
        <f t="shared" si="55"/>
        <v>-302242.45290934714</v>
      </c>
      <c r="K146" s="129">
        <f t="shared" si="55"/>
        <v>577739.17131601553</v>
      </c>
      <c r="L146" s="129">
        <f t="shared" si="55"/>
        <v>395178.67184781376</v>
      </c>
      <c r="M146" s="129">
        <f t="shared" si="55"/>
        <v>403108.60768329585</v>
      </c>
      <c r="N146" s="129">
        <f t="shared" si="55"/>
        <v>668020.76046636142</v>
      </c>
      <c r="O146" s="129">
        <f t="shared" si="55"/>
        <v>248483.46374224871</v>
      </c>
      <c r="P146" s="129">
        <f t="shared" si="55"/>
        <v>-1180095.4261956736</v>
      </c>
      <c r="Q146" s="608">
        <f t="shared" si="55"/>
        <v>3150501.8568802956</v>
      </c>
      <c r="R146" s="113">
        <f t="shared" si="55"/>
        <v>0</v>
      </c>
      <c r="S146" s="631">
        <f t="shared" si="55"/>
        <v>3395175.9350168221</v>
      </c>
      <c r="T146" s="113">
        <f t="shared" si="55"/>
        <v>0</v>
      </c>
      <c r="U146" s="129">
        <f t="shared" si="55"/>
        <v>3005702.854034327</v>
      </c>
      <c r="V146" s="129">
        <f>V52+V144</f>
        <v>389473.08098249719</v>
      </c>
    </row>
    <row r="147" spans="1:22" s="95" customFormat="1" ht="12" customHeight="1" thickTop="1"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606"/>
      <c r="R147" s="94"/>
      <c r="S147" s="627"/>
      <c r="T147" s="94"/>
      <c r="U147" s="94"/>
      <c r="V147" s="94"/>
    </row>
    <row r="148" spans="1:22" s="95" customFormat="1" ht="12" customHeight="1">
      <c r="A148" s="112" t="s">
        <v>47</v>
      </c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606"/>
      <c r="R148" s="94"/>
      <c r="S148" s="633"/>
      <c r="T148" s="94"/>
      <c r="U148" s="94"/>
      <c r="V148" s="94"/>
    </row>
    <row r="149" spans="1:22" s="112" customFormat="1" ht="12" customHeight="1">
      <c r="C149" s="95" t="s">
        <v>46</v>
      </c>
      <c r="D149" s="95"/>
      <c r="E149" s="94">
        <f t="shared" ref="E149:Q149" si="56">E146</f>
        <v>-1221100.6586047825</v>
      </c>
      <c r="F149" s="94">
        <f t="shared" si="56"/>
        <v>-398485.76426242688</v>
      </c>
      <c r="G149" s="94">
        <f t="shared" si="56"/>
        <v>-627241.32306398684</v>
      </c>
      <c r="H149" s="94">
        <f t="shared" si="56"/>
        <v>338623.97865080647</v>
      </c>
      <c r="I149" s="94">
        <f t="shared" si="56"/>
        <v>1342685.0494662113</v>
      </c>
      <c r="J149" s="94">
        <f t="shared" si="56"/>
        <v>-302242.45290934714</v>
      </c>
      <c r="K149" s="94">
        <f t="shared" si="56"/>
        <v>577739.17131601553</v>
      </c>
      <c r="L149" s="94">
        <f t="shared" si="56"/>
        <v>395178.67184781376</v>
      </c>
      <c r="M149" s="94">
        <f t="shared" si="56"/>
        <v>403108.60768329585</v>
      </c>
      <c r="N149" s="94">
        <f t="shared" si="56"/>
        <v>668020.76046636142</v>
      </c>
      <c r="O149" s="94">
        <f t="shared" si="56"/>
        <v>248483.46374224871</v>
      </c>
      <c r="P149" s="94">
        <f t="shared" si="56"/>
        <v>-1180095.4261956736</v>
      </c>
      <c r="Q149" s="606">
        <f t="shared" si="56"/>
        <v>3150501.8568802956</v>
      </c>
      <c r="R149" s="94"/>
      <c r="S149" s="627">
        <f>SUM(E149:R149)</f>
        <v>3395175.9350168318</v>
      </c>
      <c r="T149" s="113"/>
      <c r="U149" s="113"/>
      <c r="V149" s="113"/>
    </row>
    <row r="150" spans="1:22" s="95" customFormat="1" ht="12" customHeight="1">
      <c r="C150" s="95" t="s">
        <v>48</v>
      </c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606"/>
      <c r="R150" s="94"/>
      <c r="S150" s="627"/>
      <c r="T150" s="94"/>
      <c r="U150" s="94"/>
      <c r="V150" s="113"/>
    </row>
    <row r="151" spans="1:22" s="95" customFormat="1" ht="12" customHeight="1">
      <c r="D151" s="130" t="s">
        <v>289</v>
      </c>
      <c r="E151" s="94">
        <f t="shared" ref="E151:Q151" si="57">+E138</f>
        <v>0</v>
      </c>
      <c r="F151" s="94">
        <f t="shared" si="57"/>
        <v>0</v>
      </c>
      <c r="G151" s="94">
        <f t="shared" si="57"/>
        <v>0</v>
      </c>
      <c r="H151" s="94">
        <f t="shared" si="57"/>
        <v>0</v>
      </c>
      <c r="I151" s="94">
        <f t="shared" si="57"/>
        <v>0</v>
      </c>
      <c r="J151" s="94">
        <f t="shared" si="57"/>
        <v>0</v>
      </c>
      <c r="K151" s="94">
        <f t="shared" si="57"/>
        <v>104.03999999999999</v>
      </c>
      <c r="L151" s="94">
        <f t="shared" si="57"/>
        <v>52.019999999999996</v>
      </c>
      <c r="M151" s="94">
        <f t="shared" si="57"/>
        <v>52.019999999999996</v>
      </c>
      <c r="N151" s="94">
        <f t="shared" si="57"/>
        <v>52.019999999999996</v>
      </c>
      <c r="O151" s="94">
        <f t="shared" si="57"/>
        <v>52.019999999999996</v>
      </c>
      <c r="P151" s="94">
        <f t="shared" si="57"/>
        <v>52.019999999999996</v>
      </c>
      <c r="Q151" s="606">
        <f t="shared" si="57"/>
        <v>0</v>
      </c>
      <c r="R151" s="94"/>
      <c r="S151" s="627">
        <f>SUM(E151:R151)</f>
        <v>364.13999999999993</v>
      </c>
      <c r="T151" s="94"/>
      <c r="U151" s="94"/>
      <c r="V151" s="66"/>
    </row>
    <row r="152" spans="1:22" s="95" customFormat="1" ht="12" customHeight="1">
      <c r="D152" s="130" t="s">
        <v>290</v>
      </c>
      <c r="E152" s="304">
        <f>'FY20-21'!Q19+'FY20-21'!Q23+'FY20-21'!Q34</f>
        <v>2655680.9103280567</v>
      </c>
      <c r="F152" s="94">
        <f>'FY20-21'!Q35</f>
        <v>0</v>
      </c>
      <c r="G152" s="94">
        <f>'FY20-21'!Q37</f>
        <v>311692.40822845034</v>
      </c>
      <c r="H152" s="94">
        <v>0</v>
      </c>
      <c r="I152" s="94">
        <v>0</v>
      </c>
      <c r="J152" s="94">
        <v>0</v>
      </c>
      <c r="K152" s="94">
        <f>'FY20-21'!Q52-SUM(E152:I152)</f>
        <v>172682.29881016864</v>
      </c>
      <c r="L152" s="94">
        <v>0</v>
      </c>
      <c r="M152" s="94">
        <v>0</v>
      </c>
      <c r="N152" s="94">
        <v>0</v>
      </c>
      <c r="O152" s="94">
        <v>0</v>
      </c>
      <c r="P152" s="94">
        <v>0</v>
      </c>
      <c r="Q152" s="606">
        <f>-Q52</f>
        <v>-3232916.7750640903</v>
      </c>
      <c r="R152" s="94"/>
      <c r="S152" s="627">
        <f t="shared" ref="S152:S166" si="58">SUM(E152:R152)</f>
        <v>-92861.157697414514</v>
      </c>
      <c r="T152" s="94"/>
      <c r="U152" s="94"/>
      <c r="V152" s="113"/>
    </row>
    <row r="153" spans="1:22" s="95" customFormat="1" ht="12" customHeight="1">
      <c r="D153" s="130" t="s">
        <v>297</v>
      </c>
      <c r="E153" s="94">
        <v>0</v>
      </c>
      <c r="F153" s="94">
        <v>0</v>
      </c>
      <c r="G153" s="94">
        <v>0</v>
      </c>
      <c r="H153" s="94">
        <v>0</v>
      </c>
      <c r="I153" s="94">
        <v>0</v>
      </c>
      <c r="J153" s="94">
        <v>0</v>
      </c>
      <c r="K153" s="94">
        <v>0</v>
      </c>
      <c r="L153" s="94">
        <v>0</v>
      </c>
      <c r="M153" s="94">
        <v>0</v>
      </c>
      <c r="N153" s="94">
        <v>0</v>
      </c>
      <c r="O153" s="94">
        <v>0</v>
      </c>
      <c r="P153" s="94">
        <v>0</v>
      </c>
      <c r="Q153" s="606">
        <v>0</v>
      </c>
      <c r="R153" s="94"/>
      <c r="S153" s="627">
        <f t="shared" si="58"/>
        <v>0</v>
      </c>
      <c r="T153" s="94"/>
      <c r="U153" s="94"/>
      <c r="V153" s="113"/>
    </row>
    <row r="154" spans="1:22" s="95" customFormat="1" ht="12" customHeight="1">
      <c r="D154" s="130" t="s">
        <v>233</v>
      </c>
      <c r="E154" s="94">
        <v>0</v>
      </c>
      <c r="F154" s="94">
        <v>0</v>
      </c>
      <c r="G154" s="94">
        <v>0</v>
      </c>
      <c r="H154" s="94">
        <v>0</v>
      </c>
      <c r="I154" s="94">
        <v>0</v>
      </c>
      <c r="J154" s="94">
        <v>0</v>
      </c>
      <c r="K154" s="94">
        <v>0</v>
      </c>
      <c r="L154" s="94">
        <v>0</v>
      </c>
      <c r="M154" s="94">
        <v>0</v>
      </c>
      <c r="N154" s="94">
        <v>0</v>
      </c>
      <c r="O154" s="94">
        <v>0</v>
      </c>
      <c r="P154" s="94"/>
      <c r="Q154" s="606">
        <v>0</v>
      </c>
      <c r="R154" s="94"/>
      <c r="S154" s="627">
        <f t="shared" si="58"/>
        <v>0</v>
      </c>
      <c r="T154" s="94"/>
      <c r="U154" s="94"/>
      <c r="V154" s="113"/>
    </row>
    <row r="155" spans="1:22" s="95" customFormat="1" ht="12" customHeight="1">
      <c r="D155" s="130" t="s">
        <v>291</v>
      </c>
      <c r="E155" s="94">
        <v>0</v>
      </c>
      <c r="F155" s="94">
        <v>0</v>
      </c>
      <c r="G155" s="94">
        <v>0</v>
      </c>
      <c r="H155" s="94">
        <v>0</v>
      </c>
      <c r="I155" s="94">
        <v>0</v>
      </c>
      <c r="J155" s="94">
        <v>0</v>
      </c>
      <c r="K155" s="94">
        <v>0</v>
      </c>
      <c r="L155" s="94">
        <v>0</v>
      </c>
      <c r="M155" s="94">
        <v>0</v>
      </c>
      <c r="N155" s="94">
        <v>0</v>
      </c>
      <c r="O155" s="94">
        <v>0</v>
      </c>
      <c r="P155" s="94">
        <v>0</v>
      </c>
      <c r="Q155" s="606">
        <v>0</v>
      </c>
      <c r="R155" s="94"/>
      <c r="S155" s="627">
        <f t="shared" si="58"/>
        <v>0</v>
      </c>
      <c r="T155" s="94"/>
      <c r="U155" s="94"/>
      <c r="V155" s="113"/>
    </row>
    <row r="156" spans="1:22" s="95" customFormat="1" ht="12" customHeight="1">
      <c r="D156" s="130" t="s">
        <v>292</v>
      </c>
      <c r="E156" s="94">
        <v>0</v>
      </c>
      <c r="F156" s="94">
        <v>0</v>
      </c>
      <c r="G156" s="94">
        <v>0</v>
      </c>
      <c r="H156" s="94">
        <v>0</v>
      </c>
      <c r="I156" s="94">
        <v>0</v>
      </c>
      <c r="J156" s="94">
        <v>0</v>
      </c>
      <c r="K156" s="94">
        <v>0</v>
      </c>
      <c r="L156" s="94">
        <v>0</v>
      </c>
      <c r="M156" s="94">
        <v>0</v>
      </c>
      <c r="N156" s="94">
        <v>0</v>
      </c>
      <c r="O156" s="94">
        <v>0</v>
      </c>
      <c r="P156" s="94">
        <v>0</v>
      </c>
      <c r="Q156" s="606">
        <v>0</v>
      </c>
      <c r="R156" s="94"/>
      <c r="S156" s="627">
        <f t="shared" si="58"/>
        <v>0</v>
      </c>
      <c r="T156" s="94"/>
      <c r="U156" s="94"/>
      <c r="V156" s="113"/>
    </row>
    <row r="157" spans="1:22" s="95" customFormat="1" ht="12" customHeight="1">
      <c r="D157" s="130" t="s">
        <v>293</v>
      </c>
      <c r="E157" s="94">
        <f>-'FY20-21'!Q157</f>
        <v>-79670.427309841732</v>
      </c>
      <c r="F157" s="94">
        <v>0</v>
      </c>
      <c r="G157" s="94">
        <v>0</v>
      </c>
      <c r="H157" s="94">
        <v>0</v>
      </c>
      <c r="I157" s="94">
        <v>0</v>
      </c>
      <c r="J157" s="94">
        <v>0</v>
      </c>
      <c r="K157" s="94">
        <v>0</v>
      </c>
      <c r="L157" s="94">
        <v>0</v>
      </c>
      <c r="M157" s="94">
        <v>0</v>
      </c>
      <c r="N157" s="94">
        <v>0</v>
      </c>
      <c r="O157" s="94">
        <v>0</v>
      </c>
      <c r="P157" s="94">
        <v>0</v>
      </c>
      <c r="Q157" s="606">
        <f>Q144</f>
        <v>82414.918183794827</v>
      </c>
      <c r="R157" s="94"/>
      <c r="S157" s="627">
        <f t="shared" si="58"/>
        <v>2744.4908739530947</v>
      </c>
      <c r="T157" s="94"/>
      <c r="U157" s="94"/>
      <c r="V157" s="113"/>
    </row>
    <row r="158" spans="1:22" s="95" customFormat="1" ht="12" customHeight="1">
      <c r="D158" s="130" t="s">
        <v>294</v>
      </c>
      <c r="E158" s="94">
        <v>0</v>
      </c>
      <c r="F158" s="94">
        <v>0</v>
      </c>
      <c r="G158" s="94">
        <v>0</v>
      </c>
      <c r="H158" s="94">
        <v>0</v>
      </c>
      <c r="I158" s="94">
        <v>0</v>
      </c>
      <c r="J158" s="94">
        <v>0</v>
      </c>
      <c r="K158" s="94">
        <v>0</v>
      </c>
      <c r="L158" s="94">
        <v>0</v>
      </c>
      <c r="M158" s="94">
        <v>0</v>
      </c>
      <c r="N158" s="94">
        <v>0</v>
      </c>
      <c r="O158" s="94">
        <v>0</v>
      </c>
      <c r="P158" s="94">
        <v>0</v>
      </c>
      <c r="Q158" s="606">
        <v>0</v>
      </c>
      <c r="R158" s="94"/>
      <c r="S158" s="627">
        <f t="shared" si="58"/>
        <v>0</v>
      </c>
      <c r="T158" s="94"/>
      <c r="U158" s="94"/>
      <c r="V158" s="113"/>
    </row>
    <row r="159" spans="1:22" s="95" customFormat="1" ht="12" customHeight="1">
      <c r="D159" s="130" t="s">
        <v>234</v>
      </c>
      <c r="E159" s="94">
        <v>0</v>
      </c>
      <c r="F159" s="94">
        <v>0</v>
      </c>
      <c r="G159" s="94">
        <v>0</v>
      </c>
      <c r="H159" s="94">
        <v>0</v>
      </c>
      <c r="I159" s="94">
        <v>0</v>
      </c>
      <c r="J159" s="94">
        <v>0</v>
      </c>
      <c r="K159" s="94">
        <v>0</v>
      </c>
      <c r="L159" s="94">
        <v>0</v>
      </c>
      <c r="M159" s="94">
        <v>0</v>
      </c>
      <c r="N159" s="94">
        <v>0</v>
      </c>
      <c r="O159" s="94">
        <v>0</v>
      </c>
      <c r="P159" s="94">
        <v>0</v>
      </c>
      <c r="Q159" s="606">
        <v>0</v>
      </c>
      <c r="R159" s="94"/>
      <c r="S159" s="627">
        <f t="shared" si="58"/>
        <v>0</v>
      </c>
      <c r="T159" s="94"/>
      <c r="U159" s="94"/>
      <c r="V159" s="113"/>
    </row>
    <row r="160" spans="1:22" s="95" customFormat="1" ht="11" customHeight="1">
      <c r="C160" s="95" t="s">
        <v>49</v>
      </c>
      <c r="D160" s="130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606"/>
      <c r="R160" s="94"/>
      <c r="S160" s="627"/>
      <c r="T160" s="94"/>
      <c r="U160" s="94"/>
      <c r="V160" s="113"/>
    </row>
    <row r="161" spans="1:22" s="95" customFormat="1" ht="11" customHeight="1">
      <c r="D161" s="130" t="s">
        <v>296</v>
      </c>
      <c r="E161" s="94">
        <v>0</v>
      </c>
      <c r="F161" s="94">
        <v>0</v>
      </c>
      <c r="G161" s="94">
        <v>0</v>
      </c>
      <c r="H161" s="94">
        <v>0</v>
      </c>
      <c r="I161" s="94">
        <v>0</v>
      </c>
      <c r="J161" s="94">
        <v>0</v>
      </c>
      <c r="K161" s="94">
        <v>0</v>
      </c>
      <c r="L161" s="94">
        <v>0</v>
      </c>
      <c r="M161" s="94">
        <v>0</v>
      </c>
      <c r="N161" s="94">
        <v>0</v>
      </c>
      <c r="O161" s="94">
        <v>0</v>
      </c>
      <c r="P161" s="94">
        <v>0</v>
      </c>
      <c r="Q161" s="606">
        <v>0</v>
      </c>
      <c r="R161" s="94"/>
      <c r="S161" s="627">
        <f t="shared" si="58"/>
        <v>0</v>
      </c>
      <c r="T161" s="94"/>
      <c r="U161" s="94"/>
      <c r="V161" s="113"/>
    </row>
    <row r="162" spans="1:22" s="95" customFormat="1" ht="12" customHeight="1">
      <c r="D162" s="95" t="s">
        <v>295</v>
      </c>
      <c r="E162" s="94">
        <v>0</v>
      </c>
      <c r="F162" s="94">
        <v>0</v>
      </c>
      <c r="G162" s="94">
        <v>0</v>
      </c>
      <c r="H162" s="94">
        <v>0</v>
      </c>
      <c r="I162" s="94">
        <v>0</v>
      </c>
      <c r="J162" s="94">
        <v>0</v>
      </c>
      <c r="K162" s="94">
        <v>0</v>
      </c>
      <c r="L162" s="94">
        <v>0</v>
      </c>
      <c r="M162" s="94">
        <v>0</v>
      </c>
      <c r="N162" s="94">
        <v>0</v>
      </c>
      <c r="O162" s="94">
        <v>0</v>
      </c>
      <c r="P162" s="94">
        <v>0</v>
      </c>
      <c r="Q162" s="606">
        <v>0</v>
      </c>
      <c r="R162" s="94"/>
      <c r="S162" s="627">
        <f t="shared" si="58"/>
        <v>0</v>
      </c>
      <c r="T162" s="94"/>
      <c r="U162" s="94"/>
      <c r="V162" s="113"/>
    </row>
    <row r="163" spans="1:22" s="95" customFormat="1" ht="12" customHeight="1">
      <c r="C163" s="95" t="s">
        <v>50</v>
      </c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606"/>
      <c r="R163" s="94"/>
      <c r="S163" s="627"/>
      <c r="T163" s="94"/>
      <c r="U163" s="94"/>
      <c r="V163" s="113"/>
    </row>
    <row r="164" spans="1:22" s="95" customFormat="1" ht="12" customHeight="1">
      <c r="D164" s="95" t="s">
        <v>317</v>
      </c>
      <c r="E164" s="94">
        <v>0</v>
      </c>
      <c r="F164" s="94">
        <v>0</v>
      </c>
      <c r="G164" s="94">
        <v>0</v>
      </c>
      <c r="H164" s="94">
        <v>0</v>
      </c>
      <c r="I164" s="94">
        <v>0</v>
      </c>
      <c r="J164" s="94">
        <v>0</v>
      </c>
      <c r="K164" s="94">
        <v>0</v>
      </c>
      <c r="L164" s="94">
        <v>0</v>
      </c>
      <c r="M164" s="94">
        <v>0</v>
      </c>
      <c r="N164" s="94">
        <v>0</v>
      </c>
      <c r="O164" s="94">
        <v>0</v>
      </c>
      <c r="P164" s="94">
        <v>0</v>
      </c>
      <c r="Q164" s="606">
        <v>0</v>
      </c>
      <c r="R164" s="94"/>
      <c r="S164" s="627">
        <f t="shared" si="58"/>
        <v>0</v>
      </c>
      <c r="T164" s="94"/>
      <c r="U164" s="94"/>
      <c r="V164" s="113"/>
    </row>
    <row r="165" spans="1:22" s="95" customFormat="1" ht="12" customHeight="1">
      <c r="D165" s="95" t="s">
        <v>318</v>
      </c>
      <c r="E165" s="94">
        <f>-'FY20-21'!M164</f>
        <v>0</v>
      </c>
      <c r="F165" s="94">
        <v>0</v>
      </c>
      <c r="G165" s="94">
        <v>0</v>
      </c>
      <c r="H165" s="94">
        <v>0</v>
      </c>
      <c r="I165" s="94">
        <f>-E164</f>
        <v>0</v>
      </c>
      <c r="J165" s="94">
        <f>-F164</f>
        <v>0</v>
      </c>
      <c r="K165" s="94">
        <f t="shared" ref="K165:P165" si="59">-G164</f>
        <v>0</v>
      </c>
      <c r="L165" s="94">
        <f t="shared" si="59"/>
        <v>0</v>
      </c>
      <c r="M165" s="94">
        <f t="shared" si="59"/>
        <v>0</v>
      </c>
      <c r="N165" s="94">
        <f t="shared" si="59"/>
        <v>0</v>
      </c>
      <c r="O165" s="94">
        <f t="shared" si="59"/>
        <v>0</v>
      </c>
      <c r="P165" s="94">
        <f t="shared" si="59"/>
        <v>0</v>
      </c>
      <c r="Q165" s="606">
        <v>0</v>
      </c>
      <c r="R165" s="94"/>
      <c r="S165" s="627">
        <f t="shared" si="58"/>
        <v>0</v>
      </c>
      <c r="T165" s="94"/>
      <c r="U165" s="94"/>
      <c r="V165" s="113"/>
    </row>
    <row r="166" spans="1:22" s="95" customFormat="1" ht="12" customHeight="1">
      <c r="D166" s="95" t="s">
        <v>552</v>
      </c>
      <c r="E166" s="94">
        <f>E177</f>
        <v>0</v>
      </c>
      <c r="F166" s="94">
        <f t="shared" ref="F166:P166" si="60">F177</f>
        <v>0</v>
      </c>
      <c r="G166" s="94">
        <f t="shared" si="60"/>
        <v>0</v>
      </c>
      <c r="H166" s="94">
        <f t="shared" si="60"/>
        <v>0</v>
      </c>
      <c r="I166" s="94">
        <f t="shared" si="60"/>
        <v>0</v>
      </c>
      <c r="J166" s="94">
        <f t="shared" si="60"/>
        <v>0</v>
      </c>
      <c r="K166" s="94">
        <f t="shared" si="60"/>
        <v>0</v>
      </c>
      <c r="L166" s="94">
        <f t="shared" si="60"/>
        <v>0</v>
      </c>
      <c r="M166" s="94">
        <f t="shared" si="60"/>
        <v>0</v>
      </c>
      <c r="N166" s="94">
        <f t="shared" si="60"/>
        <v>0</v>
      </c>
      <c r="O166" s="94">
        <f t="shared" si="60"/>
        <v>0</v>
      </c>
      <c r="P166" s="94">
        <f t="shared" si="60"/>
        <v>0</v>
      </c>
      <c r="Q166" s="606">
        <v>0</v>
      </c>
      <c r="R166" s="94"/>
      <c r="S166" s="627">
        <f t="shared" si="58"/>
        <v>0</v>
      </c>
      <c r="T166" s="94"/>
      <c r="U166" s="94"/>
      <c r="V166" s="113"/>
    </row>
    <row r="167" spans="1:22" s="95" customFormat="1" ht="12" customHeight="1">
      <c r="D167" s="95" t="s">
        <v>553</v>
      </c>
      <c r="E167" s="132">
        <f>E178</f>
        <v>0</v>
      </c>
      <c r="F167" s="132">
        <f t="shared" ref="F167:P167" si="61">F178</f>
        <v>0</v>
      </c>
      <c r="G167" s="132">
        <f t="shared" si="61"/>
        <v>0</v>
      </c>
      <c r="H167" s="132">
        <f t="shared" si="61"/>
        <v>0</v>
      </c>
      <c r="I167" s="132">
        <f t="shared" si="61"/>
        <v>0</v>
      </c>
      <c r="J167" s="132">
        <f t="shared" si="61"/>
        <v>0</v>
      </c>
      <c r="K167" s="132">
        <f t="shared" si="61"/>
        <v>0</v>
      </c>
      <c r="L167" s="132">
        <f t="shared" si="61"/>
        <v>0</v>
      </c>
      <c r="M167" s="132">
        <f t="shared" si="61"/>
        <v>0</v>
      </c>
      <c r="N167" s="132">
        <f t="shared" si="61"/>
        <v>0</v>
      </c>
      <c r="O167" s="132">
        <f t="shared" si="61"/>
        <v>0</v>
      </c>
      <c r="P167" s="132">
        <f t="shared" si="61"/>
        <v>0</v>
      </c>
      <c r="Q167" s="606">
        <v>0</v>
      </c>
      <c r="R167" s="94"/>
      <c r="S167" s="627">
        <f t="shared" ref="S167" si="62">SUM(E167:R167)</f>
        <v>0</v>
      </c>
      <c r="T167" s="94"/>
      <c r="U167" s="94"/>
      <c r="V167" s="113"/>
    </row>
    <row r="168" spans="1:22" s="95" customFormat="1" ht="12" customHeight="1"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131"/>
      <c r="T168" s="94"/>
      <c r="U168" s="94"/>
      <c r="V168" s="113"/>
    </row>
    <row r="169" spans="1:22" s="95" customFormat="1" ht="12" customHeight="1">
      <c r="B169" s="95" t="s">
        <v>51</v>
      </c>
      <c r="E169" s="94">
        <f>SUBTOTAL(9,E149:E168)</f>
        <v>1354909.8244134323</v>
      </c>
      <c r="F169" s="94">
        <f t="shared" ref="F169:P169" si="63">SUBTOTAL(9,F149:F168)</f>
        <v>-398485.76426242688</v>
      </c>
      <c r="G169" s="94">
        <f t="shared" si="63"/>
        <v>-315548.9148355365</v>
      </c>
      <c r="H169" s="94">
        <f t="shared" si="63"/>
        <v>338623.97865080647</v>
      </c>
      <c r="I169" s="94">
        <f t="shared" si="63"/>
        <v>1342685.0494662113</v>
      </c>
      <c r="J169" s="94">
        <f t="shared" si="63"/>
        <v>-302242.45290934714</v>
      </c>
      <c r="K169" s="94">
        <f t="shared" si="63"/>
        <v>750525.51012618421</v>
      </c>
      <c r="L169" s="94">
        <f t="shared" si="63"/>
        <v>395230.69184781378</v>
      </c>
      <c r="M169" s="94">
        <f t="shared" si="63"/>
        <v>403160.62768329587</v>
      </c>
      <c r="N169" s="94">
        <f t="shared" si="63"/>
        <v>668072.78046636144</v>
      </c>
      <c r="O169" s="94">
        <f t="shared" si="63"/>
        <v>248535.4837422487</v>
      </c>
      <c r="P169" s="94">
        <f t="shared" si="63"/>
        <v>-1180043.4061956736</v>
      </c>
      <c r="R169" s="94"/>
      <c r="S169" s="94"/>
      <c r="T169" s="94"/>
      <c r="U169" s="113"/>
      <c r="V169" s="94"/>
    </row>
    <row r="170" spans="1:22" s="95" customFormat="1" ht="12" customHeight="1"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R170" s="94"/>
      <c r="S170" s="94"/>
      <c r="T170" s="94"/>
      <c r="U170" s="94"/>
      <c r="V170" s="94"/>
    </row>
    <row r="171" spans="1:22" s="95" customFormat="1" ht="12" customHeight="1">
      <c r="B171" s="95" t="s">
        <v>52</v>
      </c>
      <c r="E171" s="132">
        <f>'FY20-21'!P173</f>
        <v>3450804.9080375466</v>
      </c>
      <c r="F171" s="132">
        <f t="shared" ref="F171:O171" si="64">E173</f>
        <v>4805714.7324509788</v>
      </c>
      <c r="G171" s="132">
        <f t="shared" si="64"/>
        <v>4407228.9681885522</v>
      </c>
      <c r="H171" s="132">
        <f t="shared" si="64"/>
        <v>4091680.0533530158</v>
      </c>
      <c r="I171" s="132">
        <f t="shared" si="64"/>
        <v>4430304.0320038218</v>
      </c>
      <c r="J171" s="132">
        <f t="shared" si="64"/>
        <v>5772989.0814700332</v>
      </c>
      <c r="K171" s="132">
        <f t="shared" si="64"/>
        <v>5470746.6285606865</v>
      </c>
      <c r="L171" s="132">
        <f t="shared" si="64"/>
        <v>6221272.1386868712</v>
      </c>
      <c r="M171" s="132">
        <f t="shared" si="64"/>
        <v>6616502.8305346854</v>
      </c>
      <c r="N171" s="132">
        <f t="shared" si="64"/>
        <v>7019663.4582179813</v>
      </c>
      <c r="O171" s="132">
        <f t="shared" si="64"/>
        <v>7687736.2386843432</v>
      </c>
      <c r="P171" s="132">
        <f>O173</f>
        <v>7936271.7224265914</v>
      </c>
      <c r="R171" s="94"/>
      <c r="S171" s="94"/>
      <c r="T171" s="94"/>
      <c r="U171" s="94"/>
      <c r="V171" s="94"/>
    </row>
    <row r="172" spans="1:22" s="95" customFormat="1" ht="12" customHeight="1"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R172" s="94"/>
      <c r="S172" s="94"/>
      <c r="T172" s="94"/>
      <c r="U172" s="94"/>
      <c r="V172" s="94"/>
    </row>
    <row r="173" spans="1:22" s="112" customFormat="1" ht="12" customHeight="1" thickBot="1">
      <c r="B173" s="112" t="s">
        <v>53</v>
      </c>
      <c r="E173" s="129">
        <f t="shared" ref="E173:O173" si="65">E169+E171</f>
        <v>4805714.7324509788</v>
      </c>
      <c r="F173" s="129">
        <f t="shared" si="65"/>
        <v>4407228.9681885522</v>
      </c>
      <c r="G173" s="129">
        <f t="shared" si="65"/>
        <v>4091680.0533530158</v>
      </c>
      <c r="H173" s="129">
        <f t="shared" si="65"/>
        <v>4430304.0320038218</v>
      </c>
      <c r="I173" s="129">
        <f t="shared" si="65"/>
        <v>5772989.0814700332</v>
      </c>
      <c r="J173" s="129">
        <f t="shared" si="65"/>
        <v>5470746.6285606865</v>
      </c>
      <c r="K173" s="129">
        <f t="shared" si="65"/>
        <v>6221272.1386868712</v>
      </c>
      <c r="L173" s="129">
        <f t="shared" si="65"/>
        <v>6616502.8305346854</v>
      </c>
      <c r="M173" s="129">
        <f t="shared" si="65"/>
        <v>7019663.4582179813</v>
      </c>
      <c r="N173" s="129">
        <f t="shared" si="65"/>
        <v>7687736.2386843432</v>
      </c>
      <c r="O173" s="129">
        <f t="shared" si="65"/>
        <v>7936271.7224265914</v>
      </c>
      <c r="P173" s="129">
        <f>P169+P171</f>
        <v>6756228.3162309173</v>
      </c>
      <c r="R173" s="113"/>
      <c r="S173" s="113"/>
      <c r="T173" s="113"/>
      <c r="U173" s="113"/>
      <c r="V173" s="113"/>
    </row>
    <row r="174" spans="1:22" s="95" customFormat="1" ht="12" customHeight="1" thickTop="1">
      <c r="A174" s="112"/>
      <c r="B174" s="112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131"/>
      <c r="T174" s="94"/>
      <c r="U174" s="94"/>
      <c r="V174" s="94"/>
    </row>
    <row r="175" spans="1:22" s="95" customFormat="1" ht="12" customHeight="1">
      <c r="A175" s="112"/>
      <c r="B175" s="112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131"/>
      <c r="T175" s="94"/>
      <c r="U175" s="94"/>
      <c r="V175" s="94"/>
    </row>
    <row r="176" spans="1:22" s="95" customFormat="1" ht="12" customHeight="1">
      <c r="A176" s="112"/>
      <c r="B176" s="112"/>
      <c r="D176" s="95" t="s">
        <v>557</v>
      </c>
      <c r="E176" s="315">
        <f>+'FY20-21'!P179</f>
        <v>0</v>
      </c>
      <c r="F176" s="315">
        <f>E179</f>
        <v>0</v>
      </c>
      <c r="G176" s="315">
        <f t="shared" ref="G176:P176" si="66">F179</f>
        <v>0</v>
      </c>
      <c r="H176" s="315">
        <f t="shared" si="66"/>
        <v>0</v>
      </c>
      <c r="I176" s="315">
        <f t="shared" si="66"/>
        <v>0</v>
      </c>
      <c r="J176" s="315">
        <f t="shared" si="66"/>
        <v>0</v>
      </c>
      <c r="K176" s="315">
        <f t="shared" si="66"/>
        <v>0</v>
      </c>
      <c r="L176" s="315">
        <f t="shared" si="66"/>
        <v>0</v>
      </c>
      <c r="M176" s="315">
        <f t="shared" si="66"/>
        <v>0</v>
      </c>
      <c r="N176" s="315">
        <f t="shared" si="66"/>
        <v>0</v>
      </c>
      <c r="O176" s="315">
        <f t="shared" si="66"/>
        <v>0</v>
      </c>
      <c r="P176" s="315">
        <f t="shared" si="66"/>
        <v>0</v>
      </c>
      <c r="Q176" s="94"/>
      <c r="R176" s="94"/>
      <c r="S176" s="131"/>
      <c r="T176" s="94"/>
      <c r="U176" s="94"/>
      <c r="V176" s="94"/>
    </row>
    <row r="177" spans="1:23" s="95" customFormat="1" ht="12" customHeight="1">
      <c r="A177" s="112"/>
      <c r="B177" s="112"/>
      <c r="D177" s="95" t="s">
        <v>558</v>
      </c>
      <c r="E177" s="316">
        <v>0</v>
      </c>
      <c r="F177" s="316">
        <v>0</v>
      </c>
      <c r="G177" s="316">
        <v>0</v>
      </c>
      <c r="H177" s="316">
        <v>0</v>
      </c>
      <c r="I177" s="316">
        <v>0</v>
      </c>
      <c r="J177" s="316">
        <v>0</v>
      </c>
      <c r="K177" s="316">
        <v>0</v>
      </c>
      <c r="L177" s="316">
        <v>0</v>
      </c>
      <c r="M177" s="316">
        <v>0</v>
      </c>
      <c r="N177" s="316">
        <v>0</v>
      </c>
      <c r="O177" s="316">
        <v>0</v>
      </c>
      <c r="P177" s="316">
        <v>0</v>
      </c>
      <c r="Q177" s="94"/>
      <c r="R177" s="94"/>
      <c r="S177" s="131"/>
      <c r="T177" s="94"/>
      <c r="U177" s="94"/>
      <c r="V177" s="94"/>
    </row>
    <row r="178" spans="1:23" s="95" customFormat="1" ht="12" customHeight="1">
      <c r="A178" s="112"/>
      <c r="B178" s="112"/>
      <c r="D178" s="95" t="s">
        <v>559</v>
      </c>
      <c r="E178" s="316">
        <f>-E176</f>
        <v>0</v>
      </c>
      <c r="F178" s="316">
        <v>0</v>
      </c>
      <c r="G178" s="316">
        <v>0</v>
      </c>
      <c r="H178" s="316">
        <v>0</v>
      </c>
      <c r="I178" s="316">
        <v>0</v>
      </c>
      <c r="J178" s="316">
        <v>0</v>
      </c>
      <c r="K178" s="316">
        <v>0</v>
      </c>
      <c r="L178" s="316">
        <v>0</v>
      </c>
      <c r="M178" s="316">
        <v>0</v>
      </c>
      <c r="N178" s="316">
        <v>0</v>
      </c>
      <c r="O178" s="316">
        <v>0</v>
      </c>
      <c r="P178" s="316">
        <f>-E177/2</f>
        <v>0</v>
      </c>
      <c r="Q178" s="94"/>
      <c r="R178" s="94"/>
      <c r="S178" s="131"/>
      <c r="T178" s="94"/>
      <c r="U178" s="94"/>
      <c r="V178" s="94"/>
    </row>
    <row r="179" spans="1:23" s="95" customFormat="1" ht="12" customHeight="1">
      <c r="D179" s="95" t="s">
        <v>560</v>
      </c>
      <c r="E179" s="94">
        <f>SUM(E176:E178)</f>
        <v>0</v>
      </c>
      <c r="F179" s="94">
        <f>SUM(F176:F178)</f>
        <v>0</v>
      </c>
      <c r="G179" s="94">
        <f t="shared" ref="G179:P179" si="67">SUM(G176:G178)</f>
        <v>0</v>
      </c>
      <c r="H179" s="94">
        <f t="shared" si="67"/>
        <v>0</v>
      </c>
      <c r="I179" s="94">
        <f t="shared" si="67"/>
        <v>0</v>
      </c>
      <c r="J179" s="94">
        <f t="shared" si="67"/>
        <v>0</v>
      </c>
      <c r="K179" s="94">
        <f t="shared" si="67"/>
        <v>0</v>
      </c>
      <c r="L179" s="94">
        <f t="shared" si="67"/>
        <v>0</v>
      </c>
      <c r="M179" s="94">
        <f t="shared" si="67"/>
        <v>0</v>
      </c>
      <c r="N179" s="94">
        <f t="shared" si="67"/>
        <v>0</v>
      </c>
      <c r="O179" s="94">
        <f t="shared" si="67"/>
        <v>0</v>
      </c>
      <c r="P179" s="94">
        <f t="shared" si="67"/>
        <v>0</v>
      </c>
      <c r="Q179" s="316"/>
      <c r="R179" s="316"/>
      <c r="S179" s="317"/>
      <c r="T179" s="316"/>
      <c r="U179" s="316"/>
      <c r="V179" s="94"/>
    </row>
    <row r="180" spans="1:23" s="95" customFormat="1" ht="12" customHeight="1">
      <c r="E180" s="315"/>
      <c r="F180" s="315"/>
      <c r="G180" s="315"/>
      <c r="H180" s="315"/>
      <c r="I180" s="315"/>
      <c r="J180" s="315"/>
      <c r="K180" s="315"/>
      <c r="L180" s="315"/>
      <c r="M180" s="316"/>
      <c r="N180" s="316"/>
      <c r="O180" s="316"/>
      <c r="P180" s="316"/>
      <c r="Q180" s="316"/>
      <c r="R180" s="316"/>
      <c r="S180" s="317"/>
      <c r="T180" s="316"/>
      <c r="U180" s="316"/>
      <c r="V180" s="94"/>
    </row>
    <row r="181" spans="1:23" s="95" customFormat="1" ht="12" customHeight="1">
      <c r="E181" s="316"/>
      <c r="F181" s="316"/>
      <c r="G181" s="316"/>
      <c r="H181" s="316"/>
      <c r="I181" s="316"/>
      <c r="J181" s="316"/>
      <c r="K181" s="316"/>
      <c r="L181" s="316"/>
      <c r="M181" s="316"/>
      <c r="N181" s="316"/>
      <c r="O181" s="316"/>
      <c r="P181" s="316"/>
      <c r="Q181" s="316"/>
      <c r="R181" s="316"/>
      <c r="S181" s="317"/>
      <c r="T181" s="316"/>
      <c r="U181" s="316"/>
      <c r="V181" s="94"/>
    </row>
    <row r="182" spans="1:23" s="95" customFormat="1" ht="12" customHeight="1">
      <c r="E182" s="315"/>
      <c r="F182" s="315"/>
      <c r="G182" s="315"/>
      <c r="H182" s="315"/>
      <c r="I182" s="315"/>
      <c r="J182" s="315"/>
      <c r="K182" s="315"/>
      <c r="L182" s="315"/>
      <c r="M182" s="316"/>
      <c r="N182" s="316"/>
      <c r="O182" s="316"/>
      <c r="P182" s="316"/>
      <c r="Q182" s="316"/>
      <c r="R182" s="316"/>
      <c r="S182" s="317"/>
      <c r="T182" s="316"/>
      <c r="U182" s="316"/>
      <c r="V182" s="94"/>
    </row>
    <row r="183" spans="1:23" s="95" customFormat="1" ht="12" customHeight="1">
      <c r="E183" s="315"/>
      <c r="F183" s="315"/>
      <c r="G183" s="315"/>
      <c r="H183" s="315"/>
      <c r="I183" s="315"/>
      <c r="J183" s="315"/>
      <c r="K183" s="315"/>
      <c r="L183" s="315"/>
      <c r="M183" s="316"/>
      <c r="N183" s="316"/>
      <c r="O183" s="316"/>
      <c r="P183" s="316"/>
      <c r="Q183" s="316"/>
      <c r="R183" s="316"/>
      <c r="S183" s="317"/>
      <c r="T183" s="316"/>
      <c r="U183" s="316"/>
      <c r="V183" s="94"/>
    </row>
    <row r="184" spans="1:23" s="95" customFormat="1" ht="12" customHeight="1">
      <c r="E184" s="316"/>
      <c r="F184" s="316"/>
      <c r="G184" s="316"/>
      <c r="H184" s="316"/>
      <c r="I184" s="316"/>
      <c r="J184" s="316"/>
      <c r="K184" s="316"/>
      <c r="L184" s="316"/>
      <c r="M184" s="316"/>
      <c r="N184" s="316"/>
      <c r="O184" s="316"/>
      <c r="P184" s="316"/>
      <c r="Q184" s="316"/>
      <c r="R184" s="316"/>
      <c r="S184" s="317"/>
      <c r="T184" s="316"/>
      <c r="U184" s="316"/>
      <c r="V184" s="94"/>
    </row>
    <row r="185" spans="1:23" s="95" customFormat="1" ht="12">
      <c r="E185" s="316"/>
      <c r="F185" s="316"/>
      <c r="G185" s="316"/>
      <c r="H185" s="316"/>
      <c r="I185" s="316"/>
      <c r="J185" s="316"/>
      <c r="K185" s="316"/>
      <c r="L185" s="316"/>
      <c r="M185" s="316"/>
      <c r="N185" s="316"/>
      <c r="O185" s="316"/>
      <c r="P185" s="316"/>
      <c r="Q185" s="316"/>
      <c r="R185" s="316"/>
      <c r="S185" s="317"/>
      <c r="T185" s="316"/>
      <c r="U185" s="92"/>
      <c r="V185" s="94"/>
    </row>
    <row r="186" spans="1:23" s="95" customFormat="1" ht="12"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133"/>
      <c r="T186" s="94"/>
      <c r="U186" s="94"/>
      <c r="V186" s="94"/>
    </row>
    <row r="187" spans="1:23" ht="12">
      <c r="A187" s="62"/>
      <c r="B187" s="62"/>
      <c r="S187" s="140"/>
      <c r="W187" s="62"/>
    </row>
    <row r="188" spans="1:23">
      <c r="A188" s="62"/>
      <c r="B188" s="62"/>
      <c r="S188" s="140"/>
    </row>
    <row r="189" spans="1:23">
      <c r="A189" s="62"/>
      <c r="B189" s="62"/>
      <c r="S189" s="140"/>
    </row>
    <row r="190" spans="1:23">
      <c r="A190" s="62"/>
      <c r="B190" s="62"/>
      <c r="S190" s="140"/>
    </row>
    <row r="191" spans="1:23">
      <c r="A191" s="62"/>
      <c r="B191" s="62"/>
      <c r="S191" s="140"/>
    </row>
    <row r="192" spans="1:23">
      <c r="A192" s="62"/>
      <c r="B192" s="62"/>
      <c r="S192" s="140"/>
    </row>
  </sheetData>
  <printOptions horizontalCentered="1"/>
  <pageMargins left="0.15" right="0.15" top="0.35" bottom="0.35" header="0.3" footer="0.3"/>
  <pageSetup scale="75" fitToWidth="2" fitToHeight="4" orientation="landscape" copies="4" r:id="rId1"/>
  <headerFooter alignWithMargins="0">
    <oddFooter xml:space="preserve">&amp;R
</oddFooter>
  </headerFooter>
  <rowBreaks count="2" manualBreakCount="2">
    <brk id="90" max="21" man="1"/>
    <brk id="146" max="21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32</vt:i4>
      </vt:variant>
    </vt:vector>
  </HeadingPairs>
  <TitlesOfParts>
    <vt:vector size="53" baseType="lpstr">
      <vt:lpstr>CLIENT REQUEST</vt:lpstr>
      <vt:lpstr>Petition Exhibits</vt:lpstr>
      <vt:lpstr>Multi-Year</vt:lpstr>
      <vt:lpstr>FY18-19</vt:lpstr>
      <vt:lpstr>PPT Widgets</vt:lpstr>
      <vt:lpstr>FY19-20</vt:lpstr>
      <vt:lpstr>Data</vt:lpstr>
      <vt:lpstr>FY20-21</vt:lpstr>
      <vt:lpstr>FY21-22</vt:lpstr>
      <vt:lpstr>FY22-23</vt:lpstr>
      <vt:lpstr>FY23-24</vt:lpstr>
      <vt:lpstr>Revenue Inputs</vt:lpstr>
      <vt:lpstr>LCFF</vt:lpstr>
      <vt:lpstr>Expense Details</vt:lpstr>
      <vt:lpstr>Payroll 19-20</vt:lpstr>
      <vt:lpstr>Payroll 20-21</vt:lpstr>
      <vt:lpstr>Payroll 21-22</vt:lpstr>
      <vt:lpstr>Payroll 22-23</vt:lpstr>
      <vt:lpstr>Payroll 23-24</vt:lpstr>
      <vt:lpstr>Original Budget</vt:lpstr>
      <vt:lpstr>Import</vt:lpstr>
      <vt:lpstr>'CLIENT REQUEST'!Print_Area</vt:lpstr>
      <vt:lpstr>'Expense Details'!Print_Area</vt:lpstr>
      <vt:lpstr>'FY18-19'!Print_Area</vt:lpstr>
      <vt:lpstr>'FY19-20'!Print_Area</vt:lpstr>
      <vt:lpstr>'FY20-21'!Print_Area</vt:lpstr>
      <vt:lpstr>'FY21-22'!Print_Area</vt:lpstr>
      <vt:lpstr>'FY22-23'!Print_Area</vt:lpstr>
      <vt:lpstr>'FY23-24'!Print_Area</vt:lpstr>
      <vt:lpstr>LCFF!Print_Area</vt:lpstr>
      <vt:lpstr>'Multi-Year'!Print_Area</vt:lpstr>
      <vt:lpstr>'Original Budget'!Print_Area</vt:lpstr>
      <vt:lpstr>'Payroll 19-20'!Print_Area</vt:lpstr>
      <vt:lpstr>'Payroll 20-21'!Print_Area</vt:lpstr>
      <vt:lpstr>'Payroll 21-22'!Print_Area</vt:lpstr>
      <vt:lpstr>'Payroll 22-23'!Print_Area</vt:lpstr>
      <vt:lpstr>'Payroll 23-24'!Print_Area</vt:lpstr>
      <vt:lpstr>'Petition Exhibits'!Print_Area</vt:lpstr>
      <vt:lpstr>'Revenue Inputs'!Print_Area</vt:lpstr>
      <vt:lpstr>'Expense Details'!Print_Titles</vt:lpstr>
      <vt:lpstr>'FY18-19'!Print_Titles</vt:lpstr>
      <vt:lpstr>'FY19-20'!Print_Titles</vt:lpstr>
      <vt:lpstr>'FY20-21'!Print_Titles</vt:lpstr>
      <vt:lpstr>'FY21-22'!Print_Titles</vt:lpstr>
      <vt:lpstr>'FY22-23'!Print_Titles</vt:lpstr>
      <vt:lpstr>'FY23-24'!Print_Titles</vt:lpstr>
      <vt:lpstr>'Multi-Year'!Print_Titles</vt:lpstr>
      <vt:lpstr>'Original Budget'!Print_Titles</vt:lpstr>
      <vt:lpstr>'Payroll 19-20'!Print_Titles</vt:lpstr>
      <vt:lpstr>'Payroll 20-21'!Print_Titles</vt:lpstr>
      <vt:lpstr>'Payroll 21-22'!Print_Titles</vt:lpstr>
      <vt:lpstr>'Payroll 22-23'!Print_Titles</vt:lpstr>
      <vt:lpstr>'Payroll 23-24'!Print_Titles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Styles</dc:creator>
  <cp:lastModifiedBy>Microsoft Office User</cp:lastModifiedBy>
  <cp:lastPrinted>2020-04-23T18:33:28Z</cp:lastPrinted>
  <dcterms:created xsi:type="dcterms:W3CDTF">2012-03-13T21:45:40Z</dcterms:created>
  <dcterms:modified xsi:type="dcterms:W3CDTF">2021-04-21T04:15:24Z</dcterms:modified>
</cp:coreProperties>
</file>